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DELL\Desktop\Airbnb_Submission files\"/>
    </mc:Choice>
  </mc:AlternateContent>
  <bookViews>
    <workbookView xWindow="0" yWindow="4800" windowWidth="28800" windowHeight="12300" activeTab="7"/>
  </bookViews>
  <sheets>
    <sheet name="#airbnb" sheetId="5" r:id="rId1"/>
    <sheet name="Asia" sheetId="12" r:id="rId2"/>
    <sheet name="Africa" sheetId="13" r:id="rId3"/>
    <sheet name="Europe" sheetId="14" r:id="rId4"/>
    <sheet name="North America" sheetId="15" r:id="rId5"/>
    <sheet name="South America" sheetId="16" r:id="rId6"/>
    <sheet name="Oceania" sheetId="17" r:id="rId7"/>
    <sheet name="Analysis" sheetId="19" r:id="rId8"/>
  </sheets>
  <externalReferences>
    <externalReference r:id="rId9"/>
  </externalReferences>
  <definedNames>
    <definedName name="_xlnm._FilterDatabase" localSheetId="0" hidden="1">'#airbnb'!$A$1:$I$6184</definedName>
    <definedName name="_xlnm._FilterDatabase" localSheetId="2" hidden="1">Africa!$A$1:$I$104</definedName>
    <definedName name="_xlnm._FilterDatabase" localSheetId="1" hidden="1">Asia!$A$1:$I$813</definedName>
    <definedName name="_xlnm._FilterDatabase" localSheetId="3" hidden="1">Europe!$A$1:$I$1816</definedName>
    <definedName name="_xlnm._FilterDatabase" localSheetId="4" hidden="1">'North America'!$A$1:$I$3145</definedName>
    <definedName name="_xlnm._FilterDatabase" localSheetId="6" hidden="1">Oceania!$A$1:$I$243</definedName>
    <definedName name="_xlnm._FilterDatabase" localSheetId="5" hidden="1">'South America'!$A$1:$I$68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6184" i="5" l="1"/>
  <c r="B6184" i="5"/>
  <c r="E6183" i="5"/>
  <c r="B6183" i="5"/>
  <c r="E6182" i="5"/>
  <c r="B6182" i="5"/>
  <c r="E6181" i="5"/>
  <c r="B6181" i="5"/>
  <c r="E6180" i="5"/>
  <c r="B6180" i="5"/>
  <c r="E6179" i="5"/>
  <c r="B6179" i="5"/>
  <c r="E6178" i="5"/>
  <c r="B6178" i="5"/>
  <c r="E6177" i="5"/>
  <c r="B6177" i="5"/>
  <c r="E6176" i="5"/>
  <c r="B6176" i="5"/>
  <c r="E6175" i="5"/>
  <c r="B6175" i="5"/>
  <c r="E6174" i="5"/>
  <c r="B6174" i="5"/>
  <c r="E6173" i="5"/>
  <c r="B6173" i="5"/>
  <c r="E6172" i="5"/>
  <c r="B6172" i="5"/>
  <c r="E6171" i="5"/>
  <c r="B6171" i="5"/>
  <c r="E6170" i="5"/>
  <c r="B6170" i="5"/>
  <c r="E6169" i="5"/>
  <c r="B6169" i="5"/>
  <c r="E6168" i="5"/>
  <c r="B6168" i="5"/>
  <c r="E6167" i="5"/>
  <c r="B6167" i="5"/>
  <c r="E6166" i="5"/>
  <c r="B6166" i="5"/>
  <c r="E6165" i="5"/>
  <c r="B6165" i="5"/>
  <c r="E6164" i="5"/>
  <c r="B6164" i="5"/>
  <c r="E6163" i="5"/>
  <c r="B6163" i="5"/>
  <c r="E6162" i="5"/>
  <c r="B6162" i="5"/>
  <c r="E6161" i="5"/>
  <c r="B6161" i="5"/>
  <c r="E6160" i="5"/>
  <c r="B6160" i="5"/>
  <c r="E6159" i="5"/>
  <c r="B6159" i="5"/>
  <c r="E6158" i="5"/>
  <c r="B6158" i="5"/>
  <c r="E6157" i="5"/>
  <c r="B6157" i="5"/>
  <c r="E6156" i="5"/>
  <c r="B6156" i="5"/>
  <c r="E6155" i="5"/>
  <c r="B6155" i="5"/>
  <c r="E6154" i="5"/>
  <c r="B6154" i="5"/>
  <c r="E6153" i="5"/>
  <c r="B6153" i="5"/>
  <c r="E6152" i="5"/>
  <c r="B6152" i="5"/>
  <c r="E6151" i="5"/>
  <c r="B6151" i="5"/>
  <c r="E6150" i="5"/>
  <c r="B6150" i="5"/>
  <c r="E6149" i="5"/>
  <c r="B6149" i="5"/>
  <c r="E6148" i="5"/>
  <c r="B6148" i="5"/>
  <c r="E6147" i="5"/>
  <c r="B6147" i="5"/>
  <c r="E6146" i="5"/>
  <c r="B6146" i="5"/>
  <c r="E6145" i="5"/>
  <c r="B6145" i="5"/>
  <c r="E6144" i="5"/>
  <c r="B6144" i="5"/>
  <c r="E6143" i="5"/>
  <c r="B6143" i="5"/>
  <c r="E6142" i="5"/>
  <c r="B6142" i="5"/>
  <c r="E6141" i="5"/>
  <c r="B6141" i="5"/>
  <c r="E6140" i="5"/>
  <c r="B6140" i="5"/>
  <c r="E6139" i="5"/>
  <c r="B6139" i="5"/>
  <c r="E6138" i="5"/>
  <c r="B6138" i="5"/>
  <c r="E6137" i="5"/>
  <c r="B6137" i="5"/>
  <c r="E6136" i="5"/>
  <c r="B6136" i="5"/>
  <c r="E6135" i="5"/>
  <c r="B6135" i="5"/>
  <c r="E6134" i="5"/>
  <c r="B6134" i="5"/>
  <c r="E6133" i="5"/>
  <c r="B6133" i="5"/>
  <c r="E6132" i="5"/>
  <c r="B6132" i="5"/>
  <c r="E6131" i="5"/>
  <c r="B6131" i="5"/>
  <c r="E6130" i="5"/>
  <c r="B6130" i="5"/>
  <c r="E6129" i="5"/>
  <c r="B6129" i="5"/>
  <c r="E6128" i="5"/>
  <c r="B6128" i="5"/>
  <c r="E6127" i="5"/>
  <c r="B6127" i="5"/>
  <c r="E6126" i="5"/>
  <c r="B6126" i="5"/>
  <c r="E6125" i="5"/>
  <c r="B6125" i="5"/>
  <c r="E6124" i="5"/>
  <c r="B6124" i="5"/>
  <c r="E6123" i="5"/>
  <c r="B6123" i="5"/>
  <c r="E6122" i="5"/>
  <c r="B6122" i="5"/>
  <c r="E6121" i="5"/>
  <c r="B6121" i="5"/>
  <c r="E6120" i="5"/>
  <c r="B6120" i="5"/>
  <c r="E6119" i="5"/>
  <c r="B6119" i="5"/>
  <c r="E6118" i="5"/>
  <c r="B6118" i="5"/>
  <c r="E6117" i="5"/>
  <c r="B6117" i="5"/>
  <c r="E6116" i="5"/>
  <c r="B6116" i="5"/>
  <c r="E6115" i="5"/>
  <c r="B6115" i="5"/>
  <c r="E6114" i="5"/>
  <c r="B6114" i="5"/>
  <c r="E6113" i="5"/>
  <c r="B6113" i="5"/>
  <c r="E6112" i="5"/>
  <c r="B6112" i="5"/>
  <c r="E6111" i="5"/>
  <c r="B6111" i="5"/>
  <c r="E6110" i="5"/>
  <c r="B6110" i="5"/>
  <c r="E6109" i="5"/>
  <c r="B6109" i="5"/>
  <c r="E6108" i="5"/>
  <c r="B6108" i="5"/>
  <c r="E6107" i="5"/>
  <c r="B6107" i="5"/>
  <c r="E6106" i="5"/>
  <c r="B6106" i="5"/>
  <c r="E6105" i="5"/>
  <c r="B6105" i="5"/>
  <c r="E6104" i="5"/>
  <c r="B6104" i="5"/>
  <c r="E6103" i="5"/>
  <c r="B6103" i="5"/>
  <c r="E6102" i="5"/>
  <c r="B6102" i="5"/>
  <c r="E6101" i="5"/>
  <c r="B6101" i="5"/>
  <c r="E6100" i="5"/>
  <c r="B6100" i="5"/>
  <c r="E6099" i="5"/>
  <c r="B6099" i="5"/>
  <c r="E6098" i="5"/>
  <c r="B6098" i="5"/>
  <c r="E6097" i="5"/>
  <c r="B6097" i="5"/>
  <c r="E6096" i="5"/>
  <c r="B6096" i="5"/>
  <c r="E6095" i="5"/>
  <c r="B6095" i="5"/>
  <c r="E6094" i="5"/>
  <c r="B6094" i="5"/>
  <c r="E6093" i="5"/>
  <c r="B6093" i="5"/>
  <c r="E6092" i="5"/>
  <c r="B6092" i="5"/>
  <c r="E6091" i="5"/>
  <c r="B6091" i="5"/>
  <c r="E6090" i="5"/>
  <c r="B6090" i="5"/>
  <c r="E6089" i="5"/>
  <c r="B6089" i="5"/>
  <c r="E6088" i="5"/>
  <c r="B6088" i="5"/>
  <c r="E6087" i="5"/>
  <c r="B6087" i="5"/>
  <c r="E6086" i="5"/>
  <c r="B6086" i="5"/>
  <c r="E6085" i="5"/>
  <c r="B6085" i="5"/>
  <c r="E6084" i="5"/>
  <c r="B6084" i="5"/>
  <c r="E6083" i="5"/>
  <c r="B6083" i="5"/>
  <c r="E6082" i="5"/>
  <c r="B6082" i="5"/>
  <c r="E6081" i="5"/>
  <c r="B6081" i="5"/>
  <c r="E6080" i="5"/>
  <c r="B6080" i="5"/>
  <c r="E6079" i="5"/>
  <c r="B6079" i="5"/>
  <c r="E6078" i="5"/>
  <c r="B6078" i="5"/>
  <c r="E6077" i="5"/>
  <c r="B6077" i="5"/>
  <c r="E6076" i="5"/>
  <c r="B6076" i="5"/>
  <c r="E6075" i="5"/>
  <c r="B6075" i="5"/>
  <c r="E6074" i="5"/>
  <c r="B6074" i="5"/>
  <c r="E6073" i="5"/>
  <c r="B6073" i="5"/>
  <c r="E6072" i="5"/>
  <c r="B6072" i="5"/>
  <c r="E6071" i="5"/>
  <c r="B6071" i="5"/>
  <c r="E6070" i="5"/>
  <c r="B6070" i="5"/>
  <c r="E6069" i="5"/>
  <c r="B6069" i="5"/>
  <c r="E6068" i="5"/>
  <c r="B6068" i="5"/>
  <c r="E6067" i="5"/>
  <c r="B6067" i="5"/>
  <c r="E6066" i="5"/>
  <c r="B6066" i="5"/>
  <c r="E6065" i="5"/>
  <c r="B6065" i="5"/>
  <c r="E6064" i="5"/>
  <c r="B6064" i="5"/>
  <c r="E6063" i="5"/>
  <c r="B6063" i="5"/>
  <c r="E6062" i="5"/>
  <c r="B6062" i="5"/>
  <c r="E6061" i="5"/>
  <c r="B6061" i="5"/>
  <c r="E6060" i="5"/>
  <c r="B6060" i="5"/>
  <c r="E6059" i="5"/>
  <c r="B6059" i="5"/>
  <c r="E6058" i="5"/>
  <c r="B6058" i="5"/>
  <c r="E6057" i="5"/>
  <c r="B6057" i="5"/>
  <c r="E6056" i="5"/>
  <c r="B6056" i="5"/>
  <c r="E6055" i="5"/>
  <c r="B6055" i="5"/>
  <c r="E6054" i="5"/>
  <c r="B6054" i="5"/>
  <c r="E6053" i="5"/>
  <c r="B6053" i="5"/>
  <c r="E6052" i="5"/>
  <c r="B6052" i="5"/>
  <c r="E6051" i="5"/>
  <c r="B6051" i="5"/>
  <c r="E6050" i="5"/>
  <c r="B6050" i="5"/>
  <c r="E6049" i="5"/>
  <c r="B6049" i="5"/>
  <c r="E6048" i="5"/>
  <c r="B6048" i="5"/>
  <c r="E6047" i="5"/>
  <c r="B6047" i="5"/>
  <c r="E6046" i="5"/>
  <c r="B6046" i="5"/>
  <c r="E6045" i="5"/>
  <c r="B6045" i="5"/>
  <c r="E6044" i="5"/>
  <c r="B6044" i="5"/>
  <c r="E6043" i="5"/>
  <c r="B6043" i="5"/>
  <c r="E6042" i="5"/>
  <c r="B6042" i="5"/>
  <c r="E6041" i="5"/>
  <c r="B6041" i="5"/>
  <c r="E6040" i="5"/>
  <c r="B6040" i="5"/>
  <c r="E6039" i="5"/>
  <c r="B6039" i="5"/>
  <c r="E6038" i="5"/>
  <c r="B6038" i="5"/>
  <c r="E6037" i="5"/>
  <c r="B6037" i="5"/>
  <c r="E6036" i="5"/>
  <c r="B6036" i="5"/>
  <c r="E6035" i="5"/>
  <c r="B6035" i="5"/>
  <c r="E6034" i="5"/>
  <c r="B6034" i="5"/>
  <c r="E6033" i="5"/>
  <c r="B6033" i="5"/>
  <c r="E6032" i="5"/>
  <c r="B6032" i="5"/>
  <c r="E6031" i="5"/>
  <c r="B6031" i="5"/>
  <c r="E6030" i="5"/>
  <c r="B6030" i="5"/>
  <c r="E6029" i="5"/>
  <c r="B6029" i="5"/>
  <c r="E6028" i="5"/>
  <c r="B6028" i="5"/>
  <c r="E6027" i="5"/>
  <c r="B6027" i="5"/>
  <c r="E6026" i="5"/>
  <c r="B6026" i="5"/>
  <c r="E6025" i="5"/>
  <c r="B6025" i="5"/>
  <c r="E6024" i="5"/>
  <c r="B6024" i="5"/>
  <c r="E6023" i="5"/>
  <c r="B6023" i="5"/>
  <c r="E6022" i="5"/>
  <c r="B6022" i="5"/>
  <c r="E6021" i="5"/>
  <c r="B6021" i="5"/>
  <c r="E6020" i="5"/>
  <c r="B6020" i="5"/>
  <c r="E6019" i="5"/>
  <c r="B6019" i="5"/>
  <c r="E6018" i="5"/>
  <c r="B6018" i="5"/>
  <c r="E6017" i="5"/>
  <c r="B6017" i="5"/>
  <c r="E6016" i="5"/>
  <c r="B6016" i="5"/>
  <c r="E6015" i="5"/>
  <c r="B6015" i="5"/>
  <c r="E6014" i="5"/>
  <c r="B6014" i="5"/>
  <c r="E6013" i="5"/>
  <c r="B6013" i="5"/>
  <c r="E6012" i="5"/>
  <c r="B6012" i="5"/>
  <c r="E6011" i="5"/>
  <c r="B6011" i="5"/>
  <c r="E6010" i="5"/>
  <c r="B6010" i="5"/>
  <c r="E6009" i="5"/>
  <c r="B6009" i="5"/>
  <c r="E6008" i="5"/>
  <c r="B6008" i="5"/>
  <c r="E6007" i="5"/>
  <c r="B6007" i="5"/>
  <c r="E6006" i="5"/>
  <c r="B6006" i="5"/>
  <c r="E6005" i="5"/>
  <c r="B6005" i="5"/>
  <c r="E6004" i="5"/>
  <c r="B6004" i="5"/>
  <c r="E6003" i="5"/>
  <c r="B6003" i="5"/>
  <c r="E6002" i="5"/>
  <c r="B6002" i="5"/>
  <c r="E6001" i="5"/>
  <c r="B6001" i="5"/>
  <c r="E6000" i="5"/>
  <c r="B6000" i="5"/>
  <c r="E5999" i="5"/>
  <c r="B5999" i="5"/>
  <c r="E5998" i="5"/>
  <c r="B5998" i="5"/>
  <c r="E5997" i="5"/>
  <c r="B5997" i="5"/>
  <c r="E5996" i="5"/>
  <c r="B5996" i="5"/>
  <c r="E5995" i="5"/>
  <c r="B5995" i="5"/>
  <c r="E5994" i="5"/>
  <c r="B5994" i="5"/>
  <c r="E5993" i="5"/>
  <c r="B5993" i="5"/>
  <c r="E5992" i="5"/>
  <c r="B5992" i="5"/>
  <c r="E5991" i="5"/>
  <c r="B5991" i="5"/>
  <c r="E5990" i="5"/>
  <c r="B5990" i="5"/>
  <c r="E5989" i="5"/>
  <c r="B5989" i="5"/>
  <c r="E5988" i="5"/>
  <c r="B5988" i="5"/>
  <c r="E5987" i="5"/>
  <c r="B5987" i="5"/>
  <c r="E5986" i="5"/>
  <c r="B5986" i="5"/>
  <c r="E5985" i="5"/>
  <c r="B5985" i="5"/>
  <c r="E5984" i="5"/>
  <c r="B5984" i="5"/>
  <c r="E5983" i="5"/>
  <c r="B5983" i="5"/>
  <c r="E5982" i="5"/>
  <c r="B5982" i="5"/>
  <c r="E5981" i="5"/>
  <c r="B5981" i="5"/>
  <c r="E5980" i="5"/>
  <c r="B5980" i="5"/>
  <c r="E5979" i="5"/>
  <c r="B5979" i="5"/>
  <c r="E5978" i="5"/>
  <c r="B5978" i="5"/>
  <c r="E5977" i="5"/>
  <c r="B5977" i="5"/>
  <c r="E5976" i="5"/>
  <c r="B5976" i="5"/>
  <c r="E5975" i="5"/>
  <c r="B5975" i="5"/>
  <c r="E5974" i="5"/>
  <c r="B5974" i="5"/>
  <c r="E5973" i="5"/>
  <c r="B5973" i="5"/>
  <c r="E5972" i="5"/>
  <c r="B5972" i="5"/>
  <c r="E5971" i="5"/>
  <c r="B5971" i="5"/>
  <c r="E5970" i="5"/>
  <c r="B5970" i="5"/>
  <c r="E5969" i="5"/>
  <c r="B5969" i="5"/>
  <c r="E5968" i="5"/>
  <c r="B5968" i="5"/>
  <c r="E5967" i="5"/>
  <c r="B5967" i="5"/>
  <c r="E5966" i="5"/>
  <c r="B5966" i="5"/>
  <c r="E5965" i="5"/>
  <c r="B5965" i="5"/>
  <c r="E5964" i="5"/>
  <c r="B5964" i="5"/>
  <c r="E5963" i="5"/>
  <c r="B5963" i="5"/>
  <c r="E5962" i="5"/>
  <c r="B5962" i="5"/>
  <c r="E5961" i="5"/>
  <c r="B5961" i="5"/>
  <c r="E5960" i="5"/>
  <c r="B5960" i="5"/>
  <c r="E5959" i="5"/>
  <c r="B5959" i="5"/>
  <c r="E5958" i="5"/>
  <c r="B5958" i="5"/>
  <c r="E5957" i="5"/>
  <c r="B5957" i="5"/>
  <c r="E5956" i="5"/>
  <c r="B5956" i="5"/>
  <c r="E5955" i="5"/>
  <c r="B5955" i="5"/>
  <c r="E5954" i="5"/>
  <c r="B5954" i="5"/>
  <c r="E5953" i="5"/>
  <c r="B5953" i="5"/>
  <c r="E5952" i="5"/>
  <c r="B5952" i="5"/>
  <c r="E5951" i="5"/>
  <c r="B5951" i="5"/>
  <c r="E5950" i="5"/>
  <c r="B5950" i="5"/>
  <c r="E5949" i="5"/>
  <c r="B5949" i="5"/>
  <c r="E5948" i="5"/>
  <c r="B5948" i="5"/>
  <c r="E5947" i="5"/>
  <c r="B5947" i="5"/>
  <c r="E5946" i="5"/>
  <c r="B5946" i="5"/>
  <c r="E5945" i="5"/>
  <c r="B5945" i="5"/>
  <c r="E5944" i="5"/>
  <c r="B5944" i="5"/>
  <c r="E5943" i="5"/>
  <c r="B5943" i="5"/>
  <c r="E5942" i="5"/>
  <c r="B5942" i="5"/>
  <c r="E5941" i="5"/>
  <c r="B5941" i="5"/>
  <c r="E5940" i="5"/>
  <c r="B5940" i="5"/>
  <c r="E5939" i="5"/>
  <c r="B5939" i="5"/>
  <c r="E5938" i="5"/>
  <c r="B5938" i="5"/>
  <c r="E5937" i="5"/>
  <c r="B5937" i="5"/>
  <c r="E5936" i="5"/>
  <c r="B5936" i="5"/>
  <c r="E5935" i="5"/>
  <c r="B5935" i="5"/>
  <c r="E5934" i="5"/>
  <c r="B5934" i="5"/>
  <c r="E5933" i="5"/>
  <c r="B5933" i="5"/>
  <c r="E5932" i="5"/>
  <c r="B5932" i="5"/>
  <c r="E5931" i="5"/>
  <c r="B5931" i="5"/>
  <c r="E5930" i="5"/>
  <c r="B5930" i="5"/>
  <c r="E5929" i="5"/>
  <c r="B5929" i="5"/>
  <c r="E5928" i="5"/>
  <c r="B5928" i="5"/>
  <c r="E5927" i="5"/>
  <c r="B5927" i="5"/>
  <c r="E5926" i="5"/>
  <c r="B5926" i="5"/>
  <c r="E5925" i="5"/>
  <c r="B5925" i="5"/>
  <c r="E5924" i="5"/>
  <c r="B5924" i="5"/>
  <c r="E5923" i="5"/>
  <c r="B5923" i="5"/>
  <c r="E5922" i="5"/>
  <c r="B5922" i="5"/>
  <c r="E5921" i="5"/>
  <c r="B5921" i="5"/>
  <c r="E5920" i="5"/>
  <c r="B5920" i="5"/>
  <c r="E5919" i="5"/>
  <c r="B5919" i="5"/>
  <c r="E5918" i="5"/>
  <c r="B5918" i="5"/>
  <c r="E5917" i="5"/>
  <c r="B5917" i="5"/>
  <c r="E5916" i="5"/>
  <c r="B5916" i="5"/>
  <c r="E5915" i="5"/>
  <c r="B5915" i="5"/>
  <c r="E5914" i="5"/>
  <c r="B5914" i="5"/>
  <c r="E5913" i="5"/>
  <c r="B5913" i="5"/>
  <c r="E5912" i="5"/>
  <c r="B5912" i="5"/>
  <c r="E5911" i="5"/>
  <c r="B5911" i="5"/>
  <c r="E5910" i="5"/>
  <c r="B5910" i="5"/>
  <c r="E5909" i="5"/>
  <c r="B5909" i="5"/>
  <c r="E5908" i="5"/>
  <c r="B5908" i="5"/>
  <c r="E5907" i="5"/>
  <c r="B5907" i="5"/>
  <c r="E5906" i="5"/>
  <c r="B5906" i="5"/>
  <c r="E5905" i="5"/>
  <c r="B5905" i="5"/>
  <c r="E5904" i="5"/>
  <c r="B5904" i="5"/>
  <c r="E5903" i="5"/>
  <c r="B5903" i="5"/>
  <c r="E5902" i="5"/>
  <c r="B5902" i="5"/>
  <c r="E5901" i="5"/>
  <c r="B5901" i="5"/>
  <c r="E5900" i="5"/>
  <c r="B5900" i="5"/>
  <c r="E5899" i="5"/>
  <c r="B5899" i="5"/>
  <c r="E5898" i="5"/>
  <c r="B5898" i="5"/>
  <c r="E5897" i="5"/>
  <c r="B5897" i="5"/>
  <c r="E5896" i="5"/>
  <c r="B5896" i="5"/>
  <c r="E5895" i="5"/>
  <c r="B5895" i="5"/>
  <c r="E5894" i="5"/>
  <c r="B5894" i="5"/>
  <c r="E5893" i="5"/>
  <c r="B5893" i="5"/>
  <c r="E5892" i="5"/>
  <c r="B5892" i="5"/>
  <c r="E5891" i="5"/>
  <c r="B5891" i="5"/>
  <c r="E5890" i="5"/>
  <c r="B5890" i="5"/>
  <c r="E5889" i="5"/>
  <c r="B5889" i="5"/>
  <c r="E5888" i="5"/>
  <c r="B5888" i="5"/>
  <c r="E5887" i="5"/>
  <c r="B5887" i="5"/>
  <c r="E5886" i="5"/>
  <c r="B5886" i="5"/>
  <c r="E5885" i="5"/>
  <c r="B5885" i="5"/>
  <c r="E5884" i="5"/>
  <c r="B5884" i="5"/>
  <c r="E5883" i="5"/>
  <c r="B5883" i="5"/>
  <c r="E5882" i="5"/>
  <c r="B5882" i="5"/>
  <c r="E5881" i="5"/>
  <c r="B5881" i="5"/>
  <c r="E5880" i="5"/>
  <c r="B5880" i="5"/>
  <c r="E5879" i="5"/>
  <c r="B5879" i="5"/>
  <c r="E5878" i="5"/>
  <c r="B5878" i="5"/>
  <c r="E5877" i="5"/>
  <c r="B5877" i="5"/>
  <c r="E5876" i="5"/>
  <c r="B5876" i="5"/>
  <c r="E5875" i="5"/>
  <c r="B5875" i="5"/>
  <c r="E5874" i="5"/>
  <c r="B5874" i="5"/>
  <c r="E5873" i="5"/>
  <c r="B5873" i="5"/>
  <c r="E5872" i="5"/>
  <c r="B5872" i="5"/>
  <c r="E5871" i="5"/>
  <c r="B5871" i="5"/>
  <c r="E5870" i="5"/>
  <c r="B5870" i="5"/>
  <c r="E5869" i="5"/>
  <c r="B5869" i="5"/>
  <c r="E5868" i="5"/>
  <c r="B5868" i="5"/>
  <c r="E5867" i="5"/>
  <c r="B5867" i="5"/>
  <c r="E5866" i="5"/>
  <c r="B5866" i="5"/>
  <c r="E5865" i="5"/>
  <c r="B5865" i="5"/>
  <c r="E5864" i="5"/>
  <c r="B5864" i="5"/>
  <c r="E5863" i="5"/>
  <c r="B5863" i="5"/>
  <c r="E5862" i="5"/>
  <c r="B5862" i="5"/>
  <c r="E5861" i="5"/>
  <c r="B5861" i="5"/>
  <c r="E5860" i="5"/>
  <c r="B5860" i="5"/>
  <c r="E5859" i="5"/>
  <c r="B5859" i="5"/>
  <c r="E5858" i="5"/>
  <c r="B5858" i="5"/>
  <c r="E5857" i="5"/>
  <c r="B5857" i="5"/>
  <c r="E5856" i="5"/>
  <c r="B5856" i="5"/>
  <c r="E5855" i="5"/>
  <c r="B5855" i="5"/>
  <c r="E5854" i="5"/>
  <c r="B5854" i="5"/>
  <c r="E5853" i="5"/>
  <c r="B5853" i="5"/>
  <c r="E5852" i="5"/>
  <c r="B5852" i="5"/>
  <c r="E5851" i="5"/>
  <c r="B5851" i="5"/>
  <c r="E5850" i="5"/>
  <c r="B5850" i="5"/>
  <c r="E5849" i="5"/>
  <c r="B5849" i="5"/>
  <c r="E5848" i="5"/>
  <c r="B5848" i="5"/>
  <c r="E5847" i="5"/>
  <c r="B5847" i="5"/>
  <c r="E5846" i="5"/>
  <c r="B5846" i="5"/>
  <c r="E5845" i="5"/>
  <c r="B5845" i="5"/>
  <c r="E5844" i="5"/>
  <c r="B5844" i="5"/>
  <c r="E5843" i="5"/>
  <c r="B5843" i="5"/>
  <c r="E5842" i="5"/>
  <c r="B5842" i="5"/>
  <c r="E5841" i="5"/>
  <c r="B5841" i="5"/>
  <c r="E5840" i="5"/>
  <c r="B5840" i="5"/>
  <c r="E5839" i="5"/>
  <c r="B5839" i="5"/>
  <c r="E5838" i="5"/>
  <c r="B5838" i="5"/>
  <c r="E5837" i="5"/>
  <c r="B5837" i="5"/>
  <c r="E5836" i="5"/>
  <c r="B5836" i="5"/>
  <c r="E5835" i="5"/>
  <c r="B5835" i="5"/>
  <c r="E5834" i="5"/>
  <c r="B5834" i="5"/>
  <c r="E5833" i="5"/>
  <c r="B5833" i="5"/>
  <c r="E5832" i="5"/>
  <c r="B5832" i="5"/>
  <c r="E5831" i="5"/>
  <c r="B5831" i="5"/>
  <c r="E5830" i="5"/>
  <c r="B5830" i="5"/>
  <c r="E5829" i="5"/>
  <c r="B5829" i="5"/>
  <c r="E5828" i="5"/>
  <c r="B5828" i="5"/>
  <c r="E5827" i="5"/>
  <c r="B5827" i="5"/>
  <c r="E5826" i="5"/>
  <c r="B5826" i="5"/>
  <c r="E5825" i="5"/>
  <c r="B5825" i="5"/>
  <c r="E5824" i="5"/>
  <c r="B5824" i="5"/>
  <c r="E5823" i="5"/>
  <c r="B5823" i="5"/>
  <c r="E5822" i="5"/>
  <c r="B5822" i="5"/>
  <c r="E5821" i="5"/>
  <c r="B5821" i="5"/>
  <c r="E5820" i="5"/>
  <c r="B5820" i="5"/>
  <c r="E5819" i="5"/>
  <c r="B5819" i="5"/>
  <c r="E5818" i="5"/>
  <c r="B5818" i="5"/>
  <c r="E5817" i="5"/>
  <c r="B5817" i="5"/>
  <c r="E5816" i="5"/>
  <c r="B5816" i="5"/>
  <c r="E5815" i="5"/>
  <c r="B5815" i="5"/>
  <c r="E5814" i="5"/>
  <c r="B5814" i="5"/>
  <c r="E5813" i="5"/>
  <c r="B5813" i="5"/>
  <c r="E5812" i="5"/>
  <c r="B5812" i="5"/>
  <c r="E5811" i="5"/>
  <c r="B5811" i="5"/>
  <c r="E5810" i="5"/>
  <c r="B5810" i="5"/>
  <c r="E5809" i="5"/>
  <c r="B5809" i="5"/>
  <c r="E5808" i="5"/>
  <c r="B5808" i="5"/>
  <c r="E5807" i="5"/>
  <c r="B5807" i="5"/>
  <c r="E5806" i="5"/>
  <c r="B5806" i="5"/>
  <c r="E5805" i="5"/>
  <c r="B5805" i="5"/>
  <c r="E5804" i="5"/>
  <c r="B5804" i="5"/>
  <c r="E5803" i="5"/>
  <c r="B5803" i="5"/>
  <c r="E5802" i="5"/>
  <c r="B5802" i="5"/>
  <c r="E5801" i="5"/>
  <c r="B5801" i="5"/>
  <c r="E5800" i="5"/>
  <c r="B5800" i="5"/>
  <c r="E5799" i="5"/>
  <c r="B5799" i="5"/>
  <c r="E5798" i="5"/>
  <c r="B5798" i="5"/>
  <c r="E5797" i="5"/>
  <c r="B5797" i="5"/>
  <c r="E5796" i="5"/>
  <c r="B5796" i="5"/>
  <c r="E5795" i="5"/>
  <c r="B5795" i="5"/>
  <c r="E5794" i="5"/>
  <c r="B5794" i="5"/>
  <c r="E5793" i="5"/>
  <c r="B5793" i="5"/>
  <c r="E5792" i="5"/>
  <c r="B5792" i="5"/>
  <c r="E5791" i="5"/>
  <c r="B5791" i="5"/>
  <c r="E5790" i="5"/>
  <c r="B5790" i="5"/>
  <c r="E5789" i="5"/>
  <c r="B5789" i="5"/>
  <c r="E5788" i="5"/>
  <c r="B5788" i="5"/>
  <c r="E5787" i="5"/>
  <c r="B5787" i="5"/>
  <c r="E5786" i="5"/>
  <c r="B5786" i="5"/>
  <c r="E5785" i="5"/>
  <c r="B5785" i="5"/>
  <c r="E5784" i="5"/>
  <c r="B5784" i="5"/>
  <c r="E5783" i="5"/>
  <c r="B5783" i="5"/>
  <c r="E5782" i="5"/>
  <c r="B5782" i="5"/>
  <c r="E5781" i="5"/>
  <c r="B5781" i="5"/>
  <c r="E5780" i="5"/>
  <c r="B5780" i="5"/>
  <c r="E5779" i="5"/>
  <c r="B5779" i="5"/>
  <c r="E5778" i="5"/>
  <c r="B5778" i="5"/>
  <c r="E5777" i="5"/>
  <c r="B5777" i="5"/>
  <c r="E5776" i="5"/>
  <c r="B5776" i="5"/>
  <c r="E5775" i="5"/>
  <c r="B5775" i="5"/>
  <c r="E5774" i="5"/>
  <c r="B5774" i="5"/>
  <c r="E5773" i="5"/>
  <c r="B5773" i="5"/>
  <c r="E5772" i="5"/>
  <c r="B5772" i="5"/>
  <c r="E5771" i="5"/>
  <c r="B5771" i="5"/>
  <c r="E5770" i="5"/>
  <c r="B5770" i="5"/>
  <c r="E5769" i="5"/>
  <c r="B5769" i="5"/>
  <c r="E5768" i="5"/>
  <c r="B5768" i="5"/>
  <c r="E5767" i="5"/>
  <c r="B5767" i="5"/>
  <c r="E5766" i="5"/>
  <c r="B5766" i="5"/>
  <c r="E5765" i="5"/>
  <c r="B5765" i="5"/>
  <c r="E5764" i="5"/>
  <c r="B5764" i="5"/>
  <c r="E5763" i="5"/>
  <c r="B5763" i="5"/>
  <c r="E5762" i="5"/>
  <c r="B5762" i="5"/>
  <c r="E5761" i="5"/>
  <c r="B5761" i="5"/>
  <c r="E5760" i="5"/>
  <c r="B5760" i="5"/>
  <c r="E5759" i="5"/>
  <c r="B5759" i="5"/>
  <c r="E5758" i="5"/>
  <c r="B5758" i="5"/>
  <c r="E5757" i="5"/>
  <c r="B5757" i="5"/>
  <c r="E5756" i="5"/>
  <c r="B5756" i="5"/>
  <c r="E5755" i="5"/>
  <c r="B5755" i="5"/>
  <c r="E5754" i="5"/>
  <c r="B5754" i="5"/>
  <c r="E5753" i="5"/>
  <c r="B5753" i="5"/>
  <c r="E5752" i="5"/>
  <c r="B5752" i="5"/>
  <c r="E5751" i="5"/>
  <c r="B5751" i="5"/>
  <c r="E5750" i="5"/>
  <c r="B5750" i="5"/>
  <c r="E5749" i="5"/>
  <c r="B5749" i="5"/>
  <c r="E5748" i="5"/>
  <c r="B5748" i="5"/>
  <c r="E5747" i="5"/>
  <c r="B5747" i="5"/>
  <c r="E5746" i="5"/>
  <c r="B5746" i="5"/>
  <c r="E5745" i="5"/>
  <c r="B5745" i="5"/>
  <c r="E5744" i="5"/>
  <c r="B5744" i="5"/>
  <c r="E5743" i="5"/>
  <c r="B5743" i="5"/>
  <c r="E5742" i="5"/>
  <c r="B5742" i="5"/>
  <c r="E5741" i="5"/>
  <c r="B5741" i="5"/>
  <c r="E5740" i="5"/>
  <c r="B5740" i="5"/>
  <c r="E5739" i="5"/>
  <c r="B5739" i="5"/>
  <c r="E5738" i="5"/>
  <c r="B5738" i="5"/>
  <c r="E5737" i="5"/>
  <c r="B5737" i="5"/>
  <c r="E5736" i="5"/>
  <c r="B5736" i="5"/>
  <c r="E5735" i="5"/>
  <c r="B5735" i="5"/>
  <c r="E5734" i="5"/>
  <c r="B5734" i="5"/>
  <c r="E5733" i="5"/>
  <c r="B5733" i="5"/>
  <c r="E5732" i="5"/>
  <c r="B5732" i="5"/>
  <c r="E5731" i="5"/>
  <c r="B5731" i="5"/>
  <c r="E5730" i="5"/>
  <c r="B5730" i="5"/>
  <c r="E5729" i="5"/>
  <c r="B5729" i="5"/>
  <c r="E5728" i="5"/>
  <c r="B5728" i="5"/>
  <c r="E5727" i="5"/>
  <c r="B5727" i="5"/>
  <c r="E5726" i="5"/>
  <c r="B5726" i="5"/>
  <c r="E5725" i="5"/>
  <c r="B5725" i="5"/>
  <c r="E5724" i="5"/>
  <c r="B5724" i="5"/>
  <c r="E5723" i="5"/>
  <c r="B5723" i="5"/>
  <c r="E5722" i="5"/>
  <c r="B5722" i="5"/>
  <c r="E5721" i="5"/>
  <c r="B5721" i="5"/>
  <c r="E5720" i="5"/>
  <c r="B5720" i="5"/>
  <c r="E5719" i="5"/>
  <c r="B5719" i="5"/>
  <c r="E5718" i="5"/>
  <c r="B5718" i="5"/>
  <c r="E5717" i="5"/>
  <c r="B5717" i="5"/>
  <c r="E5716" i="5"/>
  <c r="B5716" i="5"/>
  <c r="E5715" i="5"/>
  <c r="B5715" i="5"/>
  <c r="E5714" i="5"/>
  <c r="B5714" i="5"/>
  <c r="E5713" i="5"/>
  <c r="B5713" i="5"/>
  <c r="E5712" i="5"/>
  <c r="B5712" i="5"/>
  <c r="E5711" i="5"/>
  <c r="B5711" i="5"/>
  <c r="E5710" i="5"/>
  <c r="B5710" i="5"/>
  <c r="E5709" i="5"/>
  <c r="B5709" i="5"/>
  <c r="E5708" i="5"/>
  <c r="B5708" i="5"/>
  <c r="E5707" i="5"/>
  <c r="B5707" i="5"/>
  <c r="E5706" i="5"/>
  <c r="B5706" i="5"/>
  <c r="E5705" i="5"/>
  <c r="B5705" i="5"/>
  <c r="E5704" i="5"/>
  <c r="B5704" i="5"/>
  <c r="E5703" i="5"/>
  <c r="B5703" i="5"/>
  <c r="E5702" i="5"/>
  <c r="B5702" i="5"/>
  <c r="E5701" i="5"/>
  <c r="B5701" i="5"/>
  <c r="E5700" i="5"/>
  <c r="B5700" i="5"/>
  <c r="E5699" i="5"/>
  <c r="B5699" i="5"/>
  <c r="E5698" i="5"/>
  <c r="B5698" i="5"/>
  <c r="E5697" i="5"/>
  <c r="B5697" i="5"/>
  <c r="E5696" i="5"/>
  <c r="B5696" i="5"/>
  <c r="E5695" i="5"/>
  <c r="B5695" i="5"/>
  <c r="E5694" i="5"/>
  <c r="B5694" i="5"/>
  <c r="E5693" i="5"/>
  <c r="B5693" i="5"/>
  <c r="E5692" i="5"/>
  <c r="B5692" i="5"/>
  <c r="E5691" i="5"/>
  <c r="B5691" i="5"/>
  <c r="E5690" i="5"/>
  <c r="B5690" i="5"/>
  <c r="E5689" i="5"/>
  <c r="B5689" i="5"/>
  <c r="E5688" i="5"/>
  <c r="B5688" i="5"/>
  <c r="E5687" i="5"/>
  <c r="B5687" i="5"/>
  <c r="E5686" i="5"/>
  <c r="B5686" i="5"/>
  <c r="E5685" i="5"/>
  <c r="B5685" i="5"/>
  <c r="E5684" i="5"/>
  <c r="B5684" i="5"/>
  <c r="E5683" i="5"/>
  <c r="B5683" i="5"/>
  <c r="E5682" i="5"/>
  <c r="B5682" i="5"/>
  <c r="E5681" i="5"/>
  <c r="B5681" i="5"/>
  <c r="E5680" i="5"/>
  <c r="B5680" i="5"/>
  <c r="E5679" i="5"/>
  <c r="B5679" i="5"/>
  <c r="E5678" i="5"/>
  <c r="B5678" i="5"/>
  <c r="E5677" i="5"/>
  <c r="B5677" i="5"/>
  <c r="E5676" i="5"/>
  <c r="B5676" i="5"/>
  <c r="E5675" i="5"/>
  <c r="B5675" i="5"/>
  <c r="E5674" i="5"/>
  <c r="B5674" i="5"/>
  <c r="E5673" i="5"/>
  <c r="B5673" i="5"/>
  <c r="E5672" i="5"/>
  <c r="B5672" i="5"/>
  <c r="E5671" i="5"/>
  <c r="B5671" i="5"/>
  <c r="E5670" i="5"/>
  <c r="B5670" i="5"/>
  <c r="E5669" i="5"/>
  <c r="B5669" i="5"/>
  <c r="E5668" i="5"/>
  <c r="B5668" i="5"/>
  <c r="E5667" i="5"/>
  <c r="B5667" i="5"/>
  <c r="E5666" i="5"/>
  <c r="B5666" i="5"/>
  <c r="E5665" i="5"/>
  <c r="B5665" i="5"/>
  <c r="E5664" i="5"/>
  <c r="B5664" i="5"/>
  <c r="E5663" i="5"/>
  <c r="B5663" i="5"/>
  <c r="E5662" i="5"/>
  <c r="B5662" i="5"/>
  <c r="E5661" i="5"/>
  <c r="B5661" i="5"/>
  <c r="E5660" i="5"/>
  <c r="B5660" i="5"/>
  <c r="E5659" i="5"/>
  <c r="B5659" i="5"/>
  <c r="E5658" i="5"/>
  <c r="B5658" i="5"/>
  <c r="E5657" i="5"/>
  <c r="B5657" i="5"/>
  <c r="E5656" i="5"/>
  <c r="B5656" i="5"/>
  <c r="E5655" i="5"/>
  <c r="B5655" i="5"/>
  <c r="E5654" i="5"/>
  <c r="B5654" i="5"/>
  <c r="E5653" i="5"/>
  <c r="B5653" i="5"/>
  <c r="E5652" i="5"/>
  <c r="B5652" i="5"/>
  <c r="E5651" i="5"/>
  <c r="B5651" i="5"/>
  <c r="E5650" i="5"/>
  <c r="B5650" i="5"/>
  <c r="E5649" i="5"/>
  <c r="B5649" i="5"/>
  <c r="E5648" i="5"/>
  <c r="B5648" i="5"/>
  <c r="E5647" i="5"/>
  <c r="B5647" i="5"/>
  <c r="E5646" i="5"/>
  <c r="B5646" i="5"/>
  <c r="E5645" i="5"/>
  <c r="B5645" i="5"/>
  <c r="E5644" i="5"/>
  <c r="B5644" i="5"/>
  <c r="E5643" i="5"/>
  <c r="B5643" i="5"/>
  <c r="E5642" i="5"/>
  <c r="B5642" i="5"/>
  <c r="E5641" i="5"/>
  <c r="B5641" i="5"/>
  <c r="E5640" i="5"/>
  <c r="B5640" i="5"/>
  <c r="E5639" i="5"/>
  <c r="B5639" i="5"/>
  <c r="E5638" i="5"/>
  <c r="B5638" i="5"/>
  <c r="E5637" i="5"/>
  <c r="B5637" i="5"/>
  <c r="E5636" i="5"/>
  <c r="B5636" i="5"/>
  <c r="E5635" i="5"/>
  <c r="B5635" i="5"/>
  <c r="E5634" i="5"/>
  <c r="B5634" i="5"/>
  <c r="E5633" i="5"/>
  <c r="B5633" i="5"/>
  <c r="E5632" i="5"/>
  <c r="B5632" i="5"/>
  <c r="E5631" i="5"/>
  <c r="B5631" i="5"/>
  <c r="E5630" i="5"/>
  <c r="B5630" i="5"/>
  <c r="E5629" i="5"/>
  <c r="B5629" i="5"/>
  <c r="E5628" i="5"/>
  <c r="B5628" i="5"/>
  <c r="E5627" i="5"/>
  <c r="B5627" i="5"/>
  <c r="E5626" i="5"/>
  <c r="B5626" i="5"/>
  <c r="E5625" i="5"/>
  <c r="B5625" i="5"/>
  <c r="E5624" i="5"/>
  <c r="B5624" i="5"/>
  <c r="E5623" i="5"/>
  <c r="B5623" i="5"/>
  <c r="E5622" i="5"/>
  <c r="B5622" i="5"/>
  <c r="E5621" i="5"/>
  <c r="B5621" i="5"/>
  <c r="E5620" i="5"/>
  <c r="B5620" i="5"/>
  <c r="E5619" i="5"/>
  <c r="B5619" i="5"/>
  <c r="E5618" i="5"/>
  <c r="B5618" i="5"/>
  <c r="E5617" i="5"/>
  <c r="B5617" i="5"/>
  <c r="E5616" i="5"/>
  <c r="B5616" i="5"/>
  <c r="E5615" i="5"/>
  <c r="B5615" i="5"/>
  <c r="E5614" i="5"/>
  <c r="B5614" i="5"/>
  <c r="E5613" i="5"/>
  <c r="B5613" i="5"/>
  <c r="E5612" i="5"/>
  <c r="B5612" i="5"/>
  <c r="E5611" i="5"/>
  <c r="B5611" i="5"/>
  <c r="E5610" i="5"/>
  <c r="B5610" i="5"/>
  <c r="E5609" i="5"/>
  <c r="B5609" i="5"/>
  <c r="E5608" i="5"/>
  <c r="B5608" i="5"/>
  <c r="E5607" i="5"/>
  <c r="B5607" i="5"/>
  <c r="E5606" i="5"/>
  <c r="B5606" i="5"/>
  <c r="E5605" i="5"/>
  <c r="B5605" i="5"/>
  <c r="E5604" i="5"/>
  <c r="B5604" i="5"/>
  <c r="E5603" i="5"/>
  <c r="B5603" i="5"/>
  <c r="E5602" i="5"/>
  <c r="B5602" i="5"/>
  <c r="E5601" i="5"/>
  <c r="B5601" i="5"/>
  <c r="E5600" i="5"/>
  <c r="B5600" i="5"/>
  <c r="E5599" i="5"/>
  <c r="B5599" i="5"/>
  <c r="E5598" i="5"/>
  <c r="B5598" i="5"/>
  <c r="E5597" i="5"/>
  <c r="B5597" i="5"/>
  <c r="E5596" i="5"/>
  <c r="B5596" i="5"/>
  <c r="E5595" i="5"/>
  <c r="B5595" i="5"/>
  <c r="E5594" i="5"/>
  <c r="B5594" i="5"/>
  <c r="E5593" i="5"/>
  <c r="B5593" i="5"/>
  <c r="E5592" i="5"/>
  <c r="B5592" i="5"/>
  <c r="E5591" i="5"/>
  <c r="B5591" i="5"/>
  <c r="E5590" i="5"/>
  <c r="B5590" i="5"/>
  <c r="E5589" i="5"/>
  <c r="B5589" i="5"/>
  <c r="E5588" i="5"/>
  <c r="B5588" i="5"/>
  <c r="E5587" i="5"/>
  <c r="B5587" i="5"/>
  <c r="E5586" i="5"/>
  <c r="B5586" i="5"/>
  <c r="E5585" i="5"/>
  <c r="B5585" i="5"/>
  <c r="E5584" i="5"/>
  <c r="B5584" i="5"/>
  <c r="E5583" i="5"/>
  <c r="B5583" i="5"/>
  <c r="E5582" i="5"/>
  <c r="B5582" i="5"/>
  <c r="E5581" i="5"/>
  <c r="B5581" i="5"/>
  <c r="E5580" i="5"/>
  <c r="B5580" i="5"/>
  <c r="E5579" i="5"/>
  <c r="B5579" i="5"/>
  <c r="E5578" i="5"/>
  <c r="B5578" i="5"/>
  <c r="E5577" i="5"/>
  <c r="B5577" i="5"/>
  <c r="E5576" i="5"/>
  <c r="B5576" i="5"/>
  <c r="E5575" i="5"/>
  <c r="B5575" i="5"/>
  <c r="E5574" i="5"/>
  <c r="B5574" i="5"/>
  <c r="E5573" i="5"/>
  <c r="B5573" i="5"/>
  <c r="E5572" i="5"/>
  <c r="B5572" i="5"/>
  <c r="E5571" i="5"/>
  <c r="B5571" i="5"/>
  <c r="E5570" i="5"/>
  <c r="B5570" i="5"/>
  <c r="E5569" i="5"/>
  <c r="B5569" i="5"/>
  <c r="E5568" i="5"/>
  <c r="B5568" i="5"/>
  <c r="E5567" i="5"/>
  <c r="B5567" i="5"/>
  <c r="E5566" i="5"/>
  <c r="B5566" i="5"/>
  <c r="E5565" i="5"/>
  <c r="B5565" i="5"/>
  <c r="E5564" i="5"/>
  <c r="B5564" i="5"/>
  <c r="E5563" i="5"/>
  <c r="B5563" i="5"/>
  <c r="E5562" i="5"/>
  <c r="B5562" i="5"/>
  <c r="E5561" i="5"/>
  <c r="B5561" i="5"/>
  <c r="E5560" i="5"/>
  <c r="B5560" i="5"/>
  <c r="E5559" i="5"/>
  <c r="B5559" i="5"/>
  <c r="E5558" i="5"/>
  <c r="B5558" i="5"/>
  <c r="E5557" i="5"/>
  <c r="B5557" i="5"/>
  <c r="E5556" i="5"/>
  <c r="B5556" i="5"/>
  <c r="E5555" i="5"/>
  <c r="B5555" i="5"/>
  <c r="E5554" i="5"/>
  <c r="B5554" i="5"/>
  <c r="E5553" i="5"/>
  <c r="B5553" i="5"/>
  <c r="E5552" i="5"/>
  <c r="B5552" i="5"/>
  <c r="E5551" i="5"/>
  <c r="B5551" i="5"/>
  <c r="E5550" i="5"/>
  <c r="B5550" i="5"/>
  <c r="E5549" i="5"/>
  <c r="B5549" i="5"/>
  <c r="E5548" i="5"/>
  <c r="B5548" i="5"/>
  <c r="E5547" i="5"/>
  <c r="B5547" i="5"/>
  <c r="E5546" i="5"/>
  <c r="B5546" i="5"/>
  <c r="E5545" i="5"/>
  <c r="B5545" i="5"/>
  <c r="E5544" i="5"/>
  <c r="B5544" i="5"/>
  <c r="E5543" i="5"/>
  <c r="B5543" i="5"/>
  <c r="E5542" i="5"/>
  <c r="B5542" i="5"/>
  <c r="E5541" i="5"/>
  <c r="B5541" i="5"/>
  <c r="E5540" i="5"/>
  <c r="B5540" i="5"/>
  <c r="E5539" i="5"/>
  <c r="B5539" i="5"/>
  <c r="E5538" i="5"/>
  <c r="B5538" i="5"/>
  <c r="E5537" i="5"/>
  <c r="B5537" i="5"/>
  <c r="E5536" i="5"/>
  <c r="B5536" i="5"/>
  <c r="E5535" i="5"/>
  <c r="B5535" i="5"/>
  <c r="E5534" i="5"/>
  <c r="B5534" i="5"/>
  <c r="E5533" i="5"/>
  <c r="B5533" i="5"/>
  <c r="E5532" i="5"/>
  <c r="B5532" i="5"/>
  <c r="E5531" i="5"/>
  <c r="B5531" i="5"/>
  <c r="E5530" i="5"/>
  <c r="B5530" i="5"/>
  <c r="E5529" i="5"/>
  <c r="B5529" i="5"/>
  <c r="E5528" i="5"/>
  <c r="B5528" i="5"/>
  <c r="E5527" i="5"/>
  <c r="B5527" i="5"/>
  <c r="E5526" i="5"/>
  <c r="B5526" i="5"/>
  <c r="E5525" i="5"/>
  <c r="B5525" i="5"/>
  <c r="E5524" i="5"/>
  <c r="B5524" i="5"/>
  <c r="E5523" i="5"/>
  <c r="B5523" i="5"/>
  <c r="E5522" i="5"/>
  <c r="B5522" i="5"/>
  <c r="E5521" i="5"/>
  <c r="B5521" i="5"/>
  <c r="E5520" i="5"/>
  <c r="B5520" i="5"/>
  <c r="E5519" i="5"/>
  <c r="B5519" i="5"/>
  <c r="E5518" i="5"/>
  <c r="B5518" i="5"/>
  <c r="E5517" i="5"/>
  <c r="B5517" i="5"/>
  <c r="E5516" i="5"/>
  <c r="B5516" i="5"/>
  <c r="E5515" i="5"/>
  <c r="B5515" i="5"/>
  <c r="E5514" i="5"/>
  <c r="B5514" i="5"/>
  <c r="E5513" i="5"/>
  <c r="B5513" i="5"/>
  <c r="E5512" i="5"/>
  <c r="B5512" i="5"/>
  <c r="E5511" i="5"/>
  <c r="B5511" i="5"/>
  <c r="E5510" i="5"/>
  <c r="B5510" i="5"/>
  <c r="E5509" i="5"/>
  <c r="B5509" i="5"/>
  <c r="E5508" i="5"/>
  <c r="B5508" i="5"/>
  <c r="E5507" i="5"/>
  <c r="B5507" i="5"/>
  <c r="E5506" i="5"/>
  <c r="B5506" i="5"/>
  <c r="E5505" i="5"/>
  <c r="B5505" i="5"/>
  <c r="E5504" i="5"/>
  <c r="B5504" i="5"/>
  <c r="E5503" i="5"/>
  <c r="B5503" i="5"/>
  <c r="E5502" i="5"/>
  <c r="B5502" i="5"/>
  <c r="E5501" i="5"/>
  <c r="B5501" i="5"/>
  <c r="E5500" i="5"/>
  <c r="B5500" i="5"/>
  <c r="E5499" i="5"/>
  <c r="B5499" i="5"/>
  <c r="E5498" i="5"/>
  <c r="B5498" i="5"/>
  <c r="E5497" i="5"/>
  <c r="B5497" i="5"/>
  <c r="E5496" i="5"/>
  <c r="B5496" i="5"/>
  <c r="E5495" i="5"/>
  <c r="B5495" i="5"/>
  <c r="E5494" i="5"/>
  <c r="B5494" i="5"/>
  <c r="E5493" i="5"/>
  <c r="B5493" i="5"/>
  <c r="E5492" i="5"/>
  <c r="B5492" i="5"/>
  <c r="E5491" i="5"/>
  <c r="B5491" i="5"/>
  <c r="E5490" i="5"/>
  <c r="B5490" i="5"/>
  <c r="E5489" i="5"/>
  <c r="B5489" i="5"/>
  <c r="E5488" i="5"/>
  <c r="B5488" i="5"/>
  <c r="E5487" i="5"/>
  <c r="B5487" i="5"/>
  <c r="E5486" i="5"/>
  <c r="B5486" i="5"/>
  <c r="E5485" i="5"/>
  <c r="B5485" i="5"/>
  <c r="E5484" i="5"/>
  <c r="B5484" i="5"/>
  <c r="E5483" i="5"/>
  <c r="B5483" i="5"/>
  <c r="E5482" i="5"/>
  <c r="B5482" i="5"/>
  <c r="E5481" i="5"/>
  <c r="B5481" i="5"/>
  <c r="E5480" i="5"/>
  <c r="B5480" i="5"/>
  <c r="E5479" i="5"/>
  <c r="B5479" i="5"/>
  <c r="E5478" i="5"/>
  <c r="B5478" i="5"/>
  <c r="E5477" i="5"/>
  <c r="B5477" i="5"/>
  <c r="E5476" i="5"/>
  <c r="B5476" i="5"/>
  <c r="E5475" i="5"/>
  <c r="B5475" i="5"/>
  <c r="E5474" i="5"/>
  <c r="B5474" i="5"/>
  <c r="E5473" i="5"/>
  <c r="B5473" i="5"/>
  <c r="E5472" i="5"/>
  <c r="B5472" i="5"/>
  <c r="E5471" i="5"/>
  <c r="B5471" i="5"/>
  <c r="E5470" i="5"/>
  <c r="B5470" i="5"/>
  <c r="E5469" i="5"/>
  <c r="B5469" i="5"/>
  <c r="E5468" i="5"/>
  <c r="B5468" i="5"/>
  <c r="E5467" i="5"/>
  <c r="B5467" i="5"/>
  <c r="E5466" i="5"/>
  <c r="B5466" i="5"/>
  <c r="E5465" i="5"/>
  <c r="B5465" i="5"/>
  <c r="E5464" i="5"/>
  <c r="B5464" i="5"/>
  <c r="E5463" i="5"/>
  <c r="B5463" i="5"/>
  <c r="E5462" i="5"/>
  <c r="B5462" i="5"/>
  <c r="E5461" i="5"/>
  <c r="B5461" i="5"/>
  <c r="E5460" i="5"/>
  <c r="B5460" i="5"/>
  <c r="E5459" i="5"/>
  <c r="B5459" i="5"/>
  <c r="E5458" i="5"/>
  <c r="B5458" i="5"/>
  <c r="E5457" i="5"/>
  <c r="B5457" i="5"/>
  <c r="E5456" i="5"/>
  <c r="B5456" i="5"/>
  <c r="E5455" i="5"/>
  <c r="B5455" i="5"/>
  <c r="E5454" i="5"/>
  <c r="B5454" i="5"/>
  <c r="E5453" i="5"/>
  <c r="B5453" i="5"/>
  <c r="E5452" i="5"/>
  <c r="B5452" i="5"/>
  <c r="E5451" i="5"/>
  <c r="B5451" i="5"/>
  <c r="E5450" i="5"/>
  <c r="B5450" i="5"/>
  <c r="E5449" i="5"/>
  <c r="B5449" i="5"/>
  <c r="E5448" i="5"/>
  <c r="B5448" i="5"/>
  <c r="E5447" i="5"/>
  <c r="B5447" i="5"/>
  <c r="E5446" i="5"/>
  <c r="B5446" i="5"/>
  <c r="E5445" i="5"/>
  <c r="B5445" i="5"/>
  <c r="E5444" i="5"/>
  <c r="B5444" i="5"/>
  <c r="E5443" i="5"/>
  <c r="B5443" i="5"/>
  <c r="E5442" i="5"/>
  <c r="B5442" i="5"/>
  <c r="E5441" i="5"/>
  <c r="B5441" i="5"/>
  <c r="E5440" i="5"/>
  <c r="B5440" i="5"/>
  <c r="E5439" i="5"/>
  <c r="B5439" i="5"/>
  <c r="E5438" i="5"/>
  <c r="B5438" i="5"/>
  <c r="E5437" i="5"/>
  <c r="B5437" i="5"/>
  <c r="E5436" i="5"/>
  <c r="B5436" i="5"/>
  <c r="E5435" i="5"/>
  <c r="B5435" i="5"/>
  <c r="E5434" i="5"/>
  <c r="B5434" i="5"/>
  <c r="E5433" i="5"/>
  <c r="B5433" i="5"/>
  <c r="E5432" i="5"/>
  <c r="B5432" i="5"/>
  <c r="E5431" i="5"/>
  <c r="B5431" i="5"/>
  <c r="E5430" i="5"/>
  <c r="B5430" i="5"/>
  <c r="E5429" i="5"/>
  <c r="B5429" i="5"/>
  <c r="E5428" i="5"/>
  <c r="B5428" i="5"/>
  <c r="E5427" i="5"/>
  <c r="B5427" i="5"/>
  <c r="E5426" i="5"/>
  <c r="B5426" i="5"/>
  <c r="E5425" i="5"/>
  <c r="B5425" i="5"/>
  <c r="E5424" i="5"/>
  <c r="B5424" i="5"/>
  <c r="E5423" i="5"/>
  <c r="B5423" i="5"/>
  <c r="E5422" i="5"/>
  <c r="B5422" i="5"/>
  <c r="E5421" i="5"/>
  <c r="B5421" i="5"/>
  <c r="E5420" i="5"/>
  <c r="B5420" i="5"/>
  <c r="E5419" i="5"/>
  <c r="B5419" i="5"/>
  <c r="E5418" i="5"/>
  <c r="B5418" i="5"/>
  <c r="E5417" i="5"/>
  <c r="B5417" i="5"/>
  <c r="E5416" i="5"/>
  <c r="B5416" i="5"/>
  <c r="E5415" i="5"/>
  <c r="B5415" i="5"/>
  <c r="E5414" i="5"/>
  <c r="B5414" i="5"/>
  <c r="E5413" i="5"/>
  <c r="B5413" i="5"/>
  <c r="E5412" i="5"/>
  <c r="B5412" i="5"/>
  <c r="E5411" i="5"/>
  <c r="B5411" i="5"/>
  <c r="E5410" i="5"/>
  <c r="B5410" i="5"/>
  <c r="E5409" i="5"/>
  <c r="B5409" i="5"/>
  <c r="E5408" i="5"/>
  <c r="B5408" i="5"/>
  <c r="E5407" i="5"/>
  <c r="B5407" i="5"/>
  <c r="E5406" i="5"/>
  <c r="B5406" i="5"/>
  <c r="E5405" i="5"/>
  <c r="B5405" i="5"/>
  <c r="E5404" i="5"/>
  <c r="B5404" i="5"/>
  <c r="E5403" i="5"/>
  <c r="B5403" i="5"/>
  <c r="E5402" i="5"/>
  <c r="B5402" i="5"/>
  <c r="E5401" i="5"/>
  <c r="B5401" i="5"/>
  <c r="E5400" i="5"/>
  <c r="B5400" i="5"/>
  <c r="E5399" i="5"/>
  <c r="B5399" i="5"/>
  <c r="E5398" i="5"/>
  <c r="B5398" i="5"/>
  <c r="E5397" i="5"/>
  <c r="B5397" i="5"/>
  <c r="E5396" i="5"/>
  <c r="B5396" i="5"/>
  <c r="E5395" i="5"/>
  <c r="B5395" i="5"/>
  <c r="E5394" i="5"/>
  <c r="B5394" i="5"/>
  <c r="E5393" i="5"/>
  <c r="B5393" i="5"/>
  <c r="E5392" i="5"/>
  <c r="B5392" i="5"/>
  <c r="E5391" i="5"/>
  <c r="B5391" i="5"/>
  <c r="E5390" i="5"/>
  <c r="B5390" i="5"/>
  <c r="E5389" i="5"/>
  <c r="B5389" i="5"/>
  <c r="E5388" i="5"/>
  <c r="B5388" i="5"/>
  <c r="E5387" i="5"/>
  <c r="B5387" i="5"/>
  <c r="E5386" i="5"/>
  <c r="B5386" i="5"/>
  <c r="E5385" i="5"/>
  <c r="B5385" i="5"/>
  <c r="E5384" i="5"/>
  <c r="B5384" i="5"/>
  <c r="E5383" i="5"/>
  <c r="B5383" i="5"/>
  <c r="E5382" i="5"/>
  <c r="B5382" i="5"/>
  <c r="E5381" i="5"/>
  <c r="B5381" i="5"/>
  <c r="E5380" i="5"/>
  <c r="B5380" i="5"/>
  <c r="E5379" i="5"/>
  <c r="B5379" i="5"/>
  <c r="E5378" i="5"/>
  <c r="B5378" i="5"/>
  <c r="E5377" i="5"/>
  <c r="B5377" i="5"/>
  <c r="E5376" i="5"/>
  <c r="B5376" i="5"/>
  <c r="E5375" i="5"/>
  <c r="B5375" i="5"/>
  <c r="E5374" i="5"/>
  <c r="B5374" i="5"/>
  <c r="E5373" i="5"/>
  <c r="B5373" i="5"/>
  <c r="E5372" i="5"/>
  <c r="B5372" i="5"/>
  <c r="E5371" i="5"/>
  <c r="B5371" i="5"/>
  <c r="E5370" i="5"/>
  <c r="B5370" i="5"/>
  <c r="E5369" i="5"/>
  <c r="B5369" i="5"/>
  <c r="E5368" i="5"/>
  <c r="B5368" i="5"/>
  <c r="E5367" i="5"/>
  <c r="B5367" i="5"/>
  <c r="E5366" i="5"/>
  <c r="B5366" i="5"/>
  <c r="E5365" i="5"/>
  <c r="B5365" i="5"/>
  <c r="E5364" i="5"/>
  <c r="B5364" i="5"/>
  <c r="E5363" i="5"/>
  <c r="B5363" i="5"/>
  <c r="E5362" i="5"/>
  <c r="B5362" i="5"/>
  <c r="E5361" i="5"/>
  <c r="B5361" i="5"/>
  <c r="E5360" i="5"/>
  <c r="B5360" i="5"/>
  <c r="E5359" i="5"/>
  <c r="B5359" i="5"/>
  <c r="E5358" i="5"/>
  <c r="B5358" i="5"/>
  <c r="E5357" i="5"/>
  <c r="B5357" i="5"/>
  <c r="E5356" i="5"/>
  <c r="B5356" i="5"/>
  <c r="E5355" i="5"/>
  <c r="B5355" i="5"/>
  <c r="E5354" i="5"/>
  <c r="B5354" i="5"/>
  <c r="E5353" i="5"/>
  <c r="B5353" i="5"/>
  <c r="E5352" i="5"/>
  <c r="B5352" i="5"/>
  <c r="E5351" i="5"/>
  <c r="B5351" i="5"/>
  <c r="E5350" i="5"/>
  <c r="B5350" i="5"/>
  <c r="E5349" i="5"/>
  <c r="B5349" i="5"/>
  <c r="E5348" i="5"/>
  <c r="B5348" i="5"/>
  <c r="E5347" i="5"/>
  <c r="B5347" i="5"/>
  <c r="E5346" i="5"/>
  <c r="B5346" i="5"/>
  <c r="E5345" i="5"/>
  <c r="B5345" i="5"/>
  <c r="E5344" i="5"/>
  <c r="B5344" i="5"/>
  <c r="E5343" i="5"/>
  <c r="B5343" i="5"/>
  <c r="E5342" i="5"/>
  <c r="B5342" i="5"/>
  <c r="E5341" i="5"/>
  <c r="B5341" i="5"/>
  <c r="E5340" i="5"/>
  <c r="B5340" i="5"/>
  <c r="E5339" i="5"/>
  <c r="B5339" i="5"/>
  <c r="E5338" i="5"/>
  <c r="B5338" i="5"/>
  <c r="E5337" i="5"/>
  <c r="B5337" i="5"/>
  <c r="E5336" i="5"/>
  <c r="B5336" i="5"/>
  <c r="E5335" i="5"/>
  <c r="B5335" i="5"/>
  <c r="E5334" i="5"/>
  <c r="B5334" i="5"/>
  <c r="E5333" i="5"/>
  <c r="B5333" i="5"/>
  <c r="E5332" i="5"/>
  <c r="B5332" i="5"/>
  <c r="E5331" i="5"/>
  <c r="B5331" i="5"/>
  <c r="E5330" i="5"/>
  <c r="B5330" i="5"/>
  <c r="E5329" i="5"/>
  <c r="B5329" i="5"/>
  <c r="E5328" i="5"/>
  <c r="B5328" i="5"/>
  <c r="E5327" i="5"/>
  <c r="B5327" i="5"/>
  <c r="E5326" i="5"/>
  <c r="B5326" i="5"/>
  <c r="E5325" i="5"/>
  <c r="B5325" i="5"/>
  <c r="E5324" i="5"/>
  <c r="B5324" i="5"/>
  <c r="E5323" i="5"/>
  <c r="B5323" i="5"/>
  <c r="E5322" i="5"/>
  <c r="B5322" i="5"/>
  <c r="E5321" i="5"/>
  <c r="B5321" i="5"/>
  <c r="E5320" i="5"/>
  <c r="B5320" i="5"/>
  <c r="E5319" i="5"/>
  <c r="B5319" i="5"/>
  <c r="E5318" i="5"/>
  <c r="B5318" i="5"/>
  <c r="E5317" i="5"/>
  <c r="B5317" i="5"/>
  <c r="E5316" i="5"/>
  <c r="B5316" i="5"/>
  <c r="E5315" i="5"/>
  <c r="B5315" i="5"/>
  <c r="E5314" i="5"/>
  <c r="B5314" i="5"/>
  <c r="E5313" i="5"/>
  <c r="B5313" i="5"/>
  <c r="E5312" i="5"/>
  <c r="B5312" i="5"/>
  <c r="E5311" i="5"/>
  <c r="B5311" i="5"/>
  <c r="E5310" i="5"/>
  <c r="B5310" i="5"/>
  <c r="E5309" i="5"/>
  <c r="B5309" i="5"/>
  <c r="E5308" i="5"/>
  <c r="B5308" i="5"/>
  <c r="E5307" i="5"/>
  <c r="B5307" i="5"/>
  <c r="E5306" i="5"/>
  <c r="B5306" i="5"/>
  <c r="E5305" i="5"/>
  <c r="B5305" i="5"/>
  <c r="E5304" i="5"/>
  <c r="B5304" i="5"/>
  <c r="E5303" i="5"/>
  <c r="B5303" i="5"/>
  <c r="E5302" i="5"/>
  <c r="B5302" i="5"/>
  <c r="E5301" i="5"/>
  <c r="B5301" i="5"/>
  <c r="E5300" i="5"/>
  <c r="B5300" i="5"/>
  <c r="E5299" i="5"/>
  <c r="B5299" i="5"/>
  <c r="E5298" i="5"/>
  <c r="B5298" i="5"/>
  <c r="E5297" i="5"/>
  <c r="B5297" i="5"/>
  <c r="E5296" i="5"/>
  <c r="B5296" i="5"/>
  <c r="E5295" i="5"/>
  <c r="B5295" i="5"/>
  <c r="E5294" i="5"/>
  <c r="B5294" i="5"/>
  <c r="E5293" i="5"/>
  <c r="B5293" i="5"/>
  <c r="E5292" i="5"/>
  <c r="B5292" i="5"/>
  <c r="E5291" i="5"/>
  <c r="B5291" i="5"/>
  <c r="E5290" i="5"/>
  <c r="B5290" i="5"/>
  <c r="E5289" i="5"/>
  <c r="B5289" i="5"/>
  <c r="E5288" i="5"/>
  <c r="B5288" i="5"/>
  <c r="E5287" i="5"/>
  <c r="B5287" i="5"/>
  <c r="E5286" i="5"/>
  <c r="B5286" i="5"/>
  <c r="E5285" i="5"/>
  <c r="B5285" i="5"/>
  <c r="E5284" i="5"/>
  <c r="B5284" i="5"/>
  <c r="E5283" i="5"/>
  <c r="B5283" i="5"/>
  <c r="E5282" i="5"/>
  <c r="B5282" i="5"/>
  <c r="E5281" i="5"/>
  <c r="B5281" i="5"/>
  <c r="E5280" i="5"/>
  <c r="B5280" i="5"/>
  <c r="E5279" i="5"/>
  <c r="B5279" i="5"/>
  <c r="E5278" i="5"/>
  <c r="B5278" i="5"/>
  <c r="E5277" i="5"/>
  <c r="B5277" i="5"/>
  <c r="E5276" i="5"/>
  <c r="B5276" i="5"/>
  <c r="E5275" i="5"/>
  <c r="B5275" i="5"/>
  <c r="E5274" i="5"/>
  <c r="B5274" i="5"/>
  <c r="E5273" i="5"/>
  <c r="B5273" i="5"/>
  <c r="E5272" i="5"/>
  <c r="B5272" i="5"/>
  <c r="E5271" i="5"/>
  <c r="B5271" i="5"/>
  <c r="E5270" i="5"/>
  <c r="B5270" i="5"/>
  <c r="E5269" i="5"/>
  <c r="B5269" i="5"/>
  <c r="E5268" i="5"/>
  <c r="B5268" i="5"/>
  <c r="E5267" i="5"/>
  <c r="B5267" i="5"/>
  <c r="E5266" i="5"/>
  <c r="B5266" i="5"/>
  <c r="E5265" i="5"/>
  <c r="B5265" i="5"/>
  <c r="E5264" i="5"/>
  <c r="B5264" i="5"/>
  <c r="E5263" i="5"/>
  <c r="B5263" i="5"/>
  <c r="E5262" i="5"/>
  <c r="B5262" i="5"/>
  <c r="E5261" i="5"/>
  <c r="B5261" i="5"/>
  <c r="E5260" i="5"/>
  <c r="B5260" i="5"/>
  <c r="E5259" i="5"/>
  <c r="B5259" i="5"/>
  <c r="E5258" i="5"/>
  <c r="B5258" i="5"/>
  <c r="E5257" i="5"/>
  <c r="B5257" i="5"/>
  <c r="E5256" i="5"/>
  <c r="B5256" i="5"/>
  <c r="E5255" i="5"/>
  <c r="B5255" i="5"/>
  <c r="E5254" i="5"/>
  <c r="B5254" i="5"/>
  <c r="E5253" i="5"/>
  <c r="B5253" i="5"/>
  <c r="E5252" i="5"/>
  <c r="B5252" i="5"/>
  <c r="E5251" i="5"/>
  <c r="B5251" i="5"/>
  <c r="E5250" i="5"/>
  <c r="B5250" i="5"/>
  <c r="E5249" i="5"/>
  <c r="B5249" i="5"/>
  <c r="E5248" i="5"/>
  <c r="B5248" i="5"/>
  <c r="E5247" i="5"/>
  <c r="B5247" i="5"/>
  <c r="E5246" i="5"/>
  <c r="B5246" i="5"/>
  <c r="E5245" i="5"/>
  <c r="B5245" i="5"/>
  <c r="E5244" i="5"/>
  <c r="B5244" i="5"/>
  <c r="E5243" i="5"/>
  <c r="B5243" i="5"/>
  <c r="E5242" i="5"/>
  <c r="B5242" i="5"/>
  <c r="E5241" i="5"/>
  <c r="B5241" i="5"/>
  <c r="E5240" i="5"/>
  <c r="B5240" i="5"/>
  <c r="E5239" i="5"/>
  <c r="B5239" i="5"/>
  <c r="E5238" i="5"/>
  <c r="B5238" i="5"/>
  <c r="E5237" i="5"/>
  <c r="B5237" i="5"/>
  <c r="E5236" i="5"/>
  <c r="B5236" i="5"/>
  <c r="E5235" i="5"/>
  <c r="B5235" i="5"/>
  <c r="E5234" i="5"/>
  <c r="B5234" i="5"/>
  <c r="E5233" i="5"/>
  <c r="B5233" i="5"/>
  <c r="E5232" i="5"/>
  <c r="B5232" i="5"/>
  <c r="E5231" i="5"/>
  <c r="B5231" i="5"/>
  <c r="E5230" i="5"/>
  <c r="B5230" i="5"/>
  <c r="E5229" i="5"/>
  <c r="B5229" i="5"/>
  <c r="E5228" i="5"/>
  <c r="B5228" i="5"/>
  <c r="E5227" i="5"/>
  <c r="B5227" i="5"/>
  <c r="E5226" i="5"/>
  <c r="B5226" i="5"/>
  <c r="E5225" i="5"/>
  <c r="B5225" i="5"/>
  <c r="E5224" i="5"/>
  <c r="B5224" i="5"/>
  <c r="E5223" i="5"/>
  <c r="B5223" i="5"/>
  <c r="E5222" i="5"/>
  <c r="B5222" i="5"/>
  <c r="E5221" i="5"/>
  <c r="B5221" i="5"/>
  <c r="E5220" i="5"/>
  <c r="B5220" i="5"/>
  <c r="E5219" i="5"/>
  <c r="B5219" i="5"/>
  <c r="E5218" i="5"/>
  <c r="B5218" i="5"/>
  <c r="E5217" i="5"/>
  <c r="B5217" i="5"/>
  <c r="E5216" i="5"/>
  <c r="B5216" i="5"/>
  <c r="E5215" i="5"/>
  <c r="B5215" i="5"/>
  <c r="E5214" i="5"/>
  <c r="B5214" i="5"/>
  <c r="E5213" i="5"/>
  <c r="B5213" i="5"/>
  <c r="E5212" i="5"/>
  <c r="B5212" i="5"/>
  <c r="E5211" i="5"/>
  <c r="B5211" i="5"/>
  <c r="E5210" i="5"/>
  <c r="B5210" i="5"/>
  <c r="E5209" i="5"/>
  <c r="B5209" i="5"/>
  <c r="E5208" i="5"/>
  <c r="B5208" i="5"/>
  <c r="E5207" i="5"/>
  <c r="B5207" i="5"/>
  <c r="E5206" i="5"/>
  <c r="B5206" i="5"/>
  <c r="E5205" i="5"/>
  <c r="B5205" i="5"/>
  <c r="E5204" i="5"/>
  <c r="B5204" i="5"/>
  <c r="E5203" i="5"/>
  <c r="B5203" i="5"/>
  <c r="E5202" i="5"/>
  <c r="B5202" i="5"/>
  <c r="E5201" i="5"/>
  <c r="B5201" i="5"/>
  <c r="E5200" i="5"/>
  <c r="B5200" i="5"/>
  <c r="E5199" i="5"/>
  <c r="B5199" i="5"/>
  <c r="E5198" i="5"/>
  <c r="B5198" i="5"/>
  <c r="E5197" i="5"/>
  <c r="B5197" i="5"/>
  <c r="E5196" i="5"/>
  <c r="B5196" i="5"/>
  <c r="E5195" i="5"/>
  <c r="B5195" i="5"/>
  <c r="E5194" i="5"/>
  <c r="B5194" i="5"/>
  <c r="E5193" i="5"/>
  <c r="B5193" i="5"/>
  <c r="E5192" i="5"/>
  <c r="B5192" i="5"/>
  <c r="E5191" i="5"/>
  <c r="B5191" i="5"/>
  <c r="E5190" i="5"/>
  <c r="B5190" i="5"/>
  <c r="E5189" i="5"/>
  <c r="B5189" i="5"/>
  <c r="E5188" i="5"/>
  <c r="B5188" i="5"/>
  <c r="E5187" i="5"/>
  <c r="B5187" i="5"/>
  <c r="E5186" i="5"/>
  <c r="B5186" i="5"/>
  <c r="E5185" i="5"/>
  <c r="B5185" i="5"/>
  <c r="E5184" i="5"/>
  <c r="B5184" i="5"/>
  <c r="E5183" i="5"/>
  <c r="B5183" i="5"/>
  <c r="E5182" i="5"/>
  <c r="B5182" i="5"/>
  <c r="E5181" i="5"/>
  <c r="B5181" i="5"/>
  <c r="E5180" i="5"/>
  <c r="B5180" i="5"/>
  <c r="E5179" i="5"/>
  <c r="B5179" i="5"/>
  <c r="E5178" i="5"/>
  <c r="B5178" i="5"/>
  <c r="E5177" i="5"/>
  <c r="B5177" i="5"/>
  <c r="E5176" i="5"/>
  <c r="B5176" i="5"/>
  <c r="E5175" i="5"/>
  <c r="B5175" i="5"/>
  <c r="E5174" i="5"/>
  <c r="B5174" i="5"/>
  <c r="E5173" i="5"/>
  <c r="B5173" i="5"/>
  <c r="E5172" i="5"/>
  <c r="B5172" i="5"/>
  <c r="E5171" i="5"/>
  <c r="B5171" i="5"/>
  <c r="E5170" i="5"/>
  <c r="B5170" i="5"/>
  <c r="E5169" i="5"/>
  <c r="B5169" i="5"/>
  <c r="E5168" i="5"/>
  <c r="B5168" i="5"/>
  <c r="E5167" i="5"/>
  <c r="B5167" i="5"/>
  <c r="E5166" i="5"/>
  <c r="B5166" i="5"/>
  <c r="E5165" i="5"/>
  <c r="B5165" i="5"/>
  <c r="E5164" i="5"/>
  <c r="B5164" i="5"/>
  <c r="E5163" i="5"/>
  <c r="B5163" i="5"/>
  <c r="E5162" i="5"/>
  <c r="B5162" i="5"/>
  <c r="E5161" i="5"/>
  <c r="B5161" i="5"/>
  <c r="E5160" i="5"/>
  <c r="B5160" i="5"/>
  <c r="E5159" i="5"/>
  <c r="B5159" i="5"/>
  <c r="E5158" i="5"/>
  <c r="B5158" i="5"/>
  <c r="E5157" i="5"/>
  <c r="B5157" i="5"/>
  <c r="E5156" i="5"/>
  <c r="B5156" i="5"/>
  <c r="E5155" i="5"/>
  <c r="B5155" i="5"/>
  <c r="E5154" i="5"/>
  <c r="B5154" i="5"/>
  <c r="E5153" i="5"/>
  <c r="B5153" i="5"/>
  <c r="E5152" i="5"/>
  <c r="B5152" i="5"/>
  <c r="E5151" i="5"/>
  <c r="B5151" i="5"/>
  <c r="E5150" i="5"/>
  <c r="B5150" i="5"/>
  <c r="E5149" i="5"/>
  <c r="B5149" i="5"/>
  <c r="E5148" i="5"/>
  <c r="B5148" i="5"/>
  <c r="E5147" i="5"/>
  <c r="B5147" i="5"/>
  <c r="E5146" i="5"/>
  <c r="B5146" i="5"/>
  <c r="E5145" i="5"/>
  <c r="B5145" i="5"/>
  <c r="E5144" i="5"/>
  <c r="B5144" i="5"/>
  <c r="E5143" i="5"/>
  <c r="B5143" i="5"/>
  <c r="E5142" i="5"/>
  <c r="B5142" i="5"/>
  <c r="E5141" i="5"/>
  <c r="B5141" i="5"/>
  <c r="E5140" i="5"/>
  <c r="B5140" i="5"/>
  <c r="E5139" i="5"/>
  <c r="B5139" i="5"/>
  <c r="E5138" i="5"/>
  <c r="B5138" i="5"/>
  <c r="E5137" i="5"/>
  <c r="B5137" i="5"/>
  <c r="E5136" i="5"/>
  <c r="B5136" i="5"/>
  <c r="E5135" i="5"/>
  <c r="B5135" i="5"/>
  <c r="E5134" i="5"/>
  <c r="B5134" i="5"/>
  <c r="E5133" i="5"/>
  <c r="B5133" i="5"/>
  <c r="E5132" i="5"/>
  <c r="B5132" i="5"/>
  <c r="E5131" i="5"/>
  <c r="B5131" i="5"/>
  <c r="E5130" i="5"/>
  <c r="B5130" i="5"/>
  <c r="E5129" i="5"/>
  <c r="B5129" i="5"/>
  <c r="E5128" i="5"/>
  <c r="B5128" i="5"/>
  <c r="E5127" i="5"/>
  <c r="B5127" i="5"/>
  <c r="E5126" i="5"/>
  <c r="B5126" i="5"/>
  <c r="E5125" i="5"/>
  <c r="B5125" i="5"/>
  <c r="E5124" i="5"/>
  <c r="B5124" i="5"/>
  <c r="E5123" i="5"/>
  <c r="B5123" i="5"/>
  <c r="E5122" i="5"/>
  <c r="B5122" i="5"/>
  <c r="E5121" i="5"/>
  <c r="B5121" i="5"/>
  <c r="E5120" i="5"/>
  <c r="B5120" i="5"/>
  <c r="E5119" i="5"/>
  <c r="B5119" i="5"/>
  <c r="E5118" i="5"/>
  <c r="B5118" i="5"/>
  <c r="E5117" i="5"/>
  <c r="B5117" i="5"/>
  <c r="E5116" i="5"/>
  <c r="B5116" i="5"/>
  <c r="E5115" i="5"/>
  <c r="B5115" i="5"/>
  <c r="E5114" i="5"/>
  <c r="B5114" i="5"/>
  <c r="E5113" i="5"/>
  <c r="B5113" i="5"/>
  <c r="E5112" i="5"/>
  <c r="B5112" i="5"/>
  <c r="E5111" i="5"/>
  <c r="B5111" i="5"/>
  <c r="E5110" i="5"/>
  <c r="B5110" i="5"/>
  <c r="E5109" i="5"/>
  <c r="B5109" i="5"/>
  <c r="E5108" i="5"/>
  <c r="B5108" i="5"/>
  <c r="E5107" i="5"/>
  <c r="B5107" i="5"/>
  <c r="E5106" i="5"/>
  <c r="B5106" i="5"/>
  <c r="E5105" i="5"/>
  <c r="B5105" i="5"/>
  <c r="E5104" i="5"/>
  <c r="B5104" i="5"/>
  <c r="E5103" i="5"/>
  <c r="B5103" i="5"/>
  <c r="E5102" i="5"/>
  <c r="B5102" i="5"/>
  <c r="E5101" i="5"/>
  <c r="B5101" i="5"/>
  <c r="E5100" i="5"/>
  <c r="B5100" i="5"/>
  <c r="E5099" i="5"/>
  <c r="B5099" i="5"/>
  <c r="E5098" i="5"/>
  <c r="B5098" i="5"/>
  <c r="E5097" i="5"/>
  <c r="B5097" i="5"/>
  <c r="E5096" i="5"/>
  <c r="B5096" i="5"/>
  <c r="E5095" i="5"/>
  <c r="B5095" i="5"/>
  <c r="E5094" i="5"/>
  <c r="B5094" i="5"/>
  <c r="E5093" i="5"/>
  <c r="B5093" i="5"/>
  <c r="E5092" i="5"/>
  <c r="B5092" i="5"/>
  <c r="E5091" i="5"/>
  <c r="B5091" i="5"/>
  <c r="E5090" i="5"/>
  <c r="B5090" i="5"/>
  <c r="E5089" i="5"/>
  <c r="B5089" i="5"/>
  <c r="E5088" i="5"/>
  <c r="B5088" i="5"/>
  <c r="E5087" i="5"/>
  <c r="B5087" i="5"/>
  <c r="E5086" i="5"/>
  <c r="B5086" i="5"/>
  <c r="E5085" i="5"/>
  <c r="B5085" i="5"/>
  <c r="E5084" i="5"/>
  <c r="B5084" i="5"/>
  <c r="E5083" i="5"/>
  <c r="B5083" i="5"/>
  <c r="E5082" i="5"/>
  <c r="B5082" i="5"/>
  <c r="E5081" i="5"/>
  <c r="B5081" i="5"/>
  <c r="E5080" i="5"/>
  <c r="B5080" i="5"/>
  <c r="E5079" i="5"/>
  <c r="B5079" i="5"/>
  <c r="E5078" i="5"/>
  <c r="B5078" i="5"/>
  <c r="E5077" i="5"/>
  <c r="B5077" i="5"/>
  <c r="E5076" i="5"/>
  <c r="B5076" i="5"/>
  <c r="E5075" i="5"/>
  <c r="B5075" i="5"/>
  <c r="E5074" i="5"/>
  <c r="B5074" i="5"/>
  <c r="E5073" i="5"/>
  <c r="B5073" i="5"/>
  <c r="E5072" i="5"/>
  <c r="B5072" i="5"/>
  <c r="E5071" i="5"/>
  <c r="B5071" i="5"/>
  <c r="E5070" i="5"/>
  <c r="B5070" i="5"/>
  <c r="E5069" i="5"/>
  <c r="B5069" i="5"/>
  <c r="E5068" i="5"/>
  <c r="B5068" i="5"/>
  <c r="E5067" i="5"/>
  <c r="B5067" i="5"/>
  <c r="E5066" i="5"/>
  <c r="B5066" i="5"/>
  <c r="E5065" i="5"/>
  <c r="B5065" i="5"/>
  <c r="E5064" i="5"/>
  <c r="B5064" i="5"/>
  <c r="E5063" i="5"/>
  <c r="B5063" i="5"/>
  <c r="E5062" i="5"/>
  <c r="B5062" i="5"/>
  <c r="E5061" i="5"/>
  <c r="B5061" i="5"/>
  <c r="E5060" i="5"/>
  <c r="B5060" i="5"/>
  <c r="E5059" i="5"/>
  <c r="B5059" i="5"/>
  <c r="E5058" i="5"/>
  <c r="B5058" i="5"/>
  <c r="E5057" i="5"/>
  <c r="B5057" i="5"/>
  <c r="E5056" i="5"/>
  <c r="B5056" i="5"/>
  <c r="E5055" i="5"/>
  <c r="B5055" i="5"/>
  <c r="E5054" i="5"/>
  <c r="B5054" i="5"/>
  <c r="E5053" i="5"/>
  <c r="B5053" i="5"/>
  <c r="E5052" i="5"/>
  <c r="B5052" i="5"/>
  <c r="E5051" i="5"/>
  <c r="B5051" i="5"/>
  <c r="E5050" i="5"/>
  <c r="B5050" i="5"/>
  <c r="E5049" i="5"/>
  <c r="B5049" i="5"/>
  <c r="E5048" i="5"/>
  <c r="B5048" i="5"/>
  <c r="E5047" i="5"/>
  <c r="B5047" i="5"/>
  <c r="E5046" i="5"/>
  <c r="B5046" i="5"/>
  <c r="E5045" i="5"/>
  <c r="B5045" i="5"/>
  <c r="E5044" i="5"/>
  <c r="B5044" i="5"/>
  <c r="E5043" i="5"/>
  <c r="B5043" i="5"/>
  <c r="E5042" i="5"/>
  <c r="B5042" i="5"/>
  <c r="E5041" i="5"/>
  <c r="B5041" i="5"/>
  <c r="E5040" i="5"/>
  <c r="B5040" i="5"/>
  <c r="E5039" i="5"/>
  <c r="B5039" i="5"/>
  <c r="E5038" i="5"/>
  <c r="B5038" i="5"/>
  <c r="E5037" i="5"/>
  <c r="B5037" i="5"/>
  <c r="E5036" i="5"/>
  <c r="B5036" i="5"/>
  <c r="E5035" i="5"/>
  <c r="B5035" i="5"/>
  <c r="E5034" i="5"/>
  <c r="B5034" i="5"/>
  <c r="E5033" i="5"/>
  <c r="B5033" i="5"/>
  <c r="E5032" i="5"/>
  <c r="B5032" i="5"/>
  <c r="E5031" i="5"/>
  <c r="B5031" i="5"/>
  <c r="E5030" i="5"/>
  <c r="B5030" i="5"/>
  <c r="E5029" i="5"/>
  <c r="B5029" i="5"/>
  <c r="E5028" i="5"/>
  <c r="B5028" i="5"/>
  <c r="E5027" i="5"/>
  <c r="B5027" i="5"/>
  <c r="E5026" i="5"/>
  <c r="B5026" i="5"/>
  <c r="E5025" i="5"/>
  <c r="B5025" i="5"/>
  <c r="E5024" i="5"/>
  <c r="B5024" i="5"/>
  <c r="E5023" i="5"/>
  <c r="B5023" i="5"/>
  <c r="E5022" i="5"/>
  <c r="B5022" i="5"/>
  <c r="E5021" i="5"/>
  <c r="B5021" i="5"/>
  <c r="E5020" i="5"/>
  <c r="B5020" i="5"/>
  <c r="E5019" i="5"/>
  <c r="B5019" i="5"/>
  <c r="E5018" i="5"/>
  <c r="B5018" i="5"/>
  <c r="E5017" i="5"/>
  <c r="B5017" i="5"/>
  <c r="E5016" i="5"/>
  <c r="B5016" i="5"/>
  <c r="E5015" i="5"/>
  <c r="B5015" i="5"/>
  <c r="E5014" i="5"/>
  <c r="B5014" i="5"/>
  <c r="E5013" i="5"/>
  <c r="B5013" i="5"/>
  <c r="E5012" i="5"/>
  <c r="B5012" i="5"/>
  <c r="E5011" i="5"/>
  <c r="B5011" i="5"/>
  <c r="E5010" i="5"/>
  <c r="B5010" i="5"/>
  <c r="E5009" i="5"/>
  <c r="B5009" i="5"/>
  <c r="E5008" i="5"/>
  <c r="B5008" i="5"/>
  <c r="E5007" i="5"/>
  <c r="B5007" i="5"/>
  <c r="E5006" i="5"/>
  <c r="B5006" i="5"/>
  <c r="E5005" i="5"/>
  <c r="B5005" i="5"/>
  <c r="E5004" i="5"/>
  <c r="B5004" i="5"/>
  <c r="E5003" i="5"/>
  <c r="B5003" i="5"/>
  <c r="E5002" i="5"/>
  <c r="B5002" i="5"/>
  <c r="E5001" i="5"/>
  <c r="B5001" i="5"/>
  <c r="E5000" i="5"/>
  <c r="B5000" i="5"/>
  <c r="E4999" i="5"/>
  <c r="B4999" i="5"/>
  <c r="E4998" i="5"/>
  <c r="B4998" i="5"/>
  <c r="E4997" i="5"/>
  <c r="B4997" i="5"/>
  <c r="E4996" i="5"/>
  <c r="B4996" i="5"/>
  <c r="E4995" i="5"/>
  <c r="B4995" i="5"/>
  <c r="E4994" i="5"/>
  <c r="B4994" i="5"/>
  <c r="E4993" i="5"/>
  <c r="B4993" i="5"/>
  <c r="E4992" i="5"/>
  <c r="B4992" i="5"/>
  <c r="E4991" i="5"/>
  <c r="B4991" i="5"/>
  <c r="E4990" i="5"/>
  <c r="B4990" i="5"/>
  <c r="E4989" i="5"/>
  <c r="B4989" i="5"/>
  <c r="E4988" i="5"/>
  <c r="B4988" i="5"/>
  <c r="E4987" i="5"/>
  <c r="B4987" i="5"/>
  <c r="E4986" i="5"/>
  <c r="B4986" i="5"/>
  <c r="E4985" i="5"/>
  <c r="B4985" i="5"/>
  <c r="E4984" i="5"/>
  <c r="B4984" i="5"/>
  <c r="E4983" i="5"/>
  <c r="B4983" i="5"/>
  <c r="E4982" i="5"/>
  <c r="B4982" i="5"/>
  <c r="E4981" i="5"/>
  <c r="B4981" i="5"/>
  <c r="E4980" i="5"/>
  <c r="B4980" i="5"/>
  <c r="E4979" i="5"/>
  <c r="B4979" i="5"/>
  <c r="E4978" i="5"/>
  <c r="B4978" i="5"/>
  <c r="E4977" i="5"/>
  <c r="B4977" i="5"/>
  <c r="E4976" i="5"/>
  <c r="B4976" i="5"/>
  <c r="E4975" i="5"/>
  <c r="B4975" i="5"/>
  <c r="E4974" i="5"/>
  <c r="B4974" i="5"/>
  <c r="E4973" i="5"/>
  <c r="B4973" i="5"/>
  <c r="E4972" i="5"/>
  <c r="B4972" i="5"/>
  <c r="E4971" i="5"/>
  <c r="B4971" i="5"/>
  <c r="E4970" i="5"/>
  <c r="B4970" i="5"/>
  <c r="E4969" i="5"/>
  <c r="B4969" i="5"/>
  <c r="E4968" i="5"/>
  <c r="B4968" i="5"/>
  <c r="E4967" i="5"/>
  <c r="B4967" i="5"/>
  <c r="E4966" i="5"/>
  <c r="B4966" i="5"/>
  <c r="E4965" i="5"/>
  <c r="B4965" i="5"/>
  <c r="E4964" i="5"/>
  <c r="B4964" i="5"/>
  <c r="E4963" i="5"/>
  <c r="B4963" i="5"/>
  <c r="E4962" i="5"/>
  <c r="B4962" i="5"/>
  <c r="E4961" i="5"/>
  <c r="B4961" i="5"/>
  <c r="E4960" i="5"/>
  <c r="B4960" i="5"/>
  <c r="E4959" i="5"/>
  <c r="B4959" i="5"/>
  <c r="E4958" i="5"/>
  <c r="B4958" i="5"/>
  <c r="E4957" i="5"/>
  <c r="B4957" i="5"/>
  <c r="E4956" i="5"/>
  <c r="B4956" i="5"/>
  <c r="E4955" i="5"/>
  <c r="B4955" i="5"/>
  <c r="E4954" i="5"/>
  <c r="B4954" i="5"/>
  <c r="E4953" i="5"/>
  <c r="B4953" i="5"/>
  <c r="E4952" i="5"/>
  <c r="B4952" i="5"/>
  <c r="E4951" i="5"/>
  <c r="B4951" i="5"/>
  <c r="E4950" i="5"/>
  <c r="B4950" i="5"/>
  <c r="E4949" i="5"/>
  <c r="B4949" i="5"/>
  <c r="E4948" i="5"/>
  <c r="B4948" i="5"/>
  <c r="E4947" i="5"/>
  <c r="B4947" i="5"/>
  <c r="E4946" i="5"/>
  <c r="B4946" i="5"/>
  <c r="E4945" i="5"/>
  <c r="B4945" i="5"/>
  <c r="E4944" i="5"/>
  <c r="B4944" i="5"/>
  <c r="E4943" i="5"/>
  <c r="B4943" i="5"/>
  <c r="E4942" i="5"/>
  <c r="B4942" i="5"/>
  <c r="E4941" i="5"/>
  <c r="B4941" i="5"/>
  <c r="E4940" i="5"/>
  <c r="B4940" i="5"/>
  <c r="E4939" i="5"/>
  <c r="B4939" i="5"/>
  <c r="E4938" i="5"/>
  <c r="B4938" i="5"/>
  <c r="E4937" i="5"/>
  <c r="B4937" i="5"/>
  <c r="E4936" i="5"/>
  <c r="B4936" i="5"/>
  <c r="E4935" i="5"/>
  <c r="B4935" i="5"/>
  <c r="E4934" i="5"/>
  <c r="B4934" i="5"/>
  <c r="E4933" i="5"/>
  <c r="B4933" i="5"/>
  <c r="E4932" i="5"/>
  <c r="B4932" i="5"/>
  <c r="E4931" i="5"/>
  <c r="B4931" i="5"/>
  <c r="E4930" i="5"/>
  <c r="B4930" i="5"/>
  <c r="E4929" i="5"/>
  <c r="B4929" i="5"/>
  <c r="E4928" i="5"/>
  <c r="B4928" i="5"/>
  <c r="E4927" i="5"/>
  <c r="B4927" i="5"/>
  <c r="E4926" i="5"/>
  <c r="B4926" i="5"/>
  <c r="E4925" i="5"/>
  <c r="B4925" i="5"/>
  <c r="E4924" i="5"/>
  <c r="B4924" i="5"/>
  <c r="E4923" i="5"/>
  <c r="B4923" i="5"/>
  <c r="E4922" i="5"/>
  <c r="B4922" i="5"/>
  <c r="E4921" i="5"/>
  <c r="B4921" i="5"/>
  <c r="E4920" i="5"/>
  <c r="B4920" i="5"/>
  <c r="E4919" i="5"/>
  <c r="B4919" i="5"/>
  <c r="E4918" i="5"/>
  <c r="B4918" i="5"/>
  <c r="E4917" i="5"/>
  <c r="B4917" i="5"/>
  <c r="E4916" i="5"/>
  <c r="B4916" i="5"/>
  <c r="E4915" i="5"/>
  <c r="B4915" i="5"/>
  <c r="E4914" i="5"/>
  <c r="B4914" i="5"/>
  <c r="E4913" i="5"/>
  <c r="B4913" i="5"/>
  <c r="E4912" i="5"/>
  <c r="B4912" i="5"/>
  <c r="E4911" i="5"/>
  <c r="B4911" i="5"/>
  <c r="E4910" i="5"/>
  <c r="B4910" i="5"/>
  <c r="E4909" i="5"/>
  <c r="B4909" i="5"/>
  <c r="E4908" i="5"/>
  <c r="B4908" i="5"/>
  <c r="E4907" i="5"/>
  <c r="B4907" i="5"/>
  <c r="E4906" i="5"/>
  <c r="B4906" i="5"/>
  <c r="E4905" i="5"/>
  <c r="B4905" i="5"/>
  <c r="E4904" i="5"/>
  <c r="B4904" i="5"/>
  <c r="E4903" i="5"/>
  <c r="B4903" i="5"/>
  <c r="E4902" i="5"/>
  <c r="B4902" i="5"/>
  <c r="E4901" i="5"/>
  <c r="B4901" i="5"/>
  <c r="E4900" i="5"/>
  <c r="B4900" i="5"/>
  <c r="E4899" i="5"/>
  <c r="B4899" i="5"/>
  <c r="E4898" i="5"/>
  <c r="B4898" i="5"/>
  <c r="E4897" i="5"/>
  <c r="B4897" i="5"/>
  <c r="E4896" i="5"/>
  <c r="B4896" i="5"/>
  <c r="E4895" i="5"/>
  <c r="B4895" i="5"/>
  <c r="E4894" i="5"/>
  <c r="B4894" i="5"/>
  <c r="E4893" i="5"/>
  <c r="B4893" i="5"/>
  <c r="E4892" i="5"/>
  <c r="B4892" i="5"/>
  <c r="E4891" i="5"/>
  <c r="B4891" i="5"/>
  <c r="E4890" i="5"/>
  <c r="B4890" i="5"/>
  <c r="E4889" i="5"/>
  <c r="B4889" i="5"/>
  <c r="E4888" i="5"/>
  <c r="B4888" i="5"/>
  <c r="E4887" i="5"/>
  <c r="B4887" i="5"/>
  <c r="E4886" i="5"/>
  <c r="B4886" i="5"/>
  <c r="E4885" i="5"/>
  <c r="B4885" i="5"/>
  <c r="E4884" i="5"/>
  <c r="B4884" i="5"/>
  <c r="E4883" i="5"/>
  <c r="B4883" i="5"/>
  <c r="E4882" i="5"/>
  <c r="B4882" i="5"/>
  <c r="E4881" i="5"/>
  <c r="B4881" i="5"/>
  <c r="E4880" i="5"/>
  <c r="B4880" i="5"/>
  <c r="E4879" i="5"/>
  <c r="B4879" i="5"/>
  <c r="E4878" i="5"/>
  <c r="B4878" i="5"/>
  <c r="E4877" i="5"/>
  <c r="B4877" i="5"/>
  <c r="E4876" i="5"/>
  <c r="B4876" i="5"/>
  <c r="E4875" i="5"/>
  <c r="B4875" i="5"/>
  <c r="E4874" i="5"/>
  <c r="B4874" i="5"/>
  <c r="E4873" i="5"/>
  <c r="B4873" i="5"/>
  <c r="E4872" i="5"/>
  <c r="B4872" i="5"/>
  <c r="E4871" i="5"/>
  <c r="B4871" i="5"/>
  <c r="E4870" i="5"/>
  <c r="B4870" i="5"/>
  <c r="E4869" i="5"/>
  <c r="B4869" i="5"/>
  <c r="E4868" i="5"/>
  <c r="B4868" i="5"/>
  <c r="E4867" i="5"/>
  <c r="B4867" i="5"/>
  <c r="E4866" i="5"/>
  <c r="B4866" i="5"/>
  <c r="E4865" i="5"/>
  <c r="B4865" i="5"/>
  <c r="E4864" i="5"/>
  <c r="B4864" i="5"/>
  <c r="E4863" i="5"/>
  <c r="B4863" i="5"/>
  <c r="E4862" i="5"/>
  <c r="B4862" i="5"/>
  <c r="E4861" i="5"/>
  <c r="B4861" i="5"/>
  <c r="E4860" i="5"/>
  <c r="B4860" i="5"/>
  <c r="E4859" i="5"/>
  <c r="B4859" i="5"/>
  <c r="E4858" i="5"/>
  <c r="B4858" i="5"/>
  <c r="E4857" i="5"/>
  <c r="B4857" i="5"/>
  <c r="E4856" i="5"/>
  <c r="B4856" i="5"/>
  <c r="E4855" i="5"/>
  <c r="B4855" i="5"/>
  <c r="E4854" i="5"/>
  <c r="B4854" i="5"/>
  <c r="E4853" i="5"/>
  <c r="B4853" i="5"/>
  <c r="E4852" i="5"/>
  <c r="B4852" i="5"/>
  <c r="E4851" i="5"/>
  <c r="B4851" i="5"/>
  <c r="E4850" i="5"/>
  <c r="B4850" i="5"/>
  <c r="E4849" i="5"/>
  <c r="B4849" i="5"/>
  <c r="E4848" i="5"/>
  <c r="B4848" i="5"/>
  <c r="E4847" i="5"/>
  <c r="B4847" i="5"/>
  <c r="E4846" i="5"/>
  <c r="B4846" i="5"/>
  <c r="E4845" i="5"/>
  <c r="B4845" i="5"/>
  <c r="E4844" i="5"/>
  <c r="B4844" i="5"/>
  <c r="E4843" i="5"/>
  <c r="B4843" i="5"/>
  <c r="E4842" i="5"/>
  <c r="B4842" i="5"/>
  <c r="E4841" i="5"/>
  <c r="B4841" i="5"/>
  <c r="E4840" i="5"/>
  <c r="B4840" i="5"/>
  <c r="E4839" i="5"/>
  <c r="B4839" i="5"/>
  <c r="E4838" i="5"/>
  <c r="B4838" i="5"/>
  <c r="E4837" i="5"/>
  <c r="B4837" i="5"/>
  <c r="E4836" i="5"/>
  <c r="B4836" i="5"/>
  <c r="E4835" i="5"/>
  <c r="B4835" i="5"/>
  <c r="E4834" i="5"/>
  <c r="B4834" i="5"/>
  <c r="E4833" i="5"/>
  <c r="B4833" i="5"/>
  <c r="E4832" i="5"/>
  <c r="B4832" i="5"/>
  <c r="E4831" i="5"/>
  <c r="B4831" i="5"/>
  <c r="E4830" i="5"/>
  <c r="B4830" i="5"/>
  <c r="E4829" i="5"/>
  <c r="B4829" i="5"/>
  <c r="E4828" i="5"/>
  <c r="B4828" i="5"/>
  <c r="E4827" i="5"/>
  <c r="B4827" i="5"/>
  <c r="E4826" i="5"/>
  <c r="B4826" i="5"/>
  <c r="E4825" i="5"/>
  <c r="B4825" i="5"/>
  <c r="E4824" i="5"/>
  <c r="B4824" i="5"/>
  <c r="E4823" i="5"/>
  <c r="B4823" i="5"/>
  <c r="E4822" i="5"/>
  <c r="B4822" i="5"/>
  <c r="E4821" i="5"/>
  <c r="B4821" i="5"/>
  <c r="E4820" i="5"/>
  <c r="B4820" i="5"/>
  <c r="E4819" i="5"/>
  <c r="B4819" i="5"/>
  <c r="E4818" i="5"/>
  <c r="B4818" i="5"/>
  <c r="E4817" i="5"/>
  <c r="B4817" i="5"/>
  <c r="E4816" i="5"/>
  <c r="B4816" i="5"/>
  <c r="E4815" i="5"/>
  <c r="B4815" i="5"/>
  <c r="E4814" i="5"/>
  <c r="B4814" i="5"/>
  <c r="E4813" i="5"/>
  <c r="B4813" i="5"/>
  <c r="E4812" i="5"/>
  <c r="B4812" i="5"/>
  <c r="E4811" i="5"/>
  <c r="B4811" i="5"/>
  <c r="E4810" i="5"/>
  <c r="B4810" i="5"/>
  <c r="E4809" i="5"/>
  <c r="B4809" i="5"/>
  <c r="E4808" i="5"/>
  <c r="B4808" i="5"/>
  <c r="E4807" i="5"/>
  <c r="B4807" i="5"/>
  <c r="E4806" i="5"/>
  <c r="B4806" i="5"/>
  <c r="E4805" i="5"/>
  <c r="B4805" i="5"/>
  <c r="E4804" i="5"/>
  <c r="B4804" i="5"/>
  <c r="E4803" i="5"/>
  <c r="B4803" i="5"/>
  <c r="E4802" i="5"/>
  <c r="B4802" i="5"/>
  <c r="E4801" i="5"/>
  <c r="B4801" i="5"/>
  <c r="E4800" i="5"/>
  <c r="B4800" i="5"/>
  <c r="E4799" i="5"/>
  <c r="B4799" i="5"/>
  <c r="E4798" i="5"/>
  <c r="B4798" i="5"/>
  <c r="E4797" i="5"/>
  <c r="B4797" i="5"/>
  <c r="E4796" i="5"/>
  <c r="B4796" i="5"/>
  <c r="E4795" i="5"/>
  <c r="B4795" i="5"/>
  <c r="E4794" i="5"/>
  <c r="B4794" i="5"/>
  <c r="E4793" i="5"/>
  <c r="B4793" i="5"/>
  <c r="E4792" i="5"/>
  <c r="B4792" i="5"/>
  <c r="E4791" i="5"/>
  <c r="B4791" i="5"/>
  <c r="E4790" i="5"/>
  <c r="B4790" i="5"/>
  <c r="E4789" i="5"/>
  <c r="B4789" i="5"/>
  <c r="E4788" i="5"/>
  <c r="B4788" i="5"/>
  <c r="E4787" i="5"/>
  <c r="B4787" i="5"/>
  <c r="E4786" i="5"/>
  <c r="B4786" i="5"/>
  <c r="E4785" i="5"/>
  <c r="B4785" i="5"/>
  <c r="E4784" i="5"/>
  <c r="B4784" i="5"/>
  <c r="E4783" i="5"/>
  <c r="B4783" i="5"/>
  <c r="E4782" i="5"/>
  <c r="B4782" i="5"/>
  <c r="E4781" i="5"/>
  <c r="B4781" i="5"/>
  <c r="E4780" i="5"/>
  <c r="B4780" i="5"/>
  <c r="E4779" i="5"/>
  <c r="B4779" i="5"/>
  <c r="E4778" i="5"/>
  <c r="B4778" i="5"/>
  <c r="E4777" i="5"/>
  <c r="B4777" i="5"/>
  <c r="E4776" i="5"/>
  <c r="B4776" i="5"/>
  <c r="E4775" i="5"/>
  <c r="B4775" i="5"/>
  <c r="E4774" i="5"/>
  <c r="B4774" i="5"/>
  <c r="E4773" i="5"/>
  <c r="B4773" i="5"/>
  <c r="E4772" i="5"/>
  <c r="B4772" i="5"/>
  <c r="E4771" i="5"/>
  <c r="B4771" i="5"/>
  <c r="E4770" i="5"/>
  <c r="B4770" i="5"/>
  <c r="E4769" i="5"/>
  <c r="B4769" i="5"/>
  <c r="E4768" i="5"/>
  <c r="B4768" i="5"/>
  <c r="E4767" i="5"/>
  <c r="B4767" i="5"/>
  <c r="E4766" i="5"/>
  <c r="B4766" i="5"/>
  <c r="E4765" i="5"/>
  <c r="B4765" i="5"/>
  <c r="E4764" i="5"/>
  <c r="B4764" i="5"/>
  <c r="E4763" i="5"/>
  <c r="B4763" i="5"/>
  <c r="E4762" i="5"/>
  <c r="B4762" i="5"/>
  <c r="E4761" i="5"/>
  <c r="B4761" i="5"/>
  <c r="E4760" i="5"/>
  <c r="B4760" i="5"/>
  <c r="E4759" i="5"/>
  <c r="B4759" i="5"/>
  <c r="E4758" i="5"/>
  <c r="B4758" i="5"/>
  <c r="E4757" i="5"/>
  <c r="B4757" i="5"/>
  <c r="E4756" i="5"/>
  <c r="B4756" i="5"/>
  <c r="E4755" i="5"/>
  <c r="B4755" i="5"/>
  <c r="E4754" i="5"/>
  <c r="B4754" i="5"/>
  <c r="E4753" i="5"/>
  <c r="B4753" i="5"/>
  <c r="E4752" i="5"/>
  <c r="B4752" i="5"/>
  <c r="E4751" i="5"/>
  <c r="B4751" i="5"/>
  <c r="E4750" i="5"/>
  <c r="B4750" i="5"/>
  <c r="E4749" i="5"/>
  <c r="B4749" i="5"/>
  <c r="E4748" i="5"/>
  <c r="B4748" i="5"/>
  <c r="E4747" i="5"/>
  <c r="B4747" i="5"/>
  <c r="E4746" i="5"/>
  <c r="B4746" i="5"/>
  <c r="E4745" i="5"/>
  <c r="B4745" i="5"/>
  <c r="E4744" i="5"/>
  <c r="B4744" i="5"/>
  <c r="E4743" i="5"/>
  <c r="B4743" i="5"/>
  <c r="E4742" i="5"/>
  <c r="B4742" i="5"/>
  <c r="E4741" i="5"/>
  <c r="B4741" i="5"/>
  <c r="E4740" i="5"/>
  <c r="B4740" i="5"/>
  <c r="E4739" i="5"/>
  <c r="B4739" i="5"/>
  <c r="E4738" i="5"/>
  <c r="B4738" i="5"/>
  <c r="E4737" i="5"/>
  <c r="B4737" i="5"/>
  <c r="E4736" i="5"/>
  <c r="B4736" i="5"/>
  <c r="E4735" i="5"/>
  <c r="B4735" i="5"/>
  <c r="E4734" i="5"/>
  <c r="B4734" i="5"/>
  <c r="E4733" i="5"/>
  <c r="B4733" i="5"/>
  <c r="E4732" i="5"/>
  <c r="B4732" i="5"/>
  <c r="E4731" i="5"/>
  <c r="B4731" i="5"/>
  <c r="E4730" i="5"/>
  <c r="B4730" i="5"/>
  <c r="E4729" i="5"/>
  <c r="B4729" i="5"/>
  <c r="E4728" i="5"/>
  <c r="B4728" i="5"/>
  <c r="E4727" i="5"/>
  <c r="B4727" i="5"/>
  <c r="E4726" i="5"/>
  <c r="B4726" i="5"/>
  <c r="E4725" i="5"/>
  <c r="B4725" i="5"/>
  <c r="E4724" i="5"/>
  <c r="B4724" i="5"/>
  <c r="E4723" i="5"/>
  <c r="B4723" i="5"/>
  <c r="E4722" i="5"/>
  <c r="B4722" i="5"/>
  <c r="E4721" i="5"/>
  <c r="B4721" i="5"/>
  <c r="E4720" i="5"/>
  <c r="B4720" i="5"/>
  <c r="E4719" i="5"/>
  <c r="B4719" i="5"/>
  <c r="E4718" i="5"/>
  <c r="B4718" i="5"/>
  <c r="E4717" i="5"/>
  <c r="B4717" i="5"/>
  <c r="E4716" i="5"/>
  <c r="B4716" i="5"/>
  <c r="E4715" i="5"/>
  <c r="B4715" i="5"/>
  <c r="E4714" i="5"/>
  <c r="B4714" i="5"/>
  <c r="E4713" i="5"/>
  <c r="B4713" i="5"/>
  <c r="E4712" i="5"/>
  <c r="B4712" i="5"/>
  <c r="E4711" i="5"/>
  <c r="B4711" i="5"/>
  <c r="E4710" i="5"/>
  <c r="B4710" i="5"/>
  <c r="E4709" i="5"/>
  <c r="B4709" i="5"/>
  <c r="E4708" i="5"/>
  <c r="B4708" i="5"/>
  <c r="E4707" i="5"/>
  <c r="B4707" i="5"/>
  <c r="E4706" i="5"/>
  <c r="B4706" i="5"/>
  <c r="E4705" i="5"/>
  <c r="B4705" i="5"/>
  <c r="E4704" i="5"/>
  <c r="B4704" i="5"/>
  <c r="E4703" i="5"/>
  <c r="B4703" i="5"/>
  <c r="E4702" i="5"/>
  <c r="B4702" i="5"/>
  <c r="E4701" i="5"/>
  <c r="B4701" i="5"/>
  <c r="E4700" i="5"/>
  <c r="B4700" i="5"/>
  <c r="E4699" i="5"/>
  <c r="B4699" i="5"/>
  <c r="E4698" i="5"/>
  <c r="B4698" i="5"/>
  <c r="E4697" i="5"/>
  <c r="B4697" i="5"/>
  <c r="E4696" i="5"/>
  <c r="B4696" i="5"/>
  <c r="E4695" i="5"/>
  <c r="B4695" i="5"/>
  <c r="E4694" i="5"/>
  <c r="B4694" i="5"/>
  <c r="E4693" i="5"/>
  <c r="B4693" i="5"/>
  <c r="E4692" i="5"/>
  <c r="B4692" i="5"/>
  <c r="E4691" i="5"/>
  <c r="B4691" i="5"/>
  <c r="E4690" i="5"/>
  <c r="B4690" i="5"/>
  <c r="E4689" i="5"/>
  <c r="B4689" i="5"/>
  <c r="E4688" i="5"/>
  <c r="B4688" i="5"/>
  <c r="E4687" i="5"/>
  <c r="B4687" i="5"/>
  <c r="E4686" i="5"/>
  <c r="B4686" i="5"/>
  <c r="E4685" i="5"/>
  <c r="B4685" i="5"/>
  <c r="E4684" i="5"/>
  <c r="B4684" i="5"/>
  <c r="E4683" i="5"/>
  <c r="B4683" i="5"/>
  <c r="E4682" i="5"/>
  <c r="B4682" i="5"/>
  <c r="E4681" i="5"/>
  <c r="B4681" i="5"/>
  <c r="E4680" i="5"/>
  <c r="B4680" i="5"/>
  <c r="E4679" i="5"/>
  <c r="B4679" i="5"/>
  <c r="E4678" i="5"/>
  <c r="B4678" i="5"/>
  <c r="E4677" i="5"/>
  <c r="B4677" i="5"/>
  <c r="E4676" i="5"/>
  <c r="B4676" i="5"/>
  <c r="E4675" i="5"/>
  <c r="B4675" i="5"/>
  <c r="E4674" i="5"/>
  <c r="B4674" i="5"/>
  <c r="E4673" i="5"/>
  <c r="B4673" i="5"/>
  <c r="E4672" i="5"/>
  <c r="B4672" i="5"/>
  <c r="E4671" i="5"/>
  <c r="B4671" i="5"/>
  <c r="E4670" i="5"/>
  <c r="B4670" i="5"/>
  <c r="E4669" i="5"/>
  <c r="B4669" i="5"/>
  <c r="E4668" i="5"/>
  <c r="B4668" i="5"/>
  <c r="E4667" i="5"/>
  <c r="B4667" i="5"/>
  <c r="E4666" i="5"/>
  <c r="B4666" i="5"/>
  <c r="E4665" i="5"/>
  <c r="B4665" i="5"/>
  <c r="E4664" i="5"/>
  <c r="B4664" i="5"/>
  <c r="E4663" i="5"/>
  <c r="B4663" i="5"/>
  <c r="E4662" i="5"/>
  <c r="B4662" i="5"/>
  <c r="E4661" i="5"/>
  <c r="B4661" i="5"/>
  <c r="E4660" i="5"/>
  <c r="B4660" i="5"/>
  <c r="E4659" i="5"/>
  <c r="B4659" i="5"/>
  <c r="E4658" i="5"/>
  <c r="B4658" i="5"/>
  <c r="E4657" i="5"/>
  <c r="B4657" i="5"/>
  <c r="E4656" i="5"/>
  <c r="B4656" i="5"/>
  <c r="E4655" i="5"/>
  <c r="B4655" i="5"/>
  <c r="E4654" i="5"/>
  <c r="B4654" i="5"/>
  <c r="E4653" i="5"/>
  <c r="B4653" i="5"/>
  <c r="E4652" i="5"/>
  <c r="B4652" i="5"/>
  <c r="E4651" i="5"/>
  <c r="B4651" i="5"/>
  <c r="E4650" i="5"/>
  <c r="B4650" i="5"/>
  <c r="E4649" i="5"/>
  <c r="B4649" i="5"/>
  <c r="E4648" i="5"/>
  <c r="B4648" i="5"/>
  <c r="E4647" i="5"/>
  <c r="B4647" i="5"/>
  <c r="E4646" i="5"/>
  <c r="B4646" i="5"/>
  <c r="E4645" i="5"/>
  <c r="B4645" i="5"/>
  <c r="E4644" i="5"/>
  <c r="B4644" i="5"/>
  <c r="E4643" i="5"/>
  <c r="B4643" i="5"/>
  <c r="E4642" i="5"/>
  <c r="B4642" i="5"/>
  <c r="E4641" i="5"/>
  <c r="B4641" i="5"/>
  <c r="E4640" i="5"/>
  <c r="B4640" i="5"/>
  <c r="E4639" i="5"/>
  <c r="B4639" i="5"/>
  <c r="E4638" i="5"/>
  <c r="B4638" i="5"/>
  <c r="E4637" i="5"/>
  <c r="B4637" i="5"/>
  <c r="E4636" i="5"/>
  <c r="B4636" i="5"/>
  <c r="E4635" i="5"/>
  <c r="B4635" i="5"/>
  <c r="E4634" i="5"/>
  <c r="B4634" i="5"/>
  <c r="E4633" i="5"/>
  <c r="B4633" i="5"/>
  <c r="E4632" i="5"/>
  <c r="B4632" i="5"/>
  <c r="E4631" i="5"/>
  <c r="B4631" i="5"/>
  <c r="E4630" i="5"/>
  <c r="B4630" i="5"/>
  <c r="E4629" i="5"/>
  <c r="B4629" i="5"/>
  <c r="E4628" i="5"/>
  <c r="B4628" i="5"/>
  <c r="E4627" i="5"/>
  <c r="B4627" i="5"/>
  <c r="E4626" i="5"/>
  <c r="B4626" i="5"/>
  <c r="E4625" i="5"/>
  <c r="B4625" i="5"/>
  <c r="E4624" i="5"/>
  <c r="B4624" i="5"/>
  <c r="E4623" i="5"/>
  <c r="B4623" i="5"/>
  <c r="E4622" i="5"/>
  <c r="B4622" i="5"/>
  <c r="E4621" i="5"/>
  <c r="B4621" i="5"/>
  <c r="E4620" i="5"/>
  <c r="B4620" i="5"/>
  <c r="E4619" i="5"/>
  <c r="B4619" i="5"/>
  <c r="E4618" i="5"/>
  <c r="B4618" i="5"/>
  <c r="E4617" i="5"/>
  <c r="B4617" i="5"/>
  <c r="E4616" i="5"/>
  <c r="B4616" i="5"/>
  <c r="E4615" i="5"/>
  <c r="B4615" i="5"/>
  <c r="E4614" i="5"/>
  <c r="B4614" i="5"/>
  <c r="E4613" i="5"/>
  <c r="B4613" i="5"/>
  <c r="E4612" i="5"/>
  <c r="B4612" i="5"/>
  <c r="E4611" i="5"/>
  <c r="B4611" i="5"/>
  <c r="E4610" i="5"/>
  <c r="B4610" i="5"/>
  <c r="E4609" i="5"/>
  <c r="B4609" i="5"/>
  <c r="E4608" i="5"/>
  <c r="B4608" i="5"/>
  <c r="E4607" i="5"/>
  <c r="B4607" i="5"/>
  <c r="E4606" i="5"/>
  <c r="B4606" i="5"/>
  <c r="E4605" i="5"/>
  <c r="B4605" i="5"/>
  <c r="E4604" i="5"/>
  <c r="B4604" i="5"/>
  <c r="E4603" i="5"/>
  <c r="B4603" i="5"/>
  <c r="E4602" i="5"/>
  <c r="B4602" i="5"/>
  <c r="E4601" i="5"/>
  <c r="B4601" i="5"/>
  <c r="E4600" i="5"/>
  <c r="B4600" i="5"/>
  <c r="E4599" i="5"/>
  <c r="B4599" i="5"/>
  <c r="E4598" i="5"/>
  <c r="B4598" i="5"/>
  <c r="E4597" i="5"/>
  <c r="B4597" i="5"/>
  <c r="E4596" i="5"/>
  <c r="B4596" i="5"/>
  <c r="E4595" i="5"/>
  <c r="B4595" i="5"/>
  <c r="E4594" i="5"/>
  <c r="B4594" i="5"/>
  <c r="E4593" i="5"/>
  <c r="B4593" i="5"/>
  <c r="E4592" i="5"/>
  <c r="B4592" i="5"/>
  <c r="E4591" i="5"/>
  <c r="B4591" i="5"/>
  <c r="E4590" i="5"/>
  <c r="B4590" i="5"/>
  <c r="E4589" i="5"/>
  <c r="B4589" i="5"/>
  <c r="E4588" i="5"/>
  <c r="B4588" i="5"/>
  <c r="E4587" i="5"/>
  <c r="B4587" i="5"/>
  <c r="E4586" i="5"/>
  <c r="B4586" i="5"/>
  <c r="E4585" i="5"/>
  <c r="B4585" i="5"/>
  <c r="E4584" i="5"/>
  <c r="B4584" i="5"/>
  <c r="E4583" i="5"/>
  <c r="B4583" i="5"/>
  <c r="E4582" i="5"/>
  <c r="B4582" i="5"/>
  <c r="E4581" i="5"/>
  <c r="B4581" i="5"/>
  <c r="E4580" i="5"/>
  <c r="B4580" i="5"/>
  <c r="E4579" i="5"/>
  <c r="B4579" i="5"/>
  <c r="E4578" i="5"/>
  <c r="B4578" i="5"/>
  <c r="E4577" i="5"/>
  <c r="B4577" i="5"/>
  <c r="E4576" i="5"/>
  <c r="B4576" i="5"/>
  <c r="E4575" i="5"/>
  <c r="B4575" i="5"/>
  <c r="E4574" i="5"/>
  <c r="B4574" i="5"/>
  <c r="E4573" i="5"/>
  <c r="B4573" i="5"/>
  <c r="E4572" i="5"/>
  <c r="B4572" i="5"/>
  <c r="E4571" i="5"/>
  <c r="B4571" i="5"/>
  <c r="E4570" i="5"/>
  <c r="B4570" i="5"/>
  <c r="E4569" i="5"/>
  <c r="B4569" i="5"/>
  <c r="E4568" i="5"/>
  <c r="B4568" i="5"/>
  <c r="E4567" i="5"/>
  <c r="B4567" i="5"/>
  <c r="E4566" i="5"/>
  <c r="B4566" i="5"/>
  <c r="E4565" i="5"/>
  <c r="B4565" i="5"/>
  <c r="E4564" i="5"/>
  <c r="B4564" i="5"/>
  <c r="E4563" i="5"/>
  <c r="B4563" i="5"/>
  <c r="E4562" i="5"/>
  <c r="B4562" i="5"/>
  <c r="E4561" i="5"/>
  <c r="B4561" i="5"/>
  <c r="E4560" i="5"/>
  <c r="B4560" i="5"/>
  <c r="E4559" i="5"/>
  <c r="B4559" i="5"/>
  <c r="E4558" i="5"/>
  <c r="B4558" i="5"/>
  <c r="E4557" i="5"/>
  <c r="B4557" i="5"/>
  <c r="E4556" i="5"/>
  <c r="B4556" i="5"/>
  <c r="E4555" i="5"/>
  <c r="B4555" i="5"/>
  <c r="E4554" i="5"/>
  <c r="B4554" i="5"/>
  <c r="E4553" i="5"/>
  <c r="B4553" i="5"/>
  <c r="E4552" i="5"/>
  <c r="B4552" i="5"/>
  <c r="E4551" i="5"/>
  <c r="B4551" i="5"/>
  <c r="E4550" i="5"/>
  <c r="B4550" i="5"/>
  <c r="E4549" i="5"/>
  <c r="B4549" i="5"/>
  <c r="E4548" i="5"/>
  <c r="B4548" i="5"/>
  <c r="E4547" i="5"/>
  <c r="B4547" i="5"/>
  <c r="E4546" i="5"/>
  <c r="B4546" i="5"/>
  <c r="E4545" i="5"/>
  <c r="B4545" i="5"/>
  <c r="E4544" i="5"/>
  <c r="B4544" i="5"/>
  <c r="E4543" i="5"/>
  <c r="B4543" i="5"/>
  <c r="E4542" i="5"/>
  <c r="B4542" i="5"/>
  <c r="E4541" i="5"/>
  <c r="B4541" i="5"/>
  <c r="E4540" i="5"/>
  <c r="B4540" i="5"/>
  <c r="E4539" i="5"/>
  <c r="B4539" i="5"/>
  <c r="E4538" i="5"/>
  <c r="B4538" i="5"/>
  <c r="E4537" i="5"/>
  <c r="B4537" i="5"/>
  <c r="E4536" i="5"/>
  <c r="B4536" i="5"/>
  <c r="E4535" i="5"/>
  <c r="B4535" i="5"/>
  <c r="E4534" i="5"/>
  <c r="B4534" i="5"/>
  <c r="E4533" i="5"/>
  <c r="B4533" i="5"/>
  <c r="E4532" i="5"/>
  <c r="B4532" i="5"/>
  <c r="E4531" i="5"/>
  <c r="B4531" i="5"/>
  <c r="E4530" i="5"/>
  <c r="B4530" i="5"/>
  <c r="E4529" i="5"/>
  <c r="B4529" i="5"/>
  <c r="E4528" i="5"/>
  <c r="B4528" i="5"/>
  <c r="E4527" i="5"/>
  <c r="B4527" i="5"/>
  <c r="E4526" i="5"/>
  <c r="B4526" i="5"/>
  <c r="E4525" i="5"/>
  <c r="B4525" i="5"/>
  <c r="E4524" i="5"/>
  <c r="B4524" i="5"/>
  <c r="E4523" i="5"/>
  <c r="B4523" i="5"/>
  <c r="E4522" i="5"/>
  <c r="B4522" i="5"/>
  <c r="E4521" i="5"/>
  <c r="B4521" i="5"/>
  <c r="E4520" i="5"/>
  <c r="B4520" i="5"/>
  <c r="E4519" i="5"/>
  <c r="B4519" i="5"/>
  <c r="E4518" i="5"/>
  <c r="B4518" i="5"/>
  <c r="E4517" i="5"/>
  <c r="B4517" i="5"/>
  <c r="E4516" i="5"/>
  <c r="B4516" i="5"/>
  <c r="E4515" i="5"/>
  <c r="B4515" i="5"/>
  <c r="E4514" i="5"/>
  <c r="B4514" i="5"/>
  <c r="E4513" i="5"/>
  <c r="B4513" i="5"/>
  <c r="E4512" i="5"/>
  <c r="B4512" i="5"/>
  <c r="E4511" i="5"/>
  <c r="B4511" i="5"/>
  <c r="E4510" i="5"/>
  <c r="B4510" i="5"/>
  <c r="E4509" i="5"/>
  <c r="B4509" i="5"/>
  <c r="E4508" i="5"/>
  <c r="B4508" i="5"/>
  <c r="E4507" i="5"/>
  <c r="B4507" i="5"/>
  <c r="E4506" i="5"/>
  <c r="B4506" i="5"/>
  <c r="E4505" i="5"/>
  <c r="B4505" i="5"/>
  <c r="E4504" i="5"/>
  <c r="B4504" i="5"/>
  <c r="E4503" i="5"/>
  <c r="B4503" i="5"/>
  <c r="E4502" i="5"/>
  <c r="B4502" i="5"/>
  <c r="E4501" i="5"/>
  <c r="B4501" i="5"/>
  <c r="E4500" i="5"/>
  <c r="B4500" i="5"/>
  <c r="E4499" i="5"/>
  <c r="B4499" i="5"/>
  <c r="E4498" i="5"/>
  <c r="B4498" i="5"/>
  <c r="E4497" i="5"/>
  <c r="B4497" i="5"/>
  <c r="E4496" i="5"/>
  <c r="B4496" i="5"/>
  <c r="E4495" i="5"/>
  <c r="B4495" i="5"/>
  <c r="E4494" i="5"/>
  <c r="B4494" i="5"/>
  <c r="E4493" i="5"/>
  <c r="B4493" i="5"/>
  <c r="E4492" i="5"/>
  <c r="B4492" i="5"/>
  <c r="E4491" i="5"/>
  <c r="B4491" i="5"/>
  <c r="E4490" i="5"/>
  <c r="B4490" i="5"/>
  <c r="E4489" i="5"/>
  <c r="B4489" i="5"/>
  <c r="E4488" i="5"/>
  <c r="B4488" i="5"/>
  <c r="E4487" i="5"/>
  <c r="B4487" i="5"/>
  <c r="E4486" i="5"/>
  <c r="B4486" i="5"/>
  <c r="E4485" i="5"/>
  <c r="B4485" i="5"/>
  <c r="E4484" i="5"/>
  <c r="B4484" i="5"/>
  <c r="E4483" i="5"/>
  <c r="B4483" i="5"/>
  <c r="E4482" i="5"/>
  <c r="B4482" i="5"/>
  <c r="E4481" i="5"/>
  <c r="B4481" i="5"/>
  <c r="E4480" i="5"/>
  <c r="B4480" i="5"/>
  <c r="E4479" i="5"/>
  <c r="B4479" i="5"/>
  <c r="E4478" i="5"/>
  <c r="B4478" i="5"/>
  <c r="E4477" i="5"/>
  <c r="B4477" i="5"/>
  <c r="E4476" i="5"/>
  <c r="B4476" i="5"/>
  <c r="E4475" i="5"/>
  <c r="B4475" i="5"/>
  <c r="E4474" i="5"/>
  <c r="B4474" i="5"/>
  <c r="E4473" i="5"/>
  <c r="B4473" i="5"/>
  <c r="E4472" i="5"/>
  <c r="B4472" i="5"/>
  <c r="E4471" i="5"/>
  <c r="B4471" i="5"/>
  <c r="E4470" i="5"/>
  <c r="B4470" i="5"/>
  <c r="E4469" i="5"/>
  <c r="B4469" i="5"/>
  <c r="E4468" i="5"/>
  <c r="B4468" i="5"/>
  <c r="E4467" i="5"/>
  <c r="B4467" i="5"/>
  <c r="E4466" i="5"/>
  <c r="B4466" i="5"/>
  <c r="E4465" i="5"/>
  <c r="B4465" i="5"/>
  <c r="E4464" i="5"/>
  <c r="B4464" i="5"/>
  <c r="E4463" i="5"/>
  <c r="B4463" i="5"/>
  <c r="E4462" i="5"/>
  <c r="B4462" i="5"/>
  <c r="E4461" i="5"/>
  <c r="B4461" i="5"/>
  <c r="E4460" i="5"/>
  <c r="B4460" i="5"/>
  <c r="E4459" i="5"/>
  <c r="B4459" i="5"/>
  <c r="E4458" i="5"/>
  <c r="B4458" i="5"/>
  <c r="E4457" i="5"/>
  <c r="B4457" i="5"/>
  <c r="E4456" i="5"/>
  <c r="B4456" i="5"/>
  <c r="E4455" i="5"/>
  <c r="B4455" i="5"/>
  <c r="E4454" i="5"/>
  <c r="B4454" i="5"/>
  <c r="E4453" i="5"/>
  <c r="B4453" i="5"/>
  <c r="E4452" i="5"/>
  <c r="B4452" i="5"/>
  <c r="E4451" i="5"/>
  <c r="B4451" i="5"/>
  <c r="E4450" i="5"/>
  <c r="B4450" i="5"/>
  <c r="E4449" i="5"/>
  <c r="B4449" i="5"/>
  <c r="E4448" i="5"/>
  <c r="B4448" i="5"/>
  <c r="E4447" i="5"/>
  <c r="B4447" i="5"/>
  <c r="E4446" i="5"/>
  <c r="B4446" i="5"/>
  <c r="E4445" i="5"/>
  <c r="B4445" i="5"/>
  <c r="E4444" i="5"/>
  <c r="B4444" i="5"/>
  <c r="E4443" i="5"/>
  <c r="B4443" i="5"/>
  <c r="E4442" i="5"/>
  <c r="B4442" i="5"/>
  <c r="E4441" i="5"/>
  <c r="B4441" i="5"/>
  <c r="E4440" i="5"/>
  <c r="B4440" i="5"/>
  <c r="E4439" i="5"/>
  <c r="B4439" i="5"/>
  <c r="E4438" i="5"/>
  <c r="B4438" i="5"/>
  <c r="E4437" i="5"/>
  <c r="B4437" i="5"/>
  <c r="E4436" i="5"/>
  <c r="B4436" i="5"/>
  <c r="E4435" i="5"/>
  <c r="B4435" i="5"/>
  <c r="E4434" i="5"/>
  <c r="B4434" i="5"/>
  <c r="E4433" i="5"/>
  <c r="B4433" i="5"/>
  <c r="E4432" i="5"/>
  <c r="B4432" i="5"/>
  <c r="E4431" i="5"/>
  <c r="B4431" i="5"/>
  <c r="E4430" i="5"/>
  <c r="B4430" i="5"/>
  <c r="E4429" i="5"/>
  <c r="B4429" i="5"/>
  <c r="E4428" i="5"/>
  <c r="B4428" i="5"/>
  <c r="E4427" i="5"/>
  <c r="B4427" i="5"/>
  <c r="E4426" i="5"/>
  <c r="B4426" i="5"/>
  <c r="E4425" i="5"/>
  <c r="B4425" i="5"/>
  <c r="E4424" i="5"/>
  <c r="B4424" i="5"/>
  <c r="E4423" i="5"/>
  <c r="B4423" i="5"/>
  <c r="E4422" i="5"/>
  <c r="B4422" i="5"/>
  <c r="E4421" i="5"/>
  <c r="B4421" i="5"/>
  <c r="E4420" i="5"/>
  <c r="B4420" i="5"/>
  <c r="E4419" i="5"/>
  <c r="B4419" i="5"/>
  <c r="E4418" i="5"/>
  <c r="B4418" i="5"/>
  <c r="E4417" i="5"/>
  <c r="B4417" i="5"/>
  <c r="E4416" i="5"/>
  <c r="B4416" i="5"/>
  <c r="E4415" i="5"/>
  <c r="B4415" i="5"/>
  <c r="E4414" i="5"/>
  <c r="B4414" i="5"/>
  <c r="E4413" i="5"/>
  <c r="B4413" i="5"/>
  <c r="E4412" i="5"/>
  <c r="B4412" i="5"/>
  <c r="E4411" i="5"/>
  <c r="B4411" i="5"/>
  <c r="E4410" i="5"/>
  <c r="B4410" i="5"/>
  <c r="E4409" i="5"/>
  <c r="B4409" i="5"/>
  <c r="E4408" i="5"/>
  <c r="B4408" i="5"/>
  <c r="E4407" i="5"/>
  <c r="B4407" i="5"/>
  <c r="E4406" i="5"/>
  <c r="B4406" i="5"/>
  <c r="E4405" i="5"/>
  <c r="B4405" i="5"/>
  <c r="E4404" i="5"/>
  <c r="B4404" i="5"/>
  <c r="E4403" i="5"/>
  <c r="B4403" i="5"/>
  <c r="E4402" i="5"/>
  <c r="B4402" i="5"/>
  <c r="E4401" i="5"/>
  <c r="B4401" i="5"/>
  <c r="E4400" i="5"/>
  <c r="B4400" i="5"/>
  <c r="E4399" i="5"/>
  <c r="B4399" i="5"/>
  <c r="E4398" i="5"/>
  <c r="B4398" i="5"/>
  <c r="E4397" i="5"/>
  <c r="B4397" i="5"/>
  <c r="E4396" i="5"/>
  <c r="B4396" i="5"/>
  <c r="E4395" i="5"/>
  <c r="B4395" i="5"/>
  <c r="E4394" i="5"/>
  <c r="B4394" i="5"/>
  <c r="E4393" i="5"/>
  <c r="B4393" i="5"/>
  <c r="E4392" i="5"/>
  <c r="B4392" i="5"/>
  <c r="E4391" i="5"/>
  <c r="B4391" i="5"/>
  <c r="E4390" i="5"/>
  <c r="B4390" i="5"/>
  <c r="E4389" i="5"/>
  <c r="B4389" i="5"/>
  <c r="E4388" i="5"/>
  <c r="B4388" i="5"/>
  <c r="E4387" i="5"/>
  <c r="B4387" i="5"/>
  <c r="E4386" i="5"/>
  <c r="B4386" i="5"/>
  <c r="E4385" i="5"/>
  <c r="B4385" i="5"/>
  <c r="E4384" i="5"/>
  <c r="B4384" i="5"/>
  <c r="E4383" i="5"/>
  <c r="B4383" i="5"/>
  <c r="E4382" i="5"/>
  <c r="B4382" i="5"/>
  <c r="E4381" i="5"/>
  <c r="B4381" i="5"/>
  <c r="E4380" i="5"/>
  <c r="B4380" i="5"/>
  <c r="E4379" i="5"/>
  <c r="B4379" i="5"/>
  <c r="E4378" i="5"/>
  <c r="B4378" i="5"/>
  <c r="E4377" i="5"/>
  <c r="B4377" i="5"/>
  <c r="E4376" i="5"/>
  <c r="B4376" i="5"/>
  <c r="E4375" i="5"/>
  <c r="B4375" i="5"/>
  <c r="E4374" i="5"/>
  <c r="B4374" i="5"/>
  <c r="E4373" i="5"/>
  <c r="B4373" i="5"/>
  <c r="E4372" i="5"/>
  <c r="B4372" i="5"/>
  <c r="E4371" i="5"/>
  <c r="B4371" i="5"/>
  <c r="E4370" i="5"/>
  <c r="B4370" i="5"/>
  <c r="E4369" i="5"/>
  <c r="B4369" i="5"/>
  <c r="E4368" i="5"/>
  <c r="B4368" i="5"/>
  <c r="E4367" i="5"/>
  <c r="B4367" i="5"/>
  <c r="E4366" i="5"/>
  <c r="B4366" i="5"/>
  <c r="E4365" i="5"/>
  <c r="B4365" i="5"/>
  <c r="E4364" i="5"/>
  <c r="B4364" i="5"/>
  <c r="E4363" i="5"/>
  <c r="B4363" i="5"/>
  <c r="E4362" i="5"/>
  <c r="B4362" i="5"/>
  <c r="E4361" i="5"/>
  <c r="B4361" i="5"/>
  <c r="E4360" i="5"/>
  <c r="B4360" i="5"/>
  <c r="E4359" i="5"/>
  <c r="B4359" i="5"/>
  <c r="E4358" i="5"/>
  <c r="B4358" i="5"/>
  <c r="E4357" i="5"/>
  <c r="B4357" i="5"/>
  <c r="E4356" i="5"/>
  <c r="B4356" i="5"/>
  <c r="E4355" i="5"/>
  <c r="B4355" i="5"/>
  <c r="E4354" i="5"/>
  <c r="B4354" i="5"/>
  <c r="E4353" i="5"/>
  <c r="B4353" i="5"/>
  <c r="E4352" i="5"/>
  <c r="B4352" i="5"/>
  <c r="E4351" i="5"/>
  <c r="B4351" i="5"/>
  <c r="E4350" i="5"/>
  <c r="B4350" i="5"/>
  <c r="E4349" i="5"/>
  <c r="B4349" i="5"/>
  <c r="E4348" i="5"/>
  <c r="B4348" i="5"/>
  <c r="E4347" i="5"/>
  <c r="B4347" i="5"/>
  <c r="E4346" i="5"/>
  <c r="B4346" i="5"/>
  <c r="E4345" i="5"/>
  <c r="B4345" i="5"/>
  <c r="E4344" i="5"/>
  <c r="B4344" i="5"/>
  <c r="E4343" i="5"/>
  <c r="B4343" i="5"/>
  <c r="E4342" i="5"/>
  <c r="B4342" i="5"/>
  <c r="E4341" i="5"/>
  <c r="B4341" i="5"/>
  <c r="E4340" i="5"/>
  <c r="B4340" i="5"/>
  <c r="E4339" i="5"/>
  <c r="B4339" i="5"/>
  <c r="E4338" i="5"/>
  <c r="B4338" i="5"/>
  <c r="E4337" i="5"/>
  <c r="B4337" i="5"/>
  <c r="E4336" i="5"/>
  <c r="B4336" i="5"/>
  <c r="E4335" i="5"/>
  <c r="B4335" i="5"/>
  <c r="E4334" i="5"/>
  <c r="B4334" i="5"/>
  <c r="E4333" i="5"/>
  <c r="B4333" i="5"/>
  <c r="E4332" i="5"/>
  <c r="B4332" i="5"/>
  <c r="E4331" i="5"/>
  <c r="B4331" i="5"/>
  <c r="E4330" i="5"/>
  <c r="B4330" i="5"/>
  <c r="E4329" i="5"/>
  <c r="B4329" i="5"/>
  <c r="E4328" i="5"/>
  <c r="B4328" i="5"/>
  <c r="E4327" i="5"/>
  <c r="B4327" i="5"/>
  <c r="E4326" i="5"/>
  <c r="B4326" i="5"/>
  <c r="E4325" i="5"/>
  <c r="B4325" i="5"/>
  <c r="E4324" i="5"/>
  <c r="B4324" i="5"/>
  <c r="E4323" i="5"/>
  <c r="B4323" i="5"/>
  <c r="E4322" i="5"/>
  <c r="B4322" i="5"/>
  <c r="E4321" i="5"/>
  <c r="B4321" i="5"/>
  <c r="E4320" i="5"/>
  <c r="B4320" i="5"/>
  <c r="E4319" i="5"/>
  <c r="B4319" i="5"/>
  <c r="E4318" i="5"/>
  <c r="B4318" i="5"/>
  <c r="E4317" i="5"/>
  <c r="B4317" i="5"/>
  <c r="E4316" i="5"/>
  <c r="B4316" i="5"/>
  <c r="E4315" i="5"/>
  <c r="B4315" i="5"/>
  <c r="E4314" i="5"/>
  <c r="B4314" i="5"/>
  <c r="E4313" i="5"/>
  <c r="B4313" i="5"/>
  <c r="E4312" i="5"/>
  <c r="B4312" i="5"/>
  <c r="E4311" i="5"/>
  <c r="B4311" i="5"/>
  <c r="E4310" i="5"/>
  <c r="B4310" i="5"/>
  <c r="E4309" i="5"/>
  <c r="B4309" i="5"/>
  <c r="E4308" i="5"/>
  <c r="B4308" i="5"/>
  <c r="E4307" i="5"/>
  <c r="B4307" i="5"/>
  <c r="E4306" i="5"/>
  <c r="B4306" i="5"/>
  <c r="E4305" i="5"/>
  <c r="B4305" i="5"/>
  <c r="E4304" i="5"/>
  <c r="B4304" i="5"/>
  <c r="E4303" i="5"/>
  <c r="B4303" i="5"/>
  <c r="E4302" i="5"/>
  <c r="B4302" i="5"/>
  <c r="E4301" i="5"/>
  <c r="B4301" i="5"/>
  <c r="E4300" i="5"/>
  <c r="B4300" i="5"/>
  <c r="E4299" i="5"/>
  <c r="B4299" i="5"/>
  <c r="E4298" i="5"/>
  <c r="B4298" i="5"/>
  <c r="E4297" i="5"/>
  <c r="B4297" i="5"/>
  <c r="E4296" i="5"/>
  <c r="B4296" i="5"/>
  <c r="E4295" i="5"/>
  <c r="B4295" i="5"/>
  <c r="E4294" i="5"/>
  <c r="B4294" i="5"/>
  <c r="E4293" i="5"/>
  <c r="B4293" i="5"/>
  <c r="E4292" i="5"/>
  <c r="B4292" i="5"/>
  <c r="E4291" i="5"/>
  <c r="B4291" i="5"/>
  <c r="E4290" i="5"/>
  <c r="B4290" i="5"/>
  <c r="E4289" i="5"/>
  <c r="B4289" i="5"/>
  <c r="E4288" i="5"/>
  <c r="B4288" i="5"/>
  <c r="E4287" i="5"/>
  <c r="B4287" i="5"/>
  <c r="E4286" i="5"/>
  <c r="B4286" i="5"/>
  <c r="E4285" i="5"/>
  <c r="B4285" i="5"/>
  <c r="E4284" i="5"/>
  <c r="B4284" i="5"/>
  <c r="E4283" i="5"/>
  <c r="B4283" i="5"/>
  <c r="E4282" i="5"/>
  <c r="B4282" i="5"/>
  <c r="E4281" i="5"/>
  <c r="B4281" i="5"/>
  <c r="E4280" i="5"/>
  <c r="B4280" i="5"/>
  <c r="E4279" i="5"/>
  <c r="B4279" i="5"/>
  <c r="E4278" i="5"/>
  <c r="B4278" i="5"/>
  <c r="E4277" i="5"/>
  <c r="B4277" i="5"/>
  <c r="E4276" i="5"/>
  <c r="B4276" i="5"/>
  <c r="E4275" i="5"/>
  <c r="B4275" i="5"/>
  <c r="E4274" i="5"/>
  <c r="B4274" i="5"/>
  <c r="E4273" i="5"/>
  <c r="B4273" i="5"/>
  <c r="E4272" i="5"/>
  <c r="B4272" i="5"/>
  <c r="E4271" i="5"/>
  <c r="B4271" i="5"/>
  <c r="E4270" i="5"/>
  <c r="B4270" i="5"/>
  <c r="E4269" i="5"/>
  <c r="B4269" i="5"/>
  <c r="E4268" i="5"/>
  <c r="B4268" i="5"/>
  <c r="E4267" i="5"/>
  <c r="B4267" i="5"/>
  <c r="E4266" i="5"/>
  <c r="B4266" i="5"/>
  <c r="E4265" i="5"/>
  <c r="B4265" i="5"/>
  <c r="E4264" i="5"/>
  <c r="B4264" i="5"/>
  <c r="E4263" i="5"/>
  <c r="B4263" i="5"/>
  <c r="E4262" i="5"/>
  <c r="B4262" i="5"/>
  <c r="E4261" i="5"/>
  <c r="B4261" i="5"/>
  <c r="E4260" i="5"/>
  <c r="B4260" i="5"/>
  <c r="E4259" i="5"/>
  <c r="B4259" i="5"/>
  <c r="E4258" i="5"/>
  <c r="B4258" i="5"/>
  <c r="E4257" i="5"/>
  <c r="B4257" i="5"/>
  <c r="E4256" i="5"/>
  <c r="B4256" i="5"/>
  <c r="E4255" i="5"/>
  <c r="B4255" i="5"/>
  <c r="E4254" i="5"/>
  <c r="B4254" i="5"/>
  <c r="E4253" i="5"/>
  <c r="B4253" i="5"/>
  <c r="E4252" i="5"/>
  <c r="B4252" i="5"/>
  <c r="E4251" i="5"/>
  <c r="B4251" i="5"/>
  <c r="E4250" i="5"/>
  <c r="B4250" i="5"/>
  <c r="E4249" i="5"/>
  <c r="B4249" i="5"/>
  <c r="E4248" i="5"/>
  <c r="B4248" i="5"/>
  <c r="E4247" i="5"/>
  <c r="B4247" i="5"/>
  <c r="E4246" i="5"/>
  <c r="B4246" i="5"/>
  <c r="E4245" i="5"/>
  <c r="B4245" i="5"/>
  <c r="E4244" i="5"/>
  <c r="B4244" i="5"/>
  <c r="E4243" i="5"/>
  <c r="B4243" i="5"/>
  <c r="E4242" i="5"/>
  <c r="B4242" i="5"/>
  <c r="E4241" i="5"/>
  <c r="B4241" i="5"/>
  <c r="E4240" i="5"/>
  <c r="B4240" i="5"/>
  <c r="E4239" i="5"/>
  <c r="B4239" i="5"/>
  <c r="E4238" i="5"/>
  <c r="B4238" i="5"/>
  <c r="E4237" i="5"/>
  <c r="B4237" i="5"/>
  <c r="E4236" i="5"/>
  <c r="B4236" i="5"/>
  <c r="E4235" i="5"/>
  <c r="B4235" i="5"/>
  <c r="E4234" i="5"/>
  <c r="B4234" i="5"/>
  <c r="E4233" i="5"/>
  <c r="B4233" i="5"/>
  <c r="E4232" i="5"/>
  <c r="B4232" i="5"/>
  <c r="E4231" i="5"/>
  <c r="B4231" i="5"/>
  <c r="E4230" i="5"/>
  <c r="B4230" i="5"/>
  <c r="E4229" i="5"/>
  <c r="B4229" i="5"/>
  <c r="E4228" i="5"/>
  <c r="B4228" i="5"/>
  <c r="E4227" i="5"/>
  <c r="B4227" i="5"/>
  <c r="E4226" i="5"/>
  <c r="B4226" i="5"/>
  <c r="E4225" i="5"/>
  <c r="B4225" i="5"/>
  <c r="E4224" i="5"/>
  <c r="B4224" i="5"/>
  <c r="E4223" i="5"/>
  <c r="B4223" i="5"/>
  <c r="E4222" i="5"/>
  <c r="B4222" i="5"/>
  <c r="E4221" i="5"/>
  <c r="B4221" i="5"/>
  <c r="E4220" i="5"/>
  <c r="B4220" i="5"/>
  <c r="E4219" i="5"/>
  <c r="B4219" i="5"/>
  <c r="E4218" i="5"/>
  <c r="B4218" i="5"/>
  <c r="E4217" i="5"/>
  <c r="B4217" i="5"/>
  <c r="E4216" i="5"/>
  <c r="B4216" i="5"/>
  <c r="E4215" i="5"/>
  <c r="B4215" i="5"/>
  <c r="E4214" i="5"/>
  <c r="B4214" i="5"/>
  <c r="E4213" i="5"/>
  <c r="B4213" i="5"/>
  <c r="E4212" i="5"/>
  <c r="B4212" i="5"/>
  <c r="E4211" i="5"/>
  <c r="B4211" i="5"/>
  <c r="E4210" i="5"/>
  <c r="B4210" i="5"/>
  <c r="E4209" i="5"/>
  <c r="B4209" i="5"/>
  <c r="E4208" i="5"/>
  <c r="B4208" i="5"/>
  <c r="E4207" i="5"/>
  <c r="B4207" i="5"/>
  <c r="E4206" i="5"/>
  <c r="B4206" i="5"/>
  <c r="E4205" i="5"/>
  <c r="B4205" i="5"/>
  <c r="E4204" i="5"/>
  <c r="B4204" i="5"/>
  <c r="E4203" i="5"/>
  <c r="B4203" i="5"/>
  <c r="E4202" i="5"/>
  <c r="B4202" i="5"/>
  <c r="E4201" i="5"/>
  <c r="B4201" i="5"/>
  <c r="E4200" i="5"/>
  <c r="B4200" i="5"/>
  <c r="E4199" i="5"/>
  <c r="B4199" i="5"/>
  <c r="E4198" i="5"/>
  <c r="B4198" i="5"/>
  <c r="E4197" i="5"/>
  <c r="B4197" i="5"/>
  <c r="E4196" i="5"/>
  <c r="B4196" i="5"/>
  <c r="E4195" i="5"/>
  <c r="B4195" i="5"/>
  <c r="E4194" i="5"/>
  <c r="B4194" i="5"/>
  <c r="E4193" i="5"/>
  <c r="B4193" i="5"/>
  <c r="E4192" i="5"/>
  <c r="B4192" i="5"/>
  <c r="E4191" i="5"/>
  <c r="B4191" i="5"/>
  <c r="E4190" i="5"/>
  <c r="B4190" i="5"/>
  <c r="E4189" i="5"/>
  <c r="B4189" i="5"/>
  <c r="E4188" i="5"/>
  <c r="B4188" i="5"/>
  <c r="E4187" i="5"/>
  <c r="B4187" i="5"/>
  <c r="E4186" i="5"/>
  <c r="B4186" i="5"/>
  <c r="E4185" i="5"/>
  <c r="B4185" i="5"/>
  <c r="E4184" i="5"/>
  <c r="B4184" i="5"/>
  <c r="E4183" i="5"/>
  <c r="B4183" i="5"/>
  <c r="E4182" i="5"/>
  <c r="B4182" i="5"/>
  <c r="E4181" i="5"/>
  <c r="B4181" i="5"/>
  <c r="E4180" i="5"/>
  <c r="B4180" i="5"/>
  <c r="E4179" i="5"/>
  <c r="B4179" i="5"/>
  <c r="E4178" i="5"/>
  <c r="B4178" i="5"/>
  <c r="E4177" i="5"/>
  <c r="B4177" i="5"/>
  <c r="E4176" i="5"/>
  <c r="B4176" i="5"/>
  <c r="E4175" i="5"/>
  <c r="B4175" i="5"/>
  <c r="E4174" i="5"/>
  <c r="B4174" i="5"/>
  <c r="E4173" i="5"/>
  <c r="B4173" i="5"/>
  <c r="E4172" i="5"/>
  <c r="B4172" i="5"/>
  <c r="E4171" i="5"/>
  <c r="B4171" i="5"/>
  <c r="E4170" i="5"/>
  <c r="B4170" i="5"/>
  <c r="E4169" i="5"/>
  <c r="B4169" i="5"/>
  <c r="E4168" i="5"/>
  <c r="B4168" i="5"/>
  <c r="E4167" i="5"/>
  <c r="B4167" i="5"/>
  <c r="E4166" i="5"/>
  <c r="B4166" i="5"/>
  <c r="E4165" i="5"/>
  <c r="B4165" i="5"/>
  <c r="E4164" i="5"/>
  <c r="B4164" i="5"/>
  <c r="E4163" i="5"/>
  <c r="B4163" i="5"/>
  <c r="E4162" i="5"/>
  <c r="B4162" i="5"/>
  <c r="E4161" i="5"/>
  <c r="B4161" i="5"/>
  <c r="E4160" i="5"/>
  <c r="B4160" i="5"/>
  <c r="E4159" i="5"/>
  <c r="B4159" i="5"/>
  <c r="E4158" i="5"/>
  <c r="B4158" i="5"/>
  <c r="E4157" i="5"/>
  <c r="B4157" i="5"/>
  <c r="E4156" i="5"/>
  <c r="B4156" i="5"/>
  <c r="E4155" i="5"/>
  <c r="B4155" i="5"/>
  <c r="E4154" i="5"/>
  <c r="B4154" i="5"/>
  <c r="E4153" i="5"/>
  <c r="B4153" i="5"/>
  <c r="E4152" i="5"/>
  <c r="B4152" i="5"/>
  <c r="E4151" i="5"/>
  <c r="B4151" i="5"/>
  <c r="E4150" i="5"/>
  <c r="B4150" i="5"/>
  <c r="E4149" i="5"/>
  <c r="B4149" i="5"/>
  <c r="E4148" i="5"/>
  <c r="B4148" i="5"/>
  <c r="E4147" i="5"/>
  <c r="B4147" i="5"/>
  <c r="E4146" i="5"/>
  <c r="B4146" i="5"/>
  <c r="E4145" i="5"/>
  <c r="B4145" i="5"/>
  <c r="E4144" i="5"/>
  <c r="B4144" i="5"/>
  <c r="E4143" i="5"/>
  <c r="B4143" i="5"/>
  <c r="E4142" i="5"/>
  <c r="B4142" i="5"/>
  <c r="E4141" i="5"/>
  <c r="B4141" i="5"/>
  <c r="E4140" i="5"/>
  <c r="B4140" i="5"/>
  <c r="E4139" i="5"/>
  <c r="B4139" i="5"/>
  <c r="E4138" i="5"/>
  <c r="B4138" i="5"/>
  <c r="E4137" i="5"/>
  <c r="B4137" i="5"/>
  <c r="E4136" i="5"/>
  <c r="B4136" i="5"/>
  <c r="E4135" i="5"/>
  <c r="B4135" i="5"/>
  <c r="E4134" i="5"/>
  <c r="B4134" i="5"/>
  <c r="E4133" i="5"/>
  <c r="B4133" i="5"/>
  <c r="E4132" i="5"/>
  <c r="B4132" i="5"/>
  <c r="E4131" i="5"/>
  <c r="B4131" i="5"/>
  <c r="E4130" i="5"/>
  <c r="B4130" i="5"/>
  <c r="E4129" i="5"/>
  <c r="B4129" i="5"/>
  <c r="E4128" i="5"/>
  <c r="B4128" i="5"/>
  <c r="E4127" i="5"/>
  <c r="B4127" i="5"/>
  <c r="E4126" i="5"/>
  <c r="B4126" i="5"/>
  <c r="E4125" i="5"/>
  <c r="B4125" i="5"/>
  <c r="E4124" i="5"/>
  <c r="B4124" i="5"/>
  <c r="E4123" i="5"/>
  <c r="B4123" i="5"/>
  <c r="E4122" i="5"/>
  <c r="B4122" i="5"/>
  <c r="E4121" i="5"/>
  <c r="B4121" i="5"/>
  <c r="E4120" i="5"/>
  <c r="B4120" i="5"/>
  <c r="E4119" i="5"/>
  <c r="B4119" i="5"/>
  <c r="E4118" i="5"/>
  <c r="B4118" i="5"/>
  <c r="E4117" i="5"/>
  <c r="B4117" i="5"/>
  <c r="E4116" i="5"/>
  <c r="B4116" i="5"/>
  <c r="E4115" i="5"/>
  <c r="B4115" i="5"/>
  <c r="E4114" i="5"/>
  <c r="B4114" i="5"/>
  <c r="E4113" i="5"/>
  <c r="B4113" i="5"/>
  <c r="E4112" i="5"/>
  <c r="B4112" i="5"/>
  <c r="E4111" i="5"/>
  <c r="B4111" i="5"/>
  <c r="E4110" i="5"/>
  <c r="B4110" i="5"/>
  <c r="E4109" i="5"/>
  <c r="B4109" i="5"/>
  <c r="E4108" i="5"/>
  <c r="B4108" i="5"/>
  <c r="E4107" i="5"/>
  <c r="B4107" i="5"/>
  <c r="E4106" i="5"/>
  <c r="B4106" i="5"/>
  <c r="E4105" i="5"/>
  <c r="B4105" i="5"/>
  <c r="E4104" i="5"/>
  <c r="B4104" i="5"/>
  <c r="E4103" i="5"/>
  <c r="B4103" i="5"/>
  <c r="E4102" i="5"/>
  <c r="B4102" i="5"/>
  <c r="E4101" i="5"/>
  <c r="B4101" i="5"/>
  <c r="E4100" i="5"/>
  <c r="B4100" i="5"/>
  <c r="E4099" i="5"/>
  <c r="B4099" i="5"/>
  <c r="E4098" i="5"/>
  <c r="B4098" i="5"/>
  <c r="E4097" i="5"/>
  <c r="B4097" i="5"/>
  <c r="E4096" i="5"/>
  <c r="B4096" i="5"/>
  <c r="E4095" i="5"/>
  <c r="B4095" i="5"/>
  <c r="E4094" i="5"/>
  <c r="B4094" i="5"/>
  <c r="E4093" i="5"/>
  <c r="B4093" i="5"/>
  <c r="E4092" i="5"/>
  <c r="B4092" i="5"/>
  <c r="E4091" i="5"/>
  <c r="B4091" i="5"/>
  <c r="E4090" i="5"/>
  <c r="B4090" i="5"/>
  <c r="E4089" i="5"/>
  <c r="B4089" i="5"/>
  <c r="E4088" i="5"/>
  <c r="B4088" i="5"/>
  <c r="E4087" i="5"/>
  <c r="B4087" i="5"/>
  <c r="E4086" i="5"/>
  <c r="B4086" i="5"/>
  <c r="E4085" i="5"/>
  <c r="B4085" i="5"/>
  <c r="E4084" i="5"/>
  <c r="B4084" i="5"/>
  <c r="E4083" i="5"/>
  <c r="B4083" i="5"/>
  <c r="E4082" i="5"/>
  <c r="B4082" i="5"/>
  <c r="E4081" i="5"/>
  <c r="B4081" i="5"/>
  <c r="E4080" i="5"/>
  <c r="B4080" i="5"/>
  <c r="E4079" i="5"/>
  <c r="B4079" i="5"/>
  <c r="E4078" i="5"/>
  <c r="B4078" i="5"/>
  <c r="E4077" i="5"/>
  <c r="B4077" i="5"/>
  <c r="E4076" i="5"/>
  <c r="B4076" i="5"/>
  <c r="E4075" i="5"/>
  <c r="B4075" i="5"/>
  <c r="E4074" i="5"/>
  <c r="B4074" i="5"/>
  <c r="E4073" i="5"/>
  <c r="B4073" i="5"/>
  <c r="E4072" i="5"/>
  <c r="B4072" i="5"/>
  <c r="E4071" i="5"/>
  <c r="B4071" i="5"/>
  <c r="E4070" i="5"/>
  <c r="B4070" i="5"/>
  <c r="E4069" i="5"/>
  <c r="B4069" i="5"/>
  <c r="E4068" i="5"/>
  <c r="B4068" i="5"/>
  <c r="E4067" i="5"/>
  <c r="B4067" i="5"/>
  <c r="E4066" i="5"/>
  <c r="B4066" i="5"/>
  <c r="E4065" i="5"/>
  <c r="B4065" i="5"/>
  <c r="E4064" i="5"/>
  <c r="B4064" i="5"/>
  <c r="E4063" i="5"/>
  <c r="B4063" i="5"/>
  <c r="E4062" i="5"/>
  <c r="B4062" i="5"/>
  <c r="E4061" i="5"/>
  <c r="B4061" i="5"/>
  <c r="E4060" i="5"/>
  <c r="B4060" i="5"/>
  <c r="E4059" i="5"/>
  <c r="B4059" i="5"/>
  <c r="E4058" i="5"/>
  <c r="B4058" i="5"/>
  <c r="E4057" i="5"/>
  <c r="B4057" i="5"/>
  <c r="E4056" i="5"/>
  <c r="B4056" i="5"/>
  <c r="E4055" i="5"/>
  <c r="B4055" i="5"/>
  <c r="E4054" i="5"/>
  <c r="B4054" i="5"/>
  <c r="E4053" i="5"/>
  <c r="B4053" i="5"/>
  <c r="E4052" i="5"/>
  <c r="B4052" i="5"/>
  <c r="E4051" i="5"/>
  <c r="B4051" i="5"/>
  <c r="E4050" i="5"/>
  <c r="B4050" i="5"/>
  <c r="E4049" i="5"/>
  <c r="B4049" i="5"/>
  <c r="E4048" i="5"/>
  <c r="B4048" i="5"/>
  <c r="E4047" i="5"/>
  <c r="B4047" i="5"/>
  <c r="E4046" i="5"/>
  <c r="B4046" i="5"/>
  <c r="E4045" i="5"/>
  <c r="B4045" i="5"/>
  <c r="E4044" i="5"/>
  <c r="B4044" i="5"/>
  <c r="E4043" i="5"/>
  <c r="B4043" i="5"/>
  <c r="E4042" i="5"/>
  <c r="B4042" i="5"/>
  <c r="E4041" i="5"/>
  <c r="B4041" i="5"/>
  <c r="E4040" i="5"/>
  <c r="B4040" i="5"/>
  <c r="E4039" i="5"/>
  <c r="B4039" i="5"/>
  <c r="E4038" i="5"/>
  <c r="B4038" i="5"/>
  <c r="E4037" i="5"/>
  <c r="B4037" i="5"/>
  <c r="E4036" i="5"/>
  <c r="B4036" i="5"/>
  <c r="E4035" i="5"/>
  <c r="B4035" i="5"/>
  <c r="E4034" i="5"/>
  <c r="B4034" i="5"/>
  <c r="E4033" i="5"/>
  <c r="B4033" i="5"/>
  <c r="E4032" i="5"/>
  <c r="B4032" i="5"/>
  <c r="E4031" i="5"/>
  <c r="B4031" i="5"/>
  <c r="E4030" i="5"/>
  <c r="B4030" i="5"/>
  <c r="E4029" i="5"/>
  <c r="B4029" i="5"/>
  <c r="E4028" i="5"/>
  <c r="B4028" i="5"/>
  <c r="E4027" i="5"/>
  <c r="B4027" i="5"/>
  <c r="E4026" i="5"/>
  <c r="B4026" i="5"/>
  <c r="E4025" i="5"/>
  <c r="B4025" i="5"/>
  <c r="E4024" i="5"/>
  <c r="B4024" i="5"/>
  <c r="E4023" i="5"/>
  <c r="B4023" i="5"/>
  <c r="E4022" i="5"/>
  <c r="B4022" i="5"/>
  <c r="E4021" i="5"/>
  <c r="B4021" i="5"/>
  <c r="E4020" i="5"/>
  <c r="B4020" i="5"/>
  <c r="E4019" i="5"/>
  <c r="B4019" i="5"/>
  <c r="E4018" i="5"/>
  <c r="B4018" i="5"/>
  <c r="E4017" i="5"/>
  <c r="B4017" i="5"/>
  <c r="E4016" i="5"/>
  <c r="B4016" i="5"/>
  <c r="E4015" i="5"/>
  <c r="B4015" i="5"/>
  <c r="E4014" i="5"/>
  <c r="B4014" i="5"/>
  <c r="E4013" i="5"/>
  <c r="B4013" i="5"/>
  <c r="E4012" i="5"/>
  <c r="B4012" i="5"/>
  <c r="E4011" i="5"/>
  <c r="B4011" i="5"/>
  <c r="E4010" i="5"/>
  <c r="B4010" i="5"/>
  <c r="E4009" i="5"/>
  <c r="B4009" i="5"/>
  <c r="E4008" i="5"/>
  <c r="B4008" i="5"/>
  <c r="E4007" i="5"/>
  <c r="B4007" i="5"/>
  <c r="E4006" i="5"/>
  <c r="B4006" i="5"/>
  <c r="E4005" i="5"/>
  <c r="B4005" i="5"/>
  <c r="E4004" i="5"/>
  <c r="B4004" i="5"/>
  <c r="E4003" i="5"/>
  <c r="B4003" i="5"/>
  <c r="E4002" i="5"/>
  <c r="B4002" i="5"/>
  <c r="E4001" i="5"/>
  <c r="B4001" i="5"/>
  <c r="E4000" i="5"/>
  <c r="B4000" i="5"/>
  <c r="E3999" i="5"/>
  <c r="B3999" i="5"/>
  <c r="E3998" i="5"/>
  <c r="B3998" i="5"/>
  <c r="E3997" i="5"/>
  <c r="B3997" i="5"/>
  <c r="E3996" i="5"/>
  <c r="B3996" i="5"/>
  <c r="E3995" i="5"/>
  <c r="B3995" i="5"/>
  <c r="E3994" i="5"/>
  <c r="B3994" i="5"/>
  <c r="E3993" i="5"/>
  <c r="B3993" i="5"/>
  <c r="E3992" i="5"/>
  <c r="B3992" i="5"/>
  <c r="E3991" i="5"/>
  <c r="B3991" i="5"/>
  <c r="E3990" i="5"/>
  <c r="B3990" i="5"/>
  <c r="E3989" i="5"/>
  <c r="B3989" i="5"/>
  <c r="E3988" i="5"/>
  <c r="B3988" i="5"/>
  <c r="E3987" i="5"/>
  <c r="B3987" i="5"/>
  <c r="E3986" i="5"/>
  <c r="B3986" i="5"/>
  <c r="E3985" i="5"/>
  <c r="B3985" i="5"/>
  <c r="E3984" i="5"/>
  <c r="B3984" i="5"/>
  <c r="E3983" i="5"/>
  <c r="B3983" i="5"/>
  <c r="E3982" i="5"/>
  <c r="B3982" i="5"/>
  <c r="E3981" i="5"/>
  <c r="B3981" i="5"/>
  <c r="E3980" i="5"/>
  <c r="B3980" i="5"/>
  <c r="E3979" i="5"/>
  <c r="B3979" i="5"/>
  <c r="E3978" i="5"/>
  <c r="B3978" i="5"/>
  <c r="E3977" i="5"/>
  <c r="B3977" i="5"/>
  <c r="E3976" i="5"/>
  <c r="B3976" i="5"/>
  <c r="E3975" i="5"/>
  <c r="B3975" i="5"/>
  <c r="E3974" i="5"/>
  <c r="B3974" i="5"/>
  <c r="E3973" i="5"/>
  <c r="B3973" i="5"/>
  <c r="E3972" i="5"/>
  <c r="B3972" i="5"/>
  <c r="E3971" i="5"/>
  <c r="B3971" i="5"/>
  <c r="E3970" i="5"/>
  <c r="B3970" i="5"/>
  <c r="E3969" i="5"/>
  <c r="B3969" i="5"/>
  <c r="E3968" i="5"/>
  <c r="B3968" i="5"/>
  <c r="E3967" i="5"/>
  <c r="B3967" i="5"/>
  <c r="E3966" i="5"/>
  <c r="B3966" i="5"/>
  <c r="E3965" i="5"/>
  <c r="B3965" i="5"/>
  <c r="E3964" i="5"/>
  <c r="B3964" i="5"/>
  <c r="E3963" i="5"/>
  <c r="B3963" i="5"/>
  <c r="E3962" i="5"/>
  <c r="B3962" i="5"/>
  <c r="E3961" i="5"/>
  <c r="B3961" i="5"/>
  <c r="E3960" i="5"/>
  <c r="B3960" i="5"/>
  <c r="E3959" i="5"/>
  <c r="B3959" i="5"/>
  <c r="E3958" i="5"/>
  <c r="B3958" i="5"/>
  <c r="E3957" i="5"/>
  <c r="B3957" i="5"/>
  <c r="E3956" i="5"/>
  <c r="B3956" i="5"/>
  <c r="E3955" i="5"/>
  <c r="B3955" i="5"/>
  <c r="E3954" i="5"/>
  <c r="B3954" i="5"/>
  <c r="E3953" i="5"/>
  <c r="B3953" i="5"/>
  <c r="E3952" i="5"/>
  <c r="B3952" i="5"/>
  <c r="E3951" i="5"/>
  <c r="B3951" i="5"/>
  <c r="E3950" i="5"/>
  <c r="B3950" i="5"/>
  <c r="E3949" i="5"/>
  <c r="B3949" i="5"/>
  <c r="E3948" i="5"/>
  <c r="B3948" i="5"/>
  <c r="E3947" i="5"/>
  <c r="B3947" i="5"/>
  <c r="E3946" i="5"/>
  <c r="B3946" i="5"/>
  <c r="E3945" i="5"/>
  <c r="B3945" i="5"/>
  <c r="E3944" i="5"/>
  <c r="B3944" i="5"/>
  <c r="E3943" i="5"/>
  <c r="B3943" i="5"/>
  <c r="E3942" i="5"/>
  <c r="B3942" i="5"/>
  <c r="E3941" i="5"/>
  <c r="B3941" i="5"/>
  <c r="E3940" i="5"/>
  <c r="B3940" i="5"/>
  <c r="E3939" i="5"/>
  <c r="B3939" i="5"/>
  <c r="E3938" i="5"/>
  <c r="B3938" i="5"/>
  <c r="E3937" i="5"/>
  <c r="B3937" i="5"/>
  <c r="E3936" i="5"/>
  <c r="B3936" i="5"/>
  <c r="E3935" i="5"/>
  <c r="B3935" i="5"/>
  <c r="E3934" i="5"/>
  <c r="B3934" i="5"/>
  <c r="E3933" i="5"/>
  <c r="B3933" i="5"/>
  <c r="E3932" i="5"/>
  <c r="B3932" i="5"/>
  <c r="E3931" i="5"/>
  <c r="B3931" i="5"/>
  <c r="E3930" i="5"/>
  <c r="B3930" i="5"/>
  <c r="E3929" i="5"/>
  <c r="B3929" i="5"/>
  <c r="E3928" i="5"/>
  <c r="B3928" i="5"/>
  <c r="E3927" i="5"/>
  <c r="B3927" i="5"/>
  <c r="E3926" i="5"/>
  <c r="B3926" i="5"/>
  <c r="E3925" i="5"/>
  <c r="B3925" i="5"/>
  <c r="E3924" i="5"/>
  <c r="B3924" i="5"/>
  <c r="E3923" i="5"/>
  <c r="B3923" i="5"/>
  <c r="E3922" i="5"/>
  <c r="B3922" i="5"/>
  <c r="E3921" i="5"/>
  <c r="B3921" i="5"/>
  <c r="E3920" i="5"/>
  <c r="B3920" i="5"/>
  <c r="E3919" i="5"/>
  <c r="B3919" i="5"/>
  <c r="E3918" i="5"/>
  <c r="B3918" i="5"/>
  <c r="E3917" i="5"/>
  <c r="B3917" i="5"/>
  <c r="E3916" i="5"/>
  <c r="B3916" i="5"/>
  <c r="E3915" i="5"/>
  <c r="B3915" i="5"/>
  <c r="E3914" i="5"/>
  <c r="B3914" i="5"/>
  <c r="E3913" i="5"/>
  <c r="B3913" i="5"/>
  <c r="E3912" i="5"/>
  <c r="B3912" i="5"/>
  <c r="E3911" i="5"/>
  <c r="B3911" i="5"/>
  <c r="E3910" i="5"/>
  <c r="B3910" i="5"/>
  <c r="E3909" i="5"/>
  <c r="B3909" i="5"/>
  <c r="E3908" i="5"/>
  <c r="B3908" i="5"/>
  <c r="E3907" i="5"/>
  <c r="B3907" i="5"/>
  <c r="E3906" i="5"/>
  <c r="B3906" i="5"/>
  <c r="E3905" i="5"/>
  <c r="B3905" i="5"/>
  <c r="E3904" i="5"/>
  <c r="B3904" i="5"/>
  <c r="E3903" i="5"/>
  <c r="B3903" i="5"/>
  <c r="E3902" i="5"/>
  <c r="B3902" i="5"/>
  <c r="E3901" i="5"/>
  <c r="B3901" i="5"/>
  <c r="E3900" i="5"/>
  <c r="B3900" i="5"/>
  <c r="E3899" i="5"/>
  <c r="B3899" i="5"/>
  <c r="E3898" i="5"/>
  <c r="B3898" i="5"/>
  <c r="E3897" i="5"/>
  <c r="B3897" i="5"/>
  <c r="E3896" i="5"/>
  <c r="B3896" i="5"/>
  <c r="E3895" i="5"/>
  <c r="B3895" i="5"/>
  <c r="E3894" i="5"/>
  <c r="B3894" i="5"/>
  <c r="E3893" i="5"/>
  <c r="B3893" i="5"/>
  <c r="E3892" i="5"/>
  <c r="B3892" i="5"/>
  <c r="E3891" i="5"/>
  <c r="B3891" i="5"/>
  <c r="E3890" i="5"/>
  <c r="B3890" i="5"/>
  <c r="E3889" i="5"/>
  <c r="B3889" i="5"/>
  <c r="E3888" i="5"/>
  <c r="B3888" i="5"/>
  <c r="E3887" i="5"/>
  <c r="B3887" i="5"/>
  <c r="E3886" i="5"/>
  <c r="B3886" i="5"/>
  <c r="E3885" i="5"/>
  <c r="B3885" i="5"/>
  <c r="E3884" i="5"/>
  <c r="B3884" i="5"/>
  <c r="E3883" i="5"/>
  <c r="B3883" i="5"/>
  <c r="E3882" i="5"/>
  <c r="B3882" i="5"/>
  <c r="E3881" i="5"/>
  <c r="B3881" i="5"/>
  <c r="E3880" i="5"/>
  <c r="B3880" i="5"/>
  <c r="E3879" i="5"/>
  <c r="B3879" i="5"/>
  <c r="E3878" i="5"/>
  <c r="B3878" i="5"/>
  <c r="E3877" i="5"/>
  <c r="B3877" i="5"/>
  <c r="E3876" i="5"/>
  <c r="B3876" i="5"/>
  <c r="E3875" i="5"/>
  <c r="B3875" i="5"/>
  <c r="E3874" i="5"/>
  <c r="B3874" i="5"/>
  <c r="E3873" i="5"/>
  <c r="B3873" i="5"/>
  <c r="E3872" i="5"/>
  <c r="B3872" i="5"/>
  <c r="E3871" i="5"/>
  <c r="B3871" i="5"/>
  <c r="E3870" i="5"/>
  <c r="B3870" i="5"/>
  <c r="E3869" i="5"/>
  <c r="B3869" i="5"/>
  <c r="E3868" i="5"/>
  <c r="B3868" i="5"/>
  <c r="E3867" i="5"/>
  <c r="B3867" i="5"/>
  <c r="E3866" i="5"/>
  <c r="B3866" i="5"/>
  <c r="E3865" i="5"/>
  <c r="B3865" i="5"/>
  <c r="E3864" i="5"/>
  <c r="B3864" i="5"/>
  <c r="E3863" i="5"/>
  <c r="B3863" i="5"/>
  <c r="E3862" i="5"/>
  <c r="B3862" i="5"/>
  <c r="E3861" i="5"/>
  <c r="B3861" i="5"/>
  <c r="E3860" i="5"/>
  <c r="B3860" i="5"/>
  <c r="E3859" i="5"/>
  <c r="B3859" i="5"/>
  <c r="E3858" i="5"/>
  <c r="B3858" i="5"/>
  <c r="E3857" i="5"/>
  <c r="B3857" i="5"/>
  <c r="E3856" i="5"/>
  <c r="B3856" i="5"/>
  <c r="E3855" i="5"/>
  <c r="B3855" i="5"/>
  <c r="E3854" i="5"/>
  <c r="B3854" i="5"/>
  <c r="E3853" i="5"/>
  <c r="B3853" i="5"/>
  <c r="E3852" i="5"/>
  <c r="B3852" i="5"/>
  <c r="E3851" i="5"/>
  <c r="B3851" i="5"/>
  <c r="E3850" i="5"/>
  <c r="B3850" i="5"/>
  <c r="E3849" i="5"/>
  <c r="B3849" i="5"/>
  <c r="E3848" i="5"/>
  <c r="B3848" i="5"/>
  <c r="E3847" i="5"/>
  <c r="B3847" i="5"/>
  <c r="E3846" i="5"/>
  <c r="B3846" i="5"/>
  <c r="E3845" i="5"/>
  <c r="B3845" i="5"/>
  <c r="E3844" i="5"/>
  <c r="B3844" i="5"/>
  <c r="E3843" i="5"/>
  <c r="B3843" i="5"/>
  <c r="E3842" i="5"/>
  <c r="B3842" i="5"/>
  <c r="E3841" i="5"/>
  <c r="B3841" i="5"/>
  <c r="E3840" i="5"/>
  <c r="B3840" i="5"/>
  <c r="E3839" i="5"/>
  <c r="B3839" i="5"/>
  <c r="E3838" i="5"/>
  <c r="B3838" i="5"/>
  <c r="E3837" i="5"/>
  <c r="B3837" i="5"/>
  <c r="E3836" i="5"/>
  <c r="B3836" i="5"/>
  <c r="E3835" i="5"/>
  <c r="B3835" i="5"/>
  <c r="E3834" i="5"/>
  <c r="B3834" i="5"/>
  <c r="E3833" i="5"/>
  <c r="B3833" i="5"/>
  <c r="E3832" i="5"/>
  <c r="B3832" i="5"/>
  <c r="E3831" i="5"/>
  <c r="B3831" i="5"/>
  <c r="E3830" i="5"/>
  <c r="B3830" i="5"/>
  <c r="E3829" i="5"/>
  <c r="B3829" i="5"/>
  <c r="E3828" i="5"/>
  <c r="B3828" i="5"/>
  <c r="E3827" i="5"/>
  <c r="B3827" i="5"/>
  <c r="E3826" i="5"/>
  <c r="B3826" i="5"/>
  <c r="E3825" i="5"/>
  <c r="B3825" i="5"/>
  <c r="E3824" i="5"/>
  <c r="B3824" i="5"/>
  <c r="E3823" i="5"/>
  <c r="B3823" i="5"/>
  <c r="E3822" i="5"/>
  <c r="B3822" i="5"/>
  <c r="E3821" i="5"/>
  <c r="B3821" i="5"/>
  <c r="E3820" i="5"/>
  <c r="B3820" i="5"/>
  <c r="E3819" i="5"/>
  <c r="B3819" i="5"/>
  <c r="E3818" i="5"/>
  <c r="B3818" i="5"/>
  <c r="E3817" i="5"/>
  <c r="B3817" i="5"/>
  <c r="E3816" i="5"/>
  <c r="B3816" i="5"/>
  <c r="E3815" i="5"/>
  <c r="B3815" i="5"/>
  <c r="E3814" i="5"/>
  <c r="B3814" i="5"/>
  <c r="E3813" i="5"/>
  <c r="B3813" i="5"/>
  <c r="E3812" i="5"/>
  <c r="B3812" i="5"/>
  <c r="E3811" i="5"/>
  <c r="B3811" i="5"/>
  <c r="E3810" i="5"/>
  <c r="B3810" i="5"/>
  <c r="E3809" i="5"/>
  <c r="B3809" i="5"/>
  <c r="E3808" i="5"/>
  <c r="B3808" i="5"/>
  <c r="E3807" i="5"/>
  <c r="B3807" i="5"/>
  <c r="E3806" i="5"/>
  <c r="B3806" i="5"/>
  <c r="E3805" i="5"/>
  <c r="B3805" i="5"/>
  <c r="E3804" i="5"/>
  <c r="B3804" i="5"/>
  <c r="E3803" i="5"/>
  <c r="B3803" i="5"/>
  <c r="E3802" i="5"/>
  <c r="B3802" i="5"/>
  <c r="E3801" i="5"/>
  <c r="B3801" i="5"/>
  <c r="E3800" i="5"/>
  <c r="B3800" i="5"/>
  <c r="E3799" i="5"/>
  <c r="B3799" i="5"/>
  <c r="E3798" i="5"/>
  <c r="B3798" i="5"/>
  <c r="E3797" i="5"/>
  <c r="B3797" i="5"/>
  <c r="E3796" i="5"/>
  <c r="B3796" i="5"/>
  <c r="E3795" i="5"/>
  <c r="B3795" i="5"/>
  <c r="E3794" i="5"/>
  <c r="B3794" i="5"/>
  <c r="E3793" i="5"/>
  <c r="B3793" i="5"/>
  <c r="E3792" i="5"/>
  <c r="B3792" i="5"/>
  <c r="E3791" i="5"/>
  <c r="B3791" i="5"/>
  <c r="E3790" i="5"/>
  <c r="B3790" i="5"/>
  <c r="E3789" i="5"/>
  <c r="B3789" i="5"/>
  <c r="E3788" i="5"/>
  <c r="B3788" i="5"/>
  <c r="E3787" i="5"/>
  <c r="B3787" i="5"/>
  <c r="E3786" i="5"/>
  <c r="B3786" i="5"/>
  <c r="E3785" i="5"/>
  <c r="B3785" i="5"/>
  <c r="E3784" i="5"/>
  <c r="B3784" i="5"/>
  <c r="E3783" i="5"/>
  <c r="B3783" i="5"/>
  <c r="E3782" i="5"/>
  <c r="B3782" i="5"/>
  <c r="E3781" i="5"/>
  <c r="B3781" i="5"/>
  <c r="E3780" i="5"/>
  <c r="B3780" i="5"/>
  <c r="E3779" i="5"/>
  <c r="B3779" i="5"/>
  <c r="E3778" i="5"/>
  <c r="B3778" i="5"/>
  <c r="E3777" i="5"/>
  <c r="B3777" i="5"/>
  <c r="E3776" i="5"/>
  <c r="B3776" i="5"/>
  <c r="E3775" i="5"/>
  <c r="B3775" i="5"/>
  <c r="E3774" i="5"/>
  <c r="B3774" i="5"/>
  <c r="E3773" i="5"/>
  <c r="B3773" i="5"/>
  <c r="E3772" i="5"/>
  <c r="B3772" i="5"/>
  <c r="E3771" i="5"/>
  <c r="B3771" i="5"/>
  <c r="E3770" i="5"/>
  <c r="B3770" i="5"/>
  <c r="E3769" i="5"/>
  <c r="B3769" i="5"/>
  <c r="E3768" i="5"/>
  <c r="B3768" i="5"/>
  <c r="E3767" i="5"/>
  <c r="B3767" i="5"/>
  <c r="E3766" i="5"/>
  <c r="B3766" i="5"/>
  <c r="E3765" i="5"/>
  <c r="B3765" i="5"/>
  <c r="E3764" i="5"/>
  <c r="B3764" i="5"/>
  <c r="E3763" i="5"/>
  <c r="B3763" i="5"/>
  <c r="E3762" i="5"/>
  <c r="B3762" i="5"/>
  <c r="E3761" i="5"/>
  <c r="B3761" i="5"/>
  <c r="E3760" i="5"/>
  <c r="B3760" i="5"/>
  <c r="E3759" i="5"/>
  <c r="B3759" i="5"/>
  <c r="E3758" i="5"/>
  <c r="B3758" i="5"/>
  <c r="E3757" i="5"/>
  <c r="B3757" i="5"/>
  <c r="E3756" i="5"/>
  <c r="B3756" i="5"/>
  <c r="E3755" i="5"/>
  <c r="B3755" i="5"/>
  <c r="E3754" i="5"/>
  <c r="B3754" i="5"/>
  <c r="E3753" i="5"/>
  <c r="B3753" i="5"/>
  <c r="E3752" i="5"/>
  <c r="B3752" i="5"/>
  <c r="E3751" i="5"/>
  <c r="B3751" i="5"/>
  <c r="E3750" i="5"/>
  <c r="B3750" i="5"/>
  <c r="E3749" i="5"/>
  <c r="B3749" i="5"/>
  <c r="E3748" i="5"/>
  <c r="B3748" i="5"/>
  <c r="E3747" i="5"/>
  <c r="B3747" i="5"/>
  <c r="E3746" i="5"/>
  <c r="B3746" i="5"/>
  <c r="E3745" i="5"/>
  <c r="B3745" i="5"/>
  <c r="E3744" i="5"/>
  <c r="B3744" i="5"/>
  <c r="E3743" i="5"/>
  <c r="B3743" i="5"/>
  <c r="E3742" i="5"/>
  <c r="B3742" i="5"/>
  <c r="E3741" i="5"/>
  <c r="B3741" i="5"/>
  <c r="E3740" i="5"/>
  <c r="B3740" i="5"/>
  <c r="E3739" i="5"/>
  <c r="B3739" i="5"/>
  <c r="E3738" i="5"/>
  <c r="B3738" i="5"/>
  <c r="E3737" i="5"/>
  <c r="B3737" i="5"/>
  <c r="E3736" i="5"/>
  <c r="B3736" i="5"/>
  <c r="E3735" i="5"/>
  <c r="B3735" i="5"/>
  <c r="E3734" i="5"/>
  <c r="B3734" i="5"/>
  <c r="E3733" i="5"/>
  <c r="B3733" i="5"/>
  <c r="E3732" i="5"/>
  <c r="B3732" i="5"/>
  <c r="E3731" i="5"/>
  <c r="B3731" i="5"/>
  <c r="E3730" i="5"/>
  <c r="B3730" i="5"/>
  <c r="E3729" i="5"/>
  <c r="B3729" i="5"/>
  <c r="E3728" i="5"/>
  <c r="B3728" i="5"/>
  <c r="E3727" i="5"/>
  <c r="B3727" i="5"/>
  <c r="E3726" i="5"/>
  <c r="B3726" i="5"/>
  <c r="E3725" i="5"/>
  <c r="B3725" i="5"/>
  <c r="E3724" i="5"/>
  <c r="B3724" i="5"/>
  <c r="E3723" i="5"/>
  <c r="B3723" i="5"/>
  <c r="E3722" i="5"/>
  <c r="B3722" i="5"/>
  <c r="E3721" i="5"/>
  <c r="B3721" i="5"/>
  <c r="E3720" i="5"/>
  <c r="B3720" i="5"/>
  <c r="E3719" i="5"/>
  <c r="B3719" i="5"/>
  <c r="E3718" i="5"/>
  <c r="B3718" i="5"/>
  <c r="E3717" i="5"/>
  <c r="B3717" i="5"/>
  <c r="E3716" i="5"/>
  <c r="B3716" i="5"/>
  <c r="E3715" i="5"/>
  <c r="B3715" i="5"/>
  <c r="E3714" i="5"/>
  <c r="B3714" i="5"/>
  <c r="E3713" i="5"/>
  <c r="B3713" i="5"/>
  <c r="E3712" i="5"/>
  <c r="B3712" i="5"/>
  <c r="E3711" i="5"/>
  <c r="B3711" i="5"/>
  <c r="E3710" i="5"/>
  <c r="B3710" i="5"/>
  <c r="E3709" i="5"/>
  <c r="B3709" i="5"/>
  <c r="E3708" i="5"/>
  <c r="B3708" i="5"/>
  <c r="E3707" i="5"/>
  <c r="B3707" i="5"/>
  <c r="E3706" i="5"/>
  <c r="B3706" i="5"/>
  <c r="E3705" i="5"/>
  <c r="B3705" i="5"/>
  <c r="E3704" i="5"/>
  <c r="B3704" i="5"/>
  <c r="E3703" i="5"/>
  <c r="B3703" i="5"/>
  <c r="E3702" i="5"/>
  <c r="B3702" i="5"/>
  <c r="E3701" i="5"/>
  <c r="B3701" i="5"/>
  <c r="E3700" i="5"/>
  <c r="B3700" i="5"/>
  <c r="E3699" i="5"/>
  <c r="B3699" i="5"/>
  <c r="E3698" i="5"/>
  <c r="B3698" i="5"/>
  <c r="E3697" i="5"/>
  <c r="B3697" i="5"/>
  <c r="E3696" i="5"/>
  <c r="B3696" i="5"/>
  <c r="E3695" i="5"/>
  <c r="B3695" i="5"/>
  <c r="E3694" i="5"/>
  <c r="B3694" i="5"/>
  <c r="E3693" i="5"/>
  <c r="B3693" i="5"/>
  <c r="E3692" i="5"/>
  <c r="B3692" i="5"/>
  <c r="E3691" i="5"/>
  <c r="B3691" i="5"/>
  <c r="E3690" i="5"/>
  <c r="B3690" i="5"/>
  <c r="E3689" i="5"/>
  <c r="B3689" i="5"/>
  <c r="E3688" i="5"/>
  <c r="B3688" i="5"/>
  <c r="E3687" i="5"/>
  <c r="B3687" i="5"/>
  <c r="E3686" i="5"/>
  <c r="B3686" i="5"/>
  <c r="E3685" i="5"/>
  <c r="B3685" i="5"/>
  <c r="E3684" i="5"/>
  <c r="B3684" i="5"/>
  <c r="E3683" i="5"/>
  <c r="B3683" i="5"/>
  <c r="E3682" i="5"/>
  <c r="B3682" i="5"/>
  <c r="E3681" i="5"/>
  <c r="B3681" i="5"/>
  <c r="E3680" i="5"/>
  <c r="B3680" i="5"/>
  <c r="E3679" i="5"/>
  <c r="B3679" i="5"/>
  <c r="E3678" i="5"/>
  <c r="B3678" i="5"/>
  <c r="E3677" i="5"/>
  <c r="B3677" i="5"/>
  <c r="E3676" i="5"/>
  <c r="B3676" i="5"/>
  <c r="E3675" i="5"/>
  <c r="B3675" i="5"/>
  <c r="E3674" i="5"/>
  <c r="B3674" i="5"/>
  <c r="E3673" i="5"/>
  <c r="B3673" i="5"/>
  <c r="E3672" i="5"/>
  <c r="B3672" i="5"/>
  <c r="E3671" i="5"/>
  <c r="B3671" i="5"/>
  <c r="E3670" i="5"/>
  <c r="B3670" i="5"/>
  <c r="E3669" i="5"/>
  <c r="B3669" i="5"/>
  <c r="E3668" i="5"/>
  <c r="B3668" i="5"/>
  <c r="E3667" i="5"/>
  <c r="B3667" i="5"/>
  <c r="E3666" i="5"/>
  <c r="B3666" i="5"/>
  <c r="E3665" i="5"/>
  <c r="B3665" i="5"/>
  <c r="E3664" i="5"/>
  <c r="B3664" i="5"/>
  <c r="E3663" i="5"/>
  <c r="B3663" i="5"/>
  <c r="E3662" i="5"/>
  <c r="B3662" i="5"/>
  <c r="E3661" i="5"/>
  <c r="B3661" i="5"/>
  <c r="E3660" i="5"/>
  <c r="B3660" i="5"/>
  <c r="E3659" i="5"/>
  <c r="B3659" i="5"/>
  <c r="E3658" i="5"/>
  <c r="B3658" i="5"/>
  <c r="E3657" i="5"/>
  <c r="B3657" i="5"/>
  <c r="E3656" i="5"/>
  <c r="B3656" i="5"/>
  <c r="E3655" i="5"/>
  <c r="B3655" i="5"/>
  <c r="E3654" i="5"/>
  <c r="B3654" i="5"/>
  <c r="E3653" i="5"/>
  <c r="B3653" i="5"/>
  <c r="E3652" i="5"/>
  <c r="B3652" i="5"/>
  <c r="E3651" i="5"/>
  <c r="B3651" i="5"/>
  <c r="E3650" i="5"/>
  <c r="B3650" i="5"/>
  <c r="E3649" i="5"/>
  <c r="B3649" i="5"/>
  <c r="E3648" i="5"/>
  <c r="B3648" i="5"/>
  <c r="E3647" i="5"/>
  <c r="B3647" i="5"/>
  <c r="E3646" i="5"/>
  <c r="B3646" i="5"/>
  <c r="E3645" i="5"/>
  <c r="B3645" i="5"/>
  <c r="E3644" i="5"/>
  <c r="B3644" i="5"/>
  <c r="E3643" i="5"/>
  <c r="B3643" i="5"/>
  <c r="E3642" i="5"/>
  <c r="B3642" i="5"/>
  <c r="E3641" i="5"/>
  <c r="B3641" i="5"/>
  <c r="E3640" i="5"/>
  <c r="B3640" i="5"/>
  <c r="E3639" i="5"/>
  <c r="B3639" i="5"/>
  <c r="E3638" i="5"/>
  <c r="B3638" i="5"/>
  <c r="E3637" i="5"/>
  <c r="B3637" i="5"/>
  <c r="E3636" i="5"/>
  <c r="B3636" i="5"/>
  <c r="E3635" i="5"/>
  <c r="B3635" i="5"/>
  <c r="E3634" i="5"/>
  <c r="B3634" i="5"/>
  <c r="E3633" i="5"/>
  <c r="B3633" i="5"/>
  <c r="E3632" i="5"/>
  <c r="B3632" i="5"/>
  <c r="E3631" i="5"/>
  <c r="B3631" i="5"/>
  <c r="E3630" i="5"/>
  <c r="B3630" i="5"/>
  <c r="E3629" i="5"/>
  <c r="B3629" i="5"/>
  <c r="E3628" i="5"/>
  <c r="B3628" i="5"/>
  <c r="E3627" i="5"/>
  <c r="B3627" i="5"/>
  <c r="E3626" i="5"/>
  <c r="B3626" i="5"/>
  <c r="E3625" i="5"/>
  <c r="B3625" i="5"/>
  <c r="E3624" i="5"/>
  <c r="B3624" i="5"/>
  <c r="E3623" i="5"/>
  <c r="B3623" i="5"/>
  <c r="E3622" i="5"/>
  <c r="B3622" i="5"/>
  <c r="E3621" i="5"/>
  <c r="B3621" i="5"/>
  <c r="E3620" i="5"/>
  <c r="B3620" i="5"/>
  <c r="E3619" i="5"/>
  <c r="B3619" i="5"/>
  <c r="E3618" i="5"/>
  <c r="B3618" i="5"/>
  <c r="E3617" i="5"/>
  <c r="B3617" i="5"/>
  <c r="E3616" i="5"/>
  <c r="B3616" i="5"/>
  <c r="E3615" i="5"/>
  <c r="B3615" i="5"/>
  <c r="E3614" i="5"/>
  <c r="B3614" i="5"/>
  <c r="E3613" i="5"/>
  <c r="B3613" i="5"/>
  <c r="E3612" i="5"/>
  <c r="B3612" i="5"/>
  <c r="E3611" i="5"/>
  <c r="B3611" i="5"/>
  <c r="E3610" i="5"/>
  <c r="B3610" i="5"/>
  <c r="E3609" i="5"/>
  <c r="B3609" i="5"/>
  <c r="E3608" i="5"/>
  <c r="B3608" i="5"/>
  <c r="E3607" i="5"/>
  <c r="B3607" i="5"/>
  <c r="E3606" i="5"/>
  <c r="B3606" i="5"/>
  <c r="E3605" i="5"/>
  <c r="B3605" i="5"/>
  <c r="E3604" i="5"/>
  <c r="B3604" i="5"/>
  <c r="E3603" i="5"/>
  <c r="B3603" i="5"/>
  <c r="E3602" i="5"/>
  <c r="B3602" i="5"/>
  <c r="E3601" i="5"/>
  <c r="B3601" i="5"/>
  <c r="E3600" i="5"/>
  <c r="B3600" i="5"/>
  <c r="E3599" i="5"/>
  <c r="B3599" i="5"/>
  <c r="E3598" i="5"/>
  <c r="B3598" i="5"/>
  <c r="E3597" i="5"/>
  <c r="B3597" i="5"/>
  <c r="E3596" i="5"/>
  <c r="B3596" i="5"/>
  <c r="E3595" i="5"/>
  <c r="B3595" i="5"/>
  <c r="E3594" i="5"/>
  <c r="B3594" i="5"/>
  <c r="E3593" i="5"/>
  <c r="B3593" i="5"/>
  <c r="E3592" i="5"/>
  <c r="B3592" i="5"/>
  <c r="E3591" i="5"/>
  <c r="B3591" i="5"/>
  <c r="E3590" i="5"/>
  <c r="B3590" i="5"/>
  <c r="E3589" i="5"/>
  <c r="B3589" i="5"/>
  <c r="E3588" i="5"/>
  <c r="B3588" i="5"/>
  <c r="E3587" i="5"/>
  <c r="B3587" i="5"/>
  <c r="E3586" i="5"/>
  <c r="B3586" i="5"/>
  <c r="E3585" i="5"/>
  <c r="B3585" i="5"/>
  <c r="E3584" i="5"/>
  <c r="B3584" i="5"/>
  <c r="E3583" i="5"/>
  <c r="B3583" i="5"/>
  <c r="E3582" i="5"/>
  <c r="B3582" i="5"/>
  <c r="E3581" i="5"/>
  <c r="B3581" i="5"/>
  <c r="E3580" i="5"/>
  <c r="B3580" i="5"/>
  <c r="E3579" i="5"/>
  <c r="B3579" i="5"/>
  <c r="E3578" i="5"/>
  <c r="B3578" i="5"/>
  <c r="E3577" i="5"/>
  <c r="B3577" i="5"/>
  <c r="E3576" i="5"/>
  <c r="B3576" i="5"/>
  <c r="E3575" i="5"/>
  <c r="B3575" i="5"/>
  <c r="E3574" i="5"/>
  <c r="B3574" i="5"/>
  <c r="E3573" i="5"/>
  <c r="B3573" i="5"/>
  <c r="E3572" i="5"/>
  <c r="B3572" i="5"/>
  <c r="E3571" i="5"/>
  <c r="B3571" i="5"/>
  <c r="E3570" i="5"/>
  <c r="B3570" i="5"/>
  <c r="E3569" i="5"/>
  <c r="B3569" i="5"/>
  <c r="E3568" i="5"/>
  <c r="B3568" i="5"/>
  <c r="E3567" i="5"/>
  <c r="B3567" i="5"/>
  <c r="E3566" i="5"/>
  <c r="B3566" i="5"/>
  <c r="E3565" i="5"/>
  <c r="B3565" i="5"/>
  <c r="E3564" i="5"/>
  <c r="B3564" i="5"/>
  <c r="E3563" i="5"/>
  <c r="B3563" i="5"/>
  <c r="E3562" i="5"/>
  <c r="B3562" i="5"/>
  <c r="E3561" i="5"/>
  <c r="B3561" i="5"/>
  <c r="E3560" i="5"/>
  <c r="B3560" i="5"/>
  <c r="E3559" i="5"/>
  <c r="B3559" i="5"/>
  <c r="E3558" i="5"/>
  <c r="B3558" i="5"/>
  <c r="E3557" i="5"/>
  <c r="B3557" i="5"/>
  <c r="E3556" i="5"/>
  <c r="B3556" i="5"/>
  <c r="E3555" i="5"/>
  <c r="B3555" i="5"/>
  <c r="E3554" i="5"/>
  <c r="B3554" i="5"/>
  <c r="E3553" i="5"/>
  <c r="B3553" i="5"/>
  <c r="E3552" i="5"/>
  <c r="B3552" i="5"/>
  <c r="E3551" i="5"/>
  <c r="B3551" i="5"/>
  <c r="E3550" i="5"/>
  <c r="B3550" i="5"/>
  <c r="E3549" i="5"/>
  <c r="B3549" i="5"/>
  <c r="E3548" i="5"/>
  <c r="B3548" i="5"/>
  <c r="E3547" i="5"/>
  <c r="B3547" i="5"/>
  <c r="E3546" i="5"/>
  <c r="B3546" i="5"/>
  <c r="E3545" i="5"/>
  <c r="B3545" i="5"/>
  <c r="E3544" i="5"/>
  <c r="B3544" i="5"/>
  <c r="E3543" i="5"/>
  <c r="B3543" i="5"/>
  <c r="E3542" i="5"/>
  <c r="B3542" i="5"/>
  <c r="E3541" i="5"/>
  <c r="B3541" i="5"/>
  <c r="E3540" i="5"/>
  <c r="B3540" i="5"/>
  <c r="E3539" i="5"/>
  <c r="B3539" i="5"/>
  <c r="E3538" i="5"/>
  <c r="B3538" i="5"/>
  <c r="E3537" i="5"/>
  <c r="B3537" i="5"/>
  <c r="E3536" i="5"/>
  <c r="B3536" i="5"/>
  <c r="E3535" i="5"/>
  <c r="B3535" i="5"/>
  <c r="E3534" i="5"/>
  <c r="B3534" i="5"/>
  <c r="E3533" i="5"/>
  <c r="B3533" i="5"/>
  <c r="E3532" i="5"/>
  <c r="B3532" i="5"/>
  <c r="E3531" i="5"/>
  <c r="B3531" i="5"/>
  <c r="E3530" i="5"/>
  <c r="B3530" i="5"/>
  <c r="E3529" i="5"/>
  <c r="B3529" i="5"/>
  <c r="E3528" i="5"/>
  <c r="B3528" i="5"/>
  <c r="E3527" i="5"/>
  <c r="B3527" i="5"/>
  <c r="E3526" i="5"/>
  <c r="B3526" i="5"/>
  <c r="E3525" i="5"/>
  <c r="B3525" i="5"/>
  <c r="E3524" i="5"/>
  <c r="B3524" i="5"/>
  <c r="E3523" i="5"/>
  <c r="B3523" i="5"/>
  <c r="E3522" i="5"/>
  <c r="B3522" i="5"/>
  <c r="E3521" i="5"/>
  <c r="B3521" i="5"/>
  <c r="E3520" i="5"/>
  <c r="B3520" i="5"/>
  <c r="E3519" i="5"/>
  <c r="B3519" i="5"/>
  <c r="E3518" i="5"/>
  <c r="B3518" i="5"/>
  <c r="E3517" i="5"/>
  <c r="B3517" i="5"/>
  <c r="E3516" i="5"/>
  <c r="B3516" i="5"/>
  <c r="E3515" i="5"/>
  <c r="B3515" i="5"/>
  <c r="E3514" i="5"/>
  <c r="B3514" i="5"/>
  <c r="E3513" i="5"/>
  <c r="B3513" i="5"/>
  <c r="E3512" i="5"/>
  <c r="B3512" i="5"/>
  <c r="E3511" i="5"/>
  <c r="B3511" i="5"/>
  <c r="E3510" i="5"/>
  <c r="B3510" i="5"/>
  <c r="E3509" i="5"/>
  <c r="B3509" i="5"/>
  <c r="E3508" i="5"/>
  <c r="B3508" i="5"/>
  <c r="E3507" i="5"/>
  <c r="B3507" i="5"/>
  <c r="E3506" i="5"/>
  <c r="B3506" i="5"/>
  <c r="E3505" i="5"/>
  <c r="B3505" i="5"/>
  <c r="E3504" i="5"/>
  <c r="B3504" i="5"/>
  <c r="E3503" i="5"/>
  <c r="B3503" i="5"/>
  <c r="E3502" i="5"/>
  <c r="B3502" i="5"/>
  <c r="E3501" i="5"/>
  <c r="B3501" i="5"/>
  <c r="E3500" i="5"/>
  <c r="B3500" i="5"/>
  <c r="E3499" i="5"/>
  <c r="B3499" i="5"/>
  <c r="E3498" i="5"/>
  <c r="B3498" i="5"/>
  <c r="E3497" i="5"/>
  <c r="B3497" i="5"/>
  <c r="E3496" i="5"/>
  <c r="B3496" i="5"/>
  <c r="E3495" i="5"/>
  <c r="B3495" i="5"/>
  <c r="E3494" i="5"/>
  <c r="B3494" i="5"/>
  <c r="E3493" i="5"/>
  <c r="B3493" i="5"/>
  <c r="E3492" i="5"/>
  <c r="B3492" i="5"/>
  <c r="E3491" i="5"/>
  <c r="B3491" i="5"/>
  <c r="E3490" i="5"/>
  <c r="B3490" i="5"/>
  <c r="E3489" i="5"/>
  <c r="B3489" i="5"/>
  <c r="E3488" i="5"/>
  <c r="B3488" i="5"/>
  <c r="E3487" i="5"/>
  <c r="B3487" i="5"/>
  <c r="E3486" i="5"/>
  <c r="B3486" i="5"/>
  <c r="E3485" i="5"/>
  <c r="B3485" i="5"/>
  <c r="E3484" i="5"/>
  <c r="B3484" i="5"/>
  <c r="E3483" i="5"/>
  <c r="B3483" i="5"/>
  <c r="E3482" i="5"/>
  <c r="B3482" i="5"/>
  <c r="E3481" i="5"/>
  <c r="B3481" i="5"/>
  <c r="E3480" i="5"/>
  <c r="B3480" i="5"/>
  <c r="E3479" i="5"/>
  <c r="B3479" i="5"/>
  <c r="E3478" i="5"/>
  <c r="B3478" i="5"/>
  <c r="E3477" i="5"/>
  <c r="B3477" i="5"/>
  <c r="E3476" i="5"/>
  <c r="B3476" i="5"/>
  <c r="E3475" i="5"/>
  <c r="B3475" i="5"/>
  <c r="E3474" i="5"/>
  <c r="B3474" i="5"/>
  <c r="E3473" i="5"/>
  <c r="B3473" i="5"/>
  <c r="E3472" i="5"/>
  <c r="B3472" i="5"/>
  <c r="E3471" i="5"/>
  <c r="B3471" i="5"/>
  <c r="E3470" i="5"/>
  <c r="B3470" i="5"/>
  <c r="E3469" i="5"/>
  <c r="B3469" i="5"/>
  <c r="E3468" i="5"/>
  <c r="B3468" i="5"/>
  <c r="E3467" i="5"/>
  <c r="B3467" i="5"/>
  <c r="E3466" i="5"/>
  <c r="B3466" i="5"/>
  <c r="E3465" i="5"/>
  <c r="B3465" i="5"/>
  <c r="E3464" i="5"/>
  <c r="B3464" i="5"/>
  <c r="E3463" i="5"/>
  <c r="B3463" i="5"/>
  <c r="E3462" i="5"/>
  <c r="B3462" i="5"/>
  <c r="E3461" i="5"/>
  <c r="B3461" i="5"/>
  <c r="E3460" i="5"/>
  <c r="B3460" i="5"/>
  <c r="E3459" i="5"/>
  <c r="B3459" i="5"/>
  <c r="E3458" i="5"/>
  <c r="B3458" i="5"/>
  <c r="E3457" i="5"/>
  <c r="B3457" i="5"/>
  <c r="E3456" i="5"/>
  <c r="B3456" i="5"/>
  <c r="E3455" i="5"/>
  <c r="B3455" i="5"/>
  <c r="E3454" i="5"/>
  <c r="B3454" i="5"/>
  <c r="E3453" i="5"/>
  <c r="B3453" i="5"/>
  <c r="E3452" i="5"/>
  <c r="B3452" i="5"/>
  <c r="E3451" i="5"/>
  <c r="B3451" i="5"/>
  <c r="E3450" i="5"/>
  <c r="B3450" i="5"/>
  <c r="E3449" i="5"/>
  <c r="B3449" i="5"/>
  <c r="E3448" i="5"/>
  <c r="B3448" i="5"/>
  <c r="E3447" i="5"/>
  <c r="B3447" i="5"/>
  <c r="E3446" i="5"/>
  <c r="B3446" i="5"/>
  <c r="E3445" i="5"/>
  <c r="B3445" i="5"/>
  <c r="E3444" i="5"/>
  <c r="B3444" i="5"/>
  <c r="E3443" i="5"/>
  <c r="B3443" i="5"/>
  <c r="E3442" i="5"/>
  <c r="B3442" i="5"/>
  <c r="E3441" i="5"/>
  <c r="B3441" i="5"/>
  <c r="E3440" i="5"/>
  <c r="B3440" i="5"/>
  <c r="E3439" i="5"/>
  <c r="B3439" i="5"/>
  <c r="E3438" i="5"/>
  <c r="B3438" i="5"/>
  <c r="E3437" i="5"/>
  <c r="B3437" i="5"/>
  <c r="E3436" i="5"/>
  <c r="B3436" i="5"/>
  <c r="E3435" i="5"/>
  <c r="B3435" i="5"/>
  <c r="E3434" i="5"/>
  <c r="B3434" i="5"/>
  <c r="E3433" i="5"/>
  <c r="B3433" i="5"/>
  <c r="E3432" i="5"/>
  <c r="B3432" i="5"/>
  <c r="E3431" i="5"/>
  <c r="B3431" i="5"/>
  <c r="E3430" i="5"/>
  <c r="B3430" i="5"/>
  <c r="E3429" i="5"/>
  <c r="B3429" i="5"/>
  <c r="E3428" i="5"/>
  <c r="B3428" i="5"/>
  <c r="E3427" i="5"/>
  <c r="B3427" i="5"/>
  <c r="E3426" i="5"/>
  <c r="B3426" i="5"/>
  <c r="E3425" i="5"/>
  <c r="B3425" i="5"/>
  <c r="E3424" i="5"/>
  <c r="B3424" i="5"/>
  <c r="E3423" i="5"/>
  <c r="B3423" i="5"/>
  <c r="E3422" i="5"/>
  <c r="B3422" i="5"/>
  <c r="E3421" i="5"/>
  <c r="B3421" i="5"/>
  <c r="E3420" i="5"/>
  <c r="B3420" i="5"/>
  <c r="E3419" i="5"/>
  <c r="B3419" i="5"/>
  <c r="E3418" i="5"/>
  <c r="B3418" i="5"/>
  <c r="E3417" i="5"/>
  <c r="B3417" i="5"/>
  <c r="E3416" i="5"/>
  <c r="B3416" i="5"/>
  <c r="E3415" i="5"/>
  <c r="B3415" i="5"/>
  <c r="E3414" i="5"/>
  <c r="B3414" i="5"/>
  <c r="E3413" i="5"/>
  <c r="B3413" i="5"/>
  <c r="E3412" i="5"/>
  <c r="B3412" i="5"/>
  <c r="E3411" i="5"/>
  <c r="B3411" i="5"/>
  <c r="E3410" i="5"/>
  <c r="B3410" i="5"/>
  <c r="E3409" i="5"/>
  <c r="B3409" i="5"/>
  <c r="E3408" i="5"/>
  <c r="B3408" i="5"/>
  <c r="E3407" i="5"/>
  <c r="B3407" i="5"/>
  <c r="E3406" i="5"/>
  <c r="B3406" i="5"/>
  <c r="E3405" i="5"/>
  <c r="B3405" i="5"/>
  <c r="E3404" i="5"/>
  <c r="B3404" i="5"/>
  <c r="E3403" i="5"/>
  <c r="B3403" i="5"/>
  <c r="E3402" i="5"/>
  <c r="B3402" i="5"/>
  <c r="E3401" i="5"/>
  <c r="B3401" i="5"/>
  <c r="E3400" i="5"/>
  <c r="B3400" i="5"/>
  <c r="E3399" i="5"/>
  <c r="B3399" i="5"/>
  <c r="E3398" i="5"/>
  <c r="B3398" i="5"/>
  <c r="E3397" i="5"/>
  <c r="B3397" i="5"/>
  <c r="E3396" i="5"/>
  <c r="B3396" i="5"/>
  <c r="E3395" i="5"/>
  <c r="B3395" i="5"/>
  <c r="E3394" i="5"/>
  <c r="B3394" i="5"/>
  <c r="E3393" i="5"/>
  <c r="B3393" i="5"/>
  <c r="E3392" i="5"/>
  <c r="B3392" i="5"/>
  <c r="E3391" i="5"/>
  <c r="B3391" i="5"/>
  <c r="E3390" i="5"/>
  <c r="B3390" i="5"/>
  <c r="E3389" i="5"/>
  <c r="B3389" i="5"/>
  <c r="E3388" i="5"/>
  <c r="B3388" i="5"/>
  <c r="E3387" i="5"/>
  <c r="B3387" i="5"/>
  <c r="E3386" i="5"/>
  <c r="B3386" i="5"/>
  <c r="E3385" i="5"/>
  <c r="B3385" i="5"/>
  <c r="E3384" i="5"/>
  <c r="B3384" i="5"/>
  <c r="E3383" i="5"/>
  <c r="B3383" i="5"/>
  <c r="E3382" i="5"/>
  <c r="B3382" i="5"/>
  <c r="E3381" i="5"/>
  <c r="B3381" i="5"/>
  <c r="E3380" i="5"/>
  <c r="B3380" i="5"/>
  <c r="E3379" i="5"/>
  <c r="B3379" i="5"/>
  <c r="E3378" i="5"/>
  <c r="B3378" i="5"/>
  <c r="E3377" i="5"/>
  <c r="B3377" i="5"/>
  <c r="E3376" i="5"/>
  <c r="B3376" i="5"/>
  <c r="E3375" i="5"/>
  <c r="B3375" i="5"/>
  <c r="E3374" i="5"/>
  <c r="B3374" i="5"/>
  <c r="E3373" i="5"/>
  <c r="B3373" i="5"/>
  <c r="E3372" i="5"/>
  <c r="B3372" i="5"/>
  <c r="E3371" i="5"/>
  <c r="B3371" i="5"/>
  <c r="E3370" i="5"/>
  <c r="B3370" i="5"/>
  <c r="E3369" i="5"/>
  <c r="B3369" i="5"/>
  <c r="E3368" i="5"/>
  <c r="B3368" i="5"/>
  <c r="E3367" i="5"/>
  <c r="B3367" i="5"/>
  <c r="E3366" i="5"/>
  <c r="B3366" i="5"/>
  <c r="E3365" i="5"/>
  <c r="B3365" i="5"/>
  <c r="E3364" i="5"/>
  <c r="B3364" i="5"/>
  <c r="E3363" i="5"/>
  <c r="B3363" i="5"/>
  <c r="E3362" i="5"/>
  <c r="B3362" i="5"/>
  <c r="E3361" i="5"/>
  <c r="B3361" i="5"/>
  <c r="E3360" i="5"/>
  <c r="B3360" i="5"/>
  <c r="E3359" i="5"/>
  <c r="B3359" i="5"/>
  <c r="E3358" i="5"/>
  <c r="B3358" i="5"/>
  <c r="E3357" i="5"/>
  <c r="B3357" i="5"/>
  <c r="E3356" i="5"/>
  <c r="B3356" i="5"/>
  <c r="E3355" i="5"/>
  <c r="B3355" i="5"/>
  <c r="E3354" i="5"/>
  <c r="B3354" i="5"/>
  <c r="E3353" i="5"/>
  <c r="B3353" i="5"/>
  <c r="E3352" i="5"/>
  <c r="B3352" i="5"/>
  <c r="E3351" i="5"/>
  <c r="B3351" i="5"/>
  <c r="E3350" i="5"/>
  <c r="B3350" i="5"/>
  <c r="E3349" i="5"/>
  <c r="B3349" i="5"/>
  <c r="E3348" i="5"/>
  <c r="B3348" i="5"/>
  <c r="E3347" i="5"/>
  <c r="B3347" i="5"/>
  <c r="E3346" i="5"/>
  <c r="B3346" i="5"/>
  <c r="E3345" i="5"/>
  <c r="B3345" i="5"/>
  <c r="E3344" i="5"/>
  <c r="B3344" i="5"/>
  <c r="E3343" i="5"/>
  <c r="B3343" i="5"/>
  <c r="E3342" i="5"/>
  <c r="B3342" i="5"/>
  <c r="E3341" i="5"/>
  <c r="B3341" i="5"/>
  <c r="E3340" i="5"/>
  <c r="B3340" i="5"/>
  <c r="E3339" i="5"/>
  <c r="B3339" i="5"/>
  <c r="E3338" i="5"/>
  <c r="B3338" i="5"/>
  <c r="E3337" i="5"/>
  <c r="B3337" i="5"/>
  <c r="E3336" i="5"/>
  <c r="B3336" i="5"/>
  <c r="E3335" i="5"/>
  <c r="B3335" i="5"/>
  <c r="E3334" i="5"/>
  <c r="B3334" i="5"/>
  <c r="E3333" i="5"/>
  <c r="B3333" i="5"/>
  <c r="E3332" i="5"/>
  <c r="B3332" i="5"/>
  <c r="E3331" i="5"/>
  <c r="B3331" i="5"/>
  <c r="E3330" i="5"/>
  <c r="B3330" i="5"/>
  <c r="E3329" i="5"/>
  <c r="B3329" i="5"/>
  <c r="E3328" i="5"/>
  <c r="B3328" i="5"/>
  <c r="E3327" i="5"/>
  <c r="B3327" i="5"/>
  <c r="E3326" i="5"/>
  <c r="B3326" i="5"/>
  <c r="E3325" i="5"/>
  <c r="B3325" i="5"/>
  <c r="E3324" i="5"/>
  <c r="B3324" i="5"/>
  <c r="E3323" i="5"/>
  <c r="B3323" i="5"/>
  <c r="E3322" i="5"/>
  <c r="B3322" i="5"/>
  <c r="E3321" i="5"/>
  <c r="B3321" i="5"/>
  <c r="E3320" i="5"/>
  <c r="B3320" i="5"/>
  <c r="E3319" i="5"/>
  <c r="B3319" i="5"/>
  <c r="E3318" i="5"/>
  <c r="B3318" i="5"/>
  <c r="E3317" i="5"/>
  <c r="B3317" i="5"/>
  <c r="E3316" i="5"/>
  <c r="B3316" i="5"/>
  <c r="E3315" i="5"/>
  <c r="B3315" i="5"/>
  <c r="E3314" i="5"/>
  <c r="B3314" i="5"/>
  <c r="E3313" i="5"/>
  <c r="B3313" i="5"/>
  <c r="E3312" i="5"/>
  <c r="B3312" i="5"/>
  <c r="E3311" i="5"/>
  <c r="B3311" i="5"/>
  <c r="E3310" i="5"/>
  <c r="B3310" i="5"/>
  <c r="E3309" i="5"/>
  <c r="B3309" i="5"/>
  <c r="E3308" i="5"/>
  <c r="B3308" i="5"/>
  <c r="E3307" i="5"/>
  <c r="B3307" i="5"/>
  <c r="E3306" i="5"/>
  <c r="B3306" i="5"/>
  <c r="E3305" i="5"/>
  <c r="B3305" i="5"/>
  <c r="E3304" i="5"/>
  <c r="B3304" i="5"/>
  <c r="E3303" i="5"/>
  <c r="B3303" i="5"/>
  <c r="E3302" i="5"/>
  <c r="B3302" i="5"/>
  <c r="E3301" i="5"/>
  <c r="B3301" i="5"/>
  <c r="E3300" i="5"/>
  <c r="B3300" i="5"/>
  <c r="E3299" i="5"/>
  <c r="B3299" i="5"/>
  <c r="E3298" i="5"/>
  <c r="B3298" i="5"/>
  <c r="E3297" i="5"/>
  <c r="B3297" i="5"/>
  <c r="E3296" i="5"/>
  <c r="B3296" i="5"/>
  <c r="E3295" i="5"/>
  <c r="B3295" i="5"/>
  <c r="E3294" i="5"/>
  <c r="B3294" i="5"/>
  <c r="E3293" i="5"/>
  <c r="B3293" i="5"/>
  <c r="E3292" i="5"/>
  <c r="B3292" i="5"/>
  <c r="E3291" i="5"/>
  <c r="B3291" i="5"/>
  <c r="E3290" i="5"/>
  <c r="B3290" i="5"/>
  <c r="E3289" i="5"/>
  <c r="B3289" i="5"/>
  <c r="E3288" i="5"/>
  <c r="B3288" i="5"/>
  <c r="E3287" i="5"/>
  <c r="B3287" i="5"/>
  <c r="E3286" i="5"/>
  <c r="B3286" i="5"/>
  <c r="E3285" i="5"/>
  <c r="B3285" i="5"/>
  <c r="E3284" i="5"/>
  <c r="B3284" i="5"/>
  <c r="E3283" i="5"/>
  <c r="B3283" i="5"/>
  <c r="E3282" i="5"/>
  <c r="B3282" i="5"/>
  <c r="E3281" i="5"/>
  <c r="B3281" i="5"/>
  <c r="E3280" i="5"/>
  <c r="B3280" i="5"/>
  <c r="E3279" i="5"/>
  <c r="B3279" i="5"/>
  <c r="E3278" i="5"/>
  <c r="B3278" i="5"/>
  <c r="E3277" i="5"/>
  <c r="B3277" i="5"/>
  <c r="E3276" i="5"/>
  <c r="B3276" i="5"/>
  <c r="E3275" i="5"/>
  <c r="B3275" i="5"/>
  <c r="E3274" i="5"/>
  <c r="B3274" i="5"/>
  <c r="E3273" i="5"/>
  <c r="B3273" i="5"/>
  <c r="E3272" i="5"/>
  <c r="B3272" i="5"/>
  <c r="E3271" i="5"/>
  <c r="B3271" i="5"/>
  <c r="E3270" i="5"/>
  <c r="B3270" i="5"/>
  <c r="E3269" i="5"/>
  <c r="B3269" i="5"/>
  <c r="E3268" i="5"/>
  <c r="B3268" i="5"/>
  <c r="E3267" i="5"/>
  <c r="B3267" i="5"/>
  <c r="E3266" i="5"/>
  <c r="B3266" i="5"/>
  <c r="E3265" i="5"/>
  <c r="B3265" i="5"/>
  <c r="E3264" i="5"/>
  <c r="B3264" i="5"/>
  <c r="E3263" i="5"/>
  <c r="B3263" i="5"/>
  <c r="E3262" i="5"/>
  <c r="B3262" i="5"/>
  <c r="E3261" i="5"/>
  <c r="B3261" i="5"/>
  <c r="E3260" i="5"/>
  <c r="B3260" i="5"/>
  <c r="E3259" i="5"/>
  <c r="B3259" i="5"/>
  <c r="E3258" i="5"/>
  <c r="B3258" i="5"/>
  <c r="E3257" i="5"/>
  <c r="B3257" i="5"/>
  <c r="E3256" i="5"/>
  <c r="B3256" i="5"/>
  <c r="E3255" i="5"/>
  <c r="B3255" i="5"/>
  <c r="E3254" i="5"/>
  <c r="B3254" i="5"/>
  <c r="E3253" i="5"/>
  <c r="B3253" i="5"/>
  <c r="E3252" i="5"/>
  <c r="B3252" i="5"/>
  <c r="E3251" i="5"/>
  <c r="B3251" i="5"/>
  <c r="E3250" i="5"/>
  <c r="B3250" i="5"/>
  <c r="E3249" i="5"/>
  <c r="B3249" i="5"/>
  <c r="E3248" i="5"/>
  <c r="B3248" i="5"/>
  <c r="E3247" i="5"/>
  <c r="B3247" i="5"/>
  <c r="E3246" i="5"/>
  <c r="B3246" i="5"/>
  <c r="E3245" i="5"/>
  <c r="B3245" i="5"/>
  <c r="E3244" i="5"/>
  <c r="B3244" i="5"/>
  <c r="E3243" i="5"/>
  <c r="B3243" i="5"/>
  <c r="E3242" i="5"/>
  <c r="B3242" i="5"/>
  <c r="E3241" i="5"/>
  <c r="B3241" i="5"/>
  <c r="E3240" i="5"/>
  <c r="B3240" i="5"/>
  <c r="E3239" i="5"/>
  <c r="B3239" i="5"/>
  <c r="E3238" i="5"/>
  <c r="B3238" i="5"/>
  <c r="E3237" i="5"/>
  <c r="B3237" i="5"/>
  <c r="E3236" i="5"/>
  <c r="B3236" i="5"/>
  <c r="E3235" i="5"/>
  <c r="B3235" i="5"/>
  <c r="E3234" i="5"/>
  <c r="B3234" i="5"/>
  <c r="E3233" i="5"/>
  <c r="B3233" i="5"/>
  <c r="E3232" i="5"/>
  <c r="B3232" i="5"/>
  <c r="E3231" i="5"/>
  <c r="B3231" i="5"/>
  <c r="E3230" i="5"/>
  <c r="B3230" i="5"/>
  <c r="E3229" i="5"/>
  <c r="B3229" i="5"/>
  <c r="E3228" i="5"/>
  <c r="B3228" i="5"/>
  <c r="E3227" i="5"/>
  <c r="B3227" i="5"/>
  <c r="E3226" i="5"/>
  <c r="B3226" i="5"/>
  <c r="E3225" i="5"/>
  <c r="B3225" i="5"/>
  <c r="E3224" i="5"/>
  <c r="B3224" i="5"/>
  <c r="E3223" i="5"/>
  <c r="B3223" i="5"/>
  <c r="E3222" i="5"/>
  <c r="B3222" i="5"/>
  <c r="E3221" i="5"/>
  <c r="B3221" i="5"/>
  <c r="E3220" i="5"/>
  <c r="B3220" i="5"/>
  <c r="E3219" i="5"/>
  <c r="B3219" i="5"/>
  <c r="E3218" i="5"/>
  <c r="B3218" i="5"/>
  <c r="E3217" i="5"/>
  <c r="B3217" i="5"/>
  <c r="E3216" i="5"/>
  <c r="B3216" i="5"/>
  <c r="E3215" i="5"/>
  <c r="B3215" i="5"/>
  <c r="E3214" i="5"/>
  <c r="B3214" i="5"/>
  <c r="E3213" i="5"/>
  <c r="B3213" i="5"/>
  <c r="E3212" i="5"/>
  <c r="B3212" i="5"/>
  <c r="E3211" i="5"/>
  <c r="B3211" i="5"/>
  <c r="E3210" i="5"/>
  <c r="B3210" i="5"/>
  <c r="E3209" i="5"/>
  <c r="B3209" i="5"/>
  <c r="E3208" i="5"/>
  <c r="B3208" i="5"/>
  <c r="E3207" i="5"/>
  <c r="B3207" i="5"/>
  <c r="E3206" i="5"/>
  <c r="B3206" i="5"/>
  <c r="E3205" i="5"/>
  <c r="B3205" i="5"/>
  <c r="E3204" i="5"/>
  <c r="B3204" i="5"/>
  <c r="E3203" i="5"/>
  <c r="B3203" i="5"/>
  <c r="E3202" i="5"/>
  <c r="B3202" i="5"/>
  <c r="E3201" i="5"/>
  <c r="B3201" i="5"/>
  <c r="E3200" i="5"/>
  <c r="B3200" i="5"/>
  <c r="E3199" i="5"/>
  <c r="B3199" i="5"/>
  <c r="E3198" i="5"/>
  <c r="B3198" i="5"/>
  <c r="E3197" i="5"/>
  <c r="B3197" i="5"/>
  <c r="E3196" i="5"/>
  <c r="B3196" i="5"/>
  <c r="E3195" i="5"/>
  <c r="B3195" i="5"/>
  <c r="E3194" i="5"/>
  <c r="B3194" i="5"/>
  <c r="E3193" i="5"/>
  <c r="B3193" i="5"/>
  <c r="E3192" i="5"/>
  <c r="B3192" i="5"/>
  <c r="E3191" i="5"/>
  <c r="B3191" i="5"/>
  <c r="E3190" i="5"/>
  <c r="B3190" i="5"/>
  <c r="E3189" i="5"/>
  <c r="B3189" i="5"/>
  <c r="E3188" i="5"/>
  <c r="B3188" i="5"/>
  <c r="E3187" i="5"/>
  <c r="B3187" i="5"/>
  <c r="E3186" i="5"/>
  <c r="B3186" i="5"/>
  <c r="E3185" i="5"/>
  <c r="B3185" i="5"/>
  <c r="E3184" i="5"/>
  <c r="B3184" i="5"/>
  <c r="E3183" i="5"/>
  <c r="B3183" i="5"/>
  <c r="E3182" i="5"/>
  <c r="B3182" i="5"/>
  <c r="E3181" i="5"/>
  <c r="B3181" i="5"/>
  <c r="E3180" i="5"/>
  <c r="B3180" i="5"/>
  <c r="E3179" i="5"/>
  <c r="B3179" i="5"/>
  <c r="E3178" i="5"/>
  <c r="B3178" i="5"/>
  <c r="E3177" i="5"/>
  <c r="B3177" i="5"/>
  <c r="E3176" i="5"/>
  <c r="B3176" i="5"/>
  <c r="E3175" i="5"/>
  <c r="B3175" i="5"/>
  <c r="E3174" i="5"/>
  <c r="B3174" i="5"/>
  <c r="E3173" i="5"/>
  <c r="B3173" i="5"/>
  <c r="E3172" i="5"/>
  <c r="B3172" i="5"/>
  <c r="E3171" i="5"/>
  <c r="B3171" i="5"/>
  <c r="E3170" i="5"/>
  <c r="B3170" i="5"/>
  <c r="E3169" i="5"/>
  <c r="B3169" i="5"/>
  <c r="E3168" i="5"/>
  <c r="B3168" i="5"/>
  <c r="E3167" i="5"/>
  <c r="B3167" i="5"/>
  <c r="E3166" i="5"/>
  <c r="B3166" i="5"/>
  <c r="E3165" i="5"/>
  <c r="B3165" i="5"/>
  <c r="E3164" i="5"/>
  <c r="B3164" i="5"/>
  <c r="E3163" i="5"/>
  <c r="B3163" i="5"/>
  <c r="E3162" i="5"/>
  <c r="B3162" i="5"/>
  <c r="E3161" i="5"/>
  <c r="B3161" i="5"/>
  <c r="E3160" i="5"/>
  <c r="B3160" i="5"/>
  <c r="E3159" i="5"/>
  <c r="B3159" i="5"/>
  <c r="E3158" i="5"/>
  <c r="B3158" i="5"/>
  <c r="E3157" i="5"/>
  <c r="B3157" i="5"/>
  <c r="E3156" i="5"/>
  <c r="B3156" i="5"/>
  <c r="E3155" i="5"/>
  <c r="B3155" i="5"/>
  <c r="E3154" i="5"/>
  <c r="B3154" i="5"/>
  <c r="E3153" i="5"/>
  <c r="B3153" i="5"/>
  <c r="E3152" i="5"/>
  <c r="B3152" i="5"/>
  <c r="E3151" i="5"/>
  <c r="B3151" i="5"/>
  <c r="E3150" i="5"/>
  <c r="B3150" i="5"/>
  <c r="E3149" i="5"/>
  <c r="B3149" i="5"/>
  <c r="E3148" i="5"/>
  <c r="B3148" i="5"/>
  <c r="E3147" i="5"/>
  <c r="B3147" i="5"/>
  <c r="E3146" i="5"/>
  <c r="B3146" i="5"/>
  <c r="E3145" i="5"/>
  <c r="B3145" i="5"/>
  <c r="E3144" i="5"/>
  <c r="B3144" i="5"/>
  <c r="E3143" i="5"/>
  <c r="B3143" i="5"/>
  <c r="E3142" i="5"/>
  <c r="B3142" i="5"/>
  <c r="E3141" i="5"/>
  <c r="B3141" i="5"/>
  <c r="E3140" i="5"/>
  <c r="B3140" i="5"/>
  <c r="E3139" i="5"/>
  <c r="B3139" i="5"/>
  <c r="E3138" i="5"/>
  <c r="B3138" i="5"/>
  <c r="E3137" i="5"/>
  <c r="B3137" i="5"/>
  <c r="E3136" i="5"/>
  <c r="B3136" i="5"/>
  <c r="E3135" i="5"/>
  <c r="B3135" i="5"/>
  <c r="E3134" i="5"/>
  <c r="B3134" i="5"/>
  <c r="E3133" i="5"/>
  <c r="B3133" i="5"/>
  <c r="E3132" i="5"/>
  <c r="B3132" i="5"/>
  <c r="E3131" i="5"/>
  <c r="B3131" i="5"/>
  <c r="E3130" i="5"/>
  <c r="B3130" i="5"/>
  <c r="E3129" i="5"/>
  <c r="B3129" i="5"/>
  <c r="E3128" i="5"/>
  <c r="B3128" i="5"/>
  <c r="E3127" i="5"/>
  <c r="B3127" i="5"/>
  <c r="E3126" i="5"/>
  <c r="B3126" i="5"/>
  <c r="E3125" i="5"/>
  <c r="B3125" i="5"/>
  <c r="E3124" i="5"/>
  <c r="B3124" i="5"/>
  <c r="E3123" i="5"/>
  <c r="B3123" i="5"/>
  <c r="E3122" i="5"/>
  <c r="B3122" i="5"/>
  <c r="E3121" i="5"/>
  <c r="B3121" i="5"/>
  <c r="E3120" i="5"/>
  <c r="B3120" i="5"/>
  <c r="E3119" i="5"/>
  <c r="B3119" i="5"/>
  <c r="E3118" i="5"/>
  <c r="B3118" i="5"/>
  <c r="E3117" i="5"/>
  <c r="B3117" i="5"/>
  <c r="E3116" i="5"/>
  <c r="B3116" i="5"/>
  <c r="E3115" i="5"/>
  <c r="B3115" i="5"/>
  <c r="E3114" i="5"/>
  <c r="B3114" i="5"/>
  <c r="E3113" i="5"/>
  <c r="B3113" i="5"/>
  <c r="E3112" i="5"/>
  <c r="B3112" i="5"/>
  <c r="E3111" i="5"/>
  <c r="B3111" i="5"/>
  <c r="E3110" i="5"/>
  <c r="B3110" i="5"/>
  <c r="E3109" i="5"/>
  <c r="B3109" i="5"/>
  <c r="E3108" i="5"/>
  <c r="B3108" i="5"/>
  <c r="E3107" i="5"/>
  <c r="B3107" i="5"/>
  <c r="E3106" i="5"/>
  <c r="B3106" i="5"/>
  <c r="E3105" i="5"/>
  <c r="B3105" i="5"/>
  <c r="E3104" i="5"/>
  <c r="B3104" i="5"/>
  <c r="E3103" i="5"/>
  <c r="B3103" i="5"/>
  <c r="E3102" i="5"/>
  <c r="B3102" i="5"/>
  <c r="E3101" i="5"/>
  <c r="B3101" i="5"/>
  <c r="E3100" i="5"/>
  <c r="B3100" i="5"/>
  <c r="E3099" i="5"/>
  <c r="B3099" i="5"/>
  <c r="E3098" i="5"/>
  <c r="B3098" i="5"/>
  <c r="E3097" i="5"/>
  <c r="B3097" i="5"/>
  <c r="E3096" i="5"/>
  <c r="B3096" i="5"/>
  <c r="E3095" i="5"/>
  <c r="B3095" i="5"/>
  <c r="E3094" i="5"/>
  <c r="B3094" i="5"/>
  <c r="E3093" i="5"/>
  <c r="B3093" i="5"/>
  <c r="E3092" i="5"/>
  <c r="B3092" i="5"/>
  <c r="E3091" i="5"/>
  <c r="B3091" i="5"/>
  <c r="E3090" i="5"/>
  <c r="B3090" i="5"/>
  <c r="E3089" i="5"/>
  <c r="B3089" i="5"/>
  <c r="E3088" i="5"/>
  <c r="B3088" i="5"/>
  <c r="E3087" i="5"/>
  <c r="B3087" i="5"/>
  <c r="E3086" i="5"/>
  <c r="B3086" i="5"/>
  <c r="E3085" i="5"/>
  <c r="B3085" i="5"/>
  <c r="E3084" i="5"/>
  <c r="B3084" i="5"/>
  <c r="E3083" i="5"/>
  <c r="B3083" i="5"/>
  <c r="E3082" i="5"/>
  <c r="B3082" i="5"/>
  <c r="E3081" i="5"/>
  <c r="B3081" i="5"/>
  <c r="E3080" i="5"/>
  <c r="B3080" i="5"/>
  <c r="E3079" i="5"/>
  <c r="B3079" i="5"/>
  <c r="E3078" i="5"/>
  <c r="B3078" i="5"/>
  <c r="E3077" i="5"/>
  <c r="B3077" i="5"/>
  <c r="E3076" i="5"/>
  <c r="B3076" i="5"/>
  <c r="E3075" i="5"/>
  <c r="B3075" i="5"/>
  <c r="E3074" i="5"/>
  <c r="B3074" i="5"/>
  <c r="E3073" i="5"/>
  <c r="B3073" i="5"/>
  <c r="E3072" i="5"/>
  <c r="B3072" i="5"/>
  <c r="E3071" i="5"/>
  <c r="B3071" i="5"/>
  <c r="E3070" i="5"/>
  <c r="B3070" i="5"/>
  <c r="E3069" i="5"/>
  <c r="B3069" i="5"/>
  <c r="E3068" i="5"/>
  <c r="B3068" i="5"/>
  <c r="E3067" i="5"/>
  <c r="B3067" i="5"/>
  <c r="E3066" i="5"/>
  <c r="B3066" i="5"/>
  <c r="E3065" i="5"/>
  <c r="B3065" i="5"/>
  <c r="E3064" i="5"/>
  <c r="B3064" i="5"/>
  <c r="E3063" i="5"/>
  <c r="B3063" i="5"/>
  <c r="E3062" i="5"/>
  <c r="B3062" i="5"/>
  <c r="E3061" i="5"/>
  <c r="B3061" i="5"/>
  <c r="E3060" i="5"/>
  <c r="B3060" i="5"/>
  <c r="E3059" i="5"/>
  <c r="B3059" i="5"/>
  <c r="E3058" i="5"/>
  <c r="B3058" i="5"/>
  <c r="E3057" i="5"/>
  <c r="B3057" i="5"/>
  <c r="E3056" i="5"/>
  <c r="B3056" i="5"/>
  <c r="E3055" i="5"/>
  <c r="B3055" i="5"/>
  <c r="E3054" i="5"/>
  <c r="B3054" i="5"/>
  <c r="E3053" i="5"/>
  <c r="B3053" i="5"/>
  <c r="E3052" i="5"/>
  <c r="B3052" i="5"/>
  <c r="E3051" i="5"/>
  <c r="B3051" i="5"/>
  <c r="E3050" i="5"/>
  <c r="B3050" i="5"/>
  <c r="E3049" i="5"/>
  <c r="B3049" i="5"/>
  <c r="E3048" i="5"/>
  <c r="B3048" i="5"/>
  <c r="E3047" i="5"/>
  <c r="B3047" i="5"/>
  <c r="E3046" i="5"/>
  <c r="B3046" i="5"/>
  <c r="E3045" i="5"/>
  <c r="B3045" i="5"/>
  <c r="E3044" i="5"/>
  <c r="B3044" i="5"/>
  <c r="E3043" i="5"/>
  <c r="B3043" i="5"/>
  <c r="E3042" i="5"/>
  <c r="B3042" i="5"/>
  <c r="E3041" i="5"/>
  <c r="B3041" i="5"/>
  <c r="E3040" i="5"/>
  <c r="B3040" i="5"/>
  <c r="E3039" i="5"/>
  <c r="B3039" i="5"/>
  <c r="E3038" i="5"/>
  <c r="B3038" i="5"/>
  <c r="E3037" i="5"/>
  <c r="B3037" i="5"/>
  <c r="E3036" i="5"/>
  <c r="B3036" i="5"/>
  <c r="E3035" i="5"/>
  <c r="B3035" i="5"/>
  <c r="E3034" i="5"/>
  <c r="B3034" i="5"/>
  <c r="E3033" i="5"/>
  <c r="B3033" i="5"/>
  <c r="E3032" i="5"/>
  <c r="B3032" i="5"/>
  <c r="E3031" i="5"/>
  <c r="B3031" i="5"/>
  <c r="E3030" i="5"/>
  <c r="B3030" i="5"/>
  <c r="E3029" i="5"/>
  <c r="B3029" i="5"/>
  <c r="E3028" i="5"/>
  <c r="B3028" i="5"/>
  <c r="E3027" i="5"/>
  <c r="B3027" i="5"/>
  <c r="E3026" i="5"/>
  <c r="B3026" i="5"/>
  <c r="E3025" i="5"/>
  <c r="B3025" i="5"/>
  <c r="E3024" i="5"/>
  <c r="B3024" i="5"/>
  <c r="E3023" i="5"/>
  <c r="B3023" i="5"/>
  <c r="E3022" i="5"/>
  <c r="B3022" i="5"/>
  <c r="E3021" i="5"/>
  <c r="B3021" i="5"/>
  <c r="E3020" i="5"/>
  <c r="B3020" i="5"/>
  <c r="E3019" i="5"/>
  <c r="B3019" i="5"/>
  <c r="E3018" i="5"/>
  <c r="B3018" i="5"/>
  <c r="E3017" i="5"/>
  <c r="B3017" i="5"/>
  <c r="E3016" i="5"/>
  <c r="B3016" i="5"/>
  <c r="E3015" i="5"/>
  <c r="B3015" i="5"/>
  <c r="E3014" i="5"/>
  <c r="B3014" i="5"/>
  <c r="E3013" i="5"/>
  <c r="B3013" i="5"/>
  <c r="E3012" i="5"/>
  <c r="B3012" i="5"/>
  <c r="E3011" i="5"/>
  <c r="B3011" i="5"/>
  <c r="E3010" i="5"/>
  <c r="B3010" i="5"/>
  <c r="E3009" i="5"/>
  <c r="B3009" i="5"/>
  <c r="E3008" i="5"/>
  <c r="B3008" i="5"/>
  <c r="E3007" i="5"/>
  <c r="B3007" i="5"/>
  <c r="E3006" i="5"/>
  <c r="B3006" i="5"/>
  <c r="E3005" i="5"/>
  <c r="B3005" i="5"/>
  <c r="E3004" i="5"/>
  <c r="B3004" i="5"/>
  <c r="E3003" i="5"/>
  <c r="B3003" i="5"/>
  <c r="E3002" i="5"/>
  <c r="B3002" i="5"/>
  <c r="E3001" i="5"/>
  <c r="B3001" i="5"/>
  <c r="E3000" i="5"/>
  <c r="B3000" i="5"/>
  <c r="E2999" i="5"/>
  <c r="B2999" i="5"/>
  <c r="E2998" i="5"/>
  <c r="B2998" i="5"/>
  <c r="E2997" i="5"/>
  <c r="B2997" i="5"/>
  <c r="E2996" i="5"/>
  <c r="B2996" i="5"/>
  <c r="E2995" i="5"/>
  <c r="B2995" i="5"/>
  <c r="E2994" i="5"/>
  <c r="B2994" i="5"/>
  <c r="E2993" i="5"/>
  <c r="B2993" i="5"/>
  <c r="E2992" i="5"/>
  <c r="B2992" i="5"/>
  <c r="E2991" i="5"/>
  <c r="B2991" i="5"/>
  <c r="E2990" i="5"/>
  <c r="B2990" i="5"/>
  <c r="E2989" i="5"/>
  <c r="B2989" i="5"/>
  <c r="E2988" i="5"/>
  <c r="B2988" i="5"/>
  <c r="E2987" i="5"/>
  <c r="B2987" i="5"/>
  <c r="E2986" i="5"/>
  <c r="B2986" i="5"/>
  <c r="E2985" i="5"/>
  <c r="B2985" i="5"/>
  <c r="E2984" i="5"/>
  <c r="B2984" i="5"/>
  <c r="E2983" i="5"/>
  <c r="B2983" i="5"/>
  <c r="E2982" i="5"/>
  <c r="B2982" i="5"/>
  <c r="E2981" i="5"/>
  <c r="B2981" i="5"/>
  <c r="E2980" i="5"/>
  <c r="B2980" i="5"/>
  <c r="E2979" i="5"/>
  <c r="B2979" i="5"/>
  <c r="E2978" i="5"/>
  <c r="B2978" i="5"/>
  <c r="E2977" i="5"/>
  <c r="B2977" i="5"/>
  <c r="E2976" i="5"/>
  <c r="B2976" i="5"/>
  <c r="E2975" i="5"/>
  <c r="B2975" i="5"/>
  <c r="E2974" i="5"/>
  <c r="B2974" i="5"/>
  <c r="E2973" i="5"/>
  <c r="B2973" i="5"/>
  <c r="E2972" i="5"/>
  <c r="B2972" i="5"/>
  <c r="E2971" i="5"/>
  <c r="B2971" i="5"/>
  <c r="E2970" i="5"/>
  <c r="B2970" i="5"/>
  <c r="E2969" i="5"/>
  <c r="B2969" i="5"/>
  <c r="E2968" i="5"/>
  <c r="B2968" i="5"/>
  <c r="E2967" i="5"/>
  <c r="B2967" i="5"/>
  <c r="E2966" i="5"/>
  <c r="B2966" i="5"/>
  <c r="E2965" i="5"/>
  <c r="B2965" i="5"/>
  <c r="E2964" i="5"/>
  <c r="B2964" i="5"/>
  <c r="E2963" i="5"/>
  <c r="B2963" i="5"/>
  <c r="E2962" i="5"/>
  <c r="B2962" i="5"/>
  <c r="E2961" i="5"/>
  <c r="B2961" i="5"/>
  <c r="E2960" i="5"/>
  <c r="B2960" i="5"/>
  <c r="E2959" i="5"/>
  <c r="B2959" i="5"/>
  <c r="E2958" i="5"/>
  <c r="B2958" i="5"/>
  <c r="E2957" i="5"/>
  <c r="B2957" i="5"/>
  <c r="E2956" i="5"/>
  <c r="B2956" i="5"/>
  <c r="E2955" i="5"/>
  <c r="B2955" i="5"/>
  <c r="E2954" i="5"/>
  <c r="B2954" i="5"/>
  <c r="E2953" i="5"/>
  <c r="B2953" i="5"/>
  <c r="E2952" i="5"/>
  <c r="B2952" i="5"/>
  <c r="E2951" i="5"/>
  <c r="B2951" i="5"/>
  <c r="E2950" i="5"/>
  <c r="B2950" i="5"/>
  <c r="E2949" i="5"/>
  <c r="B2949" i="5"/>
  <c r="E2948" i="5"/>
  <c r="B2948" i="5"/>
  <c r="E2947" i="5"/>
  <c r="B2947" i="5"/>
  <c r="E2946" i="5"/>
  <c r="B2946" i="5"/>
  <c r="E2945" i="5"/>
  <c r="B2945" i="5"/>
  <c r="E2944" i="5"/>
  <c r="B2944" i="5"/>
  <c r="E2943" i="5"/>
  <c r="B2943" i="5"/>
  <c r="E2942" i="5"/>
  <c r="B2942" i="5"/>
  <c r="E2941" i="5"/>
  <c r="B2941" i="5"/>
  <c r="E2940" i="5"/>
  <c r="B2940" i="5"/>
  <c r="E2939" i="5"/>
  <c r="B2939" i="5"/>
  <c r="E2938" i="5"/>
  <c r="B2938" i="5"/>
  <c r="E2937" i="5"/>
  <c r="B2937" i="5"/>
  <c r="E2936" i="5"/>
  <c r="B2936" i="5"/>
  <c r="E2935" i="5"/>
  <c r="B2935" i="5"/>
  <c r="E2934" i="5"/>
  <c r="B2934" i="5"/>
  <c r="E2933" i="5"/>
  <c r="B2933" i="5"/>
  <c r="E2932" i="5"/>
  <c r="B2932" i="5"/>
  <c r="E2931" i="5"/>
  <c r="B2931" i="5"/>
  <c r="E2930" i="5"/>
  <c r="B2930" i="5"/>
  <c r="E2929" i="5"/>
  <c r="B2929" i="5"/>
  <c r="E2928" i="5"/>
  <c r="B2928" i="5"/>
  <c r="E2927" i="5"/>
  <c r="B2927" i="5"/>
  <c r="E2926" i="5"/>
  <c r="B2926" i="5"/>
  <c r="E2925" i="5"/>
  <c r="B2925" i="5"/>
  <c r="E2924" i="5"/>
  <c r="B2924" i="5"/>
  <c r="E2923" i="5"/>
  <c r="B2923" i="5"/>
  <c r="E2922" i="5"/>
  <c r="B2922" i="5"/>
  <c r="E2921" i="5"/>
  <c r="B2921" i="5"/>
  <c r="E2920" i="5"/>
  <c r="B2920" i="5"/>
  <c r="E2919" i="5"/>
  <c r="B2919" i="5"/>
  <c r="E2918" i="5"/>
  <c r="B2918" i="5"/>
  <c r="E2917" i="5"/>
  <c r="B2917" i="5"/>
  <c r="E2916" i="5"/>
  <c r="B2916" i="5"/>
  <c r="E2915" i="5"/>
  <c r="B2915" i="5"/>
  <c r="E2914" i="5"/>
  <c r="B2914" i="5"/>
  <c r="E2913" i="5"/>
  <c r="B2913" i="5"/>
  <c r="E2912" i="5"/>
  <c r="B2912" i="5"/>
  <c r="E2911" i="5"/>
  <c r="B2911" i="5"/>
  <c r="E2910" i="5"/>
  <c r="B2910" i="5"/>
  <c r="E2909" i="5"/>
  <c r="B2909" i="5"/>
  <c r="E2908" i="5"/>
  <c r="B2908" i="5"/>
  <c r="E2907" i="5"/>
  <c r="B2907" i="5"/>
  <c r="E2906" i="5"/>
  <c r="B2906" i="5"/>
  <c r="E2905" i="5"/>
  <c r="B2905" i="5"/>
  <c r="E2904" i="5"/>
  <c r="B2904" i="5"/>
  <c r="E2903" i="5"/>
  <c r="B2903" i="5"/>
  <c r="E2902" i="5"/>
  <c r="B2902" i="5"/>
  <c r="E2901" i="5"/>
  <c r="B2901" i="5"/>
  <c r="E2900" i="5"/>
  <c r="B2900" i="5"/>
  <c r="E2899" i="5"/>
  <c r="B2899" i="5"/>
  <c r="E2898" i="5"/>
  <c r="B2898" i="5"/>
  <c r="E2897" i="5"/>
  <c r="B2897" i="5"/>
  <c r="E2896" i="5"/>
  <c r="B2896" i="5"/>
  <c r="E2895" i="5"/>
  <c r="B2895" i="5"/>
  <c r="E2894" i="5"/>
  <c r="B2894" i="5"/>
  <c r="E2893" i="5"/>
  <c r="B2893" i="5"/>
  <c r="E2892" i="5"/>
  <c r="B2892" i="5"/>
  <c r="E2891" i="5"/>
  <c r="B2891" i="5"/>
  <c r="E2890" i="5"/>
  <c r="B2890" i="5"/>
  <c r="E2889" i="5"/>
  <c r="B2889" i="5"/>
  <c r="E2888" i="5"/>
  <c r="B2888" i="5"/>
  <c r="E2887" i="5"/>
  <c r="B2887" i="5"/>
  <c r="E2886" i="5"/>
  <c r="B2886" i="5"/>
  <c r="E2885" i="5"/>
  <c r="B2885" i="5"/>
  <c r="E2884" i="5"/>
  <c r="B2884" i="5"/>
  <c r="E2883" i="5"/>
  <c r="B2883" i="5"/>
  <c r="E2882" i="5"/>
  <c r="B2882" i="5"/>
  <c r="E2881" i="5"/>
  <c r="B2881" i="5"/>
  <c r="E2880" i="5"/>
  <c r="B2880" i="5"/>
  <c r="E2879" i="5"/>
  <c r="B2879" i="5"/>
  <c r="E2878" i="5"/>
  <c r="B2878" i="5"/>
  <c r="E2877" i="5"/>
  <c r="B2877" i="5"/>
  <c r="E2876" i="5"/>
  <c r="B2876" i="5"/>
  <c r="E2875" i="5"/>
  <c r="B2875" i="5"/>
  <c r="E2874" i="5"/>
  <c r="B2874" i="5"/>
  <c r="E2873" i="5"/>
  <c r="B2873" i="5"/>
  <c r="E2872" i="5"/>
  <c r="B2872" i="5"/>
  <c r="E2871" i="5"/>
  <c r="B2871" i="5"/>
  <c r="E2870" i="5"/>
  <c r="B2870" i="5"/>
  <c r="E2869" i="5"/>
  <c r="B2869" i="5"/>
  <c r="E2868" i="5"/>
  <c r="B2868" i="5"/>
  <c r="E2867" i="5"/>
  <c r="B2867" i="5"/>
  <c r="E2866" i="5"/>
  <c r="B2866" i="5"/>
  <c r="E2865" i="5"/>
  <c r="B2865" i="5"/>
  <c r="E2864" i="5"/>
  <c r="B2864" i="5"/>
  <c r="E2863" i="5"/>
  <c r="B2863" i="5"/>
  <c r="E2862" i="5"/>
  <c r="B2862" i="5"/>
  <c r="E2861" i="5"/>
  <c r="B2861" i="5"/>
  <c r="E2860" i="5"/>
  <c r="B2860" i="5"/>
  <c r="E2859" i="5"/>
  <c r="B2859" i="5"/>
  <c r="E2858" i="5"/>
  <c r="B2858" i="5"/>
  <c r="E2857" i="5"/>
  <c r="B2857" i="5"/>
  <c r="E2856" i="5"/>
  <c r="B2856" i="5"/>
  <c r="E2855" i="5"/>
  <c r="B2855" i="5"/>
  <c r="E2854" i="5"/>
  <c r="B2854" i="5"/>
  <c r="E2853" i="5"/>
  <c r="B2853" i="5"/>
  <c r="E2852" i="5"/>
  <c r="B2852" i="5"/>
  <c r="E2851" i="5"/>
  <c r="B2851" i="5"/>
  <c r="E2850" i="5"/>
  <c r="B2850" i="5"/>
  <c r="E2849" i="5"/>
  <c r="B2849" i="5"/>
  <c r="E2848" i="5"/>
  <c r="B2848" i="5"/>
  <c r="E2847" i="5"/>
  <c r="B2847" i="5"/>
  <c r="E2846" i="5"/>
  <c r="B2846" i="5"/>
  <c r="E2845" i="5"/>
  <c r="B2845" i="5"/>
  <c r="E2844" i="5"/>
  <c r="B2844" i="5"/>
  <c r="E2843" i="5"/>
  <c r="B2843" i="5"/>
  <c r="E2842" i="5"/>
  <c r="B2842" i="5"/>
  <c r="E2841" i="5"/>
  <c r="B2841" i="5"/>
  <c r="E2840" i="5"/>
  <c r="B2840" i="5"/>
  <c r="E2839" i="5"/>
  <c r="B2839" i="5"/>
  <c r="E2838" i="5"/>
  <c r="B2838" i="5"/>
  <c r="E2837" i="5"/>
  <c r="B2837" i="5"/>
  <c r="E2836" i="5"/>
  <c r="B2836" i="5"/>
  <c r="E2835" i="5"/>
  <c r="B2835" i="5"/>
  <c r="E2834" i="5"/>
  <c r="B2834" i="5"/>
  <c r="E2833" i="5"/>
  <c r="B2833" i="5"/>
  <c r="E2832" i="5"/>
  <c r="B2832" i="5"/>
  <c r="E2831" i="5"/>
  <c r="B2831" i="5"/>
  <c r="E2830" i="5"/>
  <c r="B2830" i="5"/>
  <c r="E2829" i="5"/>
  <c r="B2829" i="5"/>
  <c r="E2828" i="5"/>
  <c r="B2828" i="5"/>
  <c r="E2827" i="5"/>
  <c r="B2827" i="5"/>
  <c r="E2826" i="5"/>
  <c r="B2826" i="5"/>
  <c r="E2825" i="5"/>
  <c r="B2825" i="5"/>
  <c r="E2824" i="5"/>
  <c r="B2824" i="5"/>
  <c r="E2823" i="5"/>
  <c r="B2823" i="5"/>
  <c r="E2822" i="5"/>
  <c r="B2822" i="5"/>
  <c r="E2821" i="5"/>
  <c r="B2821" i="5"/>
  <c r="E2820" i="5"/>
  <c r="B2820" i="5"/>
  <c r="E2819" i="5"/>
  <c r="B2819" i="5"/>
  <c r="E2818" i="5"/>
  <c r="B2818" i="5"/>
  <c r="E2817" i="5"/>
  <c r="B2817" i="5"/>
  <c r="E2816" i="5"/>
  <c r="B2816" i="5"/>
  <c r="E2815" i="5"/>
  <c r="B2815" i="5"/>
  <c r="E2814" i="5"/>
  <c r="B2814" i="5"/>
  <c r="E2813" i="5"/>
  <c r="B2813" i="5"/>
  <c r="E2812" i="5"/>
  <c r="B2812" i="5"/>
  <c r="E2811" i="5"/>
  <c r="B2811" i="5"/>
  <c r="E2810" i="5"/>
  <c r="B2810" i="5"/>
  <c r="E2809" i="5"/>
  <c r="B2809" i="5"/>
  <c r="E2808" i="5"/>
  <c r="B2808" i="5"/>
  <c r="E2807" i="5"/>
  <c r="B2807" i="5"/>
  <c r="E2806" i="5"/>
  <c r="B2806" i="5"/>
  <c r="E2805" i="5"/>
  <c r="B2805" i="5"/>
  <c r="E2804" i="5"/>
  <c r="B2804" i="5"/>
  <c r="E2803" i="5"/>
  <c r="B2803" i="5"/>
  <c r="E2802" i="5"/>
  <c r="B2802" i="5"/>
  <c r="E2801" i="5"/>
  <c r="B2801" i="5"/>
  <c r="E2800" i="5"/>
  <c r="B2800" i="5"/>
  <c r="E2799" i="5"/>
  <c r="B2799" i="5"/>
  <c r="E2798" i="5"/>
  <c r="B2798" i="5"/>
  <c r="E2797" i="5"/>
  <c r="B2797" i="5"/>
  <c r="E2796" i="5"/>
  <c r="B2796" i="5"/>
  <c r="E2795" i="5"/>
  <c r="B2795" i="5"/>
  <c r="E2794" i="5"/>
  <c r="B2794" i="5"/>
  <c r="E2793" i="5"/>
  <c r="B2793" i="5"/>
  <c r="E2792" i="5"/>
  <c r="B2792" i="5"/>
  <c r="E2791" i="5"/>
  <c r="B2791" i="5"/>
  <c r="E2790" i="5"/>
  <c r="B2790" i="5"/>
  <c r="E2789" i="5"/>
  <c r="B2789" i="5"/>
  <c r="E2788" i="5"/>
  <c r="B2788" i="5"/>
  <c r="E2787" i="5"/>
  <c r="B2787" i="5"/>
  <c r="E2786" i="5"/>
  <c r="B2786" i="5"/>
  <c r="E2785" i="5"/>
  <c r="B2785" i="5"/>
  <c r="E2784" i="5"/>
  <c r="B2784" i="5"/>
  <c r="E2783" i="5"/>
  <c r="B2783" i="5"/>
  <c r="E2782" i="5"/>
  <c r="B2782" i="5"/>
  <c r="E2781" i="5"/>
  <c r="B2781" i="5"/>
  <c r="E2780" i="5"/>
  <c r="B2780" i="5"/>
  <c r="E2779" i="5"/>
  <c r="B2779" i="5"/>
  <c r="E2778" i="5"/>
  <c r="B2778" i="5"/>
  <c r="E2777" i="5"/>
  <c r="B2777" i="5"/>
  <c r="E2776" i="5"/>
  <c r="B2776" i="5"/>
  <c r="E2775" i="5"/>
  <c r="B2775" i="5"/>
  <c r="E2774" i="5"/>
  <c r="B2774" i="5"/>
  <c r="E2773" i="5"/>
  <c r="B2773" i="5"/>
  <c r="E2772" i="5"/>
  <c r="B2772" i="5"/>
  <c r="E2771" i="5"/>
  <c r="B2771" i="5"/>
  <c r="E2770" i="5"/>
  <c r="B2770" i="5"/>
  <c r="E2769" i="5"/>
  <c r="B2769" i="5"/>
  <c r="E2768" i="5"/>
  <c r="B2768" i="5"/>
  <c r="E2767" i="5"/>
  <c r="B2767" i="5"/>
  <c r="E2766" i="5"/>
  <c r="B2766" i="5"/>
  <c r="E2765" i="5"/>
  <c r="B2765" i="5"/>
  <c r="E2764" i="5"/>
  <c r="B2764" i="5"/>
  <c r="E2763" i="5"/>
  <c r="B2763" i="5"/>
  <c r="E2762" i="5"/>
  <c r="B2762" i="5"/>
  <c r="E2761" i="5"/>
  <c r="B2761" i="5"/>
  <c r="E2760" i="5"/>
  <c r="B2760" i="5"/>
  <c r="E2759" i="5"/>
  <c r="B2759" i="5"/>
  <c r="E2758" i="5"/>
  <c r="B2758" i="5"/>
  <c r="E2757" i="5"/>
  <c r="B2757" i="5"/>
  <c r="E2756" i="5"/>
  <c r="B2756" i="5"/>
  <c r="E2755" i="5"/>
  <c r="B2755" i="5"/>
  <c r="E2754" i="5"/>
  <c r="B2754" i="5"/>
  <c r="E2753" i="5"/>
  <c r="B2753" i="5"/>
  <c r="E2752" i="5"/>
  <c r="B2752" i="5"/>
  <c r="E2751" i="5"/>
  <c r="B2751" i="5"/>
  <c r="E2750" i="5"/>
  <c r="B2750" i="5"/>
  <c r="E2749" i="5"/>
  <c r="B2749" i="5"/>
  <c r="E2748" i="5"/>
  <c r="B2748" i="5"/>
  <c r="E2747" i="5"/>
  <c r="B2747" i="5"/>
  <c r="E2746" i="5"/>
  <c r="B2746" i="5"/>
  <c r="E2745" i="5"/>
  <c r="B2745" i="5"/>
  <c r="E2744" i="5"/>
  <c r="B2744" i="5"/>
  <c r="E2743" i="5"/>
  <c r="B2743" i="5"/>
  <c r="E2742" i="5"/>
  <c r="B2742" i="5"/>
  <c r="E2741" i="5"/>
  <c r="B2741" i="5"/>
  <c r="E2740" i="5"/>
  <c r="B2740" i="5"/>
  <c r="E2739" i="5"/>
  <c r="B2739" i="5"/>
  <c r="E2738" i="5"/>
  <c r="B2738" i="5"/>
  <c r="E2737" i="5"/>
  <c r="B2737" i="5"/>
  <c r="E2736" i="5"/>
  <c r="B2736" i="5"/>
  <c r="E2735" i="5"/>
  <c r="B2735" i="5"/>
  <c r="E2734" i="5"/>
  <c r="B2734" i="5"/>
  <c r="E2733" i="5"/>
  <c r="B2733" i="5"/>
  <c r="E2732" i="5"/>
  <c r="B2732" i="5"/>
  <c r="E2731" i="5"/>
  <c r="B2731" i="5"/>
  <c r="E2730" i="5"/>
  <c r="B2730" i="5"/>
  <c r="E2729" i="5"/>
  <c r="B2729" i="5"/>
  <c r="E2728" i="5"/>
  <c r="B2728" i="5"/>
  <c r="E2727" i="5"/>
  <c r="B2727" i="5"/>
  <c r="E2726" i="5"/>
  <c r="B2726" i="5"/>
  <c r="E2725" i="5"/>
  <c r="B2725" i="5"/>
  <c r="E2724" i="5"/>
  <c r="B2724" i="5"/>
  <c r="E2723" i="5"/>
  <c r="B2723" i="5"/>
  <c r="E2722" i="5"/>
  <c r="B2722" i="5"/>
  <c r="E2721" i="5"/>
  <c r="B2721" i="5"/>
  <c r="E2720" i="5"/>
  <c r="B2720" i="5"/>
  <c r="E2719" i="5"/>
  <c r="B2719" i="5"/>
  <c r="E2718" i="5"/>
  <c r="B2718" i="5"/>
  <c r="E2717" i="5"/>
  <c r="B2717" i="5"/>
  <c r="E2716" i="5"/>
  <c r="B2716" i="5"/>
  <c r="E2715" i="5"/>
  <c r="B2715" i="5"/>
  <c r="E2714" i="5"/>
  <c r="B2714" i="5"/>
  <c r="E2713" i="5"/>
  <c r="B2713" i="5"/>
  <c r="E2712" i="5"/>
  <c r="B2712" i="5"/>
  <c r="E2711" i="5"/>
  <c r="B2711" i="5"/>
  <c r="E2710" i="5"/>
  <c r="B2710" i="5"/>
  <c r="E2709" i="5"/>
  <c r="B2709" i="5"/>
  <c r="E2708" i="5"/>
  <c r="B2708" i="5"/>
  <c r="E2707" i="5"/>
  <c r="B2707" i="5"/>
  <c r="E2706" i="5"/>
  <c r="B2706" i="5"/>
  <c r="E2705" i="5"/>
  <c r="B2705" i="5"/>
  <c r="E2704" i="5"/>
  <c r="B2704" i="5"/>
  <c r="E2703" i="5"/>
  <c r="B2703" i="5"/>
  <c r="E2702" i="5"/>
  <c r="B2702" i="5"/>
  <c r="E2701" i="5"/>
  <c r="B2701" i="5"/>
  <c r="E2700" i="5"/>
  <c r="B2700" i="5"/>
  <c r="E2699" i="5"/>
  <c r="B2699" i="5"/>
  <c r="E2698" i="5"/>
  <c r="B2698" i="5"/>
  <c r="E2697" i="5"/>
  <c r="B2697" i="5"/>
  <c r="E2696" i="5"/>
  <c r="B2696" i="5"/>
  <c r="E2695" i="5"/>
  <c r="B2695" i="5"/>
  <c r="E2694" i="5"/>
  <c r="B2694" i="5"/>
  <c r="E2693" i="5"/>
  <c r="B2693" i="5"/>
  <c r="E2692" i="5"/>
  <c r="B2692" i="5"/>
  <c r="E2691" i="5"/>
  <c r="B2691" i="5"/>
  <c r="E2690" i="5"/>
  <c r="B2690" i="5"/>
  <c r="E2689" i="5"/>
  <c r="B2689" i="5"/>
  <c r="E2688" i="5"/>
  <c r="B2688" i="5"/>
  <c r="E2687" i="5"/>
  <c r="B2687" i="5"/>
  <c r="E2686" i="5"/>
  <c r="B2686" i="5"/>
  <c r="E2685" i="5"/>
  <c r="B2685" i="5"/>
  <c r="E2684" i="5"/>
  <c r="B2684" i="5"/>
  <c r="E2683" i="5"/>
  <c r="B2683" i="5"/>
  <c r="E2682" i="5"/>
  <c r="B2682" i="5"/>
  <c r="E2681" i="5"/>
  <c r="B2681" i="5"/>
  <c r="E2680" i="5"/>
  <c r="B2680" i="5"/>
  <c r="E2679" i="5"/>
  <c r="B2679" i="5"/>
  <c r="E2678" i="5"/>
  <c r="B2678" i="5"/>
  <c r="E2677" i="5"/>
  <c r="B2677" i="5"/>
  <c r="E2676" i="5"/>
  <c r="B2676" i="5"/>
  <c r="E2675" i="5"/>
  <c r="B2675" i="5"/>
  <c r="E2674" i="5"/>
  <c r="B2674" i="5"/>
  <c r="E2673" i="5"/>
  <c r="B2673" i="5"/>
  <c r="E2672" i="5"/>
  <c r="B2672" i="5"/>
  <c r="E2671" i="5"/>
  <c r="B2671" i="5"/>
  <c r="E2670" i="5"/>
  <c r="B2670" i="5"/>
  <c r="E2669" i="5"/>
  <c r="B2669" i="5"/>
  <c r="E2668" i="5"/>
  <c r="B2668" i="5"/>
  <c r="E2667" i="5"/>
  <c r="B2667" i="5"/>
  <c r="E2666" i="5"/>
  <c r="B2666" i="5"/>
  <c r="E2665" i="5"/>
  <c r="B2665" i="5"/>
  <c r="E2664" i="5"/>
  <c r="B2664" i="5"/>
  <c r="E2663" i="5"/>
  <c r="B2663" i="5"/>
  <c r="E2662" i="5"/>
  <c r="B2662" i="5"/>
  <c r="E2661" i="5"/>
  <c r="B2661" i="5"/>
  <c r="E2660" i="5"/>
  <c r="B2660" i="5"/>
  <c r="E2659" i="5"/>
  <c r="B2659" i="5"/>
  <c r="E2658" i="5"/>
  <c r="B2658" i="5"/>
  <c r="E2657" i="5"/>
  <c r="B2657" i="5"/>
  <c r="E2656" i="5"/>
  <c r="B2656" i="5"/>
  <c r="E2655" i="5"/>
  <c r="B2655" i="5"/>
  <c r="E2654" i="5"/>
  <c r="B2654" i="5"/>
  <c r="E2653" i="5"/>
  <c r="B2653" i="5"/>
  <c r="E2652" i="5"/>
  <c r="B2652" i="5"/>
  <c r="E2651" i="5"/>
  <c r="B2651" i="5"/>
  <c r="E2650" i="5"/>
  <c r="B2650" i="5"/>
  <c r="E2649" i="5"/>
  <c r="B2649" i="5"/>
  <c r="E2648" i="5"/>
  <c r="B2648" i="5"/>
  <c r="E2647" i="5"/>
  <c r="B2647" i="5"/>
  <c r="E2646" i="5"/>
  <c r="B2646" i="5"/>
  <c r="E2645" i="5"/>
  <c r="B2645" i="5"/>
  <c r="E2644" i="5"/>
  <c r="B2644" i="5"/>
  <c r="E2643" i="5"/>
  <c r="B2643" i="5"/>
  <c r="E2642" i="5"/>
  <c r="B2642" i="5"/>
  <c r="E2641" i="5"/>
  <c r="B2641" i="5"/>
  <c r="E2640" i="5"/>
  <c r="B2640" i="5"/>
  <c r="E2639" i="5"/>
  <c r="B2639" i="5"/>
  <c r="E2638" i="5"/>
  <c r="B2638" i="5"/>
  <c r="E2637" i="5"/>
  <c r="B2637" i="5"/>
  <c r="E2636" i="5"/>
  <c r="B2636" i="5"/>
  <c r="E2635" i="5"/>
  <c r="B2635" i="5"/>
  <c r="E2634" i="5"/>
  <c r="B2634" i="5"/>
  <c r="E2633" i="5"/>
  <c r="B2633" i="5"/>
  <c r="E2632" i="5"/>
  <c r="B2632" i="5"/>
  <c r="E2631" i="5"/>
  <c r="B2631" i="5"/>
  <c r="E2630" i="5"/>
  <c r="B2630" i="5"/>
  <c r="E2629" i="5"/>
  <c r="B2629" i="5"/>
  <c r="E2628" i="5"/>
  <c r="B2628" i="5"/>
  <c r="E2627" i="5"/>
  <c r="B2627" i="5"/>
  <c r="E2626" i="5"/>
  <c r="B2626" i="5"/>
  <c r="E2625" i="5"/>
  <c r="B2625" i="5"/>
  <c r="E2624" i="5"/>
  <c r="B2624" i="5"/>
  <c r="E2623" i="5"/>
  <c r="B2623" i="5"/>
  <c r="E2622" i="5"/>
  <c r="B2622" i="5"/>
  <c r="E2621" i="5"/>
  <c r="B2621" i="5"/>
  <c r="E2620" i="5"/>
  <c r="B2620" i="5"/>
  <c r="E2619" i="5"/>
  <c r="B2619" i="5"/>
  <c r="E2618" i="5"/>
  <c r="B2618" i="5"/>
  <c r="E2617" i="5"/>
  <c r="B2617" i="5"/>
  <c r="E2616" i="5"/>
  <c r="B2616" i="5"/>
  <c r="E2615" i="5"/>
  <c r="B2615" i="5"/>
  <c r="E2614" i="5"/>
  <c r="B2614" i="5"/>
  <c r="E2613" i="5"/>
  <c r="B2613" i="5"/>
  <c r="E2612" i="5"/>
  <c r="B2612" i="5"/>
  <c r="E2611" i="5"/>
  <c r="B2611" i="5"/>
  <c r="E2610" i="5"/>
  <c r="B2610" i="5"/>
  <c r="E2609" i="5"/>
  <c r="B2609" i="5"/>
  <c r="E2608" i="5"/>
  <c r="B2608" i="5"/>
  <c r="E2607" i="5"/>
  <c r="B2607" i="5"/>
  <c r="E2606" i="5"/>
  <c r="B2606" i="5"/>
  <c r="E2605" i="5"/>
  <c r="B2605" i="5"/>
  <c r="E2604" i="5"/>
  <c r="B2604" i="5"/>
  <c r="E2603" i="5"/>
  <c r="B2603" i="5"/>
  <c r="E2602" i="5"/>
  <c r="B2602" i="5"/>
  <c r="E2601" i="5"/>
  <c r="B2601" i="5"/>
  <c r="E2600" i="5"/>
  <c r="B2600" i="5"/>
  <c r="E2599" i="5"/>
  <c r="B2599" i="5"/>
  <c r="E2598" i="5"/>
  <c r="B2598" i="5"/>
  <c r="E2597" i="5"/>
  <c r="B2597" i="5"/>
  <c r="E2596" i="5"/>
  <c r="B2596" i="5"/>
  <c r="E2595" i="5"/>
  <c r="B2595" i="5"/>
  <c r="E2594" i="5"/>
  <c r="B2594" i="5"/>
  <c r="E2593" i="5"/>
  <c r="B2593" i="5"/>
  <c r="E2592" i="5"/>
  <c r="B2592" i="5"/>
  <c r="E2591" i="5"/>
  <c r="B2591" i="5"/>
  <c r="E2590" i="5"/>
  <c r="B2590" i="5"/>
  <c r="E2589" i="5"/>
  <c r="B2589" i="5"/>
  <c r="E2588" i="5"/>
  <c r="B2588" i="5"/>
  <c r="E2587" i="5"/>
  <c r="B2587" i="5"/>
  <c r="E2586" i="5"/>
  <c r="B2586" i="5"/>
  <c r="E2585" i="5"/>
  <c r="B2585" i="5"/>
  <c r="E2584" i="5"/>
  <c r="B2584" i="5"/>
  <c r="E2583" i="5"/>
  <c r="B2583" i="5"/>
  <c r="E2582" i="5"/>
  <c r="B2582" i="5"/>
  <c r="E2581" i="5"/>
  <c r="B2581" i="5"/>
  <c r="E2580" i="5"/>
  <c r="B2580" i="5"/>
  <c r="E2579" i="5"/>
  <c r="B2579" i="5"/>
  <c r="E2578" i="5"/>
  <c r="B2578" i="5"/>
  <c r="E2577" i="5"/>
  <c r="B2577" i="5"/>
  <c r="E2576" i="5"/>
  <c r="B2576" i="5"/>
  <c r="E2575" i="5"/>
  <c r="B2575" i="5"/>
  <c r="E2574" i="5"/>
  <c r="B2574" i="5"/>
  <c r="E2573" i="5"/>
  <c r="B2573" i="5"/>
  <c r="E2572" i="5"/>
  <c r="B2572" i="5"/>
  <c r="E2571" i="5"/>
  <c r="B2571" i="5"/>
  <c r="E2570" i="5"/>
  <c r="B2570" i="5"/>
  <c r="E2569" i="5"/>
  <c r="B2569" i="5"/>
  <c r="E2568" i="5"/>
  <c r="B2568" i="5"/>
  <c r="E2567" i="5"/>
  <c r="B2567" i="5"/>
  <c r="E2566" i="5"/>
  <c r="B2566" i="5"/>
  <c r="E2565" i="5"/>
  <c r="B2565" i="5"/>
  <c r="E2564" i="5"/>
  <c r="B2564" i="5"/>
  <c r="E2563" i="5"/>
  <c r="B2563" i="5"/>
  <c r="E2562" i="5"/>
  <c r="B2562" i="5"/>
  <c r="E2561" i="5"/>
  <c r="B2561" i="5"/>
  <c r="E2560" i="5"/>
  <c r="B2560" i="5"/>
  <c r="E2559" i="5"/>
  <c r="B2559" i="5"/>
  <c r="E2558" i="5"/>
  <c r="B2558" i="5"/>
  <c r="E2557" i="5"/>
  <c r="B2557" i="5"/>
  <c r="E2556" i="5"/>
  <c r="B2556" i="5"/>
  <c r="E2555" i="5"/>
  <c r="B2555" i="5"/>
  <c r="E2554" i="5"/>
  <c r="B2554" i="5"/>
  <c r="E2553" i="5"/>
  <c r="B2553" i="5"/>
  <c r="E2552" i="5"/>
  <c r="B2552" i="5"/>
  <c r="E2551" i="5"/>
  <c r="B2551" i="5"/>
  <c r="E2550" i="5"/>
  <c r="B2550" i="5"/>
  <c r="E2549" i="5"/>
  <c r="B2549" i="5"/>
  <c r="E2548" i="5"/>
  <c r="B2548" i="5"/>
  <c r="E2547" i="5"/>
  <c r="B2547" i="5"/>
  <c r="E2546" i="5"/>
  <c r="B2546" i="5"/>
  <c r="E2545" i="5"/>
  <c r="B2545" i="5"/>
  <c r="E2544" i="5"/>
  <c r="B2544" i="5"/>
  <c r="E2543" i="5"/>
  <c r="B2543" i="5"/>
  <c r="E2542" i="5"/>
  <c r="B2542" i="5"/>
  <c r="E2541" i="5"/>
  <c r="B2541" i="5"/>
  <c r="E2540" i="5"/>
  <c r="B2540" i="5"/>
  <c r="E2539" i="5"/>
  <c r="B2539" i="5"/>
  <c r="E2538" i="5"/>
  <c r="B2538" i="5"/>
  <c r="E2537" i="5"/>
  <c r="B2537" i="5"/>
  <c r="E2536" i="5"/>
  <c r="B2536" i="5"/>
  <c r="E2535" i="5"/>
  <c r="B2535" i="5"/>
  <c r="E2534" i="5"/>
  <c r="B2534" i="5"/>
  <c r="E2533" i="5"/>
  <c r="B2533" i="5"/>
  <c r="E2532" i="5"/>
  <c r="B2532" i="5"/>
  <c r="E2531" i="5"/>
  <c r="B2531" i="5"/>
  <c r="E2530" i="5"/>
  <c r="B2530" i="5"/>
  <c r="E2529" i="5"/>
  <c r="B2529" i="5"/>
  <c r="E2528" i="5"/>
  <c r="B2528" i="5"/>
  <c r="E2527" i="5"/>
  <c r="B2527" i="5"/>
  <c r="E2526" i="5"/>
  <c r="B2526" i="5"/>
  <c r="E2525" i="5"/>
  <c r="B2525" i="5"/>
  <c r="E2524" i="5"/>
  <c r="B2524" i="5"/>
  <c r="E2523" i="5"/>
  <c r="B2523" i="5"/>
  <c r="E2522" i="5"/>
  <c r="B2522" i="5"/>
  <c r="E2521" i="5"/>
  <c r="B2521" i="5"/>
  <c r="E2520" i="5"/>
  <c r="B2520" i="5"/>
  <c r="E2519" i="5"/>
  <c r="B2519" i="5"/>
  <c r="E2518" i="5"/>
  <c r="B2518" i="5"/>
  <c r="E2517" i="5"/>
  <c r="B2517" i="5"/>
  <c r="E2516" i="5"/>
  <c r="B2516" i="5"/>
  <c r="E2515" i="5"/>
  <c r="B2515" i="5"/>
  <c r="E2514" i="5"/>
  <c r="B2514" i="5"/>
  <c r="E2513" i="5"/>
  <c r="B2513" i="5"/>
  <c r="E2512" i="5"/>
  <c r="B2512" i="5"/>
  <c r="E2511" i="5"/>
  <c r="B2511" i="5"/>
  <c r="E2510" i="5"/>
  <c r="B2510" i="5"/>
  <c r="E2509" i="5"/>
  <c r="B2509" i="5"/>
  <c r="E2508" i="5"/>
  <c r="B2508" i="5"/>
  <c r="E2507" i="5"/>
  <c r="B2507" i="5"/>
  <c r="E2506" i="5"/>
  <c r="B2506" i="5"/>
  <c r="E2505" i="5"/>
  <c r="B2505" i="5"/>
  <c r="E2504" i="5"/>
  <c r="B2504" i="5"/>
  <c r="E2503" i="5"/>
  <c r="B2503" i="5"/>
  <c r="E2502" i="5"/>
  <c r="B2502" i="5"/>
  <c r="E2501" i="5"/>
  <c r="B2501" i="5"/>
  <c r="E2500" i="5"/>
  <c r="B2500" i="5"/>
  <c r="E2499" i="5"/>
  <c r="B2499" i="5"/>
  <c r="E2498" i="5"/>
  <c r="B2498" i="5"/>
  <c r="E2497" i="5"/>
  <c r="B2497" i="5"/>
  <c r="E2496" i="5"/>
  <c r="B2496" i="5"/>
  <c r="E2495" i="5"/>
  <c r="B2495" i="5"/>
  <c r="E2494" i="5"/>
  <c r="B2494" i="5"/>
  <c r="E2493" i="5"/>
  <c r="B2493" i="5"/>
  <c r="E2492" i="5"/>
  <c r="B2492" i="5"/>
  <c r="E2491" i="5"/>
  <c r="B2491" i="5"/>
  <c r="E2490" i="5"/>
  <c r="B2490" i="5"/>
  <c r="E2489" i="5"/>
  <c r="B2489" i="5"/>
  <c r="E2488" i="5"/>
  <c r="B2488" i="5"/>
  <c r="E2487" i="5"/>
  <c r="B2487" i="5"/>
  <c r="E2486" i="5"/>
  <c r="B2486" i="5"/>
  <c r="E2485" i="5"/>
  <c r="B2485" i="5"/>
  <c r="E2484" i="5"/>
  <c r="B2484" i="5"/>
  <c r="E2483" i="5"/>
  <c r="B2483" i="5"/>
  <c r="E2482" i="5"/>
  <c r="B2482" i="5"/>
  <c r="E2481" i="5"/>
  <c r="B2481" i="5"/>
  <c r="E2480" i="5"/>
  <c r="B2480" i="5"/>
  <c r="E2479" i="5"/>
  <c r="B2479" i="5"/>
  <c r="E2478" i="5"/>
  <c r="B2478" i="5"/>
  <c r="E2477" i="5"/>
  <c r="B2477" i="5"/>
  <c r="E2476" i="5"/>
  <c r="B2476" i="5"/>
  <c r="E2475" i="5"/>
  <c r="B2475" i="5"/>
  <c r="E2474" i="5"/>
  <c r="B2474" i="5"/>
  <c r="E2473" i="5"/>
  <c r="B2473" i="5"/>
  <c r="E2472" i="5"/>
  <c r="B2472" i="5"/>
  <c r="E2471" i="5"/>
  <c r="B2471" i="5"/>
  <c r="E2470" i="5"/>
  <c r="B2470" i="5"/>
  <c r="E2469" i="5"/>
  <c r="B2469" i="5"/>
  <c r="E2468" i="5"/>
  <c r="B2468" i="5"/>
  <c r="E2467" i="5"/>
  <c r="B2467" i="5"/>
  <c r="E2466" i="5"/>
  <c r="B2466" i="5"/>
  <c r="E2465" i="5"/>
  <c r="B2465" i="5"/>
  <c r="E2464" i="5"/>
  <c r="B2464" i="5"/>
  <c r="E2463" i="5"/>
  <c r="B2463" i="5"/>
  <c r="E2462" i="5"/>
  <c r="B2462" i="5"/>
  <c r="E2461" i="5"/>
  <c r="B2461" i="5"/>
  <c r="E2460" i="5"/>
  <c r="B2460" i="5"/>
  <c r="E2459" i="5"/>
  <c r="B2459" i="5"/>
  <c r="E2458" i="5"/>
  <c r="B2458" i="5"/>
  <c r="E2457" i="5"/>
  <c r="B2457" i="5"/>
  <c r="E2456" i="5"/>
  <c r="B2456" i="5"/>
  <c r="E2455" i="5"/>
  <c r="B2455" i="5"/>
  <c r="E2454" i="5"/>
  <c r="B2454" i="5"/>
  <c r="E2453" i="5"/>
  <c r="B2453" i="5"/>
  <c r="E2452" i="5"/>
  <c r="B2452" i="5"/>
  <c r="E2451" i="5"/>
  <c r="B2451" i="5"/>
  <c r="E2450" i="5"/>
  <c r="B2450" i="5"/>
  <c r="E2449" i="5"/>
  <c r="B2449" i="5"/>
  <c r="E2448" i="5"/>
  <c r="B2448" i="5"/>
  <c r="E2447" i="5"/>
  <c r="B2447" i="5"/>
  <c r="E2446" i="5"/>
  <c r="B2446" i="5"/>
  <c r="E2445" i="5"/>
  <c r="B2445" i="5"/>
  <c r="E2444" i="5"/>
  <c r="B2444" i="5"/>
  <c r="E2443" i="5"/>
  <c r="B2443" i="5"/>
  <c r="E2442" i="5"/>
  <c r="B2442" i="5"/>
  <c r="E2441" i="5"/>
  <c r="B2441" i="5"/>
  <c r="E2440" i="5"/>
  <c r="B2440" i="5"/>
  <c r="E2439" i="5"/>
  <c r="B2439" i="5"/>
  <c r="E2438" i="5"/>
  <c r="B2438" i="5"/>
  <c r="E2437" i="5"/>
  <c r="B2437" i="5"/>
  <c r="E2436" i="5"/>
  <c r="B2436" i="5"/>
  <c r="E2435" i="5"/>
  <c r="B2435" i="5"/>
  <c r="E2434" i="5"/>
  <c r="B2434" i="5"/>
  <c r="E2433" i="5"/>
  <c r="B2433" i="5"/>
  <c r="E2432" i="5"/>
  <c r="B2432" i="5"/>
  <c r="E2431" i="5"/>
  <c r="B2431" i="5"/>
  <c r="E2430" i="5"/>
  <c r="B2430" i="5"/>
  <c r="E2429" i="5"/>
  <c r="B2429" i="5"/>
  <c r="E2428" i="5"/>
  <c r="B2428" i="5"/>
  <c r="E2427" i="5"/>
  <c r="B2427" i="5"/>
  <c r="E2426" i="5"/>
  <c r="B2426" i="5"/>
  <c r="E2425" i="5"/>
  <c r="B2425" i="5"/>
  <c r="E2424" i="5"/>
  <c r="B2424" i="5"/>
  <c r="E2423" i="5"/>
  <c r="B2423" i="5"/>
  <c r="E2422" i="5"/>
  <c r="B2422" i="5"/>
  <c r="E2421" i="5"/>
  <c r="B2421" i="5"/>
  <c r="E2420" i="5"/>
  <c r="B2420" i="5"/>
  <c r="E2419" i="5"/>
  <c r="B2419" i="5"/>
  <c r="E2418" i="5"/>
  <c r="B2418" i="5"/>
  <c r="E2417" i="5"/>
  <c r="B2417" i="5"/>
  <c r="E2416" i="5"/>
  <c r="B2416" i="5"/>
  <c r="E2415" i="5"/>
  <c r="B2415" i="5"/>
  <c r="E2414" i="5"/>
  <c r="B2414" i="5"/>
  <c r="E2413" i="5"/>
  <c r="B2413" i="5"/>
  <c r="E2412" i="5"/>
  <c r="B2412" i="5"/>
  <c r="E2411" i="5"/>
  <c r="B2411" i="5"/>
  <c r="E2410" i="5"/>
  <c r="B2410" i="5"/>
  <c r="E2409" i="5"/>
  <c r="B2409" i="5"/>
  <c r="E2408" i="5"/>
  <c r="B2408" i="5"/>
  <c r="E2407" i="5"/>
  <c r="B2407" i="5"/>
  <c r="E2406" i="5"/>
  <c r="B2406" i="5"/>
  <c r="E2405" i="5"/>
  <c r="B2405" i="5"/>
  <c r="E2404" i="5"/>
  <c r="B2404" i="5"/>
  <c r="E2403" i="5"/>
  <c r="B2403" i="5"/>
  <c r="E2402" i="5"/>
  <c r="B2402" i="5"/>
  <c r="E2401" i="5"/>
  <c r="B2401" i="5"/>
  <c r="E2400" i="5"/>
  <c r="B2400" i="5"/>
  <c r="E2399" i="5"/>
  <c r="B2399" i="5"/>
  <c r="E2398" i="5"/>
  <c r="B2398" i="5"/>
  <c r="E2397" i="5"/>
  <c r="B2397" i="5"/>
  <c r="E2396" i="5"/>
  <c r="B2396" i="5"/>
  <c r="E2395" i="5"/>
  <c r="B2395" i="5"/>
  <c r="E2394" i="5"/>
  <c r="B2394" i="5"/>
  <c r="E2393" i="5"/>
  <c r="B2393" i="5"/>
  <c r="E2392" i="5"/>
  <c r="B2392" i="5"/>
  <c r="E2391" i="5"/>
  <c r="B2391" i="5"/>
  <c r="E2390" i="5"/>
  <c r="B2390" i="5"/>
  <c r="E2389" i="5"/>
  <c r="B2389" i="5"/>
  <c r="E2388" i="5"/>
  <c r="B2388" i="5"/>
  <c r="E2387" i="5"/>
  <c r="B2387" i="5"/>
  <c r="E2386" i="5"/>
  <c r="B2386" i="5"/>
  <c r="E2385" i="5"/>
  <c r="B2385" i="5"/>
  <c r="E2384" i="5"/>
  <c r="B2384" i="5"/>
  <c r="E2383" i="5"/>
  <c r="B2383" i="5"/>
  <c r="E2382" i="5"/>
  <c r="B2382" i="5"/>
  <c r="E2381" i="5"/>
  <c r="B2381" i="5"/>
  <c r="E2380" i="5"/>
  <c r="B2380" i="5"/>
  <c r="E2379" i="5"/>
  <c r="B2379" i="5"/>
  <c r="E2378" i="5"/>
  <c r="B2378" i="5"/>
  <c r="E2377" i="5"/>
  <c r="B2377" i="5"/>
  <c r="E2376" i="5"/>
  <c r="B2376" i="5"/>
  <c r="E2375" i="5"/>
  <c r="B2375" i="5"/>
  <c r="E2374" i="5"/>
  <c r="B2374" i="5"/>
  <c r="E2373" i="5"/>
  <c r="B2373" i="5"/>
  <c r="E2372" i="5"/>
  <c r="B2372" i="5"/>
  <c r="E2371" i="5"/>
  <c r="B2371" i="5"/>
  <c r="E2370" i="5"/>
  <c r="B2370" i="5"/>
  <c r="E2369" i="5"/>
  <c r="B2369" i="5"/>
  <c r="E2368" i="5"/>
  <c r="B2368" i="5"/>
  <c r="E2367" i="5"/>
  <c r="B2367" i="5"/>
  <c r="E2366" i="5"/>
  <c r="B2366" i="5"/>
  <c r="E2365" i="5"/>
  <c r="B2365" i="5"/>
  <c r="E2364" i="5"/>
  <c r="B2364" i="5"/>
  <c r="E2363" i="5"/>
  <c r="B2363" i="5"/>
  <c r="E2362" i="5"/>
  <c r="B2362" i="5"/>
  <c r="E2361" i="5"/>
  <c r="B2361" i="5"/>
  <c r="E2360" i="5"/>
  <c r="B2360" i="5"/>
  <c r="E2359" i="5"/>
  <c r="B2359" i="5"/>
  <c r="E2358" i="5"/>
  <c r="B2358" i="5"/>
  <c r="E2357" i="5"/>
  <c r="B2357" i="5"/>
  <c r="E2356" i="5"/>
  <c r="B2356" i="5"/>
  <c r="E2355" i="5"/>
  <c r="B2355" i="5"/>
  <c r="E2354" i="5"/>
  <c r="B2354" i="5"/>
  <c r="E2353" i="5"/>
  <c r="B2353" i="5"/>
  <c r="E2352" i="5"/>
  <c r="B2352" i="5"/>
  <c r="E2351" i="5"/>
  <c r="B2351" i="5"/>
  <c r="E2350" i="5"/>
  <c r="B2350" i="5"/>
  <c r="E2349" i="5"/>
  <c r="B2349" i="5"/>
  <c r="E2348" i="5"/>
  <c r="B2348" i="5"/>
  <c r="E2347" i="5"/>
  <c r="B2347" i="5"/>
  <c r="E2346" i="5"/>
  <c r="B2346" i="5"/>
  <c r="E2345" i="5"/>
  <c r="B2345" i="5"/>
  <c r="E2344" i="5"/>
  <c r="B2344" i="5"/>
  <c r="E2343" i="5"/>
  <c r="B2343" i="5"/>
  <c r="E2342" i="5"/>
  <c r="B2342" i="5"/>
  <c r="E2341" i="5"/>
  <c r="B2341" i="5"/>
  <c r="E2340" i="5"/>
  <c r="B2340" i="5"/>
  <c r="E2339" i="5"/>
  <c r="B2339" i="5"/>
  <c r="E2338" i="5"/>
  <c r="B2338" i="5"/>
  <c r="E2337" i="5"/>
  <c r="B2337" i="5"/>
  <c r="E2336" i="5"/>
  <c r="B2336" i="5"/>
  <c r="E2335" i="5"/>
  <c r="B2335" i="5"/>
  <c r="E2334" i="5"/>
  <c r="B2334" i="5"/>
  <c r="E2333" i="5"/>
  <c r="B2333" i="5"/>
  <c r="E2332" i="5"/>
  <c r="B2332" i="5"/>
  <c r="E2331" i="5"/>
  <c r="B2331" i="5"/>
  <c r="E2330" i="5"/>
  <c r="B2330" i="5"/>
  <c r="E2329" i="5"/>
  <c r="B2329" i="5"/>
  <c r="E2328" i="5"/>
  <c r="B2328" i="5"/>
  <c r="E2327" i="5"/>
  <c r="B2327" i="5"/>
  <c r="E2326" i="5"/>
  <c r="B2326" i="5"/>
  <c r="E2325" i="5"/>
  <c r="B2325" i="5"/>
  <c r="E2324" i="5"/>
  <c r="B2324" i="5"/>
  <c r="E2323" i="5"/>
  <c r="B2323" i="5"/>
  <c r="E2322" i="5"/>
  <c r="B2322" i="5"/>
  <c r="E2321" i="5"/>
  <c r="B2321" i="5"/>
  <c r="E2320" i="5"/>
  <c r="B2320" i="5"/>
  <c r="E2319" i="5"/>
  <c r="B2319" i="5"/>
  <c r="E2318" i="5"/>
  <c r="B2318" i="5"/>
  <c r="E2317" i="5"/>
  <c r="B2317" i="5"/>
  <c r="E2316" i="5"/>
  <c r="B2316" i="5"/>
  <c r="E2315" i="5"/>
  <c r="B2315" i="5"/>
  <c r="E2314" i="5"/>
  <c r="B2314" i="5"/>
  <c r="E2313" i="5"/>
  <c r="B2313" i="5"/>
  <c r="E2312" i="5"/>
  <c r="B2312" i="5"/>
  <c r="E2311" i="5"/>
  <c r="B2311" i="5"/>
  <c r="E2310" i="5"/>
  <c r="B2310" i="5"/>
  <c r="E2309" i="5"/>
  <c r="B2309" i="5"/>
  <c r="E2308" i="5"/>
  <c r="B2308" i="5"/>
  <c r="E2307" i="5"/>
  <c r="B2307" i="5"/>
  <c r="E2306" i="5"/>
  <c r="B2306" i="5"/>
  <c r="E2305" i="5"/>
  <c r="B2305" i="5"/>
  <c r="E2304" i="5"/>
  <c r="B2304" i="5"/>
  <c r="E2303" i="5"/>
  <c r="B2303" i="5"/>
  <c r="E2302" i="5"/>
  <c r="B2302" i="5"/>
  <c r="E2301" i="5"/>
  <c r="B2301" i="5"/>
  <c r="E2300" i="5"/>
  <c r="B2300" i="5"/>
  <c r="E2299" i="5"/>
  <c r="B2299" i="5"/>
  <c r="E2298" i="5"/>
  <c r="B2298" i="5"/>
  <c r="E2297" i="5"/>
  <c r="B2297" i="5"/>
  <c r="E2296" i="5"/>
  <c r="B2296" i="5"/>
  <c r="E2295" i="5"/>
  <c r="B2295" i="5"/>
  <c r="E2294" i="5"/>
  <c r="B2294" i="5"/>
  <c r="E2293" i="5"/>
  <c r="B2293" i="5"/>
  <c r="E2292" i="5"/>
  <c r="B2292" i="5"/>
  <c r="E2291" i="5"/>
  <c r="B2291" i="5"/>
  <c r="E2290" i="5"/>
  <c r="B2290" i="5"/>
  <c r="E2289" i="5"/>
  <c r="B2289" i="5"/>
  <c r="E2288" i="5"/>
  <c r="B2288" i="5"/>
  <c r="E2287" i="5"/>
  <c r="B2287" i="5"/>
  <c r="E2286" i="5"/>
  <c r="B2286" i="5"/>
  <c r="E2285" i="5"/>
  <c r="B2285" i="5"/>
  <c r="E2284" i="5"/>
  <c r="B2284" i="5"/>
  <c r="E2283" i="5"/>
  <c r="B2283" i="5"/>
  <c r="E2282" i="5"/>
  <c r="B2282" i="5"/>
  <c r="E2281" i="5"/>
  <c r="B2281" i="5"/>
  <c r="E2280" i="5"/>
  <c r="B2280" i="5"/>
  <c r="E2279" i="5"/>
  <c r="B2279" i="5"/>
  <c r="E2278" i="5"/>
  <c r="B2278" i="5"/>
  <c r="E2277" i="5"/>
  <c r="B2277" i="5"/>
  <c r="E2276" i="5"/>
  <c r="B2276" i="5"/>
  <c r="E2275" i="5"/>
  <c r="B2275" i="5"/>
  <c r="E2274" i="5"/>
  <c r="B2274" i="5"/>
  <c r="E2273" i="5"/>
  <c r="B2273" i="5"/>
  <c r="E2272" i="5"/>
  <c r="B2272" i="5"/>
  <c r="E2271" i="5"/>
  <c r="B2271" i="5"/>
  <c r="E2270" i="5"/>
  <c r="B2270" i="5"/>
  <c r="E2269" i="5"/>
  <c r="B2269" i="5"/>
  <c r="E2268" i="5"/>
  <c r="B2268" i="5"/>
  <c r="E2267" i="5"/>
  <c r="B2267" i="5"/>
  <c r="E2266" i="5"/>
  <c r="B2266" i="5"/>
  <c r="E2265" i="5"/>
  <c r="B2265" i="5"/>
  <c r="E2264" i="5"/>
  <c r="B2264" i="5"/>
  <c r="E2263" i="5"/>
  <c r="B2263" i="5"/>
  <c r="E2262" i="5"/>
  <c r="B2262" i="5"/>
  <c r="E2261" i="5"/>
  <c r="B2261" i="5"/>
  <c r="E2260" i="5"/>
  <c r="B2260" i="5"/>
  <c r="E2259" i="5"/>
  <c r="B2259" i="5"/>
  <c r="E2258" i="5"/>
  <c r="B2258" i="5"/>
  <c r="E2257" i="5"/>
  <c r="B2257" i="5"/>
  <c r="E2256" i="5"/>
  <c r="B2256" i="5"/>
  <c r="E2255" i="5"/>
  <c r="B2255" i="5"/>
  <c r="E2254" i="5"/>
  <c r="B2254" i="5"/>
  <c r="E2253" i="5"/>
  <c r="B2253" i="5"/>
  <c r="E2252" i="5"/>
  <c r="B2252" i="5"/>
  <c r="E2251" i="5"/>
  <c r="B2251" i="5"/>
  <c r="E2250" i="5"/>
  <c r="B2250" i="5"/>
  <c r="E2249" i="5"/>
  <c r="B2249" i="5"/>
  <c r="E2248" i="5"/>
  <c r="B2248" i="5"/>
  <c r="E2247" i="5"/>
  <c r="B2247" i="5"/>
  <c r="E2246" i="5"/>
  <c r="B2246" i="5"/>
  <c r="E2245" i="5"/>
  <c r="B2245" i="5"/>
  <c r="E2244" i="5"/>
  <c r="B2244" i="5"/>
  <c r="E2243" i="5"/>
  <c r="B2243" i="5"/>
  <c r="E2242" i="5"/>
  <c r="B2242" i="5"/>
  <c r="E2241" i="5"/>
  <c r="B2241" i="5"/>
  <c r="E2240" i="5"/>
  <c r="B2240" i="5"/>
  <c r="E2239" i="5"/>
  <c r="B2239" i="5"/>
  <c r="E2238" i="5"/>
  <c r="B2238" i="5"/>
  <c r="E2237" i="5"/>
  <c r="B2237" i="5"/>
  <c r="E2236" i="5"/>
  <c r="B2236" i="5"/>
  <c r="E2235" i="5"/>
  <c r="B2235" i="5"/>
  <c r="E2234" i="5"/>
  <c r="B2234" i="5"/>
  <c r="E2233" i="5"/>
  <c r="B2233" i="5"/>
  <c r="E2232" i="5"/>
  <c r="B2232" i="5"/>
  <c r="E2231" i="5"/>
  <c r="B2231" i="5"/>
  <c r="E2230" i="5"/>
  <c r="B2230" i="5"/>
  <c r="E2229" i="5"/>
  <c r="B2229" i="5"/>
  <c r="E2228" i="5"/>
  <c r="B2228" i="5"/>
  <c r="E2227" i="5"/>
  <c r="B2227" i="5"/>
  <c r="E2226" i="5"/>
  <c r="B2226" i="5"/>
  <c r="E2225" i="5"/>
  <c r="B2225" i="5"/>
  <c r="E2224" i="5"/>
  <c r="B2224" i="5"/>
  <c r="E2223" i="5"/>
  <c r="B2223" i="5"/>
  <c r="E2222" i="5"/>
  <c r="B2222" i="5"/>
  <c r="E2221" i="5"/>
  <c r="B2221" i="5"/>
  <c r="E2220" i="5"/>
  <c r="B2220" i="5"/>
  <c r="E2219" i="5"/>
  <c r="B2219" i="5"/>
  <c r="E2218" i="5"/>
  <c r="B2218" i="5"/>
  <c r="E2217" i="5"/>
  <c r="B2217" i="5"/>
  <c r="E2216" i="5"/>
  <c r="B2216" i="5"/>
  <c r="E2215" i="5"/>
  <c r="B2215" i="5"/>
  <c r="E2214" i="5"/>
  <c r="B2214" i="5"/>
  <c r="E2213" i="5"/>
  <c r="B2213" i="5"/>
  <c r="E2212" i="5"/>
  <c r="B2212" i="5"/>
  <c r="E2211" i="5"/>
  <c r="B2211" i="5"/>
  <c r="E2210" i="5"/>
  <c r="B2210" i="5"/>
  <c r="E2209" i="5"/>
  <c r="B2209" i="5"/>
  <c r="E2208" i="5"/>
  <c r="B2208" i="5"/>
  <c r="E2207" i="5"/>
  <c r="B2207" i="5"/>
  <c r="E2206" i="5"/>
  <c r="B2206" i="5"/>
  <c r="E2205" i="5"/>
  <c r="B2205" i="5"/>
  <c r="E2204" i="5"/>
  <c r="B2204" i="5"/>
  <c r="E2203" i="5"/>
  <c r="B2203" i="5"/>
  <c r="E2202" i="5"/>
  <c r="B2202" i="5"/>
  <c r="E2201" i="5"/>
  <c r="B2201" i="5"/>
  <c r="E2200" i="5"/>
  <c r="B2200" i="5"/>
  <c r="E2199" i="5"/>
  <c r="B2199" i="5"/>
  <c r="E2198" i="5"/>
  <c r="B2198" i="5"/>
  <c r="E2197" i="5"/>
  <c r="B2197" i="5"/>
  <c r="E2196" i="5"/>
  <c r="B2196" i="5"/>
  <c r="E2195" i="5"/>
  <c r="B2195" i="5"/>
  <c r="E2194" i="5"/>
  <c r="B2194" i="5"/>
  <c r="E2193" i="5"/>
  <c r="B2193" i="5"/>
  <c r="E2192" i="5"/>
  <c r="B2192" i="5"/>
  <c r="E2191" i="5"/>
  <c r="B2191" i="5"/>
  <c r="E2190" i="5"/>
  <c r="B2190" i="5"/>
  <c r="E2189" i="5"/>
  <c r="B2189" i="5"/>
  <c r="E2188" i="5"/>
  <c r="B2188" i="5"/>
  <c r="E2187" i="5"/>
  <c r="B2187" i="5"/>
  <c r="E2186" i="5"/>
  <c r="B2186" i="5"/>
  <c r="E2185" i="5"/>
  <c r="B2185" i="5"/>
  <c r="E2184" i="5"/>
  <c r="B2184" i="5"/>
  <c r="E2183" i="5"/>
  <c r="B2183" i="5"/>
  <c r="E2182" i="5"/>
  <c r="B2182" i="5"/>
  <c r="E2181" i="5"/>
  <c r="B2181" i="5"/>
  <c r="E2180" i="5"/>
  <c r="B2180" i="5"/>
  <c r="E2179" i="5"/>
  <c r="B2179" i="5"/>
  <c r="E2178" i="5"/>
  <c r="B2178" i="5"/>
  <c r="E2177" i="5"/>
  <c r="B2177" i="5"/>
  <c r="E2176" i="5"/>
  <c r="B2176" i="5"/>
  <c r="E2175" i="5"/>
  <c r="B2175" i="5"/>
  <c r="E2174" i="5"/>
  <c r="B2174" i="5"/>
  <c r="E2173" i="5"/>
  <c r="B2173" i="5"/>
  <c r="E2172" i="5"/>
  <c r="B2172" i="5"/>
  <c r="E2171" i="5"/>
  <c r="B2171" i="5"/>
  <c r="E2170" i="5"/>
  <c r="B2170" i="5"/>
  <c r="E2169" i="5"/>
  <c r="B2169" i="5"/>
  <c r="E2168" i="5"/>
  <c r="B2168" i="5"/>
  <c r="E2167" i="5"/>
  <c r="B2167" i="5"/>
  <c r="E2166" i="5"/>
  <c r="B2166" i="5"/>
  <c r="E2165" i="5"/>
  <c r="B2165" i="5"/>
  <c r="E2164" i="5"/>
  <c r="B2164" i="5"/>
  <c r="E2163" i="5"/>
  <c r="B2163" i="5"/>
  <c r="E2162" i="5"/>
  <c r="B2162" i="5"/>
  <c r="E2161" i="5"/>
  <c r="B2161" i="5"/>
  <c r="E2160" i="5"/>
  <c r="B2160" i="5"/>
  <c r="E2159" i="5"/>
  <c r="B2159" i="5"/>
  <c r="E2158" i="5"/>
  <c r="B2158" i="5"/>
  <c r="E2157" i="5"/>
  <c r="B2157" i="5"/>
  <c r="E2156" i="5"/>
  <c r="B2156" i="5"/>
  <c r="E2155" i="5"/>
  <c r="B2155" i="5"/>
  <c r="E2154" i="5"/>
  <c r="B2154" i="5"/>
  <c r="E2153" i="5"/>
  <c r="B2153" i="5"/>
  <c r="E2152" i="5"/>
  <c r="B2152" i="5"/>
  <c r="E2151" i="5"/>
  <c r="B2151" i="5"/>
  <c r="E2150" i="5"/>
  <c r="B2150" i="5"/>
  <c r="E2149" i="5"/>
  <c r="B2149" i="5"/>
  <c r="E2148" i="5"/>
  <c r="B2148" i="5"/>
  <c r="E2147" i="5"/>
  <c r="B2147" i="5"/>
  <c r="E2146" i="5"/>
  <c r="B2146" i="5"/>
  <c r="E2145" i="5"/>
  <c r="B2145" i="5"/>
  <c r="E2144" i="5"/>
  <c r="B2144" i="5"/>
  <c r="E2143" i="5"/>
  <c r="B2143" i="5"/>
  <c r="E2142" i="5"/>
  <c r="B2142" i="5"/>
  <c r="E2141" i="5"/>
  <c r="B2141" i="5"/>
  <c r="E2140" i="5"/>
  <c r="B2140" i="5"/>
  <c r="E2139" i="5"/>
  <c r="B2139" i="5"/>
  <c r="E2138" i="5"/>
  <c r="B2138" i="5"/>
  <c r="E2137" i="5"/>
  <c r="B2137" i="5"/>
  <c r="E2136" i="5"/>
  <c r="B2136" i="5"/>
  <c r="E2135" i="5"/>
  <c r="B2135" i="5"/>
  <c r="E2134" i="5"/>
  <c r="B2134" i="5"/>
  <c r="E2133" i="5"/>
  <c r="B2133" i="5"/>
  <c r="E2132" i="5"/>
  <c r="B2132" i="5"/>
  <c r="E2131" i="5"/>
  <c r="B2131" i="5"/>
  <c r="E2130" i="5"/>
  <c r="B2130" i="5"/>
  <c r="E2129" i="5"/>
  <c r="B2129" i="5"/>
  <c r="E2128" i="5"/>
  <c r="B2128" i="5"/>
  <c r="E2127" i="5"/>
  <c r="B2127" i="5"/>
  <c r="E2126" i="5"/>
  <c r="B2126" i="5"/>
  <c r="E2125" i="5"/>
  <c r="B2125" i="5"/>
  <c r="E2124" i="5"/>
  <c r="B2124" i="5"/>
  <c r="E2123" i="5"/>
  <c r="B2123" i="5"/>
  <c r="E2122" i="5"/>
  <c r="B2122" i="5"/>
  <c r="E2121" i="5"/>
  <c r="B2121" i="5"/>
  <c r="E2120" i="5"/>
  <c r="B2120" i="5"/>
  <c r="E2119" i="5"/>
  <c r="B2119" i="5"/>
  <c r="E2118" i="5"/>
  <c r="B2118" i="5"/>
  <c r="E2117" i="5"/>
  <c r="B2117" i="5"/>
  <c r="E2116" i="5"/>
  <c r="B2116" i="5"/>
  <c r="E2115" i="5"/>
  <c r="B2115" i="5"/>
  <c r="E2114" i="5"/>
  <c r="B2114" i="5"/>
  <c r="E2113" i="5"/>
  <c r="B2113" i="5"/>
  <c r="E2112" i="5"/>
  <c r="B2112" i="5"/>
  <c r="E2111" i="5"/>
  <c r="B2111" i="5"/>
  <c r="E2110" i="5"/>
  <c r="B2110" i="5"/>
  <c r="E2109" i="5"/>
  <c r="B2109" i="5"/>
  <c r="E2108" i="5"/>
  <c r="B2108" i="5"/>
  <c r="E2107" i="5"/>
  <c r="B2107" i="5"/>
  <c r="E2106" i="5"/>
  <c r="B2106" i="5"/>
  <c r="E2105" i="5"/>
  <c r="B2105" i="5"/>
  <c r="E2104" i="5"/>
  <c r="B2104" i="5"/>
  <c r="E2103" i="5"/>
  <c r="B2103" i="5"/>
  <c r="E2102" i="5"/>
  <c r="B2102" i="5"/>
  <c r="E2101" i="5"/>
  <c r="B2101" i="5"/>
  <c r="E2100" i="5"/>
  <c r="B2100" i="5"/>
  <c r="E2099" i="5"/>
  <c r="B2099" i="5"/>
  <c r="E2098" i="5"/>
  <c r="B2098" i="5"/>
  <c r="E2097" i="5"/>
  <c r="B2097" i="5"/>
  <c r="E2096" i="5"/>
  <c r="B2096" i="5"/>
  <c r="E2095" i="5"/>
  <c r="B2095" i="5"/>
  <c r="E2094" i="5"/>
  <c r="B2094" i="5"/>
  <c r="E2093" i="5"/>
  <c r="B2093" i="5"/>
  <c r="E2092" i="5"/>
  <c r="B2092" i="5"/>
  <c r="E2091" i="5"/>
  <c r="B2091" i="5"/>
  <c r="E2090" i="5"/>
  <c r="B2090" i="5"/>
  <c r="E2089" i="5"/>
  <c r="B2089" i="5"/>
  <c r="E2088" i="5"/>
  <c r="B2088" i="5"/>
  <c r="E2087" i="5"/>
  <c r="B2087" i="5"/>
  <c r="E2086" i="5"/>
  <c r="B2086" i="5"/>
  <c r="E2085" i="5"/>
  <c r="B2085" i="5"/>
  <c r="E2084" i="5"/>
  <c r="B2084" i="5"/>
  <c r="E2083" i="5"/>
  <c r="B2083" i="5"/>
  <c r="E2082" i="5"/>
  <c r="B2082" i="5"/>
  <c r="E2081" i="5"/>
  <c r="B2081" i="5"/>
  <c r="E2080" i="5"/>
  <c r="B2080" i="5"/>
  <c r="E2079" i="5"/>
  <c r="B2079" i="5"/>
  <c r="E2078" i="5"/>
  <c r="B2078" i="5"/>
  <c r="E2077" i="5"/>
  <c r="B2077" i="5"/>
  <c r="E2076" i="5"/>
  <c r="B2076" i="5"/>
  <c r="E2075" i="5"/>
  <c r="B2075" i="5"/>
  <c r="E2074" i="5"/>
  <c r="B2074" i="5"/>
  <c r="E2073" i="5"/>
  <c r="B2073" i="5"/>
  <c r="E2072" i="5"/>
  <c r="B2072" i="5"/>
  <c r="E2071" i="5"/>
  <c r="B2071" i="5"/>
  <c r="E2070" i="5"/>
  <c r="B2070" i="5"/>
  <c r="E2069" i="5"/>
  <c r="B2069" i="5"/>
  <c r="E2068" i="5"/>
  <c r="B2068" i="5"/>
  <c r="E2067" i="5"/>
  <c r="B2067" i="5"/>
  <c r="E2066" i="5"/>
  <c r="B2066" i="5"/>
  <c r="E2065" i="5"/>
  <c r="B2065" i="5"/>
  <c r="E2064" i="5"/>
  <c r="B2064" i="5"/>
  <c r="E2063" i="5"/>
  <c r="B2063" i="5"/>
  <c r="E2062" i="5"/>
  <c r="B2062" i="5"/>
  <c r="E2061" i="5"/>
  <c r="B2061" i="5"/>
  <c r="E2060" i="5"/>
  <c r="B2060" i="5"/>
  <c r="E2059" i="5"/>
  <c r="B2059" i="5"/>
  <c r="E2058" i="5"/>
  <c r="B2058" i="5"/>
  <c r="E2057" i="5"/>
  <c r="B2057" i="5"/>
  <c r="E2056" i="5"/>
  <c r="B2056" i="5"/>
  <c r="E2055" i="5"/>
  <c r="B2055" i="5"/>
  <c r="E2054" i="5"/>
  <c r="B2054" i="5"/>
  <c r="E2053" i="5"/>
  <c r="B2053" i="5"/>
  <c r="E2052" i="5"/>
  <c r="B2052" i="5"/>
  <c r="E2051" i="5"/>
  <c r="B2051" i="5"/>
  <c r="E2050" i="5"/>
  <c r="B2050" i="5"/>
  <c r="E2049" i="5"/>
  <c r="B2049" i="5"/>
  <c r="E2048" i="5"/>
  <c r="B2048" i="5"/>
  <c r="E2047" i="5"/>
  <c r="B2047" i="5"/>
  <c r="E2046" i="5"/>
  <c r="B2046" i="5"/>
  <c r="E2045" i="5"/>
  <c r="B2045" i="5"/>
  <c r="E2044" i="5"/>
  <c r="B2044" i="5"/>
  <c r="E2043" i="5"/>
  <c r="B2043" i="5"/>
  <c r="E2042" i="5"/>
  <c r="B2042" i="5"/>
  <c r="E2041" i="5"/>
  <c r="B2041" i="5"/>
  <c r="E2040" i="5"/>
  <c r="B2040" i="5"/>
  <c r="E2039" i="5"/>
  <c r="B2039" i="5"/>
  <c r="E2038" i="5"/>
  <c r="B2038" i="5"/>
  <c r="E2037" i="5"/>
  <c r="B2037" i="5"/>
  <c r="E2036" i="5"/>
  <c r="B2036" i="5"/>
  <c r="E2035" i="5"/>
  <c r="B2035" i="5"/>
  <c r="E2034" i="5"/>
  <c r="B2034" i="5"/>
  <c r="E2033" i="5"/>
  <c r="B2033" i="5"/>
  <c r="E2032" i="5"/>
  <c r="B2032" i="5"/>
  <c r="E2031" i="5"/>
  <c r="B2031" i="5"/>
  <c r="E2030" i="5"/>
  <c r="B2030" i="5"/>
  <c r="E2029" i="5"/>
  <c r="B2029" i="5"/>
  <c r="E2028" i="5"/>
  <c r="B2028" i="5"/>
  <c r="E2027" i="5"/>
  <c r="B2027" i="5"/>
  <c r="E2026" i="5"/>
  <c r="B2026" i="5"/>
  <c r="E2025" i="5"/>
  <c r="B2025" i="5"/>
  <c r="E2024" i="5"/>
  <c r="B2024" i="5"/>
  <c r="E2023" i="5"/>
  <c r="B2023" i="5"/>
  <c r="E2022" i="5"/>
  <c r="B2022" i="5"/>
  <c r="E2021" i="5"/>
  <c r="B2021" i="5"/>
  <c r="E2020" i="5"/>
  <c r="B2020" i="5"/>
  <c r="E2019" i="5"/>
  <c r="B2019" i="5"/>
  <c r="E2018" i="5"/>
  <c r="B2018" i="5"/>
  <c r="E2017" i="5"/>
  <c r="B2017" i="5"/>
  <c r="E2016" i="5"/>
  <c r="B2016" i="5"/>
  <c r="E2015" i="5"/>
  <c r="B2015" i="5"/>
  <c r="E2014" i="5"/>
  <c r="B2014" i="5"/>
  <c r="E2013" i="5"/>
  <c r="B2013" i="5"/>
  <c r="E2012" i="5"/>
  <c r="B2012" i="5"/>
  <c r="E2011" i="5"/>
  <c r="B2011" i="5"/>
  <c r="E2010" i="5"/>
  <c r="B2010" i="5"/>
  <c r="E2009" i="5"/>
  <c r="B2009" i="5"/>
  <c r="E2008" i="5"/>
  <c r="B2008" i="5"/>
  <c r="E2007" i="5"/>
  <c r="B2007" i="5"/>
  <c r="E2006" i="5"/>
  <c r="B2006" i="5"/>
  <c r="E2005" i="5"/>
  <c r="B2005" i="5"/>
  <c r="E2004" i="5"/>
  <c r="B2004" i="5"/>
  <c r="E2003" i="5"/>
  <c r="B2003" i="5"/>
  <c r="E2002" i="5"/>
  <c r="B2002" i="5"/>
  <c r="E2001" i="5"/>
  <c r="B2001" i="5"/>
  <c r="E2000" i="5"/>
  <c r="B2000" i="5"/>
  <c r="E1999" i="5"/>
  <c r="B1999" i="5"/>
  <c r="E1998" i="5"/>
  <c r="B1998" i="5"/>
  <c r="E1997" i="5"/>
  <c r="B1997" i="5"/>
  <c r="E1996" i="5"/>
  <c r="B1996" i="5"/>
  <c r="E1995" i="5"/>
  <c r="B1995" i="5"/>
  <c r="E1994" i="5"/>
  <c r="B1994" i="5"/>
  <c r="E1993" i="5"/>
  <c r="B1993" i="5"/>
  <c r="E1992" i="5"/>
  <c r="B1992" i="5"/>
  <c r="E1991" i="5"/>
  <c r="B1991" i="5"/>
  <c r="E1990" i="5"/>
  <c r="B1990" i="5"/>
  <c r="E1989" i="5"/>
  <c r="B1989" i="5"/>
  <c r="E1988" i="5"/>
  <c r="B1988" i="5"/>
  <c r="E1987" i="5"/>
  <c r="B1987" i="5"/>
  <c r="E1986" i="5"/>
  <c r="B1986" i="5"/>
  <c r="E1985" i="5"/>
  <c r="B1985" i="5"/>
  <c r="E1984" i="5"/>
  <c r="B1984" i="5"/>
  <c r="E1983" i="5"/>
  <c r="B1983" i="5"/>
  <c r="E1982" i="5"/>
  <c r="B1982" i="5"/>
  <c r="E1981" i="5"/>
  <c r="B1981" i="5"/>
  <c r="E1980" i="5"/>
  <c r="B1980" i="5"/>
  <c r="E1979" i="5"/>
  <c r="B1979" i="5"/>
  <c r="E1978" i="5"/>
  <c r="B1978" i="5"/>
  <c r="E1977" i="5"/>
  <c r="B1977" i="5"/>
  <c r="E1976" i="5"/>
  <c r="B1976" i="5"/>
  <c r="E1975" i="5"/>
  <c r="B1975" i="5"/>
  <c r="E1974" i="5"/>
  <c r="B1974" i="5"/>
  <c r="E1973" i="5"/>
  <c r="B1973" i="5"/>
  <c r="E1972" i="5"/>
  <c r="B1972" i="5"/>
  <c r="E1971" i="5"/>
  <c r="B1971" i="5"/>
  <c r="E1970" i="5"/>
  <c r="B1970" i="5"/>
  <c r="E1969" i="5"/>
  <c r="B1969" i="5"/>
  <c r="E1968" i="5"/>
  <c r="B1968" i="5"/>
  <c r="E1967" i="5"/>
  <c r="B1967" i="5"/>
  <c r="E1966" i="5"/>
  <c r="B1966" i="5"/>
  <c r="E1965" i="5"/>
  <c r="B1965" i="5"/>
  <c r="E1964" i="5"/>
  <c r="B1964" i="5"/>
  <c r="E1963" i="5"/>
  <c r="B1963" i="5"/>
  <c r="E1962" i="5"/>
  <c r="B1962" i="5"/>
  <c r="E1961" i="5"/>
  <c r="B1961" i="5"/>
  <c r="E1960" i="5"/>
  <c r="B1960" i="5"/>
  <c r="E1959" i="5"/>
  <c r="B1959" i="5"/>
  <c r="E1958" i="5"/>
  <c r="B1958" i="5"/>
  <c r="E1957" i="5"/>
  <c r="B1957" i="5"/>
  <c r="E1956" i="5"/>
  <c r="B1956" i="5"/>
  <c r="E1955" i="5"/>
  <c r="B1955" i="5"/>
  <c r="E1954" i="5"/>
  <c r="B1954" i="5"/>
  <c r="E1953" i="5"/>
  <c r="B1953" i="5"/>
  <c r="E1952" i="5"/>
  <c r="B1952" i="5"/>
  <c r="E1951" i="5"/>
  <c r="B1951" i="5"/>
  <c r="E1950" i="5"/>
  <c r="B1950" i="5"/>
  <c r="E1949" i="5"/>
  <c r="B1949" i="5"/>
  <c r="E1948" i="5"/>
  <c r="B1948" i="5"/>
  <c r="E1947" i="5"/>
  <c r="B1947" i="5"/>
  <c r="E1946" i="5"/>
  <c r="B1946" i="5"/>
  <c r="E1945" i="5"/>
  <c r="B1945" i="5"/>
  <c r="E1944" i="5"/>
  <c r="B1944" i="5"/>
  <c r="E1943" i="5"/>
  <c r="B1943" i="5"/>
  <c r="E1942" i="5"/>
  <c r="B1942" i="5"/>
  <c r="E1941" i="5"/>
  <c r="B1941" i="5"/>
  <c r="E1940" i="5"/>
  <c r="B1940" i="5"/>
  <c r="E1939" i="5"/>
  <c r="B1939" i="5"/>
  <c r="E1938" i="5"/>
  <c r="B1938" i="5"/>
  <c r="E1937" i="5"/>
  <c r="B1937" i="5"/>
  <c r="E1936" i="5"/>
  <c r="B1936" i="5"/>
  <c r="E1935" i="5"/>
  <c r="B1935" i="5"/>
  <c r="E1934" i="5"/>
  <c r="B1934" i="5"/>
  <c r="E1933" i="5"/>
  <c r="B1933" i="5"/>
  <c r="E1932" i="5"/>
  <c r="B1932" i="5"/>
  <c r="E1931" i="5"/>
  <c r="B1931" i="5"/>
  <c r="E1930" i="5"/>
  <c r="B1930" i="5"/>
  <c r="E1929" i="5"/>
  <c r="B1929" i="5"/>
  <c r="E1928" i="5"/>
  <c r="B1928" i="5"/>
  <c r="E1927" i="5"/>
  <c r="B1927" i="5"/>
  <c r="E1926" i="5"/>
  <c r="B1926" i="5"/>
  <c r="E1925" i="5"/>
  <c r="B1925" i="5"/>
  <c r="E1924" i="5"/>
  <c r="B1924" i="5"/>
  <c r="E1923" i="5"/>
  <c r="B1923" i="5"/>
  <c r="E1922" i="5"/>
  <c r="B1922" i="5"/>
  <c r="E1921" i="5"/>
  <c r="B1921" i="5"/>
  <c r="E1920" i="5"/>
  <c r="B1920" i="5"/>
  <c r="E1919" i="5"/>
  <c r="B1919" i="5"/>
  <c r="E1918" i="5"/>
  <c r="B1918" i="5"/>
  <c r="E1917" i="5"/>
  <c r="B1917" i="5"/>
  <c r="E1916" i="5"/>
  <c r="B1916" i="5"/>
  <c r="E1915" i="5"/>
  <c r="B1915" i="5"/>
  <c r="E1914" i="5"/>
  <c r="B1914" i="5"/>
  <c r="E1913" i="5"/>
  <c r="B1913" i="5"/>
  <c r="E1912" i="5"/>
  <c r="B1912" i="5"/>
  <c r="E1911" i="5"/>
  <c r="B1911" i="5"/>
  <c r="E1910" i="5"/>
  <c r="B1910" i="5"/>
  <c r="E1909" i="5"/>
  <c r="B1909" i="5"/>
  <c r="E1908" i="5"/>
  <c r="B1908" i="5"/>
  <c r="E1907" i="5"/>
  <c r="B1907" i="5"/>
  <c r="E1906" i="5"/>
  <c r="B1906" i="5"/>
  <c r="E1905" i="5"/>
  <c r="B1905" i="5"/>
  <c r="E1904" i="5"/>
  <c r="B1904" i="5"/>
  <c r="E1903" i="5"/>
  <c r="B1903" i="5"/>
  <c r="E1902" i="5"/>
  <c r="B1902" i="5"/>
  <c r="E1901" i="5"/>
  <c r="B1901" i="5"/>
  <c r="E1900" i="5"/>
  <c r="B1900" i="5"/>
  <c r="E1899" i="5"/>
  <c r="B1899" i="5"/>
  <c r="E1898" i="5"/>
  <c r="B1898" i="5"/>
  <c r="E1897" i="5"/>
  <c r="B1897" i="5"/>
  <c r="E1896" i="5"/>
  <c r="B1896" i="5"/>
  <c r="E1895" i="5"/>
  <c r="B1895" i="5"/>
  <c r="E1894" i="5"/>
  <c r="B1894" i="5"/>
  <c r="E1893" i="5"/>
  <c r="B1893" i="5"/>
  <c r="E1892" i="5"/>
  <c r="B1892" i="5"/>
  <c r="E1891" i="5"/>
  <c r="B1891" i="5"/>
  <c r="E1890" i="5"/>
  <c r="B1890" i="5"/>
  <c r="E1889" i="5"/>
  <c r="B1889" i="5"/>
  <c r="E1888" i="5"/>
  <c r="B1888" i="5"/>
  <c r="E1887" i="5"/>
  <c r="B1887" i="5"/>
  <c r="E1886" i="5"/>
  <c r="B1886" i="5"/>
  <c r="E1885" i="5"/>
  <c r="B1885" i="5"/>
  <c r="E1884" i="5"/>
  <c r="B1884" i="5"/>
  <c r="E1883" i="5"/>
  <c r="B1883" i="5"/>
  <c r="E1882" i="5"/>
  <c r="B1882" i="5"/>
  <c r="E1881" i="5"/>
  <c r="B1881" i="5"/>
  <c r="E1880" i="5"/>
  <c r="B1880" i="5"/>
  <c r="E1879" i="5"/>
  <c r="B1879" i="5"/>
  <c r="E1878" i="5"/>
  <c r="B1878" i="5"/>
  <c r="E1877" i="5"/>
  <c r="B1877" i="5"/>
  <c r="E1876" i="5"/>
  <c r="B1876" i="5"/>
  <c r="E1875" i="5"/>
  <c r="B1875" i="5"/>
  <c r="E1874" i="5"/>
  <c r="B1874" i="5"/>
  <c r="E1873" i="5"/>
  <c r="B1873" i="5"/>
  <c r="E1872" i="5"/>
  <c r="B1872" i="5"/>
  <c r="E1871" i="5"/>
  <c r="B1871" i="5"/>
  <c r="E1870" i="5"/>
  <c r="B1870" i="5"/>
  <c r="E1869" i="5"/>
  <c r="B1869" i="5"/>
  <c r="E1868" i="5"/>
  <c r="B1868" i="5"/>
  <c r="E1867" i="5"/>
  <c r="B1867" i="5"/>
  <c r="E1866" i="5"/>
  <c r="B1866" i="5"/>
  <c r="E1865" i="5"/>
  <c r="B1865" i="5"/>
  <c r="E1864" i="5"/>
  <c r="B1864" i="5"/>
  <c r="E1863" i="5"/>
  <c r="B1863" i="5"/>
  <c r="E1862" i="5"/>
  <c r="B1862" i="5"/>
  <c r="E1861" i="5"/>
  <c r="B1861" i="5"/>
  <c r="E1860" i="5"/>
  <c r="B1860" i="5"/>
  <c r="E1859" i="5"/>
  <c r="B1859" i="5"/>
  <c r="E1858" i="5"/>
  <c r="B1858" i="5"/>
  <c r="E1857" i="5"/>
  <c r="B1857" i="5"/>
  <c r="E1856" i="5"/>
  <c r="B1856" i="5"/>
  <c r="E1855" i="5"/>
  <c r="B1855" i="5"/>
  <c r="E1854" i="5"/>
  <c r="B1854" i="5"/>
  <c r="E1853" i="5"/>
  <c r="B1853" i="5"/>
  <c r="E1852" i="5"/>
  <c r="B1852" i="5"/>
  <c r="E1851" i="5"/>
  <c r="B1851" i="5"/>
  <c r="E1850" i="5"/>
  <c r="B1850" i="5"/>
  <c r="E1849" i="5"/>
  <c r="B1849" i="5"/>
  <c r="E1848" i="5"/>
  <c r="B1848" i="5"/>
  <c r="E1847" i="5"/>
  <c r="B1847" i="5"/>
  <c r="E1846" i="5"/>
  <c r="B1846" i="5"/>
  <c r="E1845" i="5"/>
  <c r="B1845" i="5"/>
  <c r="E1844" i="5"/>
  <c r="B1844" i="5"/>
  <c r="E1843" i="5"/>
  <c r="B1843" i="5"/>
  <c r="E1842" i="5"/>
  <c r="B1842" i="5"/>
  <c r="E1841" i="5"/>
  <c r="B1841" i="5"/>
  <c r="E1840" i="5"/>
  <c r="B1840" i="5"/>
  <c r="E1839" i="5"/>
  <c r="B1839" i="5"/>
  <c r="E1838" i="5"/>
  <c r="B1838" i="5"/>
  <c r="E1837" i="5"/>
  <c r="B1837" i="5"/>
  <c r="E1836" i="5"/>
  <c r="B1836" i="5"/>
  <c r="E1835" i="5"/>
  <c r="B1835" i="5"/>
  <c r="E1834" i="5"/>
  <c r="B1834" i="5"/>
  <c r="E1833" i="5"/>
  <c r="B1833" i="5"/>
  <c r="E1832" i="5"/>
  <c r="B1832" i="5"/>
  <c r="E1831" i="5"/>
  <c r="B1831" i="5"/>
  <c r="E1830" i="5"/>
  <c r="B1830" i="5"/>
  <c r="E1829" i="5"/>
  <c r="B1829" i="5"/>
  <c r="E1828" i="5"/>
  <c r="B1828" i="5"/>
  <c r="E1827" i="5"/>
  <c r="B1827" i="5"/>
  <c r="E1826" i="5"/>
  <c r="B1826" i="5"/>
  <c r="E1825" i="5"/>
  <c r="B1825" i="5"/>
  <c r="E1824" i="5"/>
  <c r="B1824" i="5"/>
  <c r="E1823" i="5"/>
  <c r="B1823" i="5"/>
  <c r="E1822" i="5"/>
  <c r="B1822" i="5"/>
  <c r="E1821" i="5"/>
  <c r="B1821" i="5"/>
  <c r="E1820" i="5"/>
  <c r="B1820" i="5"/>
  <c r="E1819" i="5"/>
  <c r="B1819" i="5"/>
  <c r="E1818" i="5"/>
  <c r="B1818" i="5"/>
  <c r="E1817" i="5"/>
  <c r="B1817" i="5"/>
  <c r="E1816" i="5"/>
  <c r="B1816" i="5"/>
  <c r="E1815" i="5"/>
  <c r="B1815" i="5"/>
  <c r="E1814" i="5"/>
  <c r="B1814" i="5"/>
  <c r="E1813" i="5"/>
  <c r="B1813" i="5"/>
  <c r="E1812" i="5"/>
  <c r="B1812" i="5"/>
  <c r="E1811" i="5"/>
  <c r="B1811" i="5"/>
  <c r="E1810" i="5"/>
  <c r="B1810" i="5"/>
  <c r="E1809" i="5"/>
  <c r="B1809" i="5"/>
  <c r="E1808" i="5"/>
  <c r="B1808" i="5"/>
  <c r="E1807" i="5"/>
  <c r="B1807" i="5"/>
  <c r="E1806" i="5"/>
  <c r="B1806" i="5"/>
  <c r="E1805" i="5"/>
  <c r="B1805" i="5"/>
  <c r="E1804" i="5"/>
  <c r="B1804" i="5"/>
  <c r="E1803" i="5"/>
  <c r="B1803" i="5"/>
  <c r="E1802" i="5"/>
  <c r="B1802" i="5"/>
  <c r="E1801" i="5"/>
  <c r="B1801" i="5"/>
  <c r="E1800" i="5"/>
  <c r="B1800" i="5"/>
  <c r="E1799" i="5"/>
  <c r="B1799" i="5"/>
  <c r="E1798" i="5"/>
  <c r="B1798" i="5"/>
  <c r="E1797" i="5"/>
  <c r="B1797" i="5"/>
  <c r="E1796" i="5"/>
  <c r="B1796" i="5"/>
  <c r="E1795" i="5"/>
  <c r="B1795" i="5"/>
  <c r="E1794" i="5"/>
  <c r="B1794" i="5"/>
  <c r="E1793" i="5"/>
  <c r="B1793" i="5"/>
  <c r="E1792" i="5"/>
  <c r="B1792" i="5"/>
  <c r="E1791" i="5"/>
  <c r="B1791" i="5"/>
  <c r="E1790" i="5"/>
  <c r="B1790" i="5"/>
  <c r="E1789" i="5"/>
  <c r="B1789" i="5"/>
  <c r="E1788" i="5"/>
  <c r="B1788" i="5"/>
  <c r="E1787" i="5"/>
  <c r="B1787" i="5"/>
  <c r="E1786" i="5"/>
  <c r="B1786" i="5"/>
  <c r="E1785" i="5"/>
  <c r="B1785" i="5"/>
  <c r="E1784" i="5"/>
  <c r="B1784" i="5"/>
  <c r="E1783" i="5"/>
  <c r="B1783" i="5"/>
  <c r="E1782" i="5"/>
  <c r="B1782" i="5"/>
  <c r="E1781" i="5"/>
  <c r="B1781" i="5"/>
  <c r="E1780" i="5"/>
  <c r="B1780" i="5"/>
  <c r="E1779" i="5"/>
  <c r="B1779" i="5"/>
  <c r="E1778" i="5"/>
  <c r="B1778" i="5"/>
  <c r="E1777" i="5"/>
  <c r="B1777" i="5"/>
  <c r="E1776" i="5"/>
  <c r="B1776" i="5"/>
  <c r="E1775" i="5"/>
  <c r="B1775" i="5"/>
  <c r="E1774" i="5"/>
  <c r="B1774" i="5"/>
  <c r="E1773" i="5"/>
  <c r="B1773" i="5"/>
  <c r="E1772" i="5"/>
  <c r="B1772" i="5"/>
  <c r="E1771" i="5"/>
  <c r="B1771" i="5"/>
  <c r="E1770" i="5"/>
  <c r="B1770" i="5"/>
  <c r="E1769" i="5"/>
  <c r="B1769" i="5"/>
  <c r="E1768" i="5"/>
  <c r="B1768" i="5"/>
  <c r="E1767" i="5"/>
  <c r="B1767" i="5"/>
  <c r="E1766" i="5"/>
  <c r="B1766" i="5"/>
  <c r="E1765" i="5"/>
  <c r="B1765" i="5"/>
  <c r="E1764" i="5"/>
  <c r="B1764" i="5"/>
  <c r="E1763" i="5"/>
  <c r="B1763" i="5"/>
  <c r="E1762" i="5"/>
  <c r="B1762" i="5"/>
  <c r="E1761" i="5"/>
  <c r="B1761" i="5"/>
  <c r="E1760" i="5"/>
  <c r="B1760" i="5"/>
  <c r="E1759" i="5"/>
  <c r="B1759" i="5"/>
  <c r="E1758" i="5"/>
  <c r="B1758" i="5"/>
  <c r="E1757" i="5"/>
  <c r="B1757" i="5"/>
  <c r="E1756" i="5"/>
  <c r="B1756" i="5"/>
  <c r="E1755" i="5"/>
  <c r="B1755" i="5"/>
  <c r="E1754" i="5"/>
  <c r="B1754" i="5"/>
  <c r="E1753" i="5"/>
  <c r="B1753" i="5"/>
  <c r="E1752" i="5"/>
  <c r="B1752" i="5"/>
  <c r="E1751" i="5"/>
  <c r="B1751" i="5"/>
  <c r="E1750" i="5"/>
  <c r="B1750" i="5"/>
  <c r="E1749" i="5"/>
  <c r="B1749" i="5"/>
  <c r="E1748" i="5"/>
  <c r="B1748" i="5"/>
  <c r="E1747" i="5"/>
  <c r="B1747" i="5"/>
  <c r="E1746" i="5"/>
  <c r="B1746" i="5"/>
  <c r="E1745" i="5"/>
  <c r="B1745" i="5"/>
  <c r="E1744" i="5"/>
  <c r="B1744" i="5"/>
  <c r="E1743" i="5"/>
  <c r="B1743" i="5"/>
  <c r="E1742" i="5"/>
  <c r="B1742" i="5"/>
  <c r="E1741" i="5"/>
  <c r="B1741" i="5"/>
  <c r="E1740" i="5"/>
  <c r="B1740" i="5"/>
  <c r="E1739" i="5"/>
  <c r="B1739" i="5"/>
  <c r="E1738" i="5"/>
  <c r="B1738" i="5"/>
  <c r="E1737" i="5"/>
  <c r="B1737" i="5"/>
  <c r="E1736" i="5"/>
  <c r="B1736" i="5"/>
  <c r="E1735" i="5"/>
  <c r="B1735" i="5"/>
  <c r="E1734" i="5"/>
  <c r="B1734" i="5"/>
  <c r="E1733" i="5"/>
  <c r="B1733" i="5"/>
  <c r="E1732" i="5"/>
  <c r="B1732" i="5"/>
  <c r="E1731" i="5"/>
  <c r="B1731" i="5"/>
  <c r="E1730" i="5"/>
  <c r="B1730" i="5"/>
  <c r="E1729" i="5"/>
  <c r="B1729" i="5"/>
  <c r="E1728" i="5"/>
  <c r="B1728" i="5"/>
  <c r="E1727" i="5"/>
  <c r="B1727" i="5"/>
  <c r="E1726" i="5"/>
  <c r="B1726" i="5"/>
  <c r="E1725" i="5"/>
  <c r="B1725" i="5"/>
  <c r="E1724" i="5"/>
  <c r="B1724" i="5"/>
  <c r="E1723" i="5"/>
  <c r="B1723" i="5"/>
  <c r="E1722" i="5"/>
  <c r="B1722" i="5"/>
  <c r="E1721" i="5"/>
  <c r="B1721" i="5"/>
  <c r="E1720" i="5"/>
  <c r="B1720" i="5"/>
  <c r="E1719" i="5"/>
  <c r="B1719" i="5"/>
  <c r="E1718" i="5"/>
  <c r="B1718" i="5"/>
  <c r="E1717" i="5"/>
  <c r="B1717" i="5"/>
  <c r="E1716" i="5"/>
  <c r="B1716" i="5"/>
  <c r="E1715" i="5"/>
  <c r="B1715" i="5"/>
  <c r="E1714" i="5"/>
  <c r="B1714" i="5"/>
  <c r="E1713" i="5"/>
  <c r="B1713" i="5"/>
  <c r="E1712" i="5"/>
  <c r="B1712" i="5"/>
  <c r="E1711" i="5"/>
  <c r="B1711" i="5"/>
  <c r="E1710" i="5"/>
  <c r="B1710" i="5"/>
  <c r="E1709" i="5"/>
  <c r="B1709" i="5"/>
  <c r="E1708" i="5"/>
  <c r="B1708" i="5"/>
  <c r="E1707" i="5"/>
  <c r="B1707" i="5"/>
  <c r="E1706" i="5"/>
  <c r="B1706" i="5"/>
  <c r="E1705" i="5"/>
  <c r="B1705" i="5"/>
  <c r="E1704" i="5"/>
  <c r="B1704" i="5"/>
  <c r="E1703" i="5"/>
  <c r="B1703" i="5"/>
  <c r="E1702" i="5"/>
  <c r="B1702" i="5"/>
  <c r="E1701" i="5"/>
  <c r="B1701" i="5"/>
  <c r="E1700" i="5"/>
  <c r="B1700" i="5"/>
  <c r="E1699" i="5"/>
  <c r="B1699" i="5"/>
  <c r="E1698" i="5"/>
  <c r="B1698" i="5"/>
  <c r="E1697" i="5"/>
  <c r="B1697" i="5"/>
  <c r="E1696" i="5"/>
  <c r="B1696" i="5"/>
  <c r="E1695" i="5"/>
  <c r="B1695" i="5"/>
  <c r="E1694" i="5"/>
  <c r="B1694" i="5"/>
  <c r="E1693" i="5"/>
  <c r="B1693" i="5"/>
  <c r="E1692" i="5"/>
  <c r="B1692" i="5"/>
  <c r="E1691" i="5"/>
  <c r="B1691" i="5"/>
  <c r="E1690" i="5"/>
  <c r="B1690" i="5"/>
  <c r="E1689" i="5"/>
  <c r="B1689" i="5"/>
  <c r="E1688" i="5"/>
  <c r="B1688" i="5"/>
  <c r="E1687" i="5"/>
  <c r="B1687" i="5"/>
  <c r="E1686" i="5"/>
  <c r="B1686" i="5"/>
  <c r="E1685" i="5"/>
  <c r="B1685" i="5"/>
  <c r="E1684" i="5"/>
  <c r="B1684" i="5"/>
  <c r="E1683" i="5"/>
  <c r="B1683" i="5"/>
  <c r="E1682" i="5"/>
  <c r="B1682" i="5"/>
  <c r="E1681" i="5"/>
  <c r="B1681" i="5"/>
  <c r="E1680" i="5"/>
  <c r="B1680" i="5"/>
  <c r="E1679" i="5"/>
  <c r="B1679" i="5"/>
  <c r="E1678" i="5"/>
  <c r="B1678" i="5"/>
  <c r="E1677" i="5"/>
  <c r="B1677" i="5"/>
  <c r="E1676" i="5"/>
  <c r="B1676" i="5"/>
  <c r="E1675" i="5"/>
  <c r="B1675" i="5"/>
  <c r="E1674" i="5"/>
  <c r="B1674" i="5"/>
  <c r="E1673" i="5"/>
  <c r="B1673" i="5"/>
  <c r="E1672" i="5"/>
  <c r="B1672" i="5"/>
  <c r="E1671" i="5"/>
  <c r="B1671" i="5"/>
  <c r="E1670" i="5"/>
  <c r="B1670" i="5"/>
  <c r="E1669" i="5"/>
  <c r="B1669" i="5"/>
  <c r="E1668" i="5"/>
  <c r="B1668" i="5"/>
  <c r="E1667" i="5"/>
  <c r="B1667" i="5"/>
  <c r="E1666" i="5"/>
  <c r="B1666" i="5"/>
  <c r="E1665" i="5"/>
  <c r="B1665" i="5"/>
  <c r="E1664" i="5"/>
  <c r="B1664" i="5"/>
  <c r="E1663" i="5"/>
  <c r="B1663" i="5"/>
  <c r="E1662" i="5"/>
  <c r="B1662" i="5"/>
  <c r="E1661" i="5"/>
  <c r="B1661" i="5"/>
  <c r="E1660" i="5"/>
  <c r="B1660" i="5"/>
  <c r="E1659" i="5"/>
  <c r="B1659" i="5"/>
  <c r="E1658" i="5"/>
  <c r="B1658" i="5"/>
  <c r="E1657" i="5"/>
  <c r="B1657" i="5"/>
  <c r="E1656" i="5"/>
  <c r="B1656" i="5"/>
  <c r="E1655" i="5"/>
  <c r="B1655" i="5"/>
  <c r="E1654" i="5"/>
  <c r="B1654" i="5"/>
  <c r="E1653" i="5"/>
  <c r="B1653" i="5"/>
  <c r="E1652" i="5"/>
  <c r="B1652" i="5"/>
  <c r="E1651" i="5"/>
  <c r="B1651" i="5"/>
  <c r="E1650" i="5"/>
  <c r="B1650" i="5"/>
  <c r="E1649" i="5"/>
  <c r="B1649" i="5"/>
  <c r="E1648" i="5"/>
  <c r="B1648" i="5"/>
  <c r="E1647" i="5"/>
  <c r="B1647" i="5"/>
  <c r="E1646" i="5"/>
  <c r="B1646" i="5"/>
  <c r="E1645" i="5"/>
  <c r="B1645" i="5"/>
  <c r="E1644" i="5"/>
  <c r="B1644" i="5"/>
  <c r="E1643" i="5"/>
  <c r="B1643" i="5"/>
  <c r="E1642" i="5"/>
  <c r="B1642" i="5"/>
  <c r="E1641" i="5"/>
  <c r="B1641" i="5"/>
  <c r="E1640" i="5"/>
  <c r="B1640" i="5"/>
  <c r="E1639" i="5"/>
  <c r="B1639" i="5"/>
  <c r="E1638" i="5"/>
  <c r="B1638" i="5"/>
  <c r="E1637" i="5"/>
  <c r="B1637" i="5"/>
  <c r="E1636" i="5"/>
  <c r="B1636" i="5"/>
  <c r="E1635" i="5"/>
  <c r="B1635" i="5"/>
  <c r="E1634" i="5"/>
  <c r="B1634" i="5"/>
  <c r="E1633" i="5"/>
  <c r="B1633" i="5"/>
  <c r="E1632" i="5"/>
  <c r="B1632" i="5"/>
  <c r="E1631" i="5"/>
  <c r="B1631" i="5"/>
  <c r="E1630" i="5"/>
  <c r="B1630" i="5"/>
  <c r="E1629" i="5"/>
  <c r="B1629" i="5"/>
  <c r="E1628" i="5"/>
  <c r="B1628" i="5"/>
  <c r="E1627" i="5"/>
  <c r="B1627" i="5"/>
  <c r="E1626" i="5"/>
  <c r="B1626" i="5"/>
  <c r="E1625" i="5"/>
  <c r="B1625" i="5"/>
  <c r="E1624" i="5"/>
  <c r="B1624" i="5"/>
  <c r="E1623" i="5"/>
  <c r="B1623" i="5"/>
  <c r="E1622" i="5"/>
  <c r="B1622" i="5"/>
  <c r="E1621" i="5"/>
  <c r="B1621" i="5"/>
  <c r="E1620" i="5"/>
  <c r="B1620" i="5"/>
  <c r="E1619" i="5"/>
  <c r="B1619" i="5"/>
  <c r="E1618" i="5"/>
  <c r="B1618" i="5"/>
  <c r="E1617" i="5"/>
  <c r="B1617" i="5"/>
  <c r="E1616" i="5"/>
  <c r="B1616" i="5"/>
  <c r="E1615" i="5"/>
  <c r="B1615" i="5"/>
  <c r="E1614" i="5"/>
  <c r="B1614" i="5"/>
  <c r="E1613" i="5"/>
  <c r="B1613" i="5"/>
  <c r="E1612" i="5"/>
  <c r="B1612" i="5"/>
  <c r="E1611" i="5"/>
  <c r="B1611" i="5"/>
  <c r="E1610" i="5"/>
  <c r="B1610" i="5"/>
  <c r="E1609" i="5"/>
  <c r="B1609" i="5"/>
  <c r="E1608" i="5"/>
  <c r="B1608" i="5"/>
  <c r="E1607" i="5"/>
  <c r="B1607" i="5"/>
  <c r="E1606" i="5"/>
  <c r="B1606" i="5"/>
  <c r="E1605" i="5"/>
  <c r="B1605" i="5"/>
  <c r="E1604" i="5"/>
  <c r="B1604" i="5"/>
  <c r="E1603" i="5"/>
  <c r="B1603" i="5"/>
  <c r="E1602" i="5"/>
  <c r="B1602" i="5"/>
  <c r="E1601" i="5"/>
  <c r="B1601" i="5"/>
  <c r="E1600" i="5"/>
  <c r="B1600" i="5"/>
  <c r="E1599" i="5"/>
  <c r="B1599" i="5"/>
  <c r="E1598" i="5"/>
  <c r="B1598" i="5"/>
  <c r="E1597" i="5"/>
  <c r="B1597" i="5"/>
  <c r="E1596" i="5"/>
  <c r="B1596" i="5"/>
  <c r="E1595" i="5"/>
  <c r="B1595" i="5"/>
  <c r="E1594" i="5"/>
  <c r="B1594" i="5"/>
  <c r="E1593" i="5"/>
  <c r="B1593" i="5"/>
  <c r="E1592" i="5"/>
  <c r="B1592" i="5"/>
  <c r="E1591" i="5"/>
  <c r="B1591" i="5"/>
  <c r="E1590" i="5"/>
  <c r="B1590" i="5"/>
  <c r="E1589" i="5"/>
  <c r="B1589" i="5"/>
  <c r="E1588" i="5"/>
  <c r="B1588" i="5"/>
  <c r="E1587" i="5"/>
  <c r="B1587" i="5"/>
  <c r="E1586" i="5"/>
  <c r="B1586" i="5"/>
  <c r="E1585" i="5"/>
  <c r="B1585" i="5"/>
  <c r="E1584" i="5"/>
  <c r="B1584" i="5"/>
  <c r="E1583" i="5"/>
  <c r="B1583" i="5"/>
  <c r="E1582" i="5"/>
  <c r="B1582" i="5"/>
  <c r="E1581" i="5"/>
  <c r="B1581" i="5"/>
  <c r="E1580" i="5"/>
  <c r="B1580" i="5"/>
  <c r="E1579" i="5"/>
  <c r="B1579" i="5"/>
  <c r="E1578" i="5"/>
  <c r="B1578" i="5"/>
  <c r="E1577" i="5"/>
  <c r="B1577" i="5"/>
  <c r="E1576" i="5"/>
  <c r="B1576" i="5"/>
  <c r="E1575" i="5"/>
  <c r="B1575" i="5"/>
  <c r="E1574" i="5"/>
  <c r="B1574" i="5"/>
  <c r="E1573" i="5"/>
  <c r="B1573" i="5"/>
  <c r="E1572" i="5"/>
  <c r="B1572" i="5"/>
  <c r="E1571" i="5"/>
  <c r="B1571" i="5"/>
  <c r="E1570" i="5"/>
  <c r="B1570" i="5"/>
  <c r="E1569" i="5"/>
  <c r="B1569" i="5"/>
  <c r="E1568" i="5"/>
  <c r="B1568" i="5"/>
  <c r="E1567" i="5"/>
  <c r="B1567" i="5"/>
  <c r="E1566" i="5"/>
  <c r="B1566" i="5"/>
  <c r="E1565" i="5"/>
  <c r="B1565" i="5"/>
  <c r="E1564" i="5"/>
  <c r="B1564" i="5"/>
  <c r="E1563" i="5"/>
  <c r="B1563" i="5"/>
  <c r="E1562" i="5"/>
  <c r="B1562" i="5"/>
  <c r="E1561" i="5"/>
  <c r="B1561" i="5"/>
  <c r="E1560" i="5"/>
  <c r="B1560" i="5"/>
  <c r="E1559" i="5"/>
  <c r="B1559" i="5"/>
  <c r="E1558" i="5"/>
  <c r="B1558" i="5"/>
  <c r="E1557" i="5"/>
  <c r="B1557" i="5"/>
  <c r="E1556" i="5"/>
  <c r="B1556" i="5"/>
  <c r="E1555" i="5"/>
  <c r="B1555" i="5"/>
  <c r="E1554" i="5"/>
  <c r="B1554" i="5"/>
  <c r="E1553" i="5"/>
  <c r="B1553" i="5"/>
  <c r="E1552" i="5"/>
  <c r="B1552" i="5"/>
  <c r="E1551" i="5"/>
  <c r="B1551" i="5"/>
  <c r="E1550" i="5"/>
  <c r="B1550" i="5"/>
  <c r="E1549" i="5"/>
  <c r="B1549" i="5"/>
  <c r="E1548" i="5"/>
  <c r="B1548" i="5"/>
  <c r="E1547" i="5"/>
  <c r="B1547" i="5"/>
  <c r="E1546" i="5"/>
  <c r="B1546" i="5"/>
  <c r="E1545" i="5"/>
  <c r="B1545" i="5"/>
  <c r="E1544" i="5"/>
  <c r="B1544" i="5"/>
  <c r="E1543" i="5"/>
  <c r="B1543" i="5"/>
  <c r="E1542" i="5"/>
  <c r="B1542" i="5"/>
  <c r="E1541" i="5"/>
  <c r="B1541" i="5"/>
  <c r="E1540" i="5"/>
  <c r="B1540" i="5"/>
  <c r="E1539" i="5"/>
  <c r="B1539" i="5"/>
  <c r="E1538" i="5"/>
  <c r="B1538" i="5"/>
  <c r="E1537" i="5"/>
  <c r="B1537" i="5"/>
  <c r="E1536" i="5"/>
  <c r="B1536" i="5"/>
  <c r="E1535" i="5"/>
  <c r="B1535" i="5"/>
  <c r="E1534" i="5"/>
  <c r="B1534" i="5"/>
  <c r="E1533" i="5"/>
  <c r="B1533" i="5"/>
  <c r="E1532" i="5"/>
  <c r="B1532" i="5"/>
  <c r="E1531" i="5"/>
  <c r="B1531" i="5"/>
  <c r="E1530" i="5"/>
  <c r="B1530" i="5"/>
  <c r="E1529" i="5"/>
  <c r="B1529" i="5"/>
  <c r="E1528" i="5"/>
  <c r="B1528" i="5"/>
  <c r="E1527" i="5"/>
  <c r="B1527" i="5"/>
  <c r="E1526" i="5"/>
  <c r="B1526" i="5"/>
  <c r="E1525" i="5"/>
  <c r="B1525" i="5"/>
  <c r="E1524" i="5"/>
  <c r="B1524" i="5"/>
  <c r="E1523" i="5"/>
  <c r="B1523" i="5"/>
  <c r="E1522" i="5"/>
  <c r="B1522" i="5"/>
  <c r="E1521" i="5"/>
  <c r="B1521" i="5"/>
  <c r="E1520" i="5"/>
  <c r="B1520" i="5"/>
  <c r="E1519" i="5"/>
  <c r="B1519" i="5"/>
  <c r="E1518" i="5"/>
  <c r="B1518" i="5"/>
  <c r="E1517" i="5"/>
  <c r="B1517" i="5"/>
  <c r="E1516" i="5"/>
  <c r="B1516" i="5"/>
  <c r="E1515" i="5"/>
  <c r="B1515" i="5"/>
  <c r="E1514" i="5"/>
  <c r="B1514" i="5"/>
  <c r="E1513" i="5"/>
  <c r="B1513" i="5"/>
  <c r="E1512" i="5"/>
  <c r="B1512" i="5"/>
  <c r="E1511" i="5"/>
  <c r="B1511" i="5"/>
  <c r="E1510" i="5"/>
  <c r="B1510" i="5"/>
  <c r="E1509" i="5"/>
  <c r="B1509" i="5"/>
  <c r="E1508" i="5"/>
  <c r="B1508" i="5"/>
  <c r="E1507" i="5"/>
  <c r="B1507" i="5"/>
  <c r="E1506" i="5"/>
  <c r="B1506" i="5"/>
  <c r="E1505" i="5"/>
  <c r="B1505" i="5"/>
  <c r="E1504" i="5"/>
  <c r="B1504" i="5"/>
  <c r="E1503" i="5"/>
  <c r="B1503" i="5"/>
  <c r="E1502" i="5"/>
  <c r="B1502" i="5"/>
  <c r="E1501" i="5"/>
  <c r="B1501" i="5"/>
  <c r="E1500" i="5"/>
  <c r="B1500" i="5"/>
  <c r="E1499" i="5"/>
  <c r="B1499" i="5"/>
  <c r="E1498" i="5"/>
  <c r="B1498" i="5"/>
  <c r="E1497" i="5"/>
  <c r="B1497" i="5"/>
  <c r="E1496" i="5"/>
  <c r="B1496" i="5"/>
  <c r="E1495" i="5"/>
  <c r="B1495" i="5"/>
  <c r="E1494" i="5"/>
  <c r="B1494" i="5"/>
  <c r="E1493" i="5"/>
  <c r="B1493" i="5"/>
  <c r="E1492" i="5"/>
  <c r="B1492" i="5"/>
  <c r="E1491" i="5"/>
  <c r="B1491" i="5"/>
  <c r="E1490" i="5"/>
  <c r="B1490" i="5"/>
  <c r="E1489" i="5"/>
  <c r="B1489" i="5"/>
  <c r="E1488" i="5"/>
  <c r="B1488" i="5"/>
  <c r="E1487" i="5"/>
  <c r="B1487" i="5"/>
  <c r="E1486" i="5"/>
  <c r="B1486" i="5"/>
  <c r="E1485" i="5"/>
  <c r="B1485" i="5"/>
  <c r="E1484" i="5"/>
  <c r="B1484" i="5"/>
  <c r="E1483" i="5"/>
  <c r="B1483" i="5"/>
  <c r="E1482" i="5"/>
  <c r="B1482" i="5"/>
  <c r="E1481" i="5"/>
  <c r="B1481" i="5"/>
  <c r="E1480" i="5"/>
  <c r="B1480" i="5"/>
  <c r="E1479" i="5"/>
  <c r="B1479" i="5"/>
  <c r="E1478" i="5"/>
  <c r="B1478" i="5"/>
  <c r="E1477" i="5"/>
  <c r="B1477" i="5"/>
  <c r="E1476" i="5"/>
  <c r="B1476" i="5"/>
  <c r="E1475" i="5"/>
  <c r="B1475" i="5"/>
  <c r="E1474" i="5"/>
  <c r="B1474" i="5"/>
  <c r="E1473" i="5"/>
  <c r="B1473" i="5"/>
  <c r="E1472" i="5"/>
  <c r="B1472" i="5"/>
  <c r="E1471" i="5"/>
  <c r="B1471" i="5"/>
  <c r="E1470" i="5"/>
  <c r="B1470" i="5"/>
  <c r="E1469" i="5"/>
  <c r="B1469" i="5"/>
  <c r="E1468" i="5"/>
  <c r="B1468" i="5"/>
  <c r="E1467" i="5"/>
  <c r="B1467" i="5"/>
  <c r="E1466" i="5"/>
  <c r="B1466" i="5"/>
  <c r="E1465" i="5"/>
  <c r="B1465" i="5"/>
  <c r="E1464" i="5"/>
  <c r="B1464" i="5"/>
  <c r="E1463" i="5"/>
  <c r="B1463" i="5"/>
  <c r="E1462" i="5"/>
  <c r="B1462" i="5"/>
  <c r="E1461" i="5"/>
  <c r="B1461" i="5"/>
  <c r="E1460" i="5"/>
  <c r="B1460" i="5"/>
  <c r="E1459" i="5"/>
  <c r="B1459" i="5"/>
  <c r="E1458" i="5"/>
  <c r="B1458" i="5"/>
  <c r="E1457" i="5"/>
  <c r="B1457" i="5"/>
  <c r="E1456" i="5"/>
  <c r="B1456" i="5"/>
  <c r="E1455" i="5"/>
  <c r="B1455" i="5"/>
  <c r="E1454" i="5"/>
  <c r="B1454" i="5"/>
  <c r="E1453" i="5"/>
  <c r="B1453" i="5"/>
  <c r="E1452" i="5"/>
  <c r="B1452" i="5"/>
  <c r="E1451" i="5"/>
  <c r="B1451" i="5"/>
  <c r="E1450" i="5"/>
  <c r="B1450" i="5"/>
  <c r="E1449" i="5"/>
  <c r="B1449" i="5"/>
  <c r="E1448" i="5"/>
  <c r="B1448" i="5"/>
  <c r="E1447" i="5"/>
  <c r="B1447" i="5"/>
  <c r="E1446" i="5"/>
  <c r="B1446" i="5"/>
  <c r="E1445" i="5"/>
  <c r="B1445" i="5"/>
  <c r="E1444" i="5"/>
  <c r="B1444" i="5"/>
  <c r="E1443" i="5"/>
  <c r="B1443" i="5"/>
  <c r="E1442" i="5"/>
  <c r="B1442" i="5"/>
  <c r="E1441" i="5"/>
  <c r="B1441" i="5"/>
  <c r="E1440" i="5"/>
  <c r="B1440" i="5"/>
  <c r="E1439" i="5"/>
  <c r="B1439" i="5"/>
  <c r="E1438" i="5"/>
  <c r="B1438" i="5"/>
  <c r="E1437" i="5"/>
  <c r="B1437" i="5"/>
  <c r="E1436" i="5"/>
  <c r="B1436" i="5"/>
  <c r="E1435" i="5"/>
  <c r="B1435" i="5"/>
  <c r="E1434" i="5"/>
  <c r="B1434" i="5"/>
  <c r="E1433" i="5"/>
  <c r="B1433" i="5"/>
  <c r="E1432" i="5"/>
  <c r="B1432" i="5"/>
  <c r="E1431" i="5"/>
  <c r="B1431" i="5"/>
  <c r="E1430" i="5"/>
  <c r="B1430" i="5"/>
  <c r="E1429" i="5"/>
  <c r="B1429" i="5"/>
  <c r="E1428" i="5"/>
  <c r="B1428" i="5"/>
  <c r="E1427" i="5"/>
  <c r="B1427" i="5"/>
  <c r="E1426" i="5"/>
  <c r="B1426" i="5"/>
  <c r="E1425" i="5"/>
  <c r="B1425" i="5"/>
  <c r="E1424" i="5"/>
  <c r="B1424" i="5"/>
  <c r="E1423" i="5"/>
  <c r="B1423" i="5"/>
  <c r="E1422" i="5"/>
  <c r="B1422" i="5"/>
  <c r="E1421" i="5"/>
  <c r="B1421" i="5"/>
  <c r="E1420" i="5"/>
  <c r="B1420" i="5"/>
  <c r="E1419" i="5"/>
  <c r="B1419" i="5"/>
  <c r="E1418" i="5"/>
  <c r="B1418" i="5"/>
  <c r="E1417" i="5"/>
  <c r="B1417" i="5"/>
  <c r="E1416" i="5"/>
  <c r="B1416" i="5"/>
  <c r="E1415" i="5"/>
  <c r="B1415" i="5"/>
  <c r="E1414" i="5"/>
  <c r="B1414" i="5"/>
  <c r="E1413" i="5"/>
  <c r="B1413" i="5"/>
  <c r="E1412" i="5"/>
  <c r="B1412" i="5"/>
  <c r="E1411" i="5"/>
  <c r="B1411" i="5"/>
  <c r="E1410" i="5"/>
  <c r="B1410" i="5"/>
  <c r="E1409" i="5"/>
  <c r="B1409" i="5"/>
  <c r="E1408" i="5"/>
  <c r="B1408" i="5"/>
  <c r="E1407" i="5"/>
  <c r="B1407" i="5"/>
  <c r="E1406" i="5"/>
  <c r="B1406" i="5"/>
  <c r="E1405" i="5"/>
  <c r="B1405" i="5"/>
  <c r="E1404" i="5"/>
  <c r="B1404" i="5"/>
  <c r="E1403" i="5"/>
  <c r="B1403" i="5"/>
  <c r="E1402" i="5"/>
  <c r="B1402" i="5"/>
  <c r="E1401" i="5"/>
  <c r="B1401" i="5"/>
  <c r="E1400" i="5"/>
  <c r="B1400" i="5"/>
  <c r="E1399" i="5"/>
  <c r="B1399" i="5"/>
  <c r="E1398" i="5"/>
  <c r="B1398" i="5"/>
  <c r="E1397" i="5"/>
  <c r="B1397" i="5"/>
  <c r="E1396" i="5"/>
  <c r="B1396" i="5"/>
  <c r="E1395" i="5"/>
  <c r="B1395" i="5"/>
  <c r="E1394" i="5"/>
  <c r="B1394" i="5"/>
  <c r="E1393" i="5"/>
  <c r="B1393" i="5"/>
  <c r="E1392" i="5"/>
  <c r="B1392" i="5"/>
  <c r="E1391" i="5"/>
  <c r="B1391" i="5"/>
  <c r="E1390" i="5"/>
  <c r="B1390" i="5"/>
  <c r="E1389" i="5"/>
  <c r="B1389" i="5"/>
  <c r="E1388" i="5"/>
  <c r="B1388" i="5"/>
  <c r="E1387" i="5"/>
  <c r="B1387" i="5"/>
  <c r="E1386" i="5"/>
  <c r="B1386" i="5"/>
  <c r="E1385" i="5"/>
  <c r="B1385" i="5"/>
  <c r="E1384" i="5"/>
  <c r="B1384" i="5"/>
  <c r="E1383" i="5"/>
  <c r="B1383" i="5"/>
  <c r="E1382" i="5"/>
  <c r="B1382" i="5"/>
  <c r="E1381" i="5"/>
  <c r="B1381" i="5"/>
  <c r="E1380" i="5"/>
  <c r="B1380" i="5"/>
  <c r="E1379" i="5"/>
  <c r="B1379" i="5"/>
  <c r="E1378" i="5"/>
  <c r="B1378" i="5"/>
  <c r="E1377" i="5"/>
  <c r="B1377" i="5"/>
  <c r="E1376" i="5"/>
  <c r="B1376" i="5"/>
  <c r="E1375" i="5"/>
  <c r="B1375" i="5"/>
  <c r="E1374" i="5"/>
  <c r="B1374" i="5"/>
  <c r="E1373" i="5"/>
  <c r="B1373" i="5"/>
  <c r="E1372" i="5"/>
  <c r="B1372" i="5"/>
  <c r="E1371" i="5"/>
  <c r="B1371" i="5"/>
  <c r="E1370" i="5"/>
  <c r="B1370" i="5"/>
  <c r="E1369" i="5"/>
  <c r="B1369" i="5"/>
  <c r="E1368" i="5"/>
  <c r="B1368" i="5"/>
  <c r="E1367" i="5"/>
  <c r="B1367" i="5"/>
  <c r="E1366" i="5"/>
  <c r="B1366" i="5"/>
  <c r="E1365" i="5"/>
  <c r="B1365" i="5"/>
  <c r="E1364" i="5"/>
  <c r="B1364" i="5"/>
  <c r="E1363" i="5"/>
  <c r="B1363" i="5"/>
  <c r="E1362" i="5"/>
  <c r="B1362" i="5"/>
  <c r="E1361" i="5"/>
  <c r="B1361" i="5"/>
  <c r="E1360" i="5"/>
  <c r="B1360" i="5"/>
  <c r="E1359" i="5"/>
  <c r="B1359" i="5"/>
  <c r="E1358" i="5"/>
  <c r="B1358" i="5"/>
  <c r="E1357" i="5"/>
  <c r="B1357" i="5"/>
  <c r="E1356" i="5"/>
  <c r="B1356" i="5"/>
  <c r="E1355" i="5"/>
  <c r="B1355" i="5"/>
  <c r="E1354" i="5"/>
  <c r="B1354" i="5"/>
  <c r="E1353" i="5"/>
  <c r="B1353" i="5"/>
  <c r="E1352" i="5"/>
  <c r="B1352" i="5"/>
  <c r="E1351" i="5"/>
  <c r="B1351" i="5"/>
  <c r="E1350" i="5"/>
  <c r="B1350" i="5"/>
  <c r="E1349" i="5"/>
  <c r="B1349" i="5"/>
  <c r="E1348" i="5"/>
  <c r="B1348" i="5"/>
  <c r="E1347" i="5"/>
  <c r="B1347" i="5"/>
  <c r="E1346" i="5"/>
  <c r="B1346" i="5"/>
  <c r="E1345" i="5"/>
  <c r="B1345" i="5"/>
  <c r="E1344" i="5"/>
  <c r="B1344" i="5"/>
  <c r="E1343" i="5"/>
  <c r="B1343" i="5"/>
  <c r="E1342" i="5"/>
  <c r="B1342" i="5"/>
  <c r="E1341" i="5"/>
  <c r="B1341" i="5"/>
  <c r="E1340" i="5"/>
  <c r="B1340" i="5"/>
  <c r="E1339" i="5"/>
  <c r="B1339" i="5"/>
  <c r="E1338" i="5"/>
  <c r="B1338" i="5"/>
  <c r="E1337" i="5"/>
  <c r="B1337" i="5"/>
  <c r="E1336" i="5"/>
  <c r="B1336" i="5"/>
  <c r="E1335" i="5"/>
  <c r="B1335" i="5"/>
  <c r="E1334" i="5"/>
  <c r="B1334" i="5"/>
  <c r="E1333" i="5"/>
  <c r="B1333" i="5"/>
  <c r="E1332" i="5"/>
  <c r="B1332" i="5"/>
  <c r="E1331" i="5"/>
  <c r="B1331" i="5"/>
  <c r="E1330" i="5"/>
  <c r="B1330" i="5"/>
  <c r="E1329" i="5"/>
  <c r="B1329" i="5"/>
  <c r="E1328" i="5"/>
  <c r="B1328" i="5"/>
  <c r="E1327" i="5"/>
  <c r="B1327" i="5"/>
  <c r="E1326" i="5"/>
  <c r="B1326" i="5"/>
  <c r="E1325" i="5"/>
  <c r="B1325" i="5"/>
  <c r="E1324" i="5"/>
  <c r="B1324" i="5"/>
  <c r="E1323" i="5"/>
  <c r="B1323" i="5"/>
  <c r="E1322" i="5"/>
  <c r="B1322" i="5"/>
  <c r="E1321" i="5"/>
  <c r="B1321" i="5"/>
  <c r="E1320" i="5"/>
  <c r="B1320" i="5"/>
  <c r="E1319" i="5"/>
  <c r="B1319" i="5"/>
  <c r="E1318" i="5"/>
  <c r="B1318" i="5"/>
  <c r="E1317" i="5"/>
  <c r="B1317" i="5"/>
  <c r="E1316" i="5"/>
  <c r="B1316" i="5"/>
  <c r="E1315" i="5"/>
  <c r="B1315" i="5"/>
  <c r="E1314" i="5"/>
  <c r="B1314" i="5"/>
  <c r="E1313" i="5"/>
  <c r="B1313" i="5"/>
  <c r="E1312" i="5"/>
  <c r="B1312" i="5"/>
  <c r="E1311" i="5"/>
  <c r="B1311" i="5"/>
  <c r="E1310" i="5"/>
  <c r="B1310" i="5"/>
  <c r="E1309" i="5"/>
  <c r="B1309" i="5"/>
  <c r="E1308" i="5"/>
  <c r="B1308" i="5"/>
  <c r="E1307" i="5"/>
  <c r="B1307" i="5"/>
  <c r="E1306" i="5"/>
  <c r="B1306" i="5"/>
  <c r="E1305" i="5"/>
  <c r="B1305" i="5"/>
  <c r="E1304" i="5"/>
  <c r="B1304" i="5"/>
  <c r="E1303" i="5"/>
  <c r="B1303" i="5"/>
  <c r="E1302" i="5"/>
  <c r="B1302" i="5"/>
  <c r="E1301" i="5"/>
  <c r="B1301" i="5"/>
  <c r="E1300" i="5"/>
  <c r="B1300" i="5"/>
  <c r="E1299" i="5"/>
  <c r="B1299" i="5"/>
  <c r="E1298" i="5"/>
  <c r="B1298" i="5"/>
  <c r="E1297" i="5"/>
  <c r="B1297" i="5"/>
  <c r="E1296" i="5"/>
  <c r="B1296" i="5"/>
  <c r="E1295" i="5"/>
  <c r="B1295" i="5"/>
  <c r="E1294" i="5"/>
  <c r="B1294" i="5"/>
  <c r="E1293" i="5"/>
  <c r="B1293" i="5"/>
  <c r="E1292" i="5"/>
  <c r="B1292" i="5"/>
  <c r="E1291" i="5"/>
  <c r="B1291" i="5"/>
  <c r="E1290" i="5"/>
  <c r="B1290" i="5"/>
  <c r="E1289" i="5"/>
  <c r="B1289" i="5"/>
  <c r="E1288" i="5"/>
  <c r="B1288" i="5"/>
  <c r="E1287" i="5"/>
  <c r="B1287" i="5"/>
  <c r="E1286" i="5"/>
  <c r="B1286" i="5"/>
  <c r="E1285" i="5"/>
  <c r="B1285" i="5"/>
  <c r="E1284" i="5"/>
  <c r="B1284" i="5"/>
  <c r="E1283" i="5"/>
  <c r="B1283" i="5"/>
  <c r="E1282" i="5"/>
  <c r="B1282" i="5"/>
  <c r="E1281" i="5"/>
  <c r="B1281" i="5"/>
  <c r="E1280" i="5"/>
  <c r="B1280" i="5"/>
  <c r="E1279" i="5"/>
  <c r="B1279" i="5"/>
  <c r="E1278" i="5"/>
  <c r="B1278" i="5"/>
  <c r="E1277" i="5"/>
  <c r="B1277" i="5"/>
  <c r="E1276" i="5"/>
  <c r="B1276" i="5"/>
  <c r="E1275" i="5"/>
  <c r="B1275" i="5"/>
  <c r="E1274" i="5"/>
  <c r="B1274" i="5"/>
  <c r="E1273" i="5"/>
  <c r="B1273" i="5"/>
  <c r="E1272" i="5"/>
  <c r="B1272" i="5"/>
  <c r="E1271" i="5"/>
  <c r="B1271" i="5"/>
  <c r="E1270" i="5"/>
  <c r="B1270" i="5"/>
  <c r="E1269" i="5"/>
  <c r="B1269" i="5"/>
  <c r="E1268" i="5"/>
  <c r="B1268" i="5"/>
  <c r="E1267" i="5"/>
  <c r="B1267" i="5"/>
  <c r="E1266" i="5"/>
  <c r="B1266" i="5"/>
  <c r="E1265" i="5"/>
  <c r="B1265" i="5"/>
  <c r="E1264" i="5"/>
  <c r="B1264" i="5"/>
  <c r="E1263" i="5"/>
  <c r="B1263" i="5"/>
  <c r="E1262" i="5"/>
  <c r="B1262" i="5"/>
  <c r="E1261" i="5"/>
  <c r="B1261" i="5"/>
  <c r="E1260" i="5"/>
  <c r="B1260" i="5"/>
  <c r="E1259" i="5"/>
  <c r="B1259" i="5"/>
  <c r="E1258" i="5"/>
  <c r="B1258" i="5"/>
  <c r="E1257" i="5"/>
  <c r="B1257" i="5"/>
  <c r="E1256" i="5"/>
  <c r="B1256" i="5"/>
  <c r="E1255" i="5"/>
  <c r="B1255" i="5"/>
  <c r="E1254" i="5"/>
  <c r="B1254" i="5"/>
  <c r="E1253" i="5"/>
  <c r="B1253" i="5"/>
  <c r="E1252" i="5"/>
  <c r="B1252" i="5"/>
  <c r="E1251" i="5"/>
  <c r="B1251" i="5"/>
  <c r="E1250" i="5"/>
  <c r="B1250" i="5"/>
  <c r="E1249" i="5"/>
  <c r="B1249" i="5"/>
  <c r="E1248" i="5"/>
  <c r="B1248" i="5"/>
  <c r="E1247" i="5"/>
  <c r="B1247" i="5"/>
  <c r="E1246" i="5"/>
  <c r="B1246" i="5"/>
  <c r="E1245" i="5"/>
  <c r="B1245" i="5"/>
  <c r="E1244" i="5"/>
  <c r="B1244" i="5"/>
  <c r="E1243" i="5"/>
  <c r="B1243" i="5"/>
  <c r="E1242" i="5"/>
  <c r="B1242" i="5"/>
  <c r="E1241" i="5"/>
  <c r="B1241" i="5"/>
  <c r="E1240" i="5"/>
  <c r="B1240" i="5"/>
  <c r="E1239" i="5"/>
  <c r="B1239" i="5"/>
  <c r="E1238" i="5"/>
  <c r="B1238" i="5"/>
  <c r="E1237" i="5"/>
  <c r="B1237" i="5"/>
  <c r="E1236" i="5"/>
  <c r="B1236" i="5"/>
  <c r="E1235" i="5"/>
  <c r="B1235" i="5"/>
  <c r="E1234" i="5"/>
  <c r="B1234" i="5"/>
  <c r="E1233" i="5"/>
  <c r="B1233" i="5"/>
  <c r="E1232" i="5"/>
  <c r="B1232" i="5"/>
  <c r="E1231" i="5"/>
  <c r="B1231" i="5"/>
  <c r="E1230" i="5"/>
  <c r="B1230" i="5"/>
  <c r="E1229" i="5"/>
  <c r="B1229" i="5"/>
  <c r="E1228" i="5"/>
  <c r="B1228" i="5"/>
  <c r="E1227" i="5"/>
  <c r="B1227" i="5"/>
  <c r="E1226" i="5"/>
  <c r="B1226" i="5"/>
  <c r="E1225" i="5"/>
  <c r="B1225" i="5"/>
  <c r="E1224" i="5"/>
  <c r="B1224" i="5"/>
  <c r="E1223" i="5"/>
  <c r="B1223" i="5"/>
  <c r="E1222" i="5"/>
  <c r="B1222" i="5"/>
  <c r="E1221" i="5"/>
  <c r="B1221" i="5"/>
  <c r="E1220" i="5"/>
  <c r="B1220" i="5"/>
  <c r="E1219" i="5"/>
  <c r="B1219" i="5"/>
  <c r="E1218" i="5"/>
  <c r="B1218" i="5"/>
  <c r="E1217" i="5"/>
  <c r="B1217" i="5"/>
  <c r="E1216" i="5"/>
  <c r="B1216" i="5"/>
  <c r="E1215" i="5"/>
  <c r="B1215" i="5"/>
  <c r="E1214" i="5"/>
  <c r="B1214" i="5"/>
  <c r="E1213" i="5"/>
  <c r="B1213" i="5"/>
  <c r="E1212" i="5"/>
  <c r="B1212" i="5"/>
  <c r="E1211" i="5"/>
  <c r="B1211" i="5"/>
  <c r="E1210" i="5"/>
  <c r="B1210" i="5"/>
  <c r="E1209" i="5"/>
  <c r="B1209" i="5"/>
  <c r="E1208" i="5"/>
  <c r="B1208" i="5"/>
  <c r="E1207" i="5"/>
  <c r="B1207" i="5"/>
  <c r="E1206" i="5"/>
  <c r="B1206" i="5"/>
  <c r="E1205" i="5"/>
  <c r="B1205" i="5"/>
  <c r="E1204" i="5"/>
  <c r="B1204" i="5"/>
  <c r="E1203" i="5"/>
  <c r="B1203" i="5"/>
  <c r="E1202" i="5"/>
  <c r="B1202" i="5"/>
  <c r="E1201" i="5"/>
  <c r="B1201" i="5"/>
  <c r="E1200" i="5"/>
  <c r="B1200" i="5"/>
  <c r="E1199" i="5"/>
  <c r="B1199" i="5"/>
  <c r="E1198" i="5"/>
  <c r="B1198" i="5"/>
  <c r="E1197" i="5"/>
  <c r="B1197" i="5"/>
  <c r="E1196" i="5"/>
  <c r="B1196" i="5"/>
  <c r="E1195" i="5"/>
  <c r="B1195" i="5"/>
  <c r="E1194" i="5"/>
  <c r="B1194" i="5"/>
  <c r="E1193" i="5"/>
  <c r="B1193" i="5"/>
  <c r="E1192" i="5"/>
  <c r="B1192" i="5"/>
  <c r="E1191" i="5"/>
  <c r="B1191" i="5"/>
  <c r="E1190" i="5"/>
  <c r="B1190" i="5"/>
  <c r="E1189" i="5"/>
  <c r="B1189" i="5"/>
  <c r="E1188" i="5"/>
  <c r="B1188" i="5"/>
  <c r="E1187" i="5"/>
  <c r="B1187" i="5"/>
  <c r="E1186" i="5"/>
  <c r="B1186" i="5"/>
  <c r="E1185" i="5"/>
  <c r="B1185" i="5"/>
  <c r="E1184" i="5"/>
  <c r="B1184" i="5"/>
  <c r="E1183" i="5"/>
  <c r="B1183" i="5"/>
  <c r="E1182" i="5"/>
  <c r="B1182" i="5"/>
  <c r="E1181" i="5"/>
  <c r="B1181" i="5"/>
  <c r="E1180" i="5"/>
  <c r="B1180" i="5"/>
  <c r="E1179" i="5"/>
  <c r="B1179" i="5"/>
  <c r="E1178" i="5"/>
  <c r="B1178" i="5"/>
  <c r="E1177" i="5"/>
  <c r="B1177" i="5"/>
  <c r="E1176" i="5"/>
  <c r="B1176" i="5"/>
  <c r="E1175" i="5"/>
  <c r="B1175" i="5"/>
  <c r="E1174" i="5"/>
  <c r="B1174" i="5"/>
  <c r="E1173" i="5"/>
  <c r="B1173" i="5"/>
  <c r="E1172" i="5"/>
  <c r="B1172" i="5"/>
  <c r="E1171" i="5"/>
  <c r="B1171" i="5"/>
  <c r="E1170" i="5"/>
  <c r="B1170" i="5"/>
  <c r="E1169" i="5"/>
  <c r="B1169" i="5"/>
  <c r="E1168" i="5"/>
  <c r="B1168" i="5"/>
  <c r="E1167" i="5"/>
  <c r="B1167" i="5"/>
  <c r="E1166" i="5"/>
  <c r="B1166" i="5"/>
  <c r="E1165" i="5"/>
  <c r="B1165" i="5"/>
  <c r="E1164" i="5"/>
  <c r="B1164" i="5"/>
  <c r="E1163" i="5"/>
  <c r="B1163" i="5"/>
  <c r="E1162" i="5"/>
  <c r="B1162" i="5"/>
  <c r="E1161" i="5"/>
  <c r="B1161" i="5"/>
  <c r="E1160" i="5"/>
  <c r="B1160" i="5"/>
  <c r="E1159" i="5"/>
  <c r="B1159" i="5"/>
  <c r="E1158" i="5"/>
  <c r="B1158" i="5"/>
  <c r="E1157" i="5"/>
  <c r="B1157" i="5"/>
  <c r="E1156" i="5"/>
  <c r="B1156" i="5"/>
  <c r="E1155" i="5"/>
  <c r="B1155" i="5"/>
  <c r="E1154" i="5"/>
  <c r="B1154" i="5"/>
  <c r="E1153" i="5"/>
  <c r="B1153" i="5"/>
  <c r="E1152" i="5"/>
  <c r="B1152" i="5"/>
  <c r="E1151" i="5"/>
  <c r="B1151" i="5"/>
  <c r="E1150" i="5"/>
  <c r="B1150" i="5"/>
  <c r="E1149" i="5"/>
  <c r="B1149" i="5"/>
  <c r="E1148" i="5"/>
  <c r="B1148" i="5"/>
  <c r="E1147" i="5"/>
  <c r="B1147" i="5"/>
  <c r="E1146" i="5"/>
  <c r="B1146" i="5"/>
  <c r="E1145" i="5"/>
  <c r="B1145" i="5"/>
  <c r="E1144" i="5"/>
  <c r="B1144" i="5"/>
  <c r="E1143" i="5"/>
  <c r="B1143" i="5"/>
  <c r="E1142" i="5"/>
  <c r="B1142" i="5"/>
  <c r="E1141" i="5"/>
  <c r="B1141" i="5"/>
  <c r="E1140" i="5"/>
  <c r="B1140" i="5"/>
  <c r="E1139" i="5"/>
  <c r="B1139" i="5"/>
  <c r="E1138" i="5"/>
  <c r="B1138" i="5"/>
  <c r="E1137" i="5"/>
  <c r="B1137" i="5"/>
  <c r="E1136" i="5"/>
  <c r="B1136" i="5"/>
  <c r="E1135" i="5"/>
  <c r="B1135" i="5"/>
  <c r="E1134" i="5"/>
  <c r="B1134" i="5"/>
  <c r="E1133" i="5"/>
  <c r="B1133" i="5"/>
  <c r="E1132" i="5"/>
  <c r="B1132" i="5"/>
  <c r="E1131" i="5"/>
  <c r="B1131" i="5"/>
  <c r="E1130" i="5"/>
  <c r="B1130" i="5"/>
  <c r="E1129" i="5"/>
  <c r="B1129" i="5"/>
  <c r="E1128" i="5"/>
  <c r="B1128" i="5"/>
  <c r="E1127" i="5"/>
  <c r="B1127" i="5"/>
  <c r="E1126" i="5"/>
  <c r="B1126" i="5"/>
  <c r="E1125" i="5"/>
  <c r="B1125" i="5"/>
  <c r="E1124" i="5"/>
  <c r="B1124" i="5"/>
  <c r="E1123" i="5"/>
  <c r="B1123" i="5"/>
  <c r="E1122" i="5"/>
  <c r="B1122" i="5"/>
  <c r="E1121" i="5"/>
  <c r="B1121" i="5"/>
  <c r="E1120" i="5"/>
  <c r="B1120" i="5"/>
  <c r="E1119" i="5"/>
  <c r="B1119" i="5"/>
  <c r="E1118" i="5"/>
  <c r="B1118" i="5"/>
  <c r="E1117" i="5"/>
  <c r="B1117" i="5"/>
  <c r="E1116" i="5"/>
  <c r="B1116" i="5"/>
  <c r="E1115" i="5"/>
  <c r="B1115" i="5"/>
  <c r="E1114" i="5"/>
  <c r="B1114" i="5"/>
  <c r="E1113" i="5"/>
  <c r="B1113" i="5"/>
  <c r="E1112" i="5"/>
  <c r="B1112" i="5"/>
  <c r="E1111" i="5"/>
  <c r="B1111" i="5"/>
  <c r="E1110" i="5"/>
  <c r="B1110" i="5"/>
  <c r="E1109" i="5"/>
  <c r="B1109" i="5"/>
  <c r="E1108" i="5"/>
  <c r="B1108" i="5"/>
  <c r="E1107" i="5"/>
  <c r="B1107" i="5"/>
  <c r="E1106" i="5"/>
  <c r="B1106" i="5"/>
  <c r="E1105" i="5"/>
  <c r="B1105" i="5"/>
  <c r="E1104" i="5"/>
  <c r="B1104" i="5"/>
  <c r="E1103" i="5"/>
  <c r="B1103" i="5"/>
  <c r="E1102" i="5"/>
  <c r="B1102" i="5"/>
  <c r="E1101" i="5"/>
  <c r="B1101" i="5"/>
  <c r="E1100" i="5"/>
  <c r="B1100" i="5"/>
  <c r="E1099" i="5"/>
  <c r="B1099" i="5"/>
  <c r="E1098" i="5"/>
  <c r="B1098" i="5"/>
  <c r="E1097" i="5"/>
  <c r="B1097" i="5"/>
  <c r="E1096" i="5"/>
  <c r="B1096" i="5"/>
  <c r="E1095" i="5"/>
  <c r="B1095" i="5"/>
  <c r="E1094" i="5"/>
  <c r="B1094" i="5"/>
  <c r="E1093" i="5"/>
  <c r="B1093" i="5"/>
  <c r="E1092" i="5"/>
  <c r="B1092" i="5"/>
  <c r="E1091" i="5"/>
  <c r="B1091" i="5"/>
  <c r="E1090" i="5"/>
  <c r="B1090" i="5"/>
  <c r="E1089" i="5"/>
  <c r="B1089" i="5"/>
  <c r="E1088" i="5"/>
  <c r="B1088" i="5"/>
  <c r="E1087" i="5"/>
  <c r="B1087" i="5"/>
  <c r="E1086" i="5"/>
  <c r="B1086" i="5"/>
  <c r="E1085" i="5"/>
  <c r="B1085" i="5"/>
  <c r="E1084" i="5"/>
  <c r="B1084" i="5"/>
  <c r="E1083" i="5"/>
  <c r="B1083" i="5"/>
  <c r="E1082" i="5"/>
  <c r="B1082" i="5"/>
  <c r="E1081" i="5"/>
  <c r="B1081" i="5"/>
  <c r="E1080" i="5"/>
  <c r="B1080" i="5"/>
  <c r="E1079" i="5"/>
  <c r="B1079" i="5"/>
  <c r="E1078" i="5"/>
  <c r="B1078" i="5"/>
  <c r="E1077" i="5"/>
  <c r="B1077" i="5"/>
  <c r="E1076" i="5"/>
  <c r="B1076" i="5"/>
  <c r="E1075" i="5"/>
  <c r="B1075" i="5"/>
  <c r="E1074" i="5"/>
  <c r="B1074" i="5"/>
  <c r="E1073" i="5"/>
  <c r="B1073" i="5"/>
  <c r="E1072" i="5"/>
  <c r="B1072" i="5"/>
  <c r="E1071" i="5"/>
  <c r="B1071" i="5"/>
  <c r="E1070" i="5"/>
  <c r="B1070" i="5"/>
  <c r="E1069" i="5"/>
  <c r="B1069" i="5"/>
  <c r="E1068" i="5"/>
  <c r="B1068" i="5"/>
  <c r="E1067" i="5"/>
  <c r="B1067" i="5"/>
  <c r="E1066" i="5"/>
  <c r="B1066" i="5"/>
  <c r="E1065" i="5"/>
  <c r="B1065" i="5"/>
  <c r="E1064" i="5"/>
  <c r="B1064" i="5"/>
  <c r="E1063" i="5"/>
  <c r="B1063" i="5"/>
  <c r="E1062" i="5"/>
  <c r="B1062" i="5"/>
  <c r="E1061" i="5"/>
  <c r="B1061" i="5"/>
  <c r="E1060" i="5"/>
  <c r="B1060" i="5"/>
  <c r="E1059" i="5"/>
  <c r="B1059" i="5"/>
  <c r="E1058" i="5"/>
  <c r="B1058" i="5"/>
  <c r="E1057" i="5"/>
  <c r="B1057" i="5"/>
  <c r="E1056" i="5"/>
  <c r="B1056" i="5"/>
  <c r="E1055" i="5"/>
  <c r="B1055" i="5"/>
  <c r="E1054" i="5"/>
  <c r="B1054" i="5"/>
  <c r="E1053" i="5"/>
  <c r="B1053" i="5"/>
  <c r="E1052" i="5"/>
  <c r="B1052" i="5"/>
  <c r="E1051" i="5"/>
  <c r="B1051" i="5"/>
  <c r="E1050" i="5"/>
  <c r="B1050" i="5"/>
  <c r="E1049" i="5"/>
  <c r="B1049" i="5"/>
  <c r="E1048" i="5"/>
  <c r="B1048" i="5"/>
  <c r="E1047" i="5"/>
  <c r="B1047" i="5"/>
  <c r="E1046" i="5"/>
  <c r="B1046" i="5"/>
  <c r="E1045" i="5"/>
  <c r="B1045" i="5"/>
  <c r="E1044" i="5"/>
  <c r="B1044" i="5"/>
  <c r="E1043" i="5"/>
  <c r="B1043" i="5"/>
  <c r="E1042" i="5"/>
  <c r="B1042" i="5"/>
  <c r="E1041" i="5"/>
  <c r="B1041" i="5"/>
  <c r="E1040" i="5"/>
  <c r="B1040" i="5"/>
  <c r="E1039" i="5"/>
  <c r="B1039" i="5"/>
  <c r="E1038" i="5"/>
  <c r="B1038" i="5"/>
  <c r="E1037" i="5"/>
  <c r="B1037" i="5"/>
  <c r="E1036" i="5"/>
  <c r="B1036" i="5"/>
  <c r="E1035" i="5"/>
  <c r="B1035" i="5"/>
  <c r="E1034" i="5"/>
  <c r="B1034" i="5"/>
  <c r="E1033" i="5"/>
  <c r="B1033" i="5"/>
  <c r="E1032" i="5"/>
  <c r="B1032" i="5"/>
  <c r="E1031" i="5"/>
  <c r="B1031" i="5"/>
  <c r="E1030" i="5"/>
  <c r="B1030" i="5"/>
  <c r="E1029" i="5"/>
  <c r="B1029" i="5"/>
  <c r="E1028" i="5"/>
  <c r="B1028" i="5"/>
  <c r="E1027" i="5"/>
  <c r="B1027" i="5"/>
  <c r="E1026" i="5"/>
  <c r="B1026" i="5"/>
  <c r="E1025" i="5"/>
  <c r="B1025" i="5"/>
  <c r="E1024" i="5"/>
  <c r="B1024" i="5"/>
  <c r="E1023" i="5"/>
  <c r="B1023" i="5"/>
  <c r="E1022" i="5"/>
  <c r="B1022" i="5"/>
  <c r="E1021" i="5"/>
  <c r="B1021" i="5"/>
  <c r="E1020" i="5"/>
  <c r="B1020" i="5"/>
  <c r="E1019" i="5"/>
  <c r="B1019" i="5"/>
  <c r="E1018" i="5"/>
  <c r="B1018" i="5"/>
  <c r="E1017" i="5"/>
  <c r="B1017" i="5"/>
  <c r="E1016" i="5"/>
  <c r="B1016" i="5"/>
  <c r="E1015" i="5"/>
  <c r="B1015" i="5"/>
  <c r="E1014" i="5"/>
  <c r="B1014" i="5"/>
  <c r="E1013" i="5"/>
  <c r="B1013" i="5"/>
  <c r="E1012" i="5"/>
  <c r="B1012" i="5"/>
  <c r="E1011" i="5"/>
  <c r="B1011" i="5"/>
  <c r="E1010" i="5"/>
  <c r="B1010" i="5"/>
  <c r="E1009" i="5"/>
  <c r="B1009" i="5"/>
  <c r="E1008" i="5"/>
  <c r="B1008" i="5"/>
  <c r="E1007" i="5"/>
  <c r="B1007" i="5"/>
  <c r="E1006" i="5"/>
  <c r="B1006" i="5"/>
  <c r="E1005" i="5"/>
  <c r="B1005" i="5"/>
  <c r="E1004" i="5"/>
  <c r="B1004" i="5"/>
  <c r="E1003" i="5"/>
  <c r="B1003" i="5"/>
  <c r="E1002" i="5"/>
  <c r="B1002" i="5"/>
  <c r="E1001" i="5"/>
  <c r="B1001" i="5"/>
  <c r="E1000" i="5"/>
  <c r="B1000" i="5"/>
  <c r="E999" i="5"/>
  <c r="B999" i="5"/>
  <c r="E998" i="5"/>
  <c r="B998" i="5"/>
  <c r="E997" i="5"/>
  <c r="B997" i="5"/>
  <c r="E996" i="5"/>
  <c r="B996" i="5"/>
  <c r="E995" i="5"/>
  <c r="B995" i="5"/>
  <c r="E994" i="5"/>
  <c r="B994" i="5"/>
  <c r="E993" i="5"/>
  <c r="B993" i="5"/>
  <c r="E992" i="5"/>
  <c r="B992" i="5"/>
  <c r="E991" i="5"/>
  <c r="B991" i="5"/>
  <c r="E990" i="5"/>
  <c r="B990" i="5"/>
  <c r="E989" i="5"/>
  <c r="B989" i="5"/>
  <c r="E988" i="5"/>
  <c r="B988" i="5"/>
  <c r="E987" i="5"/>
  <c r="B987" i="5"/>
  <c r="E986" i="5"/>
  <c r="B986" i="5"/>
  <c r="E985" i="5"/>
  <c r="B985" i="5"/>
  <c r="E984" i="5"/>
  <c r="B984" i="5"/>
  <c r="E983" i="5"/>
  <c r="B983" i="5"/>
  <c r="E982" i="5"/>
  <c r="B982" i="5"/>
  <c r="E981" i="5"/>
  <c r="B981" i="5"/>
  <c r="E980" i="5"/>
  <c r="B980" i="5"/>
  <c r="E979" i="5"/>
  <c r="B979" i="5"/>
  <c r="E978" i="5"/>
  <c r="B978" i="5"/>
  <c r="E977" i="5"/>
  <c r="B977" i="5"/>
  <c r="E976" i="5"/>
  <c r="B976" i="5"/>
  <c r="E975" i="5"/>
  <c r="B975" i="5"/>
  <c r="E974" i="5"/>
  <c r="B974" i="5"/>
  <c r="E973" i="5"/>
  <c r="B973" i="5"/>
  <c r="E972" i="5"/>
  <c r="B972" i="5"/>
  <c r="E971" i="5"/>
  <c r="B971" i="5"/>
  <c r="E970" i="5"/>
  <c r="B970" i="5"/>
  <c r="E969" i="5"/>
  <c r="B969" i="5"/>
  <c r="E968" i="5"/>
  <c r="B968" i="5"/>
  <c r="E967" i="5"/>
  <c r="B967" i="5"/>
  <c r="E966" i="5"/>
  <c r="B966" i="5"/>
  <c r="E965" i="5"/>
  <c r="B965" i="5"/>
  <c r="E964" i="5"/>
  <c r="B964" i="5"/>
  <c r="E963" i="5"/>
  <c r="B963" i="5"/>
  <c r="E962" i="5"/>
  <c r="B962" i="5"/>
  <c r="E961" i="5"/>
  <c r="B961" i="5"/>
  <c r="E960" i="5"/>
  <c r="B960" i="5"/>
  <c r="E959" i="5"/>
  <c r="B959" i="5"/>
  <c r="E958" i="5"/>
  <c r="B958" i="5"/>
  <c r="E957" i="5"/>
  <c r="B957" i="5"/>
  <c r="E956" i="5"/>
  <c r="B956" i="5"/>
  <c r="E955" i="5"/>
  <c r="B955" i="5"/>
  <c r="E954" i="5"/>
  <c r="B954" i="5"/>
  <c r="E953" i="5"/>
  <c r="B953" i="5"/>
  <c r="E952" i="5"/>
  <c r="B952" i="5"/>
  <c r="E951" i="5"/>
  <c r="B951" i="5"/>
  <c r="E950" i="5"/>
  <c r="B950" i="5"/>
  <c r="E949" i="5"/>
  <c r="B949" i="5"/>
  <c r="E948" i="5"/>
  <c r="B948" i="5"/>
  <c r="E947" i="5"/>
  <c r="B947" i="5"/>
  <c r="E946" i="5"/>
  <c r="B946" i="5"/>
  <c r="E945" i="5"/>
  <c r="B945" i="5"/>
  <c r="E944" i="5"/>
  <c r="B944" i="5"/>
  <c r="E943" i="5"/>
  <c r="B943" i="5"/>
  <c r="E942" i="5"/>
  <c r="B942" i="5"/>
  <c r="E941" i="5"/>
  <c r="B941" i="5"/>
  <c r="E940" i="5"/>
  <c r="B940" i="5"/>
  <c r="E939" i="5"/>
  <c r="B939" i="5"/>
  <c r="E938" i="5"/>
  <c r="B938" i="5"/>
  <c r="E937" i="5"/>
  <c r="B937" i="5"/>
  <c r="E936" i="5"/>
  <c r="B936" i="5"/>
  <c r="E935" i="5"/>
  <c r="B935" i="5"/>
  <c r="E934" i="5"/>
  <c r="B934" i="5"/>
  <c r="E933" i="5"/>
  <c r="B933" i="5"/>
  <c r="E932" i="5"/>
  <c r="B932" i="5"/>
  <c r="E931" i="5"/>
  <c r="B931" i="5"/>
  <c r="E930" i="5"/>
  <c r="B930" i="5"/>
  <c r="E929" i="5"/>
  <c r="B929" i="5"/>
  <c r="E928" i="5"/>
  <c r="B928" i="5"/>
  <c r="E927" i="5"/>
  <c r="B927" i="5"/>
  <c r="E926" i="5"/>
  <c r="B926" i="5"/>
  <c r="E925" i="5"/>
  <c r="B925" i="5"/>
  <c r="E924" i="5"/>
  <c r="B924" i="5"/>
  <c r="E923" i="5"/>
  <c r="B923" i="5"/>
  <c r="E922" i="5"/>
  <c r="B922" i="5"/>
  <c r="E921" i="5"/>
  <c r="B921" i="5"/>
  <c r="E920" i="5"/>
  <c r="B920" i="5"/>
  <c r="E919" i="5"/>
  <c r="B919" i="5"/>
  <c r="E918" i="5"/>
  <c r="B918" i="5"/>
  <c r="E917" i="5"/>
  <c r="B917" i="5"/>
  <c r="E916" i="5"/>
  <c r="B916" i="5"/>
  <c r="E915" i="5"/>
  <c r="B915" i="5"/>
  <c r="E914" i="5"/>
  <c r="B914" i="5"/>
  <c r="E913" i="5"/>
  <c r="B913" i="5"/>
  <c r="E912" i="5"/>
  <c r="B912" i="5"/>
  <c r="E911" i="5"/>
  <c r="B911" i="5"/>
  <c r="E910" i="5"/>
  <c r="B910" i="5"/>
  <c r="E909" i="5"/>
  <c r="B909" i="5"/>
  <c r="E908" i="5"/>
  <c r="B908" i="5"/>
  <c r="E907" i="5"/>
  <c r="B907" i="5"/>
  <c r="E906" i="5"/>
  <c r="B906" i="5"/>
  <c r="E905" i="5"/>
  <c r="B905" i="5"/>
  <c r="E904" i="5"/>
  <c r="B904" i="5"/>
  <c r="E903" i="5"/>
  <c r="B903" i="5"/>
  <c r="E902" i="5"/>
  <c r="B902" i="5"/>
  <c r="E901" i="5"/>
  <c r="B901" i="5"/>
  <c r="E900" i="5"/>
  <c r="B900" i="5"/>
  <c r="E899" i="5"/>
  <c r="B899" i="5"/>
  <c r="E898" i="5"/>
  <c r="B898" i="5"/>
  <c r="E897" i="5"/>
  <c r="B897" i="5"/>
  <c r="E896" i="5"/>
  <c r="B896" i="5"/>
  <c r="E895" i="5"/>
  <c r="B895" i="5"/>
  <c r="E894" i="5"/>
  <c r="B894" i="5"/>
  <c r="E893" i="5"/>
  <c r="B893" i="5"/>
  <c r="E892" i="5"/>
  <c r="B892" i="5"/>
  <c r="E891" i="5"/>
  <c r="B891" i="5"/>
  <c r="E890" i="5"/>
  <c r="B890" i="5"/>
  <c r="E889" i="5"/>
  <c r="B889" i="5"/>
  <c r="E888" i="5"/>
  <c r="B888" i="5"/>
  <c r="E887" i="5"/>
  <c r="B887" i="5"/>
  <c r="E886" i="5"/>
  <c r="B886" i="5"/>
  <c r="E885" i="5"/>
  <c r="B885" i="5"/>
  <c r="E884" i="5"/>
  <c r="B884" i="5"/>
  <c r="E883" i="5"/>
  <c r="B883" i="5"/>
  <c r="E882" i="5"/>
  <c r="B882" i="5"/>
  <c r="E881" i="5"/>
  <c r="B881" i="5"/>
  <c r="E880" i="5"/>
  <c r="B880" i="5"/>
  <c r="E879" i="5"/>
  <c r="B879" i="5"/>
  <c r="E878" i="5"/>
  <c r="B878" i="5"/>
  <c r="E877" i="5"/>
  <c r="B877" i="5"/>
  <c r="E876" i="5"/>
  <c r="B876" i="5"/>
  <c r="E875" i="5"/>
  <c r="B875" i="5"/>
  <c r="E874" i="5"/>
  <c r="B874" i="5"/>
  <c r="E873" i="5"/>
  <c r="B873" i="5"/>
  <c r="E872" i="5"/>
  <c r="B872" i="5"/>
  <c r="E871" i="5"/>
  <c r="B871" i="5"/>
  <c r="E870" i="5"/>
  <c r="B870" i="5"/>
  <c r="E869" i="5"/>
  <c r="B869" i="5"/>
  <c r="E868" i="5"/>
  <c r="B868" i="5"/>
  <c r="E867" i="5"/>
  <c r="B867" i="5"/>
  <c r="E866" i="5"/>
  <c r="B866" i="5"/>
  <c r="E865" i="5"/>
  <c r="B865" i="5"/>
  <c r="E864" i="5"/>
  <c r="B864" i="5"/>
  <c r="E863" i="5"/>
  <c r="B863" i="5"/>
  <c r="E862" i="5"/>
  <c r="B862" i="5"/>
  <c r="E861" i="5"/>
  <c r="B861" i="5"/>
  <c r="E860" i="5"/>
  <c r="B860" i="5"/>
  <c r="E859" i="5"/>
  <c r="B859" i="5"/>
  <c r="E858" i="5"/>
  <c r="B858" i="5"/>
  <c r="E857" i="5"/>
  <c r="B857" i="5"/>
  <c r="E856" i="5"/>
  <c r="B856" i="5"/>
  <c r="E855" i="5"/>
  <c r="B855" i="5"/>
  <c r="E854" i="5"/>
  <c r="B854" i="5"/>
  <c r="E853" i="5"/>
  <c r="B853" i="5"/>
  <c r="E852" i="5"/>
  <c r="B852" i="5"/>
  <c r="E851" i="5"/>
  <c r="B851" i="5"/>
  <c r="E850" i="5"/>
  <c r="B850" i="5"/>
  <c r="E849" i="5"/>
  <c r="B849" i="5"/>
  <c r="E848" i="5"/>
  <c r="B848" i="5"/>
  <c r="E847" i="5"/>
  <c r="B847" i="5"/>
  <c r="E846" i="5"/>
  <c r="B846" i="5"/>
  <c r="E845" i="5"/>
  <c r="B845" i="5"/>
  <c r="E844" i="5"/>
  <c r="B844" i="5"/>
  <c r="E843" i="5"/>
  <c r="B843" i="5"/>
  <c r="E842" i="5"/>
  <c r="B842" i="5"/>
  <c r="E841" i="5"/>
  <c r="B841" i="5"/>
  <c r="E840" i="5"/>
  <c r="B840" i="5"/>
  <c r="E839" i="5"/>
  <c r="B839" i="5"/>
  <c r="E838" i="5"/>
  <c r="B838" i="5"/>
  <c r="E837" i="5"/>
  <c r="B837" i="5"/>
  <c r="E836" i="5"/>
  <c r="B836" i="5"/>
  <c r="E835" i="5"/>
  <c r="B835" i="5"/>
  <c r="E834" i="5"/>
  <c r="B834" i="5"/>
  <c r="E833" i="5"/>
  <c r="B833" i="5"/>
  <c r="E832" i="5"/>
  <c r="B832" i="5"/>
  <c r="E831" i="5"/>
  <c r="B831" i="5"/>
  <c r="E830" i="5"/>
  <c r="B830" i="5"/>
  <c r="E829" i="5"/>
  <c r="B829" i="5"/>
  <c r="E828" i="5"/>
  <c r="B828" i="5"/>
  <c r="E827" i="5"/>
  <c r="B827" i="5"/>
  <c r="E826" i="5"/>
  <c r="B826" i="5"/>
  <c r="E825" i="5"/>
  <c r="B825" i="5"/>
  <c r="E824" i="5"/>
  <c r="B824" i="5"/>
  <c r="E823" i="5"/>
  <c r="B823" i="5"/>
  <c r="E822" i="5"/>
  <c r="B822" i="5"/>
  <c r="E821" i="5"/>
  <c r="B821" i="5"/>
  <c r="E820" i="5"/>
  <c r="B820" i="5"/>
  <c r="E819" i="5"/>
  <c r="B819" i="5"/>
  <c r="E818" i="5"/>
  <c r="B818" i="5"/>
  <c r="E817" i="5"/>
  <c r="B817" i="5"/>
  <c r="E816" i="5"/>
  <c r="B816" i="5"/>
  <c r="E815" i="5"/>
  <c r="B815" i="5"/>
  <c r="E814" i="5"/>
  <c r="B814" i="5"/>
  <c r="E813" i="5"/>
  <c r="B813" i="5"/>
  <c r="E812" i="5"/>
  <c r="B812" i="5"/>
  <c r="E811" i="5"/>
  <c r="B811" i="5"/>
  <c r="E810" i="5"/>
  <c r="B810" i="5"/>
  <c r="E809" i="5"/>
  <c r="B809" i="5"/>
  <c r="E808" i="5"/>
  <c r="B808" i="5"/>
  <c r="E807" i="5"/>
  <c r="B807" i="5"/>
  <c r="E806" i="5"/>
  <c r="B806" i="5"/>
  <c r="E805" i="5"/>
  <c r="B805" i="5"/>
  <c r="E804" i="5"/>
  <c r="B804" i="5"/>
  <c r="E803" i="5"/>
  <c r="B803" i="5"/>
  <c r="E802" i="5"/>
  <c r="B802" i="5"/>
  <c r="E801" i="5"/>
  <c r="B801" i="5"/>
  <c r="E800" i="5"/>
  <c r="B800" i="5"/>
  <c r="E799" i="5"/>
  <c r="B799" i="5"/>
  <c r="E798" i="5"/>
  <c r="B798" i="5"/>
  <c r="E797" i="5"/>
  <c r="B797" i="5"/>
  <c r="E796" i="5"/>
  <c r="B796" i="5"/>
  <c r="E795" i="5"/>
  <c r="B795" i="5"/>
  <c r="E794" i="5"/>
  <c r="B794" i="5"/>
  <c r="E793" i="5"/>
  <c r="B793" i="5"/>
  <c r="E792" i="5"/>
  <c r="B792" i="5"/>
  <c r="E791" i="5"/>
  <c r="B791" i="5"/>
  <c r="E790" i="5"/>
  <c r="B790" i="5"/>
  <c r="E789" i="5"/>
  <c r="B789" i="5"/>
  <c r="E788" i="5"/>
  <c r="B788" i="5"/>
  <c r="E787" i="5"/>
  <c r="B787" i="5"/>
  <c r="E786" i="5"/>
  <c r="B786" i="5"/>
  <c r="E785" i="5"/>
  <c r="B785" i="5"/>
  <c r="E784" i="5"/>
  <c r="B784" i="5"/>
  <c r="E783" i="5"/>
  <c r="B783" i="5"/>
  <c r="E782" i="5"/>
  <c r="B782" i="5"/>
  <c r="E781" i="5"/>
  <c r="B781" i="5"/>
  <c r="E780" i="5"/>
  <c r="B780" i="5"/>
  <c r="E779" i="5"/>
  <c r="B779" i="5"/>
  <c r="E778" i="5"/>
  <c r="B778" i="5"/>
  <c r="E777" i="5"/>
  <c r="B777" i="5"/>
  <c r="E776" i="5"/>
  <c r="B776" i="5"/>
  <c r="E775" i="5"/>
  <c r="B775" i="5"/>
  <c r="E774" i="5"/>
  <c r="B774" i="5"/>
  <c r="E773" i="5"/>
  <c r="B773" i="5"/>
  <c r="E772" i="5"/>
  <c r="B772" i="5"/>
  <c r="E771" i="5"/>
  <c r="B771" i="5"/>
  <c r="E770" i="5"/>
  <c r="B770" i="5"/>
  <c r="E769" i="5"/>
  <c r="B769" i="5"/>
  <c r="E768" i="5"/>
  <c r="B768" i="5"/>
  <c r="E767" i="5"/>
  <c r="B767" i="5"/>
  <c r="E766" i="5"/>
  <c r="B766" i="5"/>
  <c r="E765" i="5"/>
  <c r="B765" i="5"/>
  <c r="E764" i="5"/>
  <c r="B764" i="5"/>
  <c r="E763" i="5"/>
  <c r="B763" i="5"/>
  <c r="E762" i="5"/>
  <c r="B762" i="5"/>
  <c r="E761" i="5"/>
  <c r="B761" i="5"/>
  <c r="E760" i="5"/>
  <c r="B760" i="5"/>
  <c r="E759" i="5"/>
  <c r="B759" i="5"/>
  <c r="E758" i="5"/>
  <c r="B758" i="5"/>
  <c r="E757" i="5"/>
  <c r="B757" i="5"/>
  <c r="E756" i="5"/>
  <c r="B756" i="5"/>
  <c r="E755" i="5"/>
  <c r="B755" i="5"/>
  <c r="E754" i="5"/>
  <c r="B754" i="5"/>
  <c r="E753" i="5"/>
  <c r="B753" i="5"/>
  <c r="E752" i="5"/>
  <c r="B752" i="5"/>
  <c r="E751" i="5"/>
  <c r="B751" i="5"/>
  <c r="E750" i="5"/>
  <c r="B750" i="5"/>
  <c r="E749" i="5"/>
  <c r="B749" i="5"/>
  <c r="E748" i="5"/>
  <c r="B748" i="5"/>
  <c r="E747" i="5"/>
  <c r="B747" i="5"/>
  <c r="E746" i="5"/>
  <c r="B746" i="5"/>
  <c r="E745" i="5"/>
  <c r="B745" i="5"/>
  <c r="E744" i="5"/>
  <c r="B744" i="5"/>
  <c r="E743" i="5"/>
  <c r="B743" i="5"/>
  <c r="E742" i="5"/>
  <c r="B742" i="5"/>
  <c r="E741" i="5"/>
  <c r="B741" i="5"/>
  <c r="E740" i="5"/>
  <c r="B740" i="5"/>
  <c r="E739" i="5"/>
  <c r="B739" i="5"/>
  <c r="E738" i="5"/>
  <c r="B738" i="5"/>
  <c r="E737" i="5"/>
  <c r="B737" i="5"/>
  <c r="E736" i="5"/>
  <c r="B736" i="5"/>
  <c r="E735" i="5"/>
  <c r="B735" i="5"/>
  <c r="E734" i="5"/>
  <c r="B734" i="5"/>
  <c r="E733" i="5"/>
  <c r="B733" i="5"/>
  <c r="E732" i="5"/>
  <c r="B732" i="5"/>
  <c r="E731" i="5"/>
  <c r="B731" i="5"/>
  <c r="E730" i="5"/>
  <c r="B730" i="5"/>
  <c r="E729" i="5"/>
  <c r="B729" i="5"/>
  <c r="E728" i="5"/>
  <c r="B728" i="5"/>
  <c r="E727" i="5"/>
  <c r="B727" i="5"/>
  <c r="E726" i="5"/>
  <c r="B726" i="5"/>
  <c r="E725" i="5"/>
  <c r="B725" i="5"/>
  <c r="E724" i="5"/>
  <c r="B724" i="5"/>
  <c r="E723" i="5"/>
  <c r="B723" i="5"/>
  <c r="E722" i="5"/>
  <c r="B722" i="5"/>
  <c r="E721" i="5"/>
  <c r="B721" i="5"/>
  <c r="E720" i="5"/>
  <c r="B720" i="5"/>
  <c r="E719" i="5"/>
  <c r="B719" i="5"/>
  <c r="E718" i="5"/>
  <c r="B718" i="5"/>
  <c r="E717" i="5"/>
  <c r="B717" i="5"/>
  <c r="E716" i="5"/>
  <c r="B716" i="5"/>
  <c r="E715" i="5"/>
  <c r="B715" i="5"/>
  <c r="E714" i="5"/>
  <c r="B714" i="5"/>
  <c r="E713" i="5"/>
  <c r="B713" i="5"/>
  <c r="E712" i="5"/>
  <c r="B712" i="5"/>
  <c r="E711" i="5"/>
  <c r="B711" i="5"/>
  <c r="E710" i="5"/>
  <c r="B710" i="5"/>
  <c r="E709" i="5"/>
  <c r="B709" i="5"/>
  <c r="E708" i="5"/>
  <c r="B708" i="5"/>
  <c r="E707" i="5"/>
  <c r="B707" i="5"/>
  <c r="E706" i="5"/>
  <c r="B706" i="5"/>
  <c r="E705" i="5"/>
  <c r="B705" i="5"/>
  <c r="E704" i="5"/>
  <c r="B704" i="5"/>
  <c r="E703" i="5"/>
  <c r="B703" i="5"/>
  <c r="E702" i="5"/>
  <c r="B702" i="5"/>
  <c r="E701" i="5"/>
  <c r="B701" i="5"/>
  <c r="E700" i="5"/>
  <c r="B700" i="5"/>
  <c r="E699" i="5"/>
  <c r="B699" i="5"/>
  <c r="E698" i="5"/>
  <c r="B698" i="5"/>
  <c r="E697" i="5"/>
  <c r="B697" i="5"/>
  <c r="E696" i="5"/>
  <c r="B696" i="5"/>
  <c r="E695" i="5"/>
  <c r="B695" i="5"/>
  <c r="E694" i="5"/>
  <c r="B694" i="5"/>
  <c r="E693" i="5"/>
  <c r="B693" i="5"/>
  <c r="E692" i="5"/>
  <c r="B692" i="5"/>
  <c r="E691" i="5"/>
  <c r="B691" i="5"/>
  <c r="E690" i="5"/>
  <c r="B690" i="5"/>
  <c r="E689" i="5"/>
  <c r="B689" i="5"/>
  <c r="E688" i="5"/>
  <c r="B688" i="5"/>
  <c r="E687" i="5"/>
  <c r="B687" i="5"/>
  <c r="E686" i="5"/>
  <c r="B686" i="5"/>
  <c r="E685" i="5"/>
  <c r="B685" i="5"/>
  <c r="E684" i="5"/>
  <c r="B684" i="5"/>
  <c r="E683" i="5"/>
  <c r="B683" i="5"/>
  <c r="E682" i="5"/>
  <c r="B682" i="5"/>
  <c r="E681" i="5"/>
  <c r="B681" i="5"/>
  <c r="E680" i="5"/>
  <c r="B680" i="5"/>
  <c r="E679" i="5"/>
  <c r="B679" i="5"/>
  <c r="E678" i="5"/>
  <c r="B678" i="5"/>
  <c r="E677" i="5"/>
  <c r="B677" i="5"/>
  <c r="E676" i="5"/>
  <c r="B676" i="5"/>
  <c r="E675" i="5"/>
  <c r="B675" i="5"/>
  <c r="E674" i="5"/>
  <c r="B674" i="5"/>
  <c r="E673" i="5"/>
  <c r="B673" i="5"/>
  <c r="E672" i="5"/>
  <c r="B672" i="5"/>
  <c r="E671" i="5"/>
  <c r="B671" i="5"/>
  <c r="E670" i="5"/>
  <c r="B670" i="5"/>
  <c r="E669" i="5"/>
  <c r="B669" i="5"/>
  <c r="E668" i="5"/>
  <c r="B668" i="5"/>
  <c r="E667" i="5"/>
  <c r="B667" i="5"/>
  <c r="E666" i="5"/>
  <c r="B666" i="5"/>
  <c r="E665" i="5"/>
  <c r="B665" i="5"/>
  <c r="E664" i="5"/>
  <c r="B664" i="5"/>
  <c r="E663" i="5"/>
  <c r="B663" i="5"/>
  <c r="E662" i="5"/>
  <c r="B662" i="5"/>
  <c r="E661" i="5"/>
  <c r="B661" i="5"/>
  <c r="E660" i="5"/>
  <c r="B660" i="5"/>
  <c r="E659" i="5"/>
  <c r="B659" i="5"/>
  <c r="E658" i="5"/>
  <c r="B658" i="5"/>
  <c r="E657" i="5"/>
  <c r="B657" i="5"/>
  <c r="E656" i="5"/>
  <c r="B656" i="5"/>
  <c r="E655" i="5"/>
  <c r="B655" i="5"/>
  <c r="E654" i="5"/>
  <c r="B654" i="5"/>
  <c r="E653" i="5"/>
  <c r="B653" i="5"/>
  <c r="E652" i="5"/>
  <c r="B652" i="5"/>
  <c r="E651" i="5"/>
  <c r="B651" i="5"/>
  <c r="E650" i="5"/>
  <c r="B650" i="5"/>
  <c r="E649" i="5"/>
  <c r="B649" i="5"/>
  <c r="E648" i="5"/>
  <c r="B648" i="5"/>
  <c r="E647" i="5"/>
  <c r="B647" i="5"/>
  <c r="E646" i="5"/>
  <c r="B646" i="5"/>
  <c r="E645" i="5"/>
  <c r="B645" i="5"/>
  <c r="E644" i="5"/>
  <c r="B644" i="5"/>
  <c r="E643" i="5"/>
  <c r="B643" i="5"/>
  <c r="E642" i="5"/>
  <c r="B642" i="5"/>
  <c r="E641" i="5"/>
  <c r="B641" i="5"/>
  <c r="E640" i="5"/>
  <c r="B640" i="5"/>
  <c r="E639" i="5"/>
  <c r="B639" i="5"/>
  <c r="E638" i="5"/>
  <c r="B638" i="5"/>
  <c r="E637" i="5"/>
  <c r="B637" i="5"/>
  <c r="E636" i="5"/>
  <c r="B636" i="5"/>
  <c r="E635" i="5"/>
  <c r="B635" i="5"/>
  <c r="E634" i="5"/>
  <c r="B634" i="5"/>
  <c r="E633" i="5"/>
  <c r="B633" i="5"/>
  <c r="E632" i="5"/>
  <c r="B632" i="5"/>
  <c r="E631" i="5"/>
  <c r="B631" i="5"/>
  <c r="E630" i="5"/>
  <c r="B630" i="5"/>
  <c r="E629" i="5"/>
  <c r="B629" i="5"/>
  <c r="E628" i="5"/>
  <c r="B628" i="5"/>
  <c r="E627" i="5"/>
  <c r="B627" i="5"/>
  <c r="E626" i="5"/>
  <c r="B626" i="5"/>
  <c r="E625" i="5"/>
  <c r="B625" i="5"/>
  <c r="E624" i="5"/>
  <c r="B624" i="5"/>
  <c r="E623" i="5"/>
  <c r="B623" i="5"/>
  <c r="E622" i="5"/>
  <c r="B622" i="5"/>
  <c r="E621" i="5"/>
  <c r="B621" i="5"/>
  <c r="E620" i="5"/>
  <c r="B620" i="5"/>
  <c r="E619" i="5"/>
  <c r="B619" i="5"/>
  <c r="E618" i="5"/>
  <c r="B618" i="5"/>
  <c r="E617" i="5"/>
  <c r="B617" i="5"/>
  <c r="E616" i="5"/>
  <c r="B616" i="5"/>
  <c r="E615" i="5"/>
  <c r="B615" i="5"/>
  <c r="E614" i="5"/>
  <c r="B614" i="5"/>
  <c r="E613" i="5"/>
  <c r="B613" i="5"/>
  <c r="E612" i="5"/>
  <c r="B612" i="5"/>
  <c r="E611" i="5"/>
  <c r="B611" i="5"/>
  <c r="E610" i="5"/>
  <c r="B610" i="5"/>
  <c r="E609" i="5"/>
  <c r="B609" i="5"/>
  <c r="E608" i="5"/>
  <c r="B608" i="5"/>
  <c r="E607" i="5"/>
  <c r="B607" i="5"/>
  <c r="E606" i="5"/>
  <c r="B606" i="5"/>
  <c r="E605" i="5"/>
  <c r="B605" i="5"/>
  <c r="E604" i="5"/>
  <c r="B604" i="5"/>
  <c r="E603" i="5"/>
  <c r="B603" i="5"/>
  <c r="E602" i="5"/>
  <c r="B602" i="5"/>
  <c r="E601" i="5"/>
  <c r="B601" i="5"/>
  <c r="E600" i="5"/>
  <c r="B600" i="5"/>
  <c r="E599" i="5"/>
  <c r="B599" i="5"/>
  <c r="E598" i="5"/>
  <c r="B598" i="5"/>
  <c r="E597" i="5"/>
  <c r="B597" i="5"/>
  <c r="E596" i="5"/>
  <c r="B596" i="5"/>
  <c r="E595" i="5"/>
  <c r="B595" i="5"/>
  <c r="E594" i="5"/>
  <c r="B594" i="5"/>
  <c r="E593" i="5"/>
  <c r="B593" i="5"/>
  <c r="E592" i="5"/>
  <c r="B592" i="5"/>
  <c r="E591" i="5"/>
  <c r="B591" i="5"/>
  <c r="E590" i="5"/>
  <c r="B590" i="5"/>
  <c r="E589" i="5"/>
  <c r="B589" i="5"/>
  <c r="E588" i="5"/>
  <c r="B588" i="5"/>
  <c r="E587" i="5"/>
  <c r="B587" i="5"/>
  <c r="E586" i="5"/>
  <c r="B586" i="5"/>
  <c r="E585" i="5"/>
  <c r="B585" i="5"/>
  <c r="E584" i="5"/>
  <c r="B584" i="5"/>
  <c r="E583" i="5"/>
  <c r="B583" i="5"/>
  <c r="E582" i="5"/>
  <c r="B582" i="5"/>
  <c r="E581" i="5"/>
  <c r="B581" i="5"/>
  <c r="E580" i="5"/>
  <c r="B580" i="5"/>
  <c r="E579" i="5"/>
  <c r="B579" i="5"/>
  <c r="E578" i="5"/>
  <c r="B578" i="5"/>
  <c r="E577" i="5"/>
  <c r="B577" i="5"/>
  <c r="E576" i="5"/>
  <c r="B576" i="5"/>
  <c r="E575" i="5"/>
  <c r="B575" i="5"/>
  <c r="E574" i="5"/>
  <c r="B574" i="5"/>
  <c r="E573" i="5"/>
  <c r="B573" i="5"/>
  <c r="E572" i="5"/>
  <c r="B572" i="5"/>
  <c r="E571" i="5"/>
  <c r="B571" i="5"/>
  <c r="E570" i="5"/>
  <c r="B570" i="5"/>
  <c r="E569" i="5"/>
  <c r="B569" i="5"/>
  <c r="E568" i="5"/>
  <c r="B568" i="5"/>
  <c r="E567" i="5"/>
  <c r="B567" i="5"/>
  <c r="E566" i="5"/>
  <c r="B566" i="5"/>
  <c r="E565" i="5"/>
  <c r="B565" i="5"/>
  <c r="E564" i="5"/>
  <c r="B564" i="5"/>
  <c r="E563" i="5"/>
  <c r="B563" i="5"/>
  <c r="E562" i="5"/>
  <c r="B562" i="5"/>
  <c r="E561" i="5"/>
  <c r="B561" i="5"/>
  <c r="E560" i="5"/>
  <c r="B560" i="5"/>
  <c r="E559" i="5"/>
  <c r="B559" i="5"/>
  <c r="E558" i="5"/>
  <c r="B558" i="5"/>
  <c r="E557" i="5"/>
  <c r="B557" i="5"/>
  <c r="E556" i="5"/>
  <c r="B556" i="5"/>
  <c r="E555" i="5"/>
  <c r="B555" i="5"/>
  <c r="E554" i="5"/>
  <c r="B554" i="5"/>
  <c r="E553" i="5"/>
  <c r="B553" i="5"/>
  <c r="E552" i="5"/>
  <c r="B552" i="5"/>
  <c r="E551" i="5"/>
  <c r="B551" i="5"/>
  <c r="E550" i="5"/>
  <c r="B550" i="5"/>
  <c r="E549" i="5"/>
  <c r="B549" i="5"/>
  <c r="E548" i="5"/>
  <c r="B548" i="5"/>
  <c r="E547" i="5"/>
  <c r="B547" i="5"/>
  <c r="E546" i="5"/>
  <c r="B546" i="5"/>
  <c r="E545" i="5"/>
  <c r="B545" i="5"/>
  <c r="E544" i="5"/>
  <c r="B544" i="5"/>
  <c r="E543" i="5"/>
  <c r="B543" i="5"/>
  <c r="E542" i="5"/>
  <c r="B542" i="5"/>
  <c r="E541" i="5"/>
  <c r="B541" i="5"/>
  <c r="E540" i="5"/>
  <c r="B540" i="5"/>
  <c r="E539" i="5"/>
  <c r="B539" i="5"/>
  <c r="E538" i="5"/>
  <c r="B538" i="5"/>
  <c r="E537" i="5"/>
  <c r="B537" i="5"/>
  <c r="E536" i="5"/>
  <c r="B536" i="5"/>
  <c r="E535" i="5"/>
  <c r="B535" i="5"/>
  <c r="E534" i="5"/>
  <c r="B534" i="5"/>
  <c r="E533" i="5"/>
  <c r="B533" i="5"/>
  <c r="E532" i="5"/>
  <c r="B532" i="5"/>
  <c r="E531" i="5"/>
  <c r="B531" i="5"/>
  <c r="E530" i="5"/>
  <c r="B530" i="5"/>
  <c r="E529" i="5"/>
  <c r="B529" i="5"/>
  <c r="E528" i="5"/>
  <c r="B528" i="5"/>
  <c r="E527" i="5"/>
  <c r="B527" i="5"/>
  <c r="E526" i="5"/>
  <c r="B526" i="5"/>
  <c r="E525" i="5"/>
  <c r="B525" i="5"/>
  <c r="E524" i="5"/>
  <c r="B524" i="5"/>
  <c r="E523" i="5"/>
  <c r="B523" i="5"/>
  <c r="E522" i="5"/>
  <c r="B522" i="5"/>
  <c r="E521" i="5"/>
  <c r="B521" i="5"/>
  <c r="E520" i="5"/>
  <c r="B520" i="5"/>
  <c r="E519" i="5"/>
  <c r="B519" i="5"/>
  <c r="E518" i="5"/>
  <c r="B518" i="5"/>
  <c r="E517" i="5"/>
  <c r="B517" i="5"/>
  <c r="E516" i="5"/>
  <c r="B516" i="5"/>
  <c r="E515" i="5"/>
  <c r="B515" i="5"/>
  <c r="E514" i="5"/>
  <c r="B514" i="5"/>
  <c r="E513" i="5"/>
  <c r="B513" i="5"/>
  <c r="E512" i="5"/>
  <c r="B512" i="5"/>
  <c r="E511" i="5"/>
  <c r="B511" i="5"/>
  <c r="E510" i="5"/>
  <c r="B510" i="5"/>
  <c r="E509" i="5"/>
  <c r="B509" i="5"/>
  <c r="E508" i="5"/>
  <c r="B508" i="5"/>
  <c r="E507" i="5"/>
  <c r="B507" i="5"/>
  <c r="E506" i="5"/>
  <c r="B506" i="5"/>
  <c r="E505" i="5"/>
  <c r="B505" i="5"/>
  <c r="E504" i="5"/>
  <c r="B504" i="5"/>
  <c r="E503" i="5"/>
  <c r="B503" i="5"/>
  <c r="E502" i="5"/>
  <c r="B502" i="5"/>
  <c r="E501" i="5"/>
  <c r="B501" i="5"/>
  <c r="E500" i="5"/>
  <c r="B500" i="5"/>
  <c r="E499" i="5"/>
  <c r="B499" i="5"/>
  <c r="E498" i="5"/>
  <c r="B498" i="5"/>
  <c r="E497" i="5"/>
  <c r="B497" i="5"/>
  <c r="E496" i="5"/>
  <c r="B496" i="5"/>
  <c r="E495" i="5"/>
  <c r="B495" i="5"/>
  <c r="E494" i="5"/>
  <c r="B494" i="5"/>
  <c r="E493" i="5"/>
  <c r="B493" i="5"/>
  <c r="E492" i="5"/>
  <c r="B492" i="5"/>
  <c r="E491" i="5"/>
  <c r="B491" i="5"/>
  <c r="E490" i="5"/>
  <c r="B490" i="5"/>
  <c r="E489" i="5"/>
  <c r="B489" i="5"/>
  <c r="E488" i="5"/>
  <c r="B488" i="5"/>
  <c r="E487" i="5"/>
  <c r="B487" i="5"/>
  <c r="E486" i="5"/>
  <c r="B486" i="5"/>
  <c r="E485" i="5"/>
  <c r="B485" i="5"/>
  <c r="E484" i="5"/>
  <c r="B484" i="5"/>
  <c r="E483" i="5"/>
  <c r="B483" i="5"/>
  <c r="E482" i="5"/>
  <c r="B482" i="5"/>
  <c r="E481" i="5"/>
  <c r="B481" i="5"/>
  <c r="E480" i="5"/>
  <c r="B480" i="5"/>
  <c r="E479" i="5"/>
  <c r="B479" i="5"/>
  <c r="E478" i="5"/>
  <c r="B478" i="5"/>
  <c r="E477" i="5"/>
  <c r="B477" i="5"/>
  <c r="E476" i="5"/>
  <c r="B476" i="5"/>
  <c r="E475" i="5"/>
  <c r="B475" i="5"/>
  <c r="E474" i="5"/>
  <c r="B474" i="5"/>
  <c r="E473" i="5"/>
  <c r="B473" i="5"/>
  <c r="E472" i="5"/>
  <c r="B472" i="5"/>
  <c r="E471" i="5"/>
  <c r="B471" i="5"/>
  <c r="E470" i="5"/>
  <c r="B470" i="5"/>
  <c r="E469" i="5"/>
  <c r="B469" i="5"/>
  <c r="E468" i="5"/>
  <c r="B468" i="5"/>
  <c r="E467" i="5"/>
  <c r="B467" i="5"/>
  <c r="E466" i="5"/>
  <c r="B466" i="5"/>
  <c r="E465" i="5"/>
  <c r="B465" i="5"/>
  <c r="E464" i="5"/>
  <c r="B464" i="5"/>
  <c r="E463" i="5"/>
  <c r="B463" i="5"/>
  <c r="E462" i="5"/>
  <c r="B462" i="5"/>
  <c r="E461" i="5"/>
  <c r="B461" i="5"/>
  <c r="E460" i="5"/>
  <c r="B460" i="5"/>
  <c r="E459" i="5"/>
  <c r="B459" i="5"/>
  <c r="E458" i="5"/>
  <c r="B458" i="5"/>
  <c r="E457" i="5"/>
  <c r="B457" i="5"/>
  <c r="E456" i="5"/>
  <c r="B456" i="5"/>
  <c r="E455" i="5"/>
  <c r="B455" i="5"/>
  <c r="E454" i="5"/>
  <c r="B454" i="5"/>
  <c r="E453" i="5"/>
  <c r="B453" i="5"/>
  <c r="E452" i="5"/>
  <c r="B452" i="5"/>
  <c r="E451" i="5"/>
  <c r="B451" i="5"/>
  <c r="E450" i="5"/>
  <c r="B450" i="5"/>
  <c r="E449" i="5"/>
  <c r="B449" i="5"/>
  <c r="E448" i="5"/>
  <c r="B448" i="5"/>
  <c r="E447" i="5"/>
  <c r="B447" i="5"/>
  <c r="E446" i="5"/>
  <c r="B446" i="5"/>
  <c r="E445" i="5"/>
  <c r="B445" i="5"/>
  <c r="E444" i="5"/>
  <c r="B444" i="5"/>
  <c r="E443" i="5"/>
  <c r="B443" i="5"/>
  <c r="E442" i="5"/>
  <c r="B442" i="5"/>
  <c r="E441" i="5"/>
  <c r="B441" i="5"/>
  <c r="E440" i="5"/>
  <c r="B440" i="5"/>
  <c r="E439" i="5"/>
  <c r="B439" i="5"/>
  <c r="E438" i="5"/>
  <c r="B438" i="5"/>
  <c r="E437" i="5"/>
  <c r="B437" i="5"/>
  <c r="E436" i="5"/>
  <c r="B436" i="5"/>
  <c r="E435" i="5"/>
  <c r="B435" i="5"/>
  <c r="E434" i="5"/>
  <c r="B434" i="5"/>
  <c r="E433" i="5"/>
  <c r="B433" i="5"/>
  <c r="E432" i="5"/>
  <c r="B432" i="5"/>
  <c r="E431" i="5"/>
  <c r="B431" i="5"/>
  <c r="E430" i="5"/>
  <c r="B430" i="5"/>
  <c r="E429" i="5"/>
  <c r="B429" i="5"/>
  <c r="E428" i="5"/>
  <c r="B428" i="5"/>
  <c r="E427" i="5"/>
  <c r="B427" i="5"/>
  <c r="E426" i="5"/>
  <c r="B426" i="5"/>
  <c r="E425" i="5"/>
  <c r="B425" i="5"/>
  <c r="E424" i="5"/>
  <c r="B424" i="5"/>
  <c r="E423" i="5"/>
  <c r="B423" i="5"/>
  <c r="E422" i="5"/>
  <c r="B422" i="5"/>
  <c r="E421" i="5"/>
  <c r="B421" i="5"/>
  <c r="E420" i="5"/>
  <c r="B420" i="5"/>
  <c r="E419" i="5"/>
  <c r="B419" i="5"/>
  <c r="E418" i="5"/>
  <c r="B418" i="5"/>
  <c r="E417" i="5"/>
  <c r="B417" i="5"/>
  <c r="E416" i="5"/>
  <c r="B416" i="5"/>
  <c r="E415" i="5"/>
  <c r="B415" i="5"/>
  <c r="E414" i="5"/>
  <c r="B414" i="5"/>
  <c r="E413" i="5"/>
  <c r="B413" i="5"/>
  <c r="E412" i="5"/>
  <c r="B412" i="5"/>
  <c r="E411" i="5"/>
  <c r="B411" i="5"/>
  <c r="E410" i="5"/>
  <c r="B410" i="5"/>
  <c r="E409" i="5"/>
  <c r="B409" i="5"/>
  <c r="E408" i="5"/>
  <c r="B408" i="5"/>
  <c r="E407" i="5"/>
  <c r="B407" i="5"/>
  <c r="E406" i="5"/>
  <c r="B406" i="5"/>
  <c r="E405" i="5"/>
  <c r="B405" i="5"/>
  <c r="E404" i="5"/>
  <c r="B404" i="5"/>
  <c r="E403" i="5"/>
  <c r="B403" i="5"/>
  <c r="E402" i="5"/>
  <c r="B402" i="5"/>
  <c r="E401" i="5"/>
  <c r="B401" i="5"/>
  <c r="E400" i="5"/>
  <c r="B400" i="5"/>
  <c r="E399" i="5"/>
  <c r="B399" i="5"/>
  <c r="E398" i="5"/>
  <c r="B398" i="5"/>
  <c r="E397" i="5"/>
  <c r="B397" i="5"/>
  <c r="E396" i="5"/>
  <c r="B396" i="5"/>
  <c r="E395" i="5"/>
  <c r="B395" i="5"/>
  <c r="E394" i="5"/>
  <c r="B394" i="5"/>
  <c r="E393" i="5"/>
  <c r="B393" i="5"/>
  <c r="E392" i="5"/>
  <c r="B392" i="5"/>
  <c r="E391" i="5"/>
  <c r="B391" i="5"/>
  <c r="E390" i="5"/>
  <c r="B390" i="5"/>
  <c r="E389" i="5"/>
  <c r="B389" i="5"/>
  <c r="E388" i="5"/>
  <c r="B388" i="5"/>
  <c r="E387" i="5"/>
  <c r="B387" i="5"/>
  <c r="E386" i="5"/>
  <c r="B386" i="5"/>
  <c r="E385" i="5"/>
  <c r="B385" i="5"/>
  <c r="E384" i="5"/>
  <c r="B384" i="5"/>
  <c r="E383" i="5"/>
  <c r="B383" i="5"/>
  <c r="E382" i="5"/>
  <c r="B382" i="5"/>
  <c r="E381" i="5"/>
  <c r="B381" i="5"/>
  <c r="E380" i="5"/>
  <c r="B380" i="5"/>
  <c r="E379" i="5"/>
  <c r="B379" i="5"/>
  <c r="E378" i="5"/>
  <c r="B378" i="5"/>
  <c r="E377" i="5"/>
  <c r="B377" i="5"/>
  <c r="E376" i="5"/>
  <c r="B376" i="5"/>
  <c r="E375" i="5"/>
  <c r="B375" i="5"/>
  <c r="E374" i="5"/>
  <c r="B374" i="5"/>
  <c r="E373" i="5"/>
  <c r="B373" i="5"/>
  <c r="E372" i="5"/>
  <c r="B372" i="5"/>
  <c r="E371" i="5"/>
  <c r="B371" i="5"/>
  <c r="E370" i="5"/>
  <c r="B370" i="5"/>
  <c r="E369" i="5"/>
  <c r="B369" i="5"/>
  <c r="E368" i="5"/>
  <c r="B368" i="5"/>
  <c r="E367" i="5"/>
  <c r="B367" i="5"/>
  <c r="E366" i="5"/>
  <c r="B366" i="5"/>
  <c r="E365" i="5"/>
  <c r="B365" i="5"/>
  <c r="E364" i="5"/>
  <c r="B364" i="5"/>
  <c r="E363" i="5"/>
  <c r="B363" i="5"/>
  <c r="E362" i="5"/>
  <c r="B362" i="5"/>
  <c r="E361" i="5"/>
  <c r="B361" i="5"/>
  <c r="E360" i="5"/>
  <c r="B360" i="5"/>
  <c r="E359" i="5"/>
  <c r="B359" i="5"/>
  <c r="E358" i="5"/>
  <c r="B358" i="5"/>
  <c r="E357" i="5"/>
  <c r="B357" i="5"/>
  <c r="E356" i="5"/>
  <c r="B356" i="5"/>
  <c r="E355" i="5"/>
  <c r="B355" i="5"/>
  <c r="E354" i="5"/>
  <c r="B354" i="5"/>
  <c r="E353" i="5"/>
  <c r="B353" i="5"/>
  <c r="E352" i="5"/>
  <c r="B352" i="5"/>
  <c r="E351" i="5"/>
  <c r="B351" i="5"/>
  <c r="E350" i="5"/>
  <c r="B350" i="5"/>
  <c r="E349" i="5"/>
  <c r="B349" i="5"/>
  <c r="E348" i="5"/>
  <c r="B348" i="5"/>
  <c r="E347" i="5"/>
  <c r="B347" i="5"/>
  <c r="E346" i="5"/>
  <c r="B346" i="5"/>
  <c r="E345" i="5"/>
  <c r="B345" i="5"/>
  <c r="E344" i="5"/>
  <c r="B344" i="5"/>
  <c r="E343" i="5"/>
  <c r="B343" i="5"/>
  <c r="E342" i="5"/>
  <c r="B342" i="5"/>
  <c r="E341" i="5"/>
  <c r="B341" i="5"/>
  <c r="E340" i="5"/>
  <c r="B340" i="5"/>
  <c r="E339" i="5"/>
  <c r="B339" i="5"/>
  <c r="E338" i="5"/>
  <c r="B338" i="5"/>
  <c r="E337" i="5"/>
  <c r="B337" i="5"/>
  <c r="E336" i="5"/>
  <c r="B336" i="5"/>
  <c r="E335" i="5"/>
  <c r="B335" i="5"/>
  <c r="E334" i="5"/>
  <c r="B334" i="5"/>
  <c r="E333" i="5"/>
  <c r="B333" i="5"/>
  <c r="E332" i="5"/>
  <c r="B332" i="5"/>
  <c r="E331" i="5"/>
  <c r="B331" i="5"/>
  <c r="E330" i="5"/>
  <c r="B330" i="5"/>
  <c r="E329" i="5"/>
  <c r="B329" i="5"/>
  <c r="E328" i="5"/>
  <c r="B328" i="5"/>
  <c r="E327" i="5"/>
  <c r="B327" i="5"/>
  <c r="E326" i="5"/>
  <c r="B326" i="5"/>
  <c r="E325" i="5"/>
  <c r="B325" i="5"/>
  <c r="E324" i="5"/>
  <c r="B324" i="5"/>
  <c r="E323" i="5"/>
  <c r="B323" i="5"/>
  <c r="E322" i="5"/>
  <c r="B322" i="5"/>
  <c r="E321" i="5"/>
  <c r="B321" i="5"/>
  <c r="E320" i="5"/>
  <c r="B320" i="5"/>
  <c r="E319" i="5"/>
  <c r="B319" i="5"/>
  <c r="E318" i="5"/>
  <c r="B318" i="5"/>
  <c r="E317" i="5"/>
  <c r="B317" i="5"/>
  <c r="E316" i="5"/>
  <c r="B316" i="5"/>
  <c r="E315" i="5"/>
  <c r="B315" i="5"/>
  <c r="E314" i="5"/>
  <c r="B314" i="5"/>
  <c r="E313" i="5"/>
  <c r="B313" i="5"/>
  <c r="E312" i="5"/>
  <c r="B312" i="5"/>
  <c r="E311" i="5"/>
  <c r="B311" i="5"/>
  <c r="E310" i="5"/>
  <c r="B310" i="5"/>
  <c r="E309" i="5"/>
  <c r="B309" i="5"/>
  <c r="E308" i="5"/>
  <c r="B308" i="5"/>
  <c r="E307" i="5"/>
  <c r="B307" i="5"/>
  <c r="E306" i="5"/>
  <c r="B306" i="5"/>
  <c r="E305" i="5"/>
  <c r="B305" i="5"/>
  <c r="E304" i="5"/>
  <c r="B304" i="5"/>
  <c r="E303" i="5"/>
  <c r="B303" i="5"/>
  <c r="E302" i="5"/>
  <c r="B302" i="5"/>
  <c r="E301" i="5"/>
  <c r="B301" i="5"/>
  <c r="E300" i="5"/>
  <c r="B300" i="5"/>
  <c r="E299" i="5"/>
  <c r="B299" i="5"/>
  <c r="E298" i="5"/>
  <c r="B298" i="5"/>
  <c r="E297" i="5"/>
  <c r="B297" i="5"/>
  <c r="E296" i="5"/>
  <c r="B296" i="5"/>
  <c r="E295" i="5"/>
  <c r="B295" i="5"/>
  <c r="E294" i="5"/>
  <c r="B294" i="5"/>
  <c r="E293" i="5"/>
  <c r="B293" i="5"/>
  <c r="E292" i="5"/>
  <c r="B292" i="5"/>
  <c r="E291" i="5"/>
  <c r="B291" i="5"/>
  <c r="E290" i="5"/>
  <c r="B290" i="5"/>
  <c r="E289" i="5"/>
  <c r="B289" i="5"/>
  <c r="E288" i="5"/>
  <c r="B288" i="5"/>
  <c r="E287" i="5"/>
  <c r="B287" i="5"/>
  <c r="E286" i="5"/>
  <c r="B286" i="5"/>
  <c r="E285" i="5"/>
  <c r="B285" i="5"/>
  <c r="E284" i="5"/>
  <c r="B284" i="5"/>
  <c r="E283" i="5"/>
  <c r="B283" i="5"/>
  <c r="E282" i="5"/>
  <c r="B282" i="5"/>
  <c r="E281" i="5"/>
  <c r="B281" i="5"/>
  <c r="E280" i="5"/>
  <c r="B280" i="5"/>
  <c r="E279" i="5"/>
  <c r="B279" i="5"/>
  <c r="E278" i="5"/>
  <c r="B278" i="5"/>
  <c r="E277" i="5"/>
  <c r="B277" i="5"/>
  <c r="E276" i="5"/>
  <c r="B276" i="5"/>
  <c r="E275" i="5"/>
  <c r="B275" i="5"/>
  <c r="E274" i="5"/>
  <c r="B274" i="5"/>
  <c r="E273" i="5"/>
  <c r="B273" i="5"/>
  <c r="E272" i="5"/>
  <c r="B272" i="5"/>
  <c r="E271" i="5"/>
  <c r="B271" i="5"/>
  <c r="E270" i="5"/>
  <c r="B270" i="5"/>
  <c r="E269" i="5"/>
  <c r="B269" i="5"/>
  <c r="E268" i="5"/>
  <c r="B268" i="5"/>
  <c r="E267" i="5"/>
  <c r="B267" i="5"/>
  <c r="E266" i="5"/>
  <c r="B266" i="5"/>
  <c r="E265" i="5"/>
  <c r="B265" i="5"/>
  <c r="E264" i="5"/>
  <c r="B264" i="5"/>
  <c r="E263" i="5"/>
  <c r="B263" i="5"/>
  <c r="E262" i="5"/>
  <c r="B262" i="5"/>
  <c r="E261" i="5"/>
  <c r="B261" i="5"/>
  <c r="E260" i="5"/>
  <c r="B260" i="5"/>
  <c r="E259" i="5"/>
  <c r="B259" i="5"/>
  <c r="E258" i="5"/>
  <c r="B258" i="5"/>
  <c r="E257" i="5"/>
  <c r="B257" i="5"/>
  <c r="E256" i="5"/>
  <c r="B256" i="5"/>
  <c r="E255" i="5"/>
  <c r="B255" i="5"/>
  <c r="E254" i="5"/>
  <c r="B254" i="5"/>
  <c r="E253" i="5"/>
  <c r="B253" i="5"/>
  <c r="E252" i="5"/>
  <c r="B252" i="5"/>
  <c r="E251" i="5"/>
  <c r="B251" i="5"/>
  <c r="E250" i="5"/>
  <c r="B250" i="5"/>
  <c r="E249" i="5"/>
  <c r="B249" i="5"/>
  <c r="E248" i="5"/>
  <c r="B248" i="5"/>
  <c r="E247" i="5"/>
  <c r="B247" i="5"/>
  <c r="E246" i="5"/>
  <c r="B246" i="5"/>
  <c r="E245" i="5"/>
  <c r="B245" i="5"/>
  <c r="E244" i="5"/>
  <c r="B244" i="5"/>
  <c r="E243" i="5"/>
  <c r="B243" i="5"/>
  <c r="E242" i="5"/>
  <c r="B242" i="5"/>
  <c r="E241" i="5"/>
  <c r="B241" i="5"/>
  <c r="E240" i="5"/>
  <c r="B240" i="5"/>
  <c r="E239" i="5"/>
  <c r="B239" i="5"/>
  <c r="E238" i="5"/>
  <c r="B238" i="5"/>
  <c r="E237" i="5"/>
  <c r="B237" i="5"/>
  <c r="E236" i="5"/>
  <c r="B236" i="5"/>
  <c r="E235" i="5"/>
  <c r="B235" i="5"/>
  <c r="E234" i="5"/>
  <c r="B234" i="5"/>
  <c r="E233" i="5"/>
  <c r="B233" i="5"/>
  <c r="E232" i="5"/>
  <c r="B232" i="5"/>
  <c r="E231" i="5"/>
  <c r="B231" i="5"/>
  <c r="E230" i="5"/>
  <c r="B230" i="5"/>
  <c r="E229" i="5"/>
  <c r="B229" i="5"/>
  <c r="E228" i="5"/>
  <c r="B228" i="5"/>
  <c r="E227" i="5"/>
  <c r="B227" i="5"/>
  <c r="E226" i="5"/>
  <c r="B226" i="5"/>
  <c r="E225" i="5"/>
  <c r="B225" i="5"/>
  <c r="E224" i="5"/>
  <c r="B224" i="5"/>
  <c r="E223" i="5"/>
  <c r="B223" i="5"/>
  <c r="E222" i="5"/>
  <c r="B222" i="5"/>
  <c r="E221" i="5"/>
  <c r="B221" i="5"/>
  <c r="E220" i="5"/>
  <c r="B220" i="5"/>
  <c r="E219" i="5"/>
  <c r="B219" i="5"/>
  <c r="E218" i="5"/>
  <c r="B218" i="5"/>
  <c r="E217" i="5"/>
  <c r="B217" i="5"/>
  <c r="E216" i="5"/>
  <c r="B216" i="5"/>
  <c r="E215" i="5"/>
  <c r="B215" i="5"/>
  <c r="E214" i="5"/>
  <c r="B214" i="5"/>
  <c r="E213" i="5"/>
  <c r="B213" i="5"/>
  <c r="E212" i="5"/>
  <c r="B212" i="5"/>
  <c r="E211" i="5"/>
  <c r="B211" i="5"/>
  <c r="E210" i="5"/>
  <c r="B210" i="5"/>
  <c r="E209" i="5"/>
  <c r="B209" i="5"/>
  <c r="E208" i="5"/>
  <c r="B208" i="5"/>
  <c r="E207" i="5"/>
  <c r="B207" i="5"/>
  <c r="E206" i="5"/>
  <c r="B206" i="5"/>
  <c r="E205" i="5"/>
  <c r="B205" i="5"/>
  <c r="E204" i="5"/>
  <c r="B204" i="5"/>
  <c r="E203" i="5"/>
  <c r="B203" i="5"/>
  <c r="E202" i="5"/>
  <c r="B202" i="5"/>
  <c r="E201" i="5"/>
  <c r="B201" i="5"/>
  <c r="E200" i="5"/>
  <c r="B200" i="5"/>
  <c r="E199" i="5"/>
  <c r="B199" i="5"/>
  <c r="E198" i="5"/>
  <c r="B198" i="5"/>
  <c r="E197" i="5"/>
  <c r="B197" i="5"/>
  <c r="E196" i="5"/>
  <c r="B196" i="5"/>
  <c r="E195" i="5"/>
  <c r="B195" i="5"/>
  <c r="E194" i="5"/>
  <c r="B194" i="5"/>
  <c r="E193" i="5"/>
  <c r="B193" i="5"/>
  <c r="E192" i="5"/>
  <c r="B192" i="5"/>
  <c r="E191" i="5"/>
  <c r="B191" i="5"/>
  <c r="E190" i="5"/>
  <c r="B190" i="5"/>
  <c r="E189" i="5"/>
  <c r="B189" i="5"/>
  <c r="E188" i="5"/>
  <c r="B188" i="5"/>
  <c r="E187" i="5"/>
  <c r="B187" i="5"/>
  <c r="E186" i="5"/>
  <c r="B186" i="5"/>
  <c r="E185" i="5"/>
  <c r="B185" i="5"/>
  <c r="E184" i="5"/>
  <c r="B184" i="5"/>
  <c r="E183" i="5"/>
  <c r="B183" i="5"/>
  <c r="E182" i="5"/>
  <c r="B182" i="5"/>
  <c r="E181" i="5"/>
  <c r="B181" i="5"/>
  <c r="E180" i="5"/>
  <c r="B180" i="5"/>
  <c r="E179" i="5"/>
  <c r="B179" i="5"/>
  <c r="E178" i="5"/>
  <c r="B178" i="5"/>
  <c r="E177" i="5"/>
  <c r="B177" i="5"/>
  <c r="E176" i="5"/>
  <c r="B176" i="5"/>
  <c r="E175" i="5"/>
  <c r="B175" i="5"/>
  <c r="E174" i="5"/>
  <c r="B174" i="5"/>
  <c r="E173" i="5"/>
  <c r="B173" i="5"/>
  <c r="E172" i="5"/>
  <c r="B172" i="5"/>
  <c r="E171" i="5"/>
  <c r="B171" i="5"/>
  <c r="E170" i="5"/>
  <c r="B170" i="5"/>
  <c r="E169" i="5"/>
  <c r="B169" i="5"/>
  <c r="E168" i="5"/>
  <c r="B168" i="5"/>
  <c r="E167" i="5"/>
  <c r="B167" i="5"/>
  <c r="E166" i="5"/>
  <c r="B166" i="5"/>
  <c r="E165" i="5"/>
  <c r="B165" i="5"/>
  <c r="E164" i="5"/>
  <c r="B164" i="5"/>
  <c r="E163" i="5"/>
  <c r="B163" i="5"/>
  <c r="E162" i="5"/>
  <c r="B162" i="5"/>
  <c r="E161" i="5"/>
  <c r="B161" i="5"/>
  <c r="E160" i="5"/>
  <c r="B160" i="5"/>
  <c r="E159" i="5"/>
  <c r="B159" i="5"/>
  <c r="E158" i="5"/>
  <c r="B158" i="5"/>
  <c r="E157" i="5"/>
  <c r="B157" i="5"/>
  <c r="E156" i="5"/>
  <c r="B156" i="5"/>
  <c r="E155" i="5"/>
  <c r="B155" i="5"/>
  <c r="E154" i="5"/>
  <c r="B154" i="5"/>
  <c r="E153" i="5"/>
  <c r="B153" i="5"/>
  <c r="E152" i="5"/>
  <c r="B152" i="5"/>
  <c r="E151" i="5"/>
  <c r="B151" i="5"/>
  <c r="E150" i="5"/>
  <c r="B150" i="5"/>
  <c r="E149" i="5"/>
  <c r="B149" i="5"/>
  <c r="E148" i="5"/>
  <c r="B148" i="5"/>
  <c r="E147" i="5"/>
  <c r="B147" i="5"/>
  <c r="E146" i="5"/>
  <c r="B146" i="5"/>
  <c r="E145" i="5"/>
  <c r="B145" i="5"/>
  <c r="E144" i="5"/>
  <c r="B144" i="5"/>
  <c r="E143" i="5"/>
  <c r="B143" i="5"/>
  <c r="E142" i="5"/>
  <c r="B142" i="5"/>
  <c r="E141" i="5"/>
  <c r="B141" i="5"/>
  <c r="E140" i="5"/>
  <c r="B140" i="5"/>
  <c r="E139" i="5"/>
  <c r="B139" i="5"/>
  <c r="E138" i="5"/>
  <c r="B138" i="5"/>
  <c r="E137" i="5"/>
  <c r="B137" i="5"/>
  <c r="E136" i="5"/>
  <c r="B136" i="5"/>
  <c r="E135" i="5"/>
  <c r="B135" i="5"/>
  <c r="E134" i="5"/>
  <c r="B134" i="5"/>
  <c r="E133" i="5"/>
  <c r="B133" i="5"/>
  <c r="E132" i="5"/>
  <c r="B132" i="5"/>
  <c r="E131" i="5"/>
  <c r="B131" i="5"/>
  <c r="E130" i="5"/>
  <c r="B130" i="5"/>
  <c r="E129" i="5"/>
  <c r="B129" i="5"/>
  <c r="E128" i="5"/>
  <c r="B128" i="5"/>
  <c r="E127" i="5"/>
  <c r="B127" i="5"/>
  <c r="E126" i="5"/>
  <c r="B126" i="5"/>
  <c r="E125" i="5"/>
  <c r="B125" i="5"/>
  <c r="E124" i="5"/>
  <c r="B124" i="5"/>
  <c r="E123" i="5"/>
  <c r="B123" i="5"/>
  <c r="E122" i="5"/>
  <c r="B122" i="5"/>
  <c r="E121" i="5"/>
  <c r="B121" i="5"/>
  <c r="E120" i="5"/>
  <c r="B120" i="5"/>
  <c r="E119" i="5"/>
  <c r="B119" i="5"/>
  <c r="E118" i="5"/>
  <c r="B118" i="5"/>
  <c r="E117" i="5"/>
  <c r="B117" i="5"/>
  <c r="E116" i="5"/>
  <c r="B116" i="5"/>
  <c r="E115" i="5"/>
  <c r="B115" i="5"/>
  <c r="E114" i="5"/>
  <c r="B114" i="5"/>
  <c r="E113" i="5"/>
  <c r="B113" i="5"/>
  <c r="E112" i="5"/>
  <c r="B112" i="5"/>
  <c r="E111" i="5"/>
  <c r="B111" i="5"/>
  <c r="E110" i="5"/>
  <c r="B110" i="5"/>
  <c r="E109" i="5"/>
  <c r="B109" i="5"/>
  <c r="E108" i="5"/>
  <c r="B108" i="5"/>
  <c r="E107" i="5"/>
  <c r="B107" i="5"/>
  <c r="E106" i="5"/>
  <c r="B106" i="5"/>
  <c r="E105" i="5"/>
  <c r="B105" i="5"/>
  <c r="E104" i="5"/>
  <c r="B104" i="5"/>
  <c r="E103" i="5"/>
  <c r="B103" i="5"/>
  <c r="E102" i="5"/>
  <c r="B102" i="5"/>
  <c r="E101" i="5"/>
  <c r="B101" i="5"/>
  <c r="E100" i="5"/>
  <c r="B100" i="5"/>
  <c r="E99" i="5"/>
  <c r="B99" i="5"/>
  <c r="E98" i="5"/>
  <c r="B98" i="5"/>
  <c r="E97" i="5"/>
  <c r="B97" i="5"/>
  <c r="E96" i="5"/>
  <c r="B96" i="5"/>
  <c r="E95" i="5"/>
  <c r="B95" i="5"/>
  <c r="E94" i="5"/>
  <c r="B94" i="5"/>
  <c r="E93" i="5"/>
  <c r="B93" i="5"/>
  <c r="E92" i="5"/>
  <c r="B92" i="5"/>
  <c r="E91" i="5"/>
  <c r="B91" i="5"/>
  <c r="E90" i="5"/>
  <c r="B90" i="5"/>
  <c r="E89" i="5"/>
  <c r="B89" i="5"/>
  <c r="E88" i="5"/>
  <c r="B88" i="5"/>
  <c r="E87" i="5"/>
  <c r="B87" i="5"/>
  <c r="E86" i="5"/>
  <c r="B86" i="5"/>
  <c r="E85" i="5"/>
  <c r="B85" i="5"/>
  <c r="E84" i="5"/>
  <c r="B84" i="5"/>
  <c r="E83" i="5"/>
  <c r="B83" i="5"/>
  <c r="E82" i="5"/>
  <c r="B82" i="5"/>
  <c r="E81" i="5"/>
  <c r="B81" i="5"/>
  <c r="E80" i="5"/>
  <c r="B80" i="5"/>
  <c r="E79" i="5"/>
  <c r="B79" i="5"/>
  <c r="E78" i="5"/>
  <c r="B78" i="5"/>
  <c r="E77" i="5"/>
  <c r="B77" i="5"/>
  <c r="E76" i="5"/>
  <c r="B76" i="5"/>
  <c r="E75" i="5"/>
  <c r="B75" i="5"/>
  <c r="E74" i="5"/>
  <c r="B74" i="5"/>
  <c r="E73" i="5"/>
  <c r="B73" i="5"/>
  <c r="E72" i="5"/>
  <c r="B72" i="5"/>
  <c r="E71" i="5"/>
  <c r="B71" i="5"/>
  <c r="E70" i="5"/>
  <c r="B70" i="5"/>
  <c r="E69" i="5"/>
  <c r="B69" i="5"/>
  <c r="E68" i="5"/>
  <c r="B68" i="5"/>
  <c r="E67" i="5"/>
  <c r="B67" i="5"/>
  <c r="E66" i="5"/>
  <c r="B66" i="5"/>
  <c r="E65" i="5"/>
  <c r="B65" i="5"/>
  <c r="E64" i="5"/>
  <c r="B64" i="5"/>
  <c r="E63" i="5"/>
  <c r="B63" i="5"/>
  <c r="E62" i="5"/>
  <c r="B62" i="5"/>
  <c r="E61" i="5"/>
  <c r="B61" i="5"/>
  <c r="E60" i="5"/>
  <c r="B60" i="5"/>
  <c r="E59" i="5"/>
  <c r="B59" i="5"/>
  <c r="E58" i="5"/>
  <c r="B58" i="5"/>
  <c r="E57" i="5"/>
  <c r="B57" i="5"/>
  <c r="E56" i="5"/>
  <c r="B56" i="5"/>
  <c r="E55" i="5"/>
  <c r="B55" i="5"/>
  <c r="E54" i="5"/>
  <c r="B54" i="5"/>
  <c r="E53" i="5"/>
  <c r="B53" i="5"/>
  <c r="E52" i="5"/>
  <c r="B52" i="5"/>
  <c r="E51" i="5"/>
  <c r="B51" i="5"/>
  <c r="E50" i="5"/>
  <c r="B50" i="5"/>
  <c r="E49" i="5"/>
  <c r="B49" i="5"/>
  <c r="E48" i="5"/>
  <c r="B48" i="5"/>
  <c r="E47" i="5"/>
  <c r="B47" i="5"/>
  <c r="E46" i="5"/>
  <c r="B46" i="5"/>
  <c r="E45" i="5"/>
  <c r="B45" i="5"/>
  <c r="E44" i="5"/>
  <c r="B44" i="5"/>
  <c r="E43" i="5"/>
  <c r="B43" i="5"/>
  <c r="E42" i="5"/>
  <c r="B42" i="5"/>
  <c r="E41" i="5"/>
  <c r="B41" i="5"/>
  <c r="E40" i="5"/>
  <c r="B40" i="5"/>
  <c r="E39" i="5"/>
  <c r="B39" i="5"/>
  <c r="E38" i="5"/>
  <c r="B38" i="5"/>
  <c r="E37" i="5"/>
  <c r="B37" i="5"/>
  <c r="E36" i="5"/>
  <c r="B36" i="5"/>
  <c r="E35" i="5"/>
  <c r="B35" i="5"/>
  <c r="E34" i="5"/>
  <c r="B34" i="5"/>
  <c r="E33" i="5"/>
  <c r="B33" i="5"/>
  <c r="E32" i="5"/>
  <c r="B32" i="5"/>
  <c r="E31" i="5"/>
  <c r="B31" i="5"/>
  <c r="E30" i="5"/>
  <c r="B30" i="5"/>
  <c r="E29" i="5"/>
  <c r="B29" i="5"/>
  <c r="E28" i="5"/>
  <c r="B28" i="5"/>
  <c r="E27" i="5"/>
  <c r="B27" i="5"/>
  <c r="E26" i="5"/>
  <c r="B26" i="5"/>
  <c r="E25" i="5"/>
  <c r="B25" i="5"/>
  <c r="E24" i="5"/>
  <c r="B24" i="5"/>
  <c r="E23" i="5"/>
  <c r="B23" i="5"/>
  <c r="E22" i="5"/>
  <c r="B22" i="5"/>
  <c r="E21" i="5"/>
  <c r="B21" i="5"/>
  <c r="E20" i="5"/>
  <c r="B20" i="5"/>
  <c r="E19" i="5"/>
  <c r="B19" i="5"/>
  <c r="E18" i="5"/>
  <c r="B18" i="5"/>
  <c r="E17" i="5"/>
  <c r="B17" i="5"/>
  <c r="E16" i="5"/>
  <c r="B16" i="5"/>
  <c r="E15" i="5"/>
  <c r="B15" i="5"/>
  <c r="E14" i="5"/>
  <c r="B14" i="5"/>
  <c r="E13" i="5"/>
  <c r="B13" i="5"/>
  <c r="E12" i="5"/>
  <c r="B12" i="5"/>
  <c r="E11" i="5"/>
  <c r="B11" i="5"/>
  <c r="E10" i="5"/>
  <c r="B10" i="5"/>
  <c r="E9" i="5"/>
  <c r="B9" i="5"/>
  <c r="E8" i="5"/>
  <c r="B8" i="5"/>
  <c r="E7" i="5"/>
  <c r="B7" i="5"/>
  <c r="E6" i="5"/>
  <c r="B6" i="5"/>
  <c r="E5" i="5"/>
  <c r="B5" i="5"/>
  <c r="E4" i="5"/>
  <c r="B4" i="5"/>
  <c r="E3" i="5"/>
  <c r="B3" i="5"/>
  <c r="E2" i="5"/>
  <c r="B2" i="5"/>
</calcChain>
</file>

<file path=xl/sharedStrings.xml><?xml version="1.0" encoding="utf-8"?>
<sst xmlns="http://schemas.openxmlformats.org/spreadsheetml/2006/main" count="73707" uniqueCount="16154">
  <si>
    <t>Date</t>
  </si>
  <si>
    <t>Screen Name</t>
  </si>
  <si>
    <t>Full Name</t>
  </si>
  <si>
    <t>Tweet Text</t>
  </si>
  <si>
    <t>Location</t>
  </si>
  <si>
    <t>App</t>
  </si>
  <si>
    <t>User Since</t>
  </si>
  <si>
    <t>Bio</t>
  </si>
  <si>
    <t>Bill Bruno</t>
  </si>
  <si>
    <t>#IfIWereRoyalty I'd #Airbnb Buckingham Palace</t>
  </si>
  <si>
    <t>NYC</t>
  </si>
  <si>
    <t>Walking the fine line between eclectic autodidact and pseudo-intellectual dilettante. #TheResistance</t>
  </si>
  <si>
    <t>M3 Design</t>
  </si>
  <si>
    <t>Favorite part of our jobs, fresh off the press production units! Thank you @noiseaware for a great team effort, so good to see great solutions come to market! #iot #innovation #airbnb #austin #noiseaware #tech #production #engineering #packaging #industrialdesign</t>
  </si>
  <si>
    <t>Austin, Texas, USA</t>
  </si>
  <si>
    <t>We craft + execute product development strategies</t>
  </si>
  <si>
    <t>Greek Travel Pages</t>
  </si>
  <si>
    <t>Athens’ #Psyrri Quarter Evolving into #Airbnb Neighborhood  #Athens #Greece #hospitality #ttot</t>
  </si>
  <si>
    <t>Greece</t>
  </si>
  <si>
    <t>Everything about the Greek travel industry. Also on http://www.gtp.gr, http://jobs.gtp.gr, http://traveloffers.gtp.gr http://www.facebook.com/GreekTravelPages</t>
  </si>
  <si>
    <t>STRaction</t>
  </si>
  <si>
    <t>"Edinburgh's 12,000 listings work out to around one Airbnb listing for every 42 residents." "Housing in Edinburgh is under enormous pressure, and we need to take every action we can to protect supply and keep homes affordable for residents." #vanre #airbnb RT @alicemcaldwell: Airbnb is hollowing out Edinburgh. It's becoming increasingly difficult for a young person on a low income to find an affordable place to live. Add zero-hour contracts and climate change to the mix and being young starts to feel like a rigged game. #airbnb</t>
  </si>
  <si>
    <t>Vancouver, British Columbia</t>
  </si>
  <si>
    <t>Illegal STRs are wrecking Vancouver. Ignorantia juris non excusat.</t>
  </si>
  <si>
    <t>This is what #AirBNB enables: fraud and mass evasion of rental laws. For people attempting to make a legitimate living, it's hard not to feel abandoned. Remind me why AirBNB is worth tolerating? Politicians, take note. @ptfry @kennedystewart #vanre @alexdagg RT @Vodarek: Part 2 of our #Investigation: A real-estate entrepreneur, a PhD graduate, a former trader: These are some key players in #Toronto’s short-term rental market  @thecribby @TorontoStar @swathisadagopan @munkjournalism @munkschool #affordablehousing #airbnb</t>
  </si>
  <si>
    <t>Wiebke Toussaint</t>
  </si>
  <si>
    <t>You expect me to send you a letter by post to delete my user data @Airbnb? That’s ridiculous! My personal information is not your property. Let’s upgrade privacy to the 21st century and let customers own what belongs to them #GDPR #privacy #Airbnb</t>
  </si>
  <si>
    <t>Cape Town | South Africa</t>
  </si>
  <si>
    <t>curious explorer of human and machine intelligence | experimenting with alternative aspirational models | dreaming data | co-founder @EWBSA</t>
  </si>
  <si>
    <t>Sand Key Realty</t>
  </si>
  <si>
    <t>It takes work and talent to be a successful #Airbnb host. Here are tips on how to succeed. #rentalproperty</t>
  </si>
  <si>
    <t>Clearwater Beach, FL</t>
  </si>
  <si>
    <t>Hostfully</t>
  </si>
  <si>
    <t>Read this post to learn how to get your #shorttermrental 'guest ready'. #airbnb #vacationrentals</t>
  </si>
  <si>
    <t>San Francisco, CA</t>
  </si>
  <si>
    <t>A platform for vacation rentals, property managers, &amp; hosts to provide a 5-star experience to guests 🙏🏽 ➡️💌hello@hostfully.com (we're real people) ⬇️</t>
  </si>
  <si>
    <t>𝙴𝚜𝚜𝚎𝚗𝚝𝚒𝚊𝚕 𝙷𝚘𝚖𝚎 𝚂𝚎𝚛𝚟𝚒𝚌𝚎𝚜</t>
  </si>
  <si>
    <t>New Bookings Now Available! #ehslasvegas #Vegas #Handyman #Maintenance #service #home #business #airbnb #rentals DM / Tweet us here or Call / Text: 7027555373 #vegashandyman</t>
  </si>
  <si>
    <t>Las Vegas, NV</t>
  </si>
  <si>
    <t>A Complete #Handyman &amp; #Maintenance Co. (𝔼𝕤𝕥. 𝟚𝟘𝟙𝟟) Owned &amp; Operated by Hᴇᴀᴛʜ Jᴏʜɴsᴛᴏɴ #EHSLASVEGAS #Handyman #SmallBusiness #VegasLocal</t>
  </si>
  <si>
    <t>Alice Caldwell</t>
  </si>
  <si>
    <t>Airbnb is hollowing out Edinburgh. It's becoming increasingly difficult for a young person on a low income to find an affordable place to live. Add zero-hour contracts and climate change to the mix and being young starts to feel like a rigged game. #airbnb</t>
  </si>
  <si>
    <t>Edinburgh, Scotland</t>
  </si>
  <si>
    <t>Happiest outside.</t>
  </si>
  <si>
    <t>DEER AND SHARK</t>
  </si>
  <si>
    <t>#Horridoh Exclusive: Behind #Airbnb's bet on show business to hook travelers</t>
  </si>
  <si>
    <t>Hamburg, Deutschland</t>
  </si>
  <si>
    <t>🦌+🦈 #Hamburg based communication #agency for #ONLINE &amp; #FILM</t>
  </si>
  <si>
    <t>Natasha Tusikov</t>
  </si>
  <si>
    <t>Strong disagree: “Vancouver’s agreement w/ #Airbnb is weak, but in this digital age, it’s the best we can do.” Cities can &amp; should regulate #platforms, esp. as many Airbnb hosts in #Vancouver remain unlicensed despite new rules &amp;amp; w/o action from Airbnb.</t>
  </si>
  <si>
    <t>Canada</t>
  </si>
  <si>
    <t>Crim. Prof @yorkuniversity. Crime, law, regulation &amp; technology. #SmartCities &amp; #IoT. Author of Chokepoints: Global Private Regulation on the Internet.</t>
  </si>
  <si>
    <t>Kuuno Lotamõis</t>
  </si>
  <si>
    <t>#airbnb and other #realeste rental market is getting more crowded. Optimizing Your business is mandatory! Check out our solution that helps You optimize Your rental business! Come and see…</t>
  </si>
  <si>
    <t>Tallinn, Estonia</t>
  </si>
  <si>
    <t>CEO of Techno Life: Smart home and real estate management solutions. | Real estate investor | husband and father for two</t>
  </si>
  <si>
    <t>#airbnb and other rental business gets tighter and tighter. We can help You optimize it! Come and see our solution in real life:) #kodastay #realestate @ Tallinn, Estonia</t>
  </si>
  <si>
    <t>stones throw | dennis port</t>
  </si>
  <si>
    <t>PROCRASTINATORS REJOICE! We had a cancellation for the week of August 3-10 in our 1 bedroom cottage! Private patio, outdoor shower, and most importantly...steps to the beach! DM for booking info! #capecod #dennisport #airbnb #vrbo #beachcottage #summerrental #beachhouse</t>
  </si>
  <si>
    <t>Dennis Port, MA</t>
  </si>
  <si>
    <t>Vacation cottages just a “stone’s throw” from Sea Street beach on Cape Cod. Book direct for best rates!</t>
  </si>
  <si>
    <t>Mike Aspinall</t>
  </si>
  <si>
    <t>#Airbnb Central #CapeTown #Penthouse, #Sea &amp; #Mountain #Views!, sleeps 4 #Winter #Special #Rates Book now!</t>
  </si>
  <si>
    <t>Cape Town</t>
  </si>
  <si>
    <t>Co-Founder of Original Mason's Cocktail Spritzers @drinkmasons</t>
  </si>
  <si>
    <t>We are inproving our #airbnb rental solution to improve Your #investment in #realestate If you want more than just average return and optimize time then follow us! :)</t>
  </si>
  <si>
    <t>Miteymiss</t>
  </si>
  <si>
    <t>#Airbnb in #SouthAfrica - a "massive problem."</t>
  </si>
  <si>
    <t>Vancouver, Canada</t>
  </si>
  <si>
    <t>I like art, nature, cycle travel, and motorbikes. I dislike greed, selfishness, bystander apathy, and the "sharing economy." I despise Airbnb.</t>
  </si>
  <si>
    <t>KeyNest</t>
  </si>
  <si>
    <t>We've teamed up with @AirlinenUK to bring an exclusive offer to KeyNest customers - 50% off your first month of their #Airbnb turnover service! Head over to  to find out more 🔑🛏️</t>
  </si>
  <si>
    <t>London, England</t>
  </si>
  <si>
    <t>http://KeyNest.com provides smart, secure and hassle-free key management solutions through a network of 1800 stores 🔑 24-hour support: 0203 633 4599</t>
  </si>
  <si>
    <t>What the #Airbnb surge means for UK cities</t>
  </si>
  <si>
    <t>Kevin Sullivan</t>
  </si>
  <si>
    <t>“What an awesome place to stay. The hosts were so interesting, and very accommodating to our needs. I would highly recommend this house. It was a breath of fresh air for our souls!” #airbnb #Antiques #RoundTop #Brenham #Roundtopolis @ILoveBlueBell</t>
  </si>
  <si>
    <t>Texas, USA</t>
  </si>
  <si>
    <t>Admire candor, honesty &amp; leading by example. Proud husband &amp; father. Perpetual learner. Real Estate investor. Cybersecurity geek. Tweets are mine.</t>
  </si>
  <si>
    <t>African Liberty</t>
  </si>
  <si>
    <t>Arlington, VA</t>
  </si>
  <si>
    <t>Africa's premier platform for advancing Economic Freedom &amp; Individual Liberty. Est. 2007 │ Dozens of Original Research &amp; Published Books│Thousands of Articles.</t>
  </si>
  <si>
    <t>Shaun Cloete</t>
  </si>
  <si>
    <t>The Tourism Amendment Bill, gazetted on 12 April 2019, states that ‘short-term home rentals’ will now be legislated under the Tourism Act. Everyone is referring to #Airbnb but all booking platforms will be...</t>
  </si>
  <si>
    <t>Laingsburg, Western Cape</t>
  </si>
  <si>
    <t>#SMME_support; #Route_Development &amp; #Tourism_training facilitation; raising #Tourism_Awareness in local communities; Promote #Responsible_Tourism</t>
  </si>
  <si>
    <t>Kathy Walcott</t>
  </si>
  <si>
    <t>Have you heard about this brilliant business collaboration between @HeartFuse and @VenicePeach yet? With their creative minds and talents, it is going to be AMAZING! Check out @airbandme at  #airbnb #services #photography</t>
  </si>
  <si>
    <t>Kingdom of Glin</t>
  </si>
  <si>
    <t>Brilliant music is everything! ... Daveit Ferris ~ Promoter Poet Vegan #QueensOfIreland #PromotionQueen 👑🐝 #Music #Ireland #Beards #Kilts 🇮🇪 🎶</t>
  </si>
  <si>
    <t>KeyholdersIntlGroup</t>
  </si>
  <si>
    <t>Edinburgh is at the forefront of the #Airbnb march - but is that a good thing? More here on what's going on in our home city in the UK:</t>
  </si>
  <si>
    <t>UK-based company, specialising in the sale of property in Spain, Portugal, Turkey and Greece. Managing all aspects of sales/purchase process and after sales</t>
  </si>
  <si>
    <t>Knapsac</t>
  </si>
  <si>
    <t>While Airbnb has its issues and could do with some firmer regulation. Airbnb is a fantastic company that has made travelling more affordable for millions of people including myself, people are very quick to forget about all the good it's done. #Airbnb</t>
  </si>
  <si>
    <t>London</t>
  </si>
  <si>
    <t>At Knapsac we want to help you reach your life goals through simple personal budgeting.</t>
  </si>
  <si>
    <t>Irene de la Torre</t>
  </si>
  <si>
    <t>What the Airbnb surge means for UK cities  by @cguibourg &amp; @PeacheyK #airbnb Heatmap done in #QGis ! 🗺️ 🙃</t>
  </si>
  <si>
    <t>Madrid / London</t>
  </si>
  <si>
    <t>Information designer + journalist doing #dataViz. Alumni of the #IDV program at @NU_CAMD with @BecarioslaCaixa. Now at @BBCNewsGraphics. Before @SenseableCity</t>
  </si>
  <si>
    <t>Resihut</t>
  </si>
  <si>
    <t>Becoming a successful Airbnb host is not just about landing a booking. It’s about what happens after the arrival of the guests. #Airbnb #Airbnblondon #Airbnbhost #Airbnbhomes</t>
  </si>
  <si>
    <t>We are the UK’s most loved management company for Hosts on ResiHut. We deliver the best hospitality to our guests, leading to amazing reviews, better occupancy.</t>
  </si>
  <si>
    <t>Real Satish</t>
  </si>
  <si>
    <t>Sign up for #Airbnb and get $40 off your first adventure. Here’s my invitation link:</t>
  </si>
  <si>
    <t>United States</t>
  </si>
  <si>
    <t>Film Critic | Kollywood Tracker | Sports Enthusiast</t>
  </si>
  <si>
    <t>BNB Program</t>
  </si>
  <si>
    <t>About Airbnb.... Visit  #airbnb #airbnbexperience #makemoney #rentalproperty #businesstips #inspire #founder #leader #usa #airbnbfacts #bnbprogram #knowledge #airbnbinfo #airbnbusa #airbnbtoronto #airbnbindia #startuplife #vacationmode #vacation</t>
  </si>
  <si>
    <t>BNB formula coaching is not just real estate investing for dummies, learn how to make money with airbnb today!</t>
  </si>
  <si>
    <t>Adonis ⴰⴷoⵏⵉⵙ</t>
  </si>
  <si>
    <t>When you’re checking on your German #Airbnb guests and you find this at the terrace 🌿</t>
  </si>
  <si>
    <t>Lebanon - Morocco</t>
  </si>
  <si>
    <t>Producer. Not a fan of manufactured stability. I put the [lance] in freelance. Boys’ sweater preferably. Owner of a Gameboy console.</t>
  </si>
  <si>
    <t>Ishna Hospitality Solutions</t>
  </si>
  <si>
    <t>More Revenue, Same Guests - How to Make the Most of Each Reservation - By Adam Hoydysh, Vice President of Hotel Sales at Plum  #hospitality #hospitalityindustry #hotels #checkin #motel #independenthotels #travel #airbnb...</t>
  </si>
  <si>
    <t>Harrisburg, NC</t>
  </si>
  <si>
    <t>Ishna Hospitality Solutions exists to solve critical issues for our clients in the hospitality industry. Our Unique approach is what differentiates us.</t>
  </si>
  <si>
    <t>Want to help us grow? We would love it if you shared our Facebook Page with your friends! #hospitality #hospitalityindustry #hotels #checkin #motel #independenthotels #travel #airbnb #hotelprofs #hoteliers #boutiquehotel #tourism #wanderlust #luxuryhotels #hotelroom #hotel...</t>
  </si>
  <si>
    <t>Adrian Gibson</t>
  </si>
  <si>
    <t>So gutted the #Airbnb we used last #ParisFashionWeek isn’t available for next season. It was almost perfect 😭</t>
  </si>
  <si>
    <t>A Menswear Buyer/Consultant/Fashion Editor. Huge Sci-Fi fan #geek #fun #fashion</t>
  </si>
  <si>
    <t>Prague CVB</t>
  </si>
  <si>
    <t>#Airbnb and the Czech Statistical Office launch partnership, the first of its kind in the CEE region, to share aggregated data for statistical purposes. #tourism #PragueInSpires #statistics #Prague</t>
  </si>
  <si>
    <t>Prague</t>
  </si>
  <si>
    <t>Official representative of #Prague's meetings industry. We've been helping #eventprofs already 10 years. #PragueInSpires #AskPragueCVB</t>
  </si>
  <si>
    <t>Mark Bergin</t>
  </si>
  <si>
    <t>#Airbnb is considering producing its own television content to stream through the Airbnb app, in order to persuade users to visit new locales.</t>
  </si>
  <si>
    <t>St Petersburg, FL</t>
  </si>
  <si>
    <t>News, sports &amp; politics writer for @10NewsWTSP, @Airbnb Superhost. My opinions don’t necessarily reflect those of my employer.</t>
  </si>
  <si>
    <t>This 6-ton potato is now taking reservations on #Airbnb 🥔</t>
  </si>
  <si>
    <t>Nadia Nizar</t>
  </si>
  <si>
    <t>What the #Airbnb surge means for #UK cities</t>
  </si>
  <si>
    <t>Influencer and communications strategist, all-round enthusiast, with a twist of hopeless romanticism and a large side order of cynicism. Opinions are my own.</t>
  </si>
  <si>
    <t>ARTIFICIAL INTELLIGENCE</t>
  </si>
  <si>
    <t>AI-generated profiles? Airbnb users prefer a human touch  via @physorg_com @AINewsAlliance #AI #ArtificialIntelligence #BlockChain #Breaking #Intelligence #MachineLearning #MachineIntelligence #Airbnb</t>
  </si>
  <si>
    <t>Nampa, ID</t>
  </si>
  <si>
    <t>Any device that perceives its environment and takes actions that maximize its chance of successfully achieving its goals. @AINewsAlliance Follow</t>
  </si>
  <si>
    <t>The Art Cocoon</t>
  </si>
  <si>
    <t>Louvre Paris offers one-night stay in the pyramid and cocktails with "Mona Lisa"! #theartcocoon #article #artsy #louvre #museum #monalisa #facebook #fb2tw #pyramid #airbnb #paris #artnews</t>
  </si>
  <si>
    <t>Dubai, United Arab Emirates</t>
  </si>
  <si>
    <t>Contemporary Art Gallery.We bring you high quality art a click closer! Collect Original,one-of-a-kind paintings! DM us Today! Follow us on FB &amp; IG @theartcocoon</t>
  </si>
  <si>
    <t>Isabel Heartwood</t>
  </si>
  <si>
    <t>This $200 A Night Potato Airbnb Is A Dream For Potato Lovers And A Nightmare For Claustrophobics #airbnb #potato</t>
  </si>
  <si>
    <t>Heartland</t>
  </si>
  <si>
    <t>United Kingdom</t>
  </si>
  <si>
    <t>Il Tuo Loft A Roma! Your Studio Apt In Rome!</t>
  </si>
  <si>
    <t>Discover Roma! By my Airbnb!#Roma #airbnb</t>
  </si>
  <si>
    <t>Roma, Lazio</t>
  </si>
  <si>
    <t>Find me on Airbnb or text me. NHS staff 20% discount or a wow experience for free.</t>
  </si>
  <si>
    <t>Thailand Hotel Act Information Group</t>
  </si>
  <si>
    <t>In the U.K, Airbnb's illegal hotels are hollowing out cities with their pursuit of profits, with the local people and economies paying the price #Airbnb #illegalhotel #unlicencedhotel #str #ota #uk #travel #tourism</t>
  </si>
  <si>
    <t>Thailand</t>
  </si>
  <si>
    <t>ALL properties in Thailand offering room/rooms on a daily basis require a Hotel Licence, we are here to help you if you do not have one. http://myillegalhotel.com</t>
  </si>
  <si>
    <t>Bored Panda</t>
  </si>
  <si>
    <t>Vilnius, Lithuania</t>
  </si>
  <si>
    <t>The only magazine for pandas.</t>
  </si>
  <si>
    <t>Andrew Campling</t>
  </si>
  <si>
    <t>Behind #Airbnb’s bet on show business to hook travellers</t>
  </si>
  <si>
    <t>#London, #tech, #skills, #startups, #economy, the odd comment on #sport. Any opinions expressed here are my own personal views, RT or MT ≠ endorsement. #FBPE</t>
  </si>
  <si>
    <t>Richard Lovell</t>
  </si>
  <si>
    <t>BBC News - What the Airbnb surge means for UK cities  Decent research needs to be done on the impact of #Airbnb. Not just on house prices and #ukhousing availability, but also on the hotel and B&amp;B industries. There are unexpected consequences of course. 1/2</t>
  </si>
  <si>
    <t>NW London</t>
  </si>
  <si>
    <t>Property banker, #CRE property guru, ex-Surveyor, thinker and reformer. #mecfs. I started APL (http://www.the-apl.com/). Without finance, it ain't happening.</t>
  </si>
  <si>
    <t>Erik N. Nelson</t>
  </si>
  <si>
    <t>While I'm sure the New Yorker's big piece on Barcelona's #Airbnb battle is a great read, I was sure I'd seen this issue well-covered last year last year. Berlin's also waging war on vacation listings amid a housing shortage.</t>
  </si>
  <si>
    <t>Berlin, Germany</t>
  </si>
  <si>
    <t>OZY journalist, ex-resident of Kabul, L.A., NorCal, Long Island, Baltimore and D.C. Also did typewriter deliveries, tech support and military propaganda.</t>
  </si>
  <si>
    <t>#ToryPython #FBPE #EU #TIG</t>
  </si>
  <si>
    <t>HAVE YOU HEARD????? What the #Airbnb surge means for UK cities  #Edinburgh #hotels #accommodation #homelessness</t>
  </si>
  <si>
    <t>Europe</t>
  </si>
  <si>
    <t>Welcome to #Theatre of #Political #absurd: News, Commentary and a dig at #Brexit, #airbnb #UniversalCredit &amp; the rest #FBPE #remain #EU #AntiBrexit</t>
  </si>
  <si>
    <t>David Innes-Edwards</t>
  </si>
  <si>
    <t>Like Uber, @Airbnb is going to have to work backwards and retrofit #CSR into its business model. Personally I love the hosted experiences - you learn so much from your host &amp; it feels like a more sustainable use of spare space &amp;amp; resources #airbnb</t>
  </si>
  <si>
    <t>Manchester</t>
  </si>
  <si>
    <t>Entrepreneur, Welsh, @FrontierPR MD, music lover, adopted Manc. MUFC, adventure, surfing, good bourbon &amp; even better company. Opinions are unfortunately my own</t>
  </si>
  <si>
    <t>Sam Stuteley</t>
  </si>
  <si>
    <t>#airbnb #tauntonairbnb #bishopshullairbnb #holidayletsomerset ⚡️ “Bean Tree View”</t>
  </si>
  <si>
    <t>Taunton, England</t>
  </si>
  <si>
    <t>Nestangel</t>
  </si>
  <si>
    <t>Make your bathroom at your #airbnb property or #servicedapartment complete with our super absorbent bath mats. #london #airbnbhost #hospitality</t>
  </si>
  <si>
    <t>Suppliying hotel-quality bed linens, towels and toiletries to #airbnb properties, #shortlets and #servicedapartments in #London.</t>
  </si>
  <si>
    <t>RE Investing Today</t>
  </si>
  <si>
    <t>An Airbnb for Farmland? #realestateinvesting #farming #land #airbnb #vacantland #useconomy @TillableInc</t>
  </si>
  <si>
    <t>The News Site for National REIA featuring updates on Legislation and Market Trends.</t>
  </si>
  <si>
    <t>airbnb おすすめ物件</t>
  </si>
  <si>
    <t>4MINS WALK from SHIBUYA/Designed2BRhttps://www.airbnb.jp/rooms/4175083?guests=2&amp;amp;s=mpZ6  via Twitter #airbnb</t>
  </si>
  <si>
    <t>japan</t>
  </si>
  <si>
    <t>airbnbはホテルよりおしゃれ！！airbnbでのおすすめの物件を紹介します！！</t>
  </si>
  <si>
    <t>LadyB33</t>
  </si>
  <si>
    <t>#airbnb @CyrilRamaphosa regulate the jobs out of SA. Harming employment, vibrant townships tourist options. #IdoNOTVOTEanc RT @wayneduv: More unnecessary Government interference. If we are to be part of the global economy, SA Govt should not be stifling disruptor industry players such as @Airbnb who actually stimulate competition and thereby promote tourism and travel.</t>
  </si>
  <si>
    <t>Pretoria</t>
  </si>
  <si>
    <t>I Am African. Be the Change. Do as you wish but harm None. Humanist. Nature Lover. CryptoManiac. Photographer. The only race is the race to a better tomorrow.</t>
  </si>
  <si>
    <t>So our Airbnb is up and running! Bean Tree View, the entire place: bedroom, bathroom, living room, dining room, kitchen, parking &amp; garden!! ? #airbnb #georgianmansion #tauntonholidaylet #bishopshullannex</t>
  </si>
  <si>
    <t>Wow, this looks lovely! 😍 #airbnb</t>
  </si>
  <si>
    <t>Andre Paul</t>
  </si>
  <si>
    <t>You may or may not be familiar with the phrase Content Marketing, yet you visit content marketing sites every time you access the Internet. #Airbnb #Contentmarketing</t>
  </si>
  <si>
    <t>Bengaluru, India</t>
  </si>
  <si>
    <t>Exploring New Places</t>
  </si>
  <si>
    <t>IndyMidtownStay</t>
  </si>
  <si>
    <t>Those bookings sliding into the calendar overnight are the best. Snuck and picked up the last days of April. Final stats 23/30 nights booked. #Airbnb #SuperHost #BookMyPlace</t>
  </si>
  <si>
    <t>Indianapolis, IN</t>
  </si>
  <si>
    <t>Ramblings from an Indianapolis Midtown #Airbnb #SuperHost. Parenting 4 boys in our spare time. Business Owners. Quality stay and content provider.</t>
  </si>
  <si>
    <t>BuddhaVilla San Andrés</t>
  </si>
  <si>
    <t>Our lovely rooms :) #Travel #SanAndrés #Colombia #Buddhavilla #Caribbean #traveltips #traveltheworld #airbnb #Caribbeanlife #IslaDeSanAndrés #Hostel #rooms #Booking #travelling #poolside #airbnbexperiences #swimmingpool @Airbnb</t>
  </si>
  <si>
    <t>San Andrés, Colombia</t>
  </si>
  <si>
    <t>We would like to welcome you to the Buddha Villa experience; a little of Asia in the Colombian Caribbean sea. http://buddhavilla.com/</t>
  </si>
  <si>
    <t>Discover Roma! By my Airbnb! #Roma #Airbnb</t>
  </si>
  <si>
    <t>Stéphane Tellier</t>
  </si>
  <si>
    <t>#Airbnb Is Entering Show Business, Investing in Launching New Shows  via @Skift #bourlingueur</t>
  </si>
  <si>
    <t>Montréal, Québec</t>
  </si>
  <si>
    <t>Coach voyage à #Tripsurmesure et #Bourlingueur pour la série #GuideetBourlingueur (Japon, Chine, Indonésie, Inde, Argentine, Pérou &amp; Équateur) #voyage</t>
  </si>
  <si>
    <t>bedloop</t>
  </si>
  <si>
    <t>La comida de #santjordi con nuestro equipo! 🐉🌹📚 Sant Jordi Day lunch with our team! 📷 #tourism #vacationrentals #vacationrental #vacations #vacation #turismo #airbnb #luxury #apartments #luxuryhotel #hotels #hotel #holidayrental #holidayrentals #barcelona #bcn #barna</t>
  </si>
  <si>
    <t>barcelona</t>
  </si>
  <si>
    <t>La única herramienta que le permite tener en una única plataforma el PMS, Channel Manager, CMS, CRM y ERP, para la mejor gestión de sus alquileres vacacionales.</t>
  </si>
  <si>
    <t>Prescott Jones</t>
  </si>
  <si>
    <t>There is a lot of press about #Airbnb today but have you considered the insurance implications? RT @BritishInsurers: Thinking of letting out your property on #Airbnb? Here's what you need to know about how it could affect your home insurance:</t>
  </si>
  <si>
    <t>Swansea  Cardiff  Bristol</t>
  </si>
  <si>
    <t>Wales' leading independent commercial insurance brokers. Includes the only specialist Professional Indemnity team in Wales. Celebrating 25 years during 2016/17</t>
  </si>
  <si>
    <t>Tom Lindsay</t>
  </si>
  <si>
    <t>What the #Airbnb surge means for #UKcities</t>
  </si>
  <si>
    <t>Strategy delivery @100ResCities pioneered by @RockefellerFdn. UN SDSN Youth Local Pathway Fellow for #SDG11. Tweeting about the power of cities | views my own</t>
  </si>
  <si>
    <t>Thomas Busson</t>
  </si>
  <si>
    <t>New #airbnb user? Get a 25€ #travel credit by signing up with this link:  #money #traveltips</t>
  </si>
  <si>
    <t>For now, Sofia, Bulgaria</t>
  </si>
  <si>
    <t>Growth &amp; Content Strategist @ClaimcompassEU 💻 Location Independent ✈️ Marketing Geek 🤓 Tips Sharer ✌</t>
  </si>
  <si>
    <t>Go Barefoot Travel</t>
  </si>
  <si>
    <t>What the #Airbnb surge means for UK cities  #travel #London #Edinburgh</t>
  </si>
  <si>
    <t>Travel Deeper, Travel Differently. Experience the bizarre, the beautiful &amp; inspirational!</t>
  </si>
  <si>
    <t>Mashable Southeast Asia</t>
  </si>
  <si>
    <t>Airbnb and... chill?  #airbnb #videostreaming #service</t>
  </si>
  <si>
    <t>Malaysia</t>
  </si>
  <si>
    <t>News, inspiration, and fun for the connected generation in SEA. Follow us on Facebook: https://www.facebook.com/mashablesea</t>
  </si>
  <si>
    <t>ABI</t>
  </si>
  <si>
    <t>Thinking of letting out your property on #Airbnb? Here's what you need to know about how it could affect your home insurance:</t>
  </si>
  <si>
    <t>The Association of British Insurers (ABI) is the leading trade association for insurers and providers of long-term savings. Also follow @ABI_Comms.</t>
  </si>
  <si>
    <t>Callum Thomson</t>
  </si>
  <si>
    <t>Important analysis of the growth of #airbnb in UK cities, and local residents' concerns about anti-social behaviour and housing shortages. Does @cardiffcouncil have this on its radar? [cc @huwthomas_Wales, @LyndaT48, @CaroWild] RT @cguibourg: We’ve analysed data showing the growth of Airbnb in major UK cities, with listings quadrupling in London since 2015  #ddj</t>
  </si>
  <si>
    <t>Cardiff</t>
  </si>
  <si>
    <t>Data Journalist at @ONS; via @BBCNOW, @ISM_music and @BBCScotlandNews. Musician. Tweets about journalism, digital, radio, music, arts. My personal views only.</t>
  </si>
  <si>
    <t>Marchwood IFA</t>
  </si>
  <si>
    <t>#Airbnb #CriticalRole in taking profit away from #cities &amp; #housingmarket  Call #marchwoodifa #mortgagebroker #Finance #experts 01243 532 635</t>
  </si>
  <si>
    <t>Chichester</t>
  </si>
  <si>
    <t>Independent Financial Advisors; advising on Mortgages, Pensions, Investments, Equity Release and Insurance Call 01243 532 635</t>
  </si>
  <si>
    <t>Craig Goodburn</t>
  </si>
  <si>
    <t>Another air bnb cleaning job completed in Ramsgate this week. Contact us if you need help with yours! #ramsgate #airbnb #cleaning #environmentallyfriendly #countycleaning #Margate…</t>
  </si>
  <si>
    <t>Margate, England</t>
  </si>
  <si>
    <t>Owner/Partner of Ales of the Unexpected Micro Pub in Westbrook Margate.</t>
  </si>
  <si>
    <t>seyha sam</t>
  </si>
  <si>
    <t>Best Siem Reap #airbnb in town | #follo4follo &amp; do not forget to #RetweeetPlease</t>
  </si>
  <si>
    <t>Cambodia, Phnom Penh</t>
  </si>
  <si>
    <t>Managing http://vrsr.asia; Vacation Home @airbnb our listings https://goo.gl/tnguhK #travelblog @vrsrsiemreap</t>
  </si>
  <si>
    <t>Ormerod Rutter</t>
  </si>
  <si>
    <t>landlord #tax change could hit #Airbnb hosts #accounts #accountant #news</t>
  </si>
  <si>
    <t>Droitwich Spa, Worcs, UK</t>
  </si>
  <si>
    <t>#Droitwich based #accountants. With over 30 years' experience, your #financial affairs are in very safe hands.</t>
  </si>
  <si>
    <t>Business Financial</t>
  </si>
  <si>
    <t>We operate throughout the UK</t>
  </si>
  <si>
    <t>Specialist provider of financial solutions to businesses and investors in property. Email us at info@businessfinancial.co.uk or call 01543 40 46 50</t>
  </si>
  <si>
    <t>Lamont Pridmore</t>
  </si>
  <si>
    <t>Cumbria, Lancashire</t>
  </si>
  <si>
    <t>Award winning Accountants, Tax Advisors &amp; Business Combining traditional values with an innovative approach. http://www.lamontpridmore.co.uk/privacy-policy/</t>
  </si>
  <si>
    <t>CHM Consultancy</t>
  </si>
  <si>
    <t>What the #airbnb surge means for #UK #cities</t>
  </si>
  <si>
    <t>at CHM we understand that each business is unique and we adapt to meet your needs and scale to produce sustainable and bespoke solutions to improve your site.</t>
  </si>
  <si>
    <t>Christine Jeavans</t>
  </si>
  <si>
    <t>"Edinburgh's 12,000 listings work out to around one Airbnb listing for every 42 residents, while London's Airbnb market equates to one listing per 112 residents" - really interesting piece by @cguibourg &amp; @PeacheyK #airbnb #dataviz #rstats</t>
  </si>
  <si>
    <t>Senior data journalist @BBCNews, mum of 2, runner. Wrangling stats, making maps, charts &amp; interactives @bbcnewsgraphics</t>
  </si>
  <si>
    <t>Invstr</t>
  </si>
  <si>
    <t>Airbnb Takes On TV 📺 That’s right folks, #Airbnb is taking on #Hollywood in its latest push to entice customers to #travel by offering a range of original shows and content. Say what?!</t>
  </si>
  <si>
    <t>London, United Kingdom</t>
  </si>
  <si>
    <t>Discover the World of Investing. We help people overcome the knowledge and financial barriers to becoming confident investors with a mobile app.</t>
  </si>
  <si>
    <t>Eileen Grison</t>
  </si>
  <si>
    <t>Find my #Airbnb apartment #Paris on Instagram</t>
  </si>
  <si>
    <t>Paris, France</t>
  </si>
  <si>
    <t>Join my on my Famous #Artists of #Montmartre #walkingtour #Paris #Picasso #VanGogh #ToulouseLautrec #Renoir http://www.lingoimmersions.wordpress.com</t>
  </si>
  <si>
    <t>Nicolas Le Breton</t>
  </si>
  <si>
    <t>#Airbnb wants to create TV shows to convince people to travel more  via @verge #media</t>
  </si>
  <si>
    <t>Team @LCI | #DigitalMarketing Executive | end-of-course thesis about #media and #socialmedia | #ContentCuration | blogger | fan of @TheAmericansFX #GoT #Gotham</t>
  </si>
  <si>
    <t>AirDNA</t>
  </si>
  <si>
    <t>"In the battle for the hearts and minds of travelers, #Airbnb is turning to a time-tested medium that tugs at our wanderlust."@deannating reports on the homesharing platform's exploration into the visual for @skift</t>
  </si>
  <si>
    <t>Denver, CO</t>
  </si>
  <si>
    <t>The world's leading provider of vacation rental data &amp; analytics. Offices in Denver and Barcelona. Contact us at: hello@airdna.co #AirDNA</t>
  </si>
  <si>
    <t>sergl</t>
  </si>
  <si>
    <t>Checking airbnb aparments in Mexico city. Tired of rooms.  #mexico #mexicocity #airbnb #apartments #video #vlog #cdmx</t>
  </si>
  <si>
    <t>Penza, Russia</t>
  </si>
  <si>
    <t>Web developer, traveler</t>
  </si>
  <si>
    <t>Dream Destinations</t>
  </si>
  <si>
    <t>When they are just about to leave yet they already want to come back. 😍😍😍 #AIRBNBsuperhost #AIRBNB #bestplaceindxb #dreamdtravels #UAEDUBAI #dubaistay #dubaimarina #dubailuxuryapartment #bestviewindubai #marinaview #dubaigoals</t>
  </si>
  <si>
    <t>Dubai, UAE</t>
  </si>
  <si>
    <t>Dream Destinations Travel &amp; Tourism Official Twitter Account</t>
  </si>
  <si>
    <t>HaveFunGuys</t>
  </si>
  <si>
    <t>New flat on RentParis #paris #rentparis #airbnb #parisflat</t>
  </si>
  <si>
    <t>Paris</t>
  </si>
  <si>
    <t>Toutes les croisières Gays +33668466805 ou http://www.HaveFunGuys.com</t>
  </si>
  <si>
    <t>Andrew Duncan</t>
  </si>
  <si>
    <t>Edinburgh Old Town and London's trendy Shoreditch the most popular Airbnb UK locations but not everyone is happy. 🇬🇧#Airbnb #UKproperty #hotels</t>
  </si>
  <si>
    <t>London. United Kingdom</t>
  </si>
  <si>
    <t>Journalist Extraordinaire. Retweets/follow are not an endorsement.</t>
  </si>
  <si>
    <t>Get UP to 55$ OFF on your first Holiday when Booking on ! Find Beautiful Apartments all around the World! Sign up here ! #Travel #Airbnb #love #AvangersEndgame #Snapchat #climatechange</t>
  </si>
  <si>
    <t>Estates IT</t>
  </si>
  <si>
    <t>What the Airbnb surge means for UK cities  #Property #Rentals #ShortLets #Airbnb</t>
  </si>
  <si>
    <t>PCHomes #EstateAgent &amp; #LettingAgent #Software (Desktop &amp; #Cloud), Sales, Lettings, CRM, Property Management &amp; Client Accounting, #EstateAgencyWebsites &amp; Email</t>
  </si>
  <si>
    <t>Alexander Araya</t>
  </si>
  <si>
    <t>This is insane, #Airbnb. Airbnb host jailed for killing guest over unpaid bill - BBC News</t>
  </si>
  <si>
    <t>Veneto, Italy</t>
  </si>
  <si>
    <t>Sociologist and @MSCActions fellow at @CaFoscari, traveler, gay, chess player and OCD sufferer. I research on tourism, cities and dissent. Made in Costa Rica.</t>
  </si>
  <si>
    <t>Bed&amp;Stay</t>
  </si>
  <si>
    <t>Mickey Fans!! a new shinkansen is coming in May! Visit Tokyo now and book your stay with us here #AIRBNB :  #familytravel #japan #airbnbjapan #airbnbtokyo #travel #traveling #trip #budgetrip #familyvacations RT @RocketNews24En: ♫M-I-C-K-E-Y SHI-N-KA-N-SE-N♪</t>
  </si>
  <si>
    <t>Tokyo-to, Japan</t>
  </si>
  <si>
    <t>A new house in Tokyo (Close to #Shinjuku). Take a look to our listing on #Airbnb http://bit.ly/2ONfI3X</t>
  </si>
  <si>
    <t>730 Rocks #AirBnB</t>
  </si>
  <si>
    <t>The latest image from the GowerLive #webcam on the roof 730RocksMumbles #AirBnB. Book at  #Mumbles #Swansea #Gower #travel. Watch live at  #313</t>
  </si>
  <si>
    <t>Swansea, Wales</t>
  </si>
  <si>
    <t>#AirBnB on the waterfront in #Mumbles</t>
  </si>
  <si>
    <t>David Winsper</t>
  </si>
  <si>
    <t>Will #AirBnB be the solution / work around to @10DowningStreet removal of Section 21?!? #property #landlords #prs #btl RT @HenryPryor: AirBnB flourishing presumably means that it is offering a service that people want - both property owners and guests. Why not build on the success rather than tear it down?</t>
  </si>
  <si>
    <t>Berkshire &amp; Surrey</t>
  </si>
  <si>
    <t>David (MSc) is the Principal of The Winsper Group, property specialists, based in Berkshire. He has a fundamental knowledge of the sector, emanating from 1998.</t>
  </si>
  <si>
    <t>Andrew Davis</t>
  </si>
  <si>
    <t>What the #Airbnb surge means for UK cities - BBC News #Edinburgh #london #hollowingout</t>
  </si>
  <si>
    <t>A personal view of life, music and Hong Kong now from the UK! Wales &amp; London Welsh rugby, and Southampton football supporter!</t>
  </si>
  <si>
    <t>Maison vie</t>
  </si>
  <si>
    <t>#Breakfast is the happiest meal of the day. Come and join us to make some happy memories😄 #maisonvie #london #kilburn #nw6 #frenchcafe #frenchbakery #frenchrestaurant #ICMP #airbnb #londonfoodie #londonfood #londoncafe #londonbakery #londonrestaurant #delicious #yummy #tasty</t>
  </si>
  <si>
    <t>Kilburn, England</t>
  </si>
  <si>
    <t>Holistic Cafe &amp; Bakery</t>
  </si>
  <si>
    <t>No more carrying suitcases between floors in a house. Bed&amp;Stay has a beautiful 3 story house with private elevator. Stay with us in Tokyo, book us here: #AIRBNB :  #familytravel #japan #airbnbjapan #airbnbtokyo #travel #traveling #trip #budgetrip</t>
  </si>
  <si>
    <t>Open loft spacehttps://www.airbnb.jp/rooms/68255  via Twitter Web Client #airbnb</t>
  </si>
  <si>
    <t>Sudheer Gupta</t>
  </si>
  <si>
    <t>What the Airbnb surge means for UK cities  #Airbnb #UK</t>
  </si>
  <si>
    <t>Outsourcing solution for entrepreneurial business owners and managers who want to focus on opportunities and growth rather than on day to day admin</t>
  </si>
  <si>
    <t>PLACE, Edinburgh</t>
  </si>
  <si>
    <t>I was walking down Upper Grove Street yesterday, near Haymarket. What a lot of key safes. These tenements have no more that eight flats in them. See a pattern? #keyboxeh #Edinburgh #Airbnb</t>
  </si>
  <si>
    <t>Support PLACE, a grassroots group finding the balance between short-term lets and protecting liveable, affordable communities in Edinburgh.</t>
  </si>
  <si>
    <t>Peter Brun</t>
  </si>
  <si>
    <t>The #Airbnb Invasion of #Barcelona In the tourist-clogged city, some locals see the service as a pestilence</t>
  </si>
  <si>
    <t>Dubai</t>
  </si>
  <si>
    <t>Swiss | former journalist Radio 24, SRF | News Junkie | Travel | Sports | Social Media | My Personal Tweets | VFS Global CCO | en/de/fr | I live &amp; work in Dubai</t>
  </si>
  <si>
    <t>Bukit Vista Hosts</t>
  </si>
  <si>
    <t>A free sneak peek of what future jobs look like. Hear it by yourself. From yours truly, the most innovative hospitality troops. ⠀⠀⠀⠀⠀⠀⠀⠀⠀ #BVNews #BVExperience #Airbnb #AirbnbBali #AirbnbJogja #AirbnbHost #Hospitality #BaliHospitality #JogjaHospitality #UGM #BukitVista</t>
  </si>
  <si>
    <t>Bali, Indonesia</t>
  </si>
  <si>
    <t>Bali Airbnb property managers with tons of local knowledge. Over 15,500+ positive reviews. See the 'real' Bali: hidden beaches, local hangouts and must-stays.</t>
  </si>
  <si>
    <t>techfob Creatives</t>
  </si>
  <si>
    <t>#Airbnb may create original shows to spark the travel bug</t>
  </si>
  <si>
    <t>Israel</t>
  </si>
  <si>
    <t>we do digital design.</t>
  </si>
  <si>
    <t>Ty Beic</t>
  </si>
  <si>
    <t>#AirBnB Sorry, I'll get my coat #TyBeic #BikeTrack #STpremier @mbwales</t>
  </si>
  <si>
    <t>Bala, North Wales</t>
  </si>
  <si>
    <t>Holiday cottages in North Wales for mountain lovers. Tweets by me</t>
  </si>
  <si>
    <t>MadeComfy</t>
  </si>
  <si>
    <t>Check out our latest article on "Everything you need to know about preparing your #property for short-term":  Thank you for the feature, team #Hostfully! #madecomfy #sydney #melbourne #brisbane #shorttermrental #airbnb</t>
  </si>
  <si>
    <t>Australia</t>
  </si>
  <si>
    <t>MadeComfy is delivering a customer-focused solution to home sharing, where guests and hosts benefit from a superior travel experience and improved returns.</t>
  </si>
  <si>
    <t>Santorini C Villa</t>
  </si>
  <si>
    <t>Do you ever get enough of this? Getting ready for a wonderful season! #ThePhotoHour #Santorini #Airbnb #Travel</t>
  </si>
  <si>
    <t>Santorini, Greece</t>
  </si>
  <si>
    <t>Santorini C Villa is a cosy little island house on Santorini Greece, on the beach of Ekso Yalos.Surrounded by untainted fields, private and quiet, next to Fira.</t>
  </si>
  <si>
    <t>The Studio Ghibli exhibition is already open in #Tokyo. Come now and book your stay with us here #AIRBNB :  #familytravel #japan #airbnbjapan #airbnbtokyo #travel #traveling #trip #budgetrip #familyvacations RT @japantimes: Anime fans can get spirited away at a new Studio Ghibli exhibition in Tokyo's Kanda Myojin Hall  👧🏻🐉👵🏻👶🏻👻🐷🐷</t>
  </si>
  <si>
    <t>A must sweet to try when you visit #tokyo. Book your stay with us here: #AIRBNB :  #familytravel #japan #airbnbjapan #airbnbtokyo #travel #traveling #trip #budgetrip #familyvacations RT @TimeOutTokyo: Got a sweet tooth? You've come to the right city as Tokyo offers many decadent Japanese desserts including kakigori, wagashi and more.</t>
  </si>
  <si>
    <t>Maria Paravantes</t>
  </si>
  <si>
    <t>#Airbnb Is Entering Show Business #entertainment #travel  via @Skift</t>
  </si>
  <si>
    <t>Athens, Greece</t>
  </si>
  <si>
    <t>A proud Greek who loves to eat Greek, speak #Greek, live Greek and #travel Greek. All views are my own.</t>
  </si>
  <si>
    <t>The Stockton Mill</t>
  </si>
  <si>
    <t>Just #finished this #quadbed in #panamacitybeach its looking #great #wood #quality #pretty #home #decor #walnut #lakehouse #bunkroom #kids #custommade #airbnb #Pinterest @ Alabama</t>
  </si>
  <si>
    <t>Walnut Grove, MO</t>
  </si>
  <si>
    <t>if your like me, you enjoy crafted wood furniture and this is what we do;) Love our products!</t>
  </si>
  <si>
    <t>Comfort Cottage</t>
  </si>
  <si>
    <t>Great image #comfortcottagehealing #visitwales #dogfriendly #TheDogsWithMe #alpacas #ArtsWales #SunDogs #Airbnb RT @GDPTenby: night dropping on the harbour town from an upstairs window the art of john coltrane buzzes the air like cool fireflies it's loose it's free its good for the brain. *Crackwell Street Tenby Wales @TenbyOfficial @ItsYourWales @ThePhotoHour @ruthwignall</t>
  </si>
  <si>
    <t>Carmarthenshire, Wales</t>
  </si>
  <si>
    <t>In the heart of West Wales, we offer Bed &amp; Breakfast/Self-Catering Accommodation in a secluded, peaceful setting. Perfect for a Healing break.</t>
  </si>
  <si>
    <t>#happythursday Attention Mario Bros. fans! there is theme bar in Shinjuku. Visit Tokyo now and book your stay with us here #AIRBNB :  #familytravel #japan #airbnbjapan #airbnbtokyo #travel #traveling #trip #budgetrip #familyvacations RT @Japanfoodtour: #Disney fans! Japan is getting a Disney Mickey Mouse Shinkansen bullet train this spring, starting May 17!</t>
  </si>
  <si>
    <t>MG Property</t>
  </si>
  <si>
    <t>Bookings are looking good for our owners this summer, if you have a holiday rental in #normandy we can help you get the most out of it, see how at  #airbnb</t>
  </si>
  <si>
    <t>France</t>
  </si>
  <si>
    <t>Simple, clear and cost effective property management and concierge solutions for your property in France.</t>
  </si>
  <si>
    <t>OSAKA_AIRBNB</t>
  </si>
  <si>
    <t>24 HOUR sale I have dropped down the price for 5000yen per night. If you are Interested in hour place that located near @tsutenkaku and Namba please check out link below.  @Airbnb_jp #airbnb #tsutenkaku #namba</t>
  </si>
  <si>
    <t>Osaka-shi Naniwa, Osaka</t>
  </si>
  <si>
    <t>Our places are close to DOWNTOWN OSAKA 5sec from nearest station. 1min walk to Market &amp; Restaurant 5min walk to Mega DonQuijote 15min walk to Namba</t>
  </si>
  <si>
    <t>Pete Moring</t>
  </si>
  <si>
    <t>What the #Airbnb surge means for #UK cities ..... MUCH MORE #HOMELESSNESS?? .... ( You can't fit a pint into a half pint mug) ....</t>
  </si>
  <si>
    <t>Berks. UK</t>
  </si>
  <si>
    <t>#CheckFred @ #YouTube - https://tinyurl.com/y7alojl5 Check it OUT! #Plasterer .. #Plastering http://fred67.com/pmp1 👍😎</t>
  </si>
  <si>
    <t>💃 💯 👌FOLLOW back   💯 👌💜  🙌</t>
  </si>
  <si>
    <t>Dhaka, Bangladesh</t>
  </si>
  <si>
    <t>Dog Bark Park Inn B&amp;Bhttps://www.airbnb.jp/rooms/26707  via Twitter Web Client #airbnb</t>
  </si>
  <si>
    <t>Colorado Ski Chairs</t>
  </si>
  <si>
    <t>Another AirBNB outfitted with a nice backyard set of chairs. Take it next level!!  - - - #upgrade #handpainted #coloradosprings #handcrafted #colorado #painting #coloradical #chairs #mountainliving #airbnb #ski #skis #chair #vrb…</t>
  </si>
  <si>
    <t>Manitou Springs, CO</t>
  </si>
  <si>
    <t>We believe your outdoor furniture should match its environment. Crafted as beautiful, rugged &amp; memorable as the Rockies. Ski chairs &amp; benches. #303-775-7273</t>
  </si>
  <si>
    <t>Landlord Broadband</t>
  </si>
  <si>
    <t>These co-living concepts can help companies slash short-term staff housing costs by 50 percent - A wide range of companies are exploring the benefits of co-living accommodation for staff. Read more at  #airbnb #servicedapartments #servicedapartmentnews</t>
  </si>
  <si>
    <t>UK</t>
  </si>
  <si>
    <t>Landlord Broadband deliver #WifiFriendlyAccommodation to the student, professional, serviced accommodation and social housing rental markets #Wifi #PropTech</t>
  </si>
  <si>
    <t>Olivia Hanson</t>
  </si>
  <si>
    <t>easy going</t>
  </si>
  <si>
    <t>The SEO Lady</t>
  </si>
  <si>
    <t>#WestonsuperMare #Airbnb from £20/night per room - sleeps 2 - View our 2 rooms here: ►  ►  ☀ 5 Star Reviews ☀ ☀ Superhost since 2016 ☀ Read more here ► #bristol #somerset</t>
  </si>
  <si>
    <t>Somerset, UK</t>
  </si>
  <si>
    <t>Nina Payne - Small Business SEO freelancer and Bespoke SEO Training provider. Google Certified 2013. Video SEO and Social Media casual. Cat and Cheese lover.</t>
  </si>
  <si>
    <t>Socially Synced</t>
  </si>
  <si>
    <t>Want your business to find the same success as #Airbnb? Learn how the Riskiest Assumption Test can help you more than an #MVP.  #startups @clutch_co</t>
  </si>
  <si>
    <t>Phoenix, AZ</t>
  </si>
  <si>
    <t>Your social networking needs, all in one place. We help businesses and brands with #SocialMedia Marketing and Management!</t>
  </si>
  <si>
    <t>Mantas Kazlauskas</t>
  </si>
  <si>
    <t>Selling and getting ready #airbnb, #uber like apps, based on #crypro #currency and #decentralised nets. With your own #design and extra ideas. Users from #blockstack and #uport nets. let me know #startup #reactnative #100daysofCode #invest</t>
  </si>
  <si>
    <t>Only progress resonates with me. #crypto #currency #ui to ctrl #ai #ethereum #javascript #startups #freelancer #programmer Let me know skype: mntask</t>
  </si>
  <si>
    <t>Misha Zamkevich</t>
  </si>
  <si>
    <t>Render test: 7 frames on page, loop animate. Canvas vs SVG #lottie #bodymovin #airbnb</t>
  </si>
  <si>
    <t>Vladivostok</t>
  </si>
  <si>
    <t>О дизайне, веб-разработке, немного о ведении проектов, немного психологии, чуть техники и инженерии, музыка и всякий прочий вкусный спам.</t>
  </si>
  <si>
    <t>In Malaysia, Airbnb hosts and unlicensed hotels have been told to register or face closure #airbnb #malaysia #flights #worldtravel #holidays #tourism #ota #travel #vacation</t>
  </si>
  <si>
    <t>Fairbnb Canada</t>
  </si>
  <si>
    <t>#Airbnb and other short-term rentals are common in neighbourhoods across Toronto, but they’re especially pervasive in downtown condos – and causing major problems for long-term residents. #fairbnb #topoli</t>
  </si>
  <si>
    <t>Fair rules for short-term rentals - a Canadian coalition launched on July 7, 2016 | #fairbnb | #affordablehousing</t>
  </si>
  <si>
    <t>S Leo Chiang</t>
  </si>
  <si>
    <t>Goodnight folks. #Airbnb #hospitality #ourkindofawesome @ Alexandria, Virginia</t>
  </si>
  <si>
    <t>Taipei | SF | LA</t>
  </si>
  <si>
    <t>Filmmaker--latest @TimeMachineFilm also @OutRunMovie @MrCaoFilm @VersaillesDoc - watch here http://bit.ly/slc_vimeo. Co-founder @AADocNetwork (A-Doc)</t>
  </si>
  <si>
    <t>PingWest</t>
  </si>
  <si>
    <t>#Airbnb is making its move to go into the entertainment industry to lifts traveler's appetites for booking, starting from shooting documentaries.</t>
  </si>
  <si>
    <t>Santa Clara, CA</t>
  </si>
  <si>
    <t>Reporters and writers on the forefront of technology innovation.</t>
  </si>
  <si>
    <t>Crystal Wuthrich</t>
  </si>
  <si>
    <t>Patio sunset #workperks #sunset #patiolife #airbnb @ Powell River, British Columbia</t>
  </si>
  <si>
    <t>Surrey, British Columbia</t>
  </si>
  <si>
    <t>106.1 BLI</t>
  </si>
  <si>
    <t>Imagine sleeping inside a GIANT potato #AirBnB? It’s real and looks SO cozy! 🍠  @ovictoriamedia</t>
  </si>
  <si>
    <t>Long Island, NY</t>
  </si>
  <si>
    <t>Long Island's #1 For All The Hits!</t>
  </si>
  <si>
    <t>Brand New APT @ BTS Skytrain WIFIhttps://www.airbnb.jp/rooms/788043  via Twitter Web Client #airbnb</t>
  </si>
  <si>
    <t>LightAndTimeArt</t>
  </si>
  <si>
    <t>Large 5Star #Florida #vacationhome with prival pool on #Airbnb Tropical #TommyBahama style - #VRBO April 24, 2019 at 10:01PM</t>
  </si>
  <si>
    <t>Minneapolis, MN</t>
  </si>
  <si>
    <t>Amazing working art pieces made from recycled computer parts, vintage cameras, projectors, and other salvaged techno and industrial components.</t>
  </si>
  <si>
    <t>susnata basak</t>
  </si>
  <si>
    <t>#Airbnb extremely disappointed with your case resolution process, more importantly with your customer service.</t>
  </si>
  <si>
    <t>Singapore</t>
  </si>
  <si>
    <t>entrepreneur, builder, dreamer.</t>
  </si>
  <si>
    <t>#Airbnb in #SanDiego - “Even if you decided something is really wrong, or really shady, or something doesn’t look right, or they are acting suspicious, you can’t cancel them or you will be penalized by Airbnb."</t>
  </si>
  <si>
    <t>allAfrica.com</t>
  </si>
  <si>
    <t>Africa</t>
  </si>
  <si>
    <t>News and information from the fast-changing continent. Also follow @allafricafrench &amp; @AllAfricaSport.</t>
  </si>
  <si>
    <t>Sheldon Cowles</t>
  </si>
  <si>
    <t>Joshua Tree Tiny Home, New Construction. I make the edgiest real estate videos in the industry. #palmspringsrealestateagent #airbnb #joshuatreenationalpark #investment @ Joshua Tree,…</t>
  </si>
  <si>
    <t>Yucca Valley, CA</t>
  </si>
  <si>
    <t>REALTOR®, born a photographer, dabbled in publishing, master of sales, and been online since the 80's.</t>
  </si>
  <si>
    <t>Chloé @ Clovar Creative</t>
  </si>
  <si>
    <t>Follow the dirt path, Kangaloon, Southern Highlands, NSW @visitsouthernhighlands @visitnsw @airbnb #NewSouthWales #SouthernHighlands #airbnb #kangaloon #travel #drone #dronephotography #dji #djispark #getaways #holidays #grass #green #lush #australia #c…</t>
  </si>
  <si>
    <t>Sydney, Australia</t>
  </si>
  <si>
    <t>Freelance food &amp; travel writer ⌨️Photographer 📸 Owner of Clovar Creative 🍀 Urban gardener 🌱 Wanderlust victim ✈️ Say hi at hello@clovarcreative.com</t>
  </si>
  <si>
    <t>Doug Ümberger</t>
  </si>
  <si>
    <t>Another beyond pleasant experience with @Airbnb. You get credit, I get credit. Come on, we all win!  #AirBnb #Honolulu</t>
  </si>
  <si>
    <t>The District 🏛</t>
  </si>
  <si>
    <t>The rare cross between a Washingtonian &amp; New Orleanian.</t>
  </si>
  <si>
    <t>2 Bedroom Luxury Island Villa +Bikehttps://www.airbnb.jp/rooms/2521930  via Twitter Web Client #airbnb</t>
  </si>
  <si>
    <t>heartforafrica</t>
  </si>
  <si>
    <t>There’s a growing chorus across #Africa to regulate and tax #Airbnb  via @qzafrica</t>
  </si>
  <si>
    <t>Madison, Wisconsin, USA</t>
  </si>
  <si>
    <t>Tweeting #news and #HumanRights stories from #subSaharan #Africa Tweet/RT are not endorsements humanrights@heartforafrica.us</t>
  </si>
  <si>
    <t>TalesOfABackpacker🌍</t>
  </si>
  <si>
    <t>Airbnb First Time #Discount Code: $40 #Airbnb #Coupon PLUS How to Get an Airbnb Discount #travel  #airbnbdiscount</t>
  </si>
  <si>
    <t>England, United Kingdom</t>
  </si>
  <si>
    <t>Tales of a Backpacker, aka Claire Sturzaker. 1 woman. 1 backpack. A whole world to explore #Travel #Food #WombatsTraveller Ambassador for @wombatshostels</t>
  </si>
  <si>
    <t>On this #AnzacDay, the team at MadeComfy wishes everyone a peaceful day of remembrance. #madecomfy #sydney #melbourne #brisbane #shorttermrental #airbnb #lestweforget</t>
  </si>
  <si>
    <t>A new business collaboration between @HeartFuse and @VenicePeach! Follow and find out all that @airbandme can do for your #airbnb rentals and listings to make them POP! Get in touch!</t>
  </si>
  <si>
    <t>Geek Questioner</t>
  </si>
  <si>
    <t>Tonight's Question: What would be your AirBnB review of your visit to the Fortress of Solitude recently? ANSWER HERE:  Join in and answer along with the community! #gqotd2019 #airbnb #superman #dc #superhero #solitude #supergirl</t>
  </si>
  <si>
    <t>Massachusetts, USA</t>
  </si>
  <si>
    <t>Geek Questioner Podcast</t>
  </si>
  <si>
    <t>Jane Devine</t>
  </si>
  <si>
    <t>Vancouver, B.C.</t>
  </si>
  <si>
    <t>Mum, librarian, citizen</t>
  </si>
  <si>
    <t>Katie Rocco - The Rocco Team</t>
  </si>
  <si>
    <t>Alpharetta, GA</t>
  </si>
  <si>
    <t>🏡We are in the business of making dreams come true! It’s our goal to be top of mind, when you think all things Real Estate. Insta @theroccoteam Fb @agentrocco</t>
  </si>
  <si>
    <t>Port House Niagara</t>
  </si>
  <si>
    <t>Ordered counter tops today so hopefully kitchen will be done in a few weeks #vacationrental #airbnb #porthouseniagara #portdalhousie</t>
  </si>
  <si>
    <t>Port Dalhousie on Lake Ontario</t>
  </si>
  <si>
    <t>A fun &amp; cool vacation rental home in the making in beautiful Port Dalhousie, ON Canada</t>
  </si>
  <si>
    <t>One Bunk Hotels</t>
  </si>
  <si>
    <t>The Astronaut Gladiator 🎨⁣ ·⁣ 📸 @mikespear⁣ ·⁣ #webunkyou • #SanDiego • #airbnb • #QueSeaUnGranDia</t>
  </si>
  <si>
    <t>California + Baja California</t>
  </si>
  <si>
    <t>Crafted Hospitality + Binational Culture #webunkyou #stayBIEN | #StayWhereTheresAStory - Leccero Coffee x Lobby Bar | ☕️ Takeover</t>
  </si>
  <si>
    <t>Sounds Groovy OBX</t>
  </si>
  <si>
    <t>New Image in Images: Dock yeah! We are putting in new dock steps this weekend! Better access to the water! #oldnagsheadcove #soundsgroovyobx #airbnbhost #airbnb #dockfishing #docksteps #nagshead #nagsheadbeachhouse #obx #obxlife</t>
  </si>
  <si>
    <t>Nags Head, NC</t>
  </si>
  <si>
    <t>Planning a beach vacation or romantic getaway? Lovely beaches and many rainy day activities, as well. Nags Head Vacation Rental, Sounds Groovy OBX!</t>
  </si>
  <si>
    <t>eric</t>
  </si>
  <si>
    <t>Airbnb Inc, the high-flying startup for booking home rentals around the world, has ambitions to develop a slate of original shows to whet customers’ appetite for travel, four people familiar with the matter told Reuters. #airbnb #travel \\ Reuters \\</t>
  </si>
  <si>
    <t>west seattle</t>
  </si>
  <si>
    <t>Seattle-based mobile web developer interested in people, travel, film, culture, language, urban studies, and how tech shapes the way we communicate.</t>
  </si>
  <si>
    <t>Casa de los Viajeros</t>
  </si>
  <si>
    <t>#beachplease #youshouldbehere #puertomorelos #casadelosviajeros #stepstothebeach Link in bio #mexico #youshouldbehere #casadelosviajeros #vacationrental #airbnb #vrbo #homeaway #doyoutravel #travelandlife #traveldeeper #travel #travelphotography #travelblogger #vacationmo…</t>
  </si>
  <si>
    <t>Puerto Morelos, Mexico</t>
  </si>
  <si>
    <t>Steps from the beach in Puerto Morelos. Rent a 1 or 2 bedroom apartment today!</t>
  </si>
  <si>
    <t>Dock yeah! We are putting in new dock steps this weekend! Better access to the water! #oldnagsheadcove #soundsgroovyobx #airbnbhost #airbnb #dockfishing #docksteps #nagshead #nagsheadbeachhouse #obx #obxlife</t>
  </si>
  <si>
    <t>Tony Zayas</t>
  </si>
  <si>
    <t>AirBnB for Your Rental Property - Is It Worth It?  If you're keen on investing in a rental property and using #AirBnB here are the pros and cons. #realestate #property</t>
  </si>
  <si>
    <t>Cleveland, OH</t>
  </si>
  <si>
    <t>I am a Father, a Husband, a Marketer, a Friend, a Philosopher and a Fan #Cubs #Hawkeyes #Bears #Bulls #Blackhawks</t>
  </si>
  <si>
    <t>Kradels Kabins</t>
  </si>
  <si>
    <t>We were busy bagging up our loose tea blends from @spiceandtea today! We will have samples of three different kinds of tea from the Spice and Tea Exchange at each of our cabins along with instructions on how to make the perfect cup of tea! #blowingrock #airbnb #homeaway</t>
  </si>
  <si>
    <t>Boone, NC</t>
  </si>
  <si>
    <t>Kradel’s Kabins invites you to stay in one of our vacation rentals and explore Boone NC - the Blue Ridge Pkwy, App State, Blowing Rock and Grandfather Mountain</t>
  </si>
  <si>
    <t>Dock yeah! We are putting in new dock steps this weekend! Better access to the water! #oldnagsheadcove #soundsgroovyobx #airbnbhost #airbnb #dockfishing #docksteps #nagshead…</t>
  </si>
  <si>
    <t>Piyush Shah</t>
  </si>
  <si>
    <t>#AirbnB shows customer reviews chronologically and does not let customers selectively view reviews based on star ratings. Seems like a systematic bias towards hosts and against customers @bchesky @jgebbia @nathanblec @Greeley @chrislehane @alexoid @joebot @AllAbout_Airbnb</t>
  </si>
  <si>
    <t>Mumbai</t>
  </si>
  <si>
    <t>Learning n tweeting about Behavioral Science applications in Operations Management.</t>
  </si>
  <si>
    <t>#beachplease #youshouldbehere #puertomorelos #casadelosviajeros #stepstothebeach Link in bio #mexico #youshouldbehere #casadelosviajeros #vacationrental #airbnb #vrbo #homeaway #doyoutravel #travelandlife #traveldeeper #travel #travelphotography #trav…</t>
  </si>
  <si>
    <t>Drew Golden</t>
  </si>
  <si>
    <t>There’s a giant potato for rent on #Airbnb and it’s surprisingly chic #travel #business</t>
  </si>
  <si>
    <t>Santa Monica, CA</t>
  </si>
  <si>
    <t>Founder &amp; Managing Director, Golden Capital Partners. Creative venture capitalist, entrepreneur, travel junkie and experienced optimist | CEO @VURVhealth</t>
  </si>
  <si>
    <t>Mark Bautista</t>
  </si>
  <si>
    <t>Sign up for Airbnb and get ₱1,600 off your first adventure. Here’s my invitation link:  #Airbnb #FreeCredits #SignUpNow #Travel #accommodation #giftcard #invitation</t>
  </si>
  <si>
    <t>Philippines</t>
  </si>
  <si>
    <t>bio</t>
  </si>
  <si>
    <t>Mutiara Hikmah</t>
  </si>
  <si>
    <t>Bogor</t>
  </si>
  <si>
    <t>The #AirBnB reviews that you see on hosts main page are generally only the positive reviews. Highly critical reviews are systematically omitted by AirBnB.</t>
  </si>
  <si>
    <t>Kim Burgess</t>
  </si>
  <si>
    <t>#Boise potato #Airbnb gets some love from a great design site! This Potato Is A Real Airbnb — And It's Actually Cute Inside</t>
  </si>
  <si>
    <t>Boise, ID</t>
  </si>
  <si>
    <t>Editor @IBRnews, Southwestern gypsy (Boise resident via Colorado, New Mexico, Arizona, Texas and Utah.) Opinions my own.</t>
  </si>
  <si>
    <t>PARSONS VILLAS</t>
  </si>
  <si>
    <t>Two nights till the weekend 😴 #VRBO #BookDirect #Airbnb #VacationRental #Luxury</t>
  </si>
  <si>
    <t>Scottsdale, AZ</t>
  </si>
  <si>
    <t>SCOTTSDALE VACATION RENTALS</t>
  </si>
  <si>
    <t>G.Fabre Digital</t>
  </si>
  <si>
    <t>#airbnb wants to create TV shows to convince people to travel more #theverge</t>
  </si>
  <si>
    <t>San Francisco - California</t>
  </si>
  <si>
    <t>Fil d'info en continu (french/english) #digital par Gregori Fabre, COO Total EP AI &amp; Geosciences #innovation #greentech #crypto #startup #disrupt</t>
  </si>
  <si>
    <t>LuxHomePro</t>
  </si>
  <si>
    <t>A stunning masterpiece, The Geiranger House. By @alex_nerovnya Visit Us at  to learn how to profit from investment properties that you don't even need to own. #airbnb #vacationrental #luxurylisting</t>
  </si>
  <si>
    <t>Temecula, CA</t>
  </si>
  <si>
    <t>Our purpose is to leverage the tremendous growth in the luxury vacation rentals business through training high-quality people to participate in the marketplace.</t>
  </si>
  <si>
    <t>Rema (Iyer) Wilkens</t>
  </si>
  <si>
    <t>#Idaho #Airbnb rental is actually a giant #potato. ☺️</t>
  </si>
  <si>
    <t>#American🇺🇸 #Indian🇮🇳 #German🇩🇪 in #London🇬🇧 #YogaTeacher #FBPE #GlobalCitizen student of #TheWorld #Retail #Tech #Startup #Investing #yoga❤️#elephants🐘 #Travel</t>
  </si>
  <si>
    <t>Ben</t>
  </si>
  <si>
    <t>Santiago, Chile</t>
  </si>
  <si>
    <t>Apoyo a Felipe Kast</t>
  </si>
  <si>
    <t>Jono Anzalone</t>
  </si>
  <si>
    <t>Full house in FEMA Region III today for Private Sector Readiness Day! FEMA, state, and private sector partners met to discuss coordination before, during, and after emergencies. Love Government Private Sector Liaisons from DC, PA, and MD. #Airbnb @FEMAregion3</t>
  </si>
  <si>
    <t>Washington, DC</t>
  </si>
  <si>
    <t>Humanitarian aid worker</t>
  </si>
  <si>
    <t>Caleb O. Brown</t>
  </si>
  <si>
    <t>.@HCurryDC and @cmsandefur make a good bit of sense here.  @courierjournal #Airbnb</t>
  </si>
  <si>
    <t>Louisville, KY</t>
  </si>
  <si>
    <t>Host @CatoPodcast / Christian / liberal / husband / Dad / #STLCards</t>
  </si>
  <si>
    <t>*'v`Yurie Succubus†</t>
  </si>
  <si>
    <t>Good morning from Tokyo suburb , #airbnb 👄</t>
  </si>
  <si>
    <t>Tokyo Japan</t>
  </si>
  <si>
    <t>我亜州人皆兄弟姉妹宇宙統一霊願人皆須Aim`g 4 #airbnbplus TOPHOSTESS vacation rental landlord near HarleyDavidson Higashikuru Returnee fm Ku Ring Gai NSW Australian perm.residency</t>
  </si>
  <si>
    <t>UCHI</t>
  </si>
  <si>
    <t>Entertainment to the world from Yomitan！ 「Ryukyu Ninja🗡」  #Okinawa #Japan #Travel #Airbnb #Yomitan #Tourism #Entertainment #Ryukyu #Ninja👨🏿‍🎤 #Pocketalk</t>
  </si>
  <si>
    <t>Okinawa, Japan.</t>
  </si>
  <si>
    <t>#2019April26thOKINAWA 「Comic Dojo TEE🥋Family」 PM17:00〜 PM20:00〜 Experience the weightlessness performance at close range  #Okinawa #Japan #Travel #Airbnb #Naha #Tourism #Pocketalk #Nonverbal #Entertainment #TEEFamily #THEKINGOFFIGHTERS🔥</t>
  </si>
  <si>
    <t>Whitelaw Rigging &amp; Fabrication</t>
  </si>
  <si>
    <t>You Can Build This Tiny A-Frame Cabin Yourself For Just $700 -  #tinyhomes #aframe #construction #rent #Airbnb</t>
  </si>
  <si>
    <t>Valders, Wisconsin, USA</t>
  </si>
  <si>
    <t>Whitelaw Rigging #fabricates #jhooks, #shooks, #sag #rods and #anchor #bolts that are used widely in the #construction industry.</t>
  </si>
  <si>
    <t>howtotravelbest</t>
  </si>
  <si>
    <t>The promise &amp; curse of #Airbnb - The Airbnb Invasion of Barcelona  #Barcelona #NewYorker #sharingeconomy #overtourism #travel</t>
  </si>
  <si>
    <t>Matthew Vaughan - cruise, hotel, &amp; travel specialist for 20+ years, at your service! Part of Merit Travel &amp; Signature Travel Network. 1-800-565-2784, ext # 7388</t>
  </si>
  <si>
    <t>Latitude 61 Properties LLC</t>
  </si>
  <si>
    <t>Anchorage, AK</t>
  </si>
  <si>
    <t>Latitude 61 Properties LLC is an Alaskan, veteran and woman-owned small business that focuses on short-term rentals, such as Airbnb or VRBO.</t>
  </si>
  <si>
    <t>Brewsterfield Lodge</t>
  </si>
  <si>
    <t>Ireland. #Ireland #IrelandsAncientEast #killarney #Kerry #dingle #Summer2019 #WestCork #vacationrental #vacations #vacationhome #holidayhome #holiday #familytravel #TravelTuesday #Travel #reisen #airbnb #tripadviser #adventuretravel #AdventureTime #WanderlustWednesday #outdoors</t>
  </si>
  <si>
    <t>Co. Kerry, Ireland</t>
  </si>
  <si>
    <t>Holiday home with panoramic mountain views in the heart of the Killarney Lake District in Co.Kerry, Ireland.</t>
  </si>
  <si>
    <t>Lisa Veronese</t>
  </si>
  <si>
    <t>Guiltily rented an Airbnb in Barcelona—I’m a fan of finding interesting places to stay, but also a fan of workable, liveable cities. Interesting article for those that now Airbnb as default. #airbnb #backlash #urbanlife #liveablecities RT @rachelagiese: Fascinating look at Airbnb, over-tourism &amp; the destruction of cities: "This consistent demographic of tourists expects to find wherever it goes the café culture of Melbourne, the industrial lighting of Brooklyn, and the Internet speeds of Stockholm"</t>
  </si>
  <si>
    <t>Toronto, Canada</t>
  </si>
  <si>
    <t>.movement teacher. writer. reader. world wanderer. art and music fangirl.</t>
  </si>
  <si>
    <t>Ellis Design Group, LLC</t>
  </si>
  <si>
    <t>DESIGNER NEWS: We completely redesigned and furnished this 1200 s.f. home for a client and it is successfully renting on AIRBNB several times a month! #airbnb, #rentalhomes, #interiordesignerlanecounty, #ellisdesigngroupllc</t>
  </si>
  <si>
    <t>Eugene, OR, US, 97404</t>
  </si>
  <si>
    <t>“We provide innovative &amp; unique design solutions to solve your residential &amp; commercial interior design challenges.”</t>
  </si>
  <si>
    <t>Letulet</t>
  </si>
  <si>
    <t>Get legal agreement from your #landlord so you can host your place on #Airbnb openly and confidently.</t>
  </si>
  <si>
    <t>Welcome to home-sharing harmony between renters and landlords</t>
  </si>
  <si>
    <t>Karl Lemire</t>
  </si>
  <si>
    <t>Maximize your home's #Airbnb rental potential by following these tips. #homeowners</t>
  </si>
  <si>
    <t>Vancouver Washington</t>
  </si>
  <si>
    <t>Real Estate most of my adult life, award winning Community Developments and Home Designs 4 years in a row, over 33 million in home sales experience!</t>
  </si>
  <si>
    <t>Kevin Khoi Team of eXp Realty</t>
  </si>
  <si>
    <t>Aspiring investor? Have you ever heard of the BRRRR Real Estate Strategy?  #homeowners #realestate #Investors #airbnb</t>
  </si>
  <si>
    <t>Silicon Valley, CA</t>
  </si>
  <si>
    <t>Kevin Khoi brings 14+ years of experience in realty, sales, and top-level negotiations, various real estate markets (Residential, Commercial, and Development.)</t>
  </si>
  <si>
    <t>A Travel Companion</t>
  </si>
  <si>
    <t>Just been stranded with the four of us 1 day before going to Amsterdam by #Airbnb just before #KingsDay. Without telling us the client was delisted. Unbelievable please help @realDonaldTrump 😫 @AirbnbHelp</t>
  </si>
  <si>
    <t>City of London, London</t>
  </si>
  <si>
    <t>I love traveling. Hope you love it too! Meet | drink | eat | #travel with a new #friend. #app @ http://apple.co/2aPYT4M Tweets by @peterdev | New app @kilroyar</t>
  </si>
  <si>
    <t>Lindsey A. Vodarek</t>
  </si>
  <si>
    <t>Part 2 of our #Investigation: A real-estate entrepreneur, a PhD graduate, a former trader: These are some key players in #Toronto’s short-term rental market  @thecribby @TorontoStar @swathisadagopan @munkjournalism @munkschool #affordablehousing #airbnb</t>
  </si>
  <si>
    <t>Toronto</t>
  </si>
  <si>
    <t>Munk School Fellow in Global #Journalism, prev @ImagineCanada // #HumanRights #AffordableHousing #Nonprofit #CdnPoli #Writing #Documentary</t>
  </si>
  <si>
    <t>Scott Freiherr von Memerty-Thomas</t>
  </si>
  <si>
    <t>#darlinsky and #vmm #antiques #airbnb is now up and #running and ready for #guests , if you love Antiques and Collectables this is the place to Stay, if you have seen anything on either of our Websites that you want, like or love #leicester #uk is where we keep our Stock!! S…</t>
  </si>
  <si>
    <t>Leicester, England</t>
  </si>
  <si>
    <t>A Struggling, Actor on Stage and Screen who has an uber love for all things old and new! And Sarcastic and Argumentative as Fuckhttps:</t>
  </si>
  <si>
    <t>Arie Abekasis</t>
  </si>
  <si>
    <t>Is Airbnb a much bigger story than real estate people are willing to admit?  #IPO #airbnb #vacation #business #rentals #realestate #acquisitions #housingmarket  Checkout this tweet about #luxuryhomes in Los Angeles shared by #ariea…</t>
  </si>
  <si>
    <t>Sherman Oaks, CA</t>
  </si>
  <si>
    <t>"arie abekasis" is the founder of #Diditan luxury home builders, a #local #custom home builder that is based in #LosAngeles (818) 784-5557</t>
  </si>
  <si>
    <t>Gord Collins</t>
  </si>
  <si>
    <t>Is Airbnb a much bigger story than real estate people are willing to admit?  #IPO #airbnb #vacation #business #rentals #realestate #acquisitions #housingmarket</t>
  </si>
  <si>
    <t>High Traffic Real Estate Marketing Solutions. Ad Revenue Optimization Consulting</t>
  </si>
  <si>
    <t>Sign up to host on #Airbnb and use the extra income to fund your passions. Here’s my invitation link:</t>
  </si>
  <si>
    <t>Scrapinghub</t>
  </si>
  <si>
    <t>In part 2 of Anastasia Reusova’s series on Scrapy &amp; Selenium @khunreus outlines how she used @Scrapyproject &amp;amp; Selenium to scrape property data from @Airbnb. Code included.  #Scrapy #webscraping #airbnb</t>
  </si>
  <si>
    <t>Ireland, Uruguay and 30 others</t>
  </si>
  <si>
    <t>We help you extract data at scale quickly and effectively using open source technologies. Proud lead maintainers of @ScrapyProject!</t>
  </si>
  <si>
    <t>Sherman Mohr</t>
  </si>
  <si>
    <t>@MissGabyLira isn't just a Realtor. She's a proven experienced Yale/Pepperdine MBA strategists. If you're reading to ride this train, she's the one to help. #nashville #nfldraft #realestate #airbnb #realtors #strategicplanning</t>
  </si>
  <si>
    <t>Nashville, TN</t>
  </si>
  <si>
    <t>#strategy#data#predictiveanalytics#platforms#spiritsmarketing#mobile #influencermarketing</t>
  </si>
  <si>
    <t>Alejandro Hernández</t>
  </si>
  <si>
    <t>The #Airbnb Invasion of #Barcelona -  #bcn #travel</t>
  </si>
  <si>
    <t>San Cristóbal, Chiapas, México</t>
  </si>
  <si>
    <t>Citizen lost in the curvature of Space-Time • Spontaneity • Nomad • c0de • Tacos • Music • Cybersecurity consultant at @IOActive • [Spanglish]</t>
  </si>
  <si>
    <t>StarterPad</t>
  </si>
  <si>
    <t>Airbnb invests in restaurant reservation app Resy: Highly-funded Airbnb is making an investment of its own, announcing today that it is leading a $13 million round in Resy, an  #Apps #Startups #VentureCapital #Airbnb #GaryVaynerchuk</t>
  </si>
  <si>
    <t>San Diego, CA, USA</t>
  </si>
  <si>
    <t>Startup founders helping founders! Community of entrepreneurs, helping one another achieve success. Join for free today!</t>
  </si>
  <si>
    <t>Nar Valley Cottages Norfolk</t>
  </si>
  <si>
    <t>😭 The reviews we've had so far have been sooooo lovely 😍 This lady and her family were our first #airbnb booking in the #ThreshingBarn ♥️ 🏡 #narvalleycottages #norfolk #holidaycottages #farmcottage #norfolkholidaycottage #westnorfolk #kingslynn #dogfriendlyholidays</t>
  </si>
  <si>
    <t xml:space="preserve">Pentney, Norfolk </t>
  </si>
  <si>
    <t>Explore beautiful #Norfolk from your own cottage &amp; experience luxury on your doorstep with our gym, spa, pool &amp; beauty rooms @energisepentney #NarValleyCottages</t>
  </si>
  <si>
    <t>imaginetulum</t>
  </si>
  <si>
    <t>Feeling like Spring🌱☀️  #tulum #airbnb #vacationrental #playadelcarmen #rivieramaya</t>
  </si>
  <si>
    <t>Tulum, Mexico</t>
  </si>
  <si>
    <t>☀️ Boutique Airbnb,infinity pool,elevator,private rooftop &amp; pool,WiFi,AC, Smart TVs, kitchens. Airbnb: http://bit.ly/highlinepenthouse</t>
  </si>
  <si>
    <t>akibrtr67</t>
  </si>
  <si>
    <t>akibwar31</t>
  </si>
  <si>
    <t>akibar24</t>
  </si>
  <si>
    <t>pkul</t>
  </si>
  <si>
    <t>hasanluicy</t>
  </si>
  <si>
    <t>Roger Verhoeven</t>
  </si>
  <si>
    <t>The #AirBnb Invasion of #Barcelona @NewYorker #Travel #Tourism #Economy #Politics #Spain #EU #Business #NewYorker #TheNewYorker By The New Yorker</t>
  </si>
  <si>
    <t>Nederland</t>
  </si>
  <si>
    <t>Blogging About #bots 🤖 #socialmedia #API 💻 http://appearoo.com/RogerBLVerhoeven #GooglePlus https://plus.google.com/+RogerVerhoeven</t>
  </si>
  <si>
    <t>Sanam Solati Yurczyk</t>
  </si>
  <si>
    <t>Glastonbury, CT 06033</t>
  </si>
  <si>
    <t>Thinking Real Estate? Think Sanam 203.627.7958</t>
  </si>
  <si>
    <t>Isrg Rajan</t>
  </si>
  <si>
    <t>What are the best Startups Ideas in India to work on and start a company? See:  @isrgrajan #WednesdayMotivation #IsrgRajan #Airbnb #Snapchat #Spotify #Startup #Uber</t>
  </si>
  <si>
    <t>New Delhi - India</t>
  </si>
  <si>
    <t>An entrepreneur, philanthropist, scholar and social activist. #MainBhiChowkidar</t>
  </si>
  <si>
    <t>akibsha</t>
  </si>
  <si>
    <t>Sheriff Princess</t>
  </si>
  <si>
    <t>Anybody know of any good corn-themed hotels/airbnbs/places to stay? Anywhere in the US. Trying to plan my partner's birthday and she loves corn. #corn #midwest #cornhotel #airbnb</t>
  </si>
  <si>
    <t>Chicago, IL</t>
  </si>
  <si>
    <t>William Reed Sturtevant. Traveler. Bartender. Musician. Millenial. He/Him. Transplanted Oregonian. I am attracted to banjo players.</t>
  </si>
  <si>
    <t>NYC Explorer</t>
  </si>
  <si>
    <t>Check in between May 22 and 29 to get additional 5% discount!!! Use code: GRADSP #airbnb #discount #nyc #brooklyn</t>
  </si>
  <si>
    <t>New York, USA</t>
  </si>
  <si>
    <t>Enjoying living in NYC to the fullest. Would love to support people experience and discover NYC in the best way I can! 日本語投稿アリ</t>
  </si>
  <si>
    <t>Tania Teschke</t>
  </si>
  <si>
    <t>Another #bordeauxkitchen #dinner with #wine at “home” (#airbnb ) — see the recipe for mackerel and for sardines/anchovies with garlic in The Bordeaux Kitchen book. #ancestraleating…</t>
  </si>
  <si>
    <t>Bordeaux, France</t>
  </si>
  <si>
    <t>Join me in a discovery of lifestyle, wine, and ancestral recipes in Southern France. Author of The Bordeaux Kitchen, on Amazon . http://www.bordeauxkitchen.com</t>
  </si>
  <si>
    <t>#darlinsky and #vmm #antiques #airbnb is now up and #running and ready for #guests , if you love Antiques and Collectables this is the place to Stay, if you have seen anything on either of…</t>
  </si>
  <si>
    <t>YATTSI - Low Cost Interpretation Service</t>
  </si>
  <si>
    <t>If you know to speak two or more languages; Cheer Up and join Us!💕✌️🌎 Work as a freelancer interpreter and make extra money. 💰 Join us:  #interpreter #makemoney #bilingüe #translation #freelancer #travelApp #travel #airbnb #duolingo</t>
  </si>
  <si>
    <t>San Jose, CA</t>
  </si>
  <si>
    <t>Provider of Quality and Low-Cost Interpretation Service through our Mobile App.🤗 Available in Android and IOS.📲 For travel✈️, business 💼 and more...</t>
  </si>
  <si>
    <t>Harry Alford3</t>
  </si>
  <si>
    <t>“The more we put content out there, the more you’re going to bring people to the platform.”  #Airbnb</t>
  </si>
  <si>
    <t>Building @humbleventures | @BabsonGraduate | @TerpsMLax | Grandson of Tuskegee Airman</t>
  </si>
  <si>
    <t>Cristina Lopez Gomez</t>
  </si>
  <si>
    <t>Did you think you had seen it all? #thinkagain #airbnb</t>
  </si>
  <si>
    <t>Reading, England</t>
  </si>
  <si>
    <t>Serviced Apartments Ops Manager Original from Málaga = Bilingual-ish / crazy-ish / my face is the reflection of my thoughts</t>
  </si>
  <si>
    <t>Saf Dogan</t>
  </si>
  <si>
    <t>Airbnb, you guys have some terrible hosts who cancel on you last minute and your urgent care apparently means no updates for 48 hours! So far I’m utterly disappointed and you’re about to lose a customer for life! #airbnb #fail</t>
  </si>
  <si>
    <t>New York City</t>
  </si>
  <si>
    <t>Social Marketing Expert, Travel Blogger, Vegan, Polyglot 🇹🇷🇺🇸🇬🇷🇫🇷 Proud 🏳️‍🌈 Queer Muslim IG:grabthatpassport &amp; safdogan</t>
  </si>
  <si>
    <t>Toth Family Real Estate</t>
  </si>
  <si>
    <t>Atlanta, GA</t>
  </si>
  <si>
    <t>We make buying or selling your home a family matter.</t>
  </si>
  <si>
    <t>Air360</t>
  </si>
  <si>
    <t>Do you know about our guaranteed rent service? Enquire now!  #Rent #Bristol #Airbnb</t>
  </si>
  <si>
    <t>Bristol, England</t>
  </si>
  <si>
    <t>We are Air360, a Bristol based Airbnb Property Management Service. We are dedicated to making your property as hassle free and as lucrative for you as possible.</t>
  </si>
  <si>
    <t>MtBriscoeOrganicFarm</t>
  </si>
  <si>
    <t>Even in the rain a walk true this part of the farm @Mt_Briscoe called The Plantting is full time of character and charm and wonderful wildlife #Visitoffaly #MountBriscoeOrganicFarm #Airbnb #Nature #Woodlands</t>
  </si>
  <si>
    <t xml:space="preserve">Daingean , Co Offaly ,Ireland </t>
  </si>
  <si>
    <t>We are a family run organic farm producing Hereford beef, #Artisanfood, #Accommodation #RareBreeds #Agriculturalshow #Airbnb #Organic #Farming #Tourism</t>
  </si>
  <si>
    <t>Airbnb Engineering</t>
  </si>
  <si>
    <t>Are you in San Francisco for the #SparkAISummit? Then join us at 6pm tonight for an inside look at how we're using Spark at #airbnb. Spots are limited and a RSVP is required. Go to  for more details.</t>
  </si>
  <si>
    <t>Creative engineers building a world where you can belong anywhere. @AirbnbData @AirbnbDesign IG: http://www.instagram.com/airbnbtech/</t>
  </si>
  <si>
    <t>Manhattan Boutique</t>
  </si>
  <si>
    <t>Are Those Noisy #Houseguests Upstairs, or an #Airbnb?</t>
  </si>
  <si>
    <t>New York, New York</t>
  </si>
  <si>
    <t>Manhattan Boutique Real Estate (MBRE) is your #localexpert in #NYCrealestate. We are your one stop, full service boutique that understands your unique needs.</t>
  </si>
  <si>
    <t>😭 The reviews we've had so ok far have been sooooo lovely 😍 This lady and her family were our first #airbnb booking in the #ThreshingBarn ♥️ 🏡 #narvalleycottages #narvalley #norfolk…</t>
  </si>
  <si>
    <t>Veronica Convery</t>
  </si>
  <si>
    <t>Way to #travel - #Airbnb</t>
  </si>
  <si>
    <t>Providence, RI, USA</t>
  </si>
  <si>
    <t>Actor, Creator, Story teller 🥰http://iNSTAGRAM.com/</t>
  </si>
  <si>
    <t>Andrei Zodian</t>
  </si>
  <si>
    <t>I met @ElisabethMoss7 in an #ICEcondo a while back; had big backpack &amp; she was incredibly nice &amp;amp; warm, opening doors 4me &amp;amp; calling me "sir". Probably in #Toronto #filming #HandmaidsTale. #memories #ElisabethMoss #actors #AirBNB #celebs #Celebrities #GirlInterrupted RT @beccatronic: So it turns out that my home (ICE condos) is identified as *the single worst building* in the city for Airbnb’s. Ask me anything! Want stories about ghost hotel living? I got ‘em. Trashed amenities. Violence. Blood. Noise. Nonsense. /cc @Fairbnbcanada</t>
  </si>
  <si>
    <t>Toronto, Ontario</t>
  </si>
  <si>
    <t>#Toronto #Entrepreneur #community organizer; ran for #councillor #Ward10 #SpaFY &amp; interested in #DirectDemocracy #TOpoli #ONpoli #ONTpoli; call/text 315-7ANDREI</t>
  </si>
  <si>
    <t>FinneganRealtors</t>
  </si>
  <si>
    <t>Investment opportunities are endless with this gorgeous home. Motivated sellers, bring your offer! Open house Saturday 11 - 2:00. Fantastic Airbnb income opportunity! Live in the main home, Airbnb the cottage. Live in the cottage, Airbnb the home. 269 Low Rd, Sharon, CT #Airbnb</t>
  </si>
  <si>
    <t>Rocky Hill, CT</t>
  </si>
  <si>
    <t>Turning Dreams into Keys for over 40 years! Your local REALTOR®</t>
  </si>
  <si>
    <t>Not to be missed #comfortcottagehealing #visitwales #dogfriendly #TheDogsWithMe #alpacas #ArtsWales #SunDogs #Airbnb RT @visitwales: Music fans - make sure to get your tickets for @FocusWales, the international multi-venue showcase festival in #Wrexham from 16-18 May. Emerging talent from Wales meets a selection of the best new acts from across the globe</t>
  </si>
  <si>
    <t>PCS</t>
  </si>
  <si>
    <t>Skift Forum Europe: Airbnb Is Doubling Down on Experiences  via @Skift #EuropeAirbnb #Airbnb #Travel #traveltrends #hospitality #hotels #hoteltrends #hospitalitytrends</t>
  </si>
  <si>
    <t>Torrance, CA</t>
  </si>
  <si>
    <t>Who does #AirBNB have on their side? @ChloeAnagnos, in a grotesque parody of journalism. What #AirBNB does well is arbitrage. They ignore hotel laws (demand side) and tenancy protection (supply side) pocket the difference. Here's another useful word: "racket". #vanre @AlexDagg RT @aier: The South African hospitality industry is taking on @Airbnb, and it's using crony-capitalist tools to accomplish its goal. Read @ChloeAnagnos's latest piece for AIER: . #Capitalism #SouthAfrica #Airbnb</t>
  </si>
  <si>
    <t>Leona Ungerer</t>
  </si>
  <si>
    <t>#Airbnb to get regulated, taxed in #SouthAfrica, Kenya, Tanzania —</t>
  </si>
  <si>
    <t>South Africa</t>
  </si>
  <si>
    <t>Academic. The thrill is in the search for new information. Consumer Psychology, online teaching and learning, using technology to simplify our lives.</t>
  </si>
  <si>
    <t>CPM ICC Barcelona</t>
  </si>
  <si>
    <t>New #job: AIRBNB Customer Service Specialist - ITALIAN Location: Barcelona Salary: €15kpa - €16200pa ..  #job #barcelona #airbnb #hiring</t>
  </si>
  <si>
    <t>Barcelona, España</t>
  </si>
  <si>
    <t>CPM International Contact Centre Barcelona is an award-winning, omni-channel, outsourced contact centre agency spanning multiple languages, markets and channels</t>
  </si>
  <si>
    <t>Caster Azucar</t>
  </si>
  <si>
    <t>AIR B'N'FEAST EP.7 is live now on #youtube at  - check it out! #trailer is below! #youtuber #newyoutuber #foodvlogger #toulouse #france #airbnb</t>
  </si>
  <si>
    <t>🔪Connect with your ingredients 👨‍🍳Re-romanticising cooking 🇳🇿 - 🇬🇧 http://facebook.com/casterazucar Snapchat: casterazucar #casterazucar @casterazucar</t>
  </si>
  <si>
    <t>"We want to pay taxes,” said Airbnb’s head of public policy in 2016. But when Palm Beach required Airbnb to collect and pay a 6% tax on visits, #Airbnb sued.  Getting sued is a sure sign you're on the right track. @CityofVancouver? #vanre @AlexDagg</t>
  </si>
  <si>
    <t>Steve Kleber</t>
  </si>
  <si>
    <t>Design Lovers Agree: These 13 Tiny Houses for Rent on Airbnb Are Seriously Cool #design #tinyhouse #airbnb #housing #rentals #RealEstate</t>
  </si>
  <si>
    <t>Atlanta</t>
  </si>
  <si>
    <t>Pres: Nat'l Remodeling Foundation, Founder: Integrated Marcom agency, Kleber &amp; Associates, specializing in home &amp; building products, residential and commercial</t>
  </si>
  <si>
    <t>Graham Parry</t>
  </si>
  <si>
    <t>In the past my gullibility has been a drawback when seeking employment, but pleased to say I've been offered a job as a pilot with Airbnb. #Airbnb</t>
  </si>
  <si>
    <t>Wymondham, England</t>
  </si>
  <si>
    <t>Comedic creator, stand-up and regular contributor to @bbcnewcomedy . Creating mild amusements since 1847.</t>
  </si>
  <si>
    <t>Airbnb Media™</t>
  </si>
  <si>
    <t>A giant (fake) potato in Idaho has been turned into an Airbnb, and you can rent it for $200 a night  @rachel_hosie #airbnb</t>
  </si>
  <si>
    <t>Airbnb social media @SocialNewsCorp</t>
  </si>
  <si>
    <t>Tim Grissett</t>
  </si>
  <si>
    <t>Have you ever heard of the BRRRR Real Estate Strategy?  #homeowners #realestate #Investors #airbnb</t>
  </si>
  <si>
    <t>20+ yrs experience helping people sell and find the right home in Midtown, Marietta, Buckhead , Decatur, Dunwoody, Virginia Highlands and Morningside.</t>
  </si>
  <si>
    <t>CollegeTimes.com</t>
  </si>
  <si>
    <t>You can now stay in a potato, no joke #Airbnb</t>
  </si>
  <si>
    <t>Dublin City, Ireland</t>
  </si>
  <si>
    <t>College Times: Adulting, one day at a time.</t>
  </si>
  <si>
    <t>richard fertig</t>
  </si>
  <si>
    <t>The grind is real.....#entrepreneur #entrepreneurlife #RealEstate #realestateinvestor #realestatedeveloper #airbnb #superhost #shorttermrentals</t>
  </si>
  <si>
    <t>Jackson, WY</t>
  </si>
  <si>
    <t>Entrepreneur, avid skier, globetrotter. Devoted father. Wannabe ski &amp; surf bum. Contributing editorial writer to Forbes #onelife</t>
  </si>
  <si>
    <t>Hajh</t>
  </si>
  <si>
    <t>Spend the night inside a ........ giant potato?! ‘A giant (fake) potato in Idaho has been turned into an #Airbnb, and you can rent it for $200 a night</t>
  </si>
  <si>
    <t>Georgetown, TX</t>
  </si>
  <si>
    <t>-Retired Dept. of Defense Environmental Policy--</t>
  </si>
  <si>
    <t>THE RADIO GUY LIVE</t>
  </si>
  <si>
    <t>If you’ve ever dreamed of sleeping in a potato... #airbnb #potato #boiseidaho</t>
  </si>
  <si>
    <t>Long Island NY</t>
  </si>
  <si>
    <t>The Last American DJ</t>
  </si>
  <si>
    <t>Finoit Technologies</t>
  </si>
  <si>
    <t>How #technology is bringing affordability to real estate  #tech #Airbnb #RealEstate Cc: @zillow @the_wing @trulia @Airbnb</t>
  </si>
  <si>
    <t>We help #startups &amp; brands achieve their digital goals. We are expert in #SoftwareDevelopment, #MobileAppDevelopment, and #IoTApplicationDevelopment.</t>
  </si>
  <si>
    <t>@Juni</t>
  </si>
  <si>
    <t>Hard working day #Danangcity #Danangairbnb #airbnb #vietbam #mykhebeach #anthuong</t>
  </si>
  <si>
    <t>Danang</t>
  </si>
  <si>
    <t>It goes like this... ^^</t>
  </si>
  <si>
    <t>Revolution Digital Marketing</t>
  </si>
  <si>
    <t>Launch. 🚀 If no one notices, launch again. We can help you launch for the first, second, or third time. Learn more at  #launch #airbnb #yourbrand</t>
  </si>
  <si>
    <t>Edmonton, Alberta</t>
  </si>
  <si>
    <t>Full Service Local Digital Marketing Agency based out of Edmonton.</t>
  </si>
  <si>
    <t>Home Service</t>
  </si>
  <si>
    <t>Here's our #daily #airbnb automation #LifeHack! Rigid check out times make life so much easier! Making sure your guests leave at the same time at the end of the day means that you can schedule cleaning and upkeep for a set time without having to micromanage!</t>
  </si>
  <si>
    <t>Cambridge, MA</t>
  </si>
  <si>
    <t>Home Service is the best #voice #concierge for #hospitality - automating hosting and providing incredible insights.</t>
  </si>
  <si>
    <t>Marta Torres-Ruiz</t>
  </si>
  <si>
    <t>The Airbnb Invasion of Barcelona  #Airbnb #Barcelona</t>
  </si>
  <si>
    <t>New York</t>
  </si>
  <si>
    <t>International reporter. New York. Periódico El Mundo. Sometimes Deutsche Welle, Esquire Spain, Telva, and more. Tweets are my own opinions</t>
  </si>
  <si>
    <t>HolidayScottsdale</t>
  </si>
  <si>
    <t>The Electric Desert continues at #DesertBotanicalGardens through May 12th! Don't miss this spectacular event.  @dbgphx #Airbnb #Vrbo #ElectricDesert</t>
  </si>
  <si>
    <t>Fully furnished two-bed, 2 bath condo for rent. Sleeps 6. The perfect vacation spot.</t>
  </si>
  <si>
    <t>La Bergerie d’ Uzès</t>
  </si>
  <si>
    <t>More check-in days available now...🙂 #Airbnb #maisonenfrance #LaProvence #LeGard #Uzès #Lesnuitsmusicalesuzes</t>
  </si>
  <si>
    <t>Uzès, France</t>
  </si>
  <si>
    <t>Cosy, spacious Provencal villa with swimming pool! Welcome in “ la douce France”. Feel home and enjoy!</t>
  </si>
  <si>
    <t>3 out of last 4 stays haven’t left a review but left notes in the guest book. The one doesn’t surprise me but come on...gotta feed that #SuperHost rank algorithm. #Airbnb #ReviewChat</t>
  </si>
  <si>
    <t>American Institute for Economic Research (AIER)</t>
  </si>
  <si>
    <t>The South African hospitality industry is taking on @Airbnb, and it's using crony-capitalist tools to accomplish its goal. Read @ChloeAnagnos's latest piece for AIER: . #Capitalism #SouthAfrica #Airbnb</t>
  </si>
  <si>
    <t>Great Barrington, MA</t>
  </si>
  <si>
    <t>AIER educates Americans on the value of personal freedom, free enterprise, property rights, limited government, and sound money. RTs not endorsements.</t>
  </si>
  <si>
    <t>Andrea Wrauley</t>
  </si>
  <si>
    <t>Me writing an autofiction piece about holing up in small room for the week pretending I’ve got something important to say. ◇⠀ ⠀ #selfie #mornings #writelife #writersofinstagram #autofiction #memoir #stories #airbnb #travel #vibes #writing #life #wond…</t>
  </si>
  <si>
    <t>Toronto, ON</t>
  </si>
  <si>
    <t>fiction ◇ film ◇ magick ◇ affinity for urban tales, modern syfy + writing long-winded love letters every time something goes awry</t>
  </si>
  <si>
    <t>designer brand emporium</t>
  </si>
  <si>
    <t>Coming to #London for the #ChelseaFlowerShow in #May ? Check out this #Airbnb #chelsea. Why not top off your stay with dinner at the #MichelinStar ⭐ #Bibendum #MichelinHouse the quirky #artdeco iconic former HQ of #MichelinTyres #may2019 #lovelondon 🇬🇧 👇</t>
  </si>
  <si>
    <t>London, Devon, Airbnb 👇</t>
  </si>
  <si>
    <t>Entrepreneur by night http://myworld.ebay.co.uk/androulla14/ By day- Operations Manager #Perucchetti for Lady Boldero's Office. The gay bachelorette #LGBTQ 🏳️‍🌈</t>
  </si>
  <si>
    <t>Property Division</t>
  </si>
  <si>
    <t>"Hosting can also help you show off what makes your city great..." Learn more about hosting with Airbnb -  #Airbnb #AIRBNB</t>
  </si>
  <si>
    <t>For any property related news and updates in the United Kingdom.</t>
  </si>
  <si>
    <t>4 Key Hotel Sales Skills. This is a great read. #hospitality #hospitalityindustry #hotels #checkin #motel #independenthotels #travel #airbnb #hotelprofs #hoteliers #boutiquehotel #tourism #wanderlust #luxuryhotels #hotelroom #hotelbar #hotellobby #...</t>
  </si>
  <si>
    <t>Curtis Warden</t>
  </si>
  <si>
    <t>Somebody is out there killing the #airbnb game</t>
  </si>
  <si>
    <t>Houston Heights</t>
  </si>
  <si>
    <t>Did you know Curtis was just announced as the winner of HAR's Top 20 Realtors under the age of 40. Need representation be represented by the Best.</t>
  </si>
  <si>
    <t>Scott Lester</t>
  </si>
  <si>
    <t>Planning a #vacation trip to #Idaho? Well... you can now #Airbnb a #potato. Yes, I'm serious.</t>
  </si>
  <si>
    <t>Baltimore, Maryland</t>
  </si>
  <si>
    <t>Radio producer for the @KaneShow and voice on @z1043 on @iHeartRadio. Musician/songwriter. Opinions are my own. https://soundcloud.com/scottlesterandwhatarmy</t>
  </si>
  <si>
    <t>Televisory</t>
  </si>
  <si>
    <t>Airbnb IPO, what is causing the delay? Click to read more  #airbnb #travel #vacation #airbnbhost #booking #holiday #airbnbexperience #apartment #tourism #televisory #dataanalytics #benchmarking #industryresearch #creditassesment #monitoring #strategy</t>
  </si>
  <si>
    <t>Televisory provides a premium benchmarking service for operational and financial aspects of businesses over a wide spectrum of industries.</t>
  </si>
  <si>
    <t>Keoghs Farm</t>
  </si>
  <si>
    <t>Summer holidays booked 🥔😂 Thanks for the recommendation @Q102FeelGood 🚜 #airbnb</t>
  </si>
  <si>
    <t>Co. Dublin, Ireland</t>
  </si>
  <si>
    <t>Award winning delicious Irish potatoes &amp; crisps, grown and hand cooked on our family farm! #glutenfree tweets by all the family ☘</t>
  </si>
  <si>
    <t>Cilusse</t>
  </si>
  <si>
    <t>/ quiet night but no dreams . . . #night #sunset #dawn #sky #gradient #blue #turquoise #building #appartment #window #lights #stockholm #sweden #city #sodermalm #travel #airbnb #trip #iphone #snapseed #edit #filter —</t>
  </si>
  <si>
    <t>Worthing (UK) / Toulon (FR)</t>
  </si>
  <si>
    <t>Tech &amp; Art / Lighting &amp; Sound design student / Some call me Frenchy / http://instagr.am/cilusse</t>
  </si>
  <si>
    <t>WFTV Channel 9</t>
  </si>
  <si>
    <t>Potato for rent: Woman transforms ‘faked potato' into #Airbnb 🥔 | See inside:</t>
  </si>
  <si>
    <t>Orlando</t>
  </si>
  <si>
    <t>Central Florida's @ABC news affiliate. Coverage you can count on for the latest news, weather, traffic and more. Tweeting us? You may be on air!</t>
  </si>
  <si>
    <t>Tiffany Loveless</t>
  </si>
  <si>
    <t>Anywhere, USA</t>
  </si>
  <si>
    <t>MarketHeadApartmentBelper</t>
  </si>
  <si>
    <t>Our first review is in! "place is so cosy and homely! We stayed here for a long weekend and had a lovely time! The location is perfect... close to all the local amenities. The apartment has everything you need" #belper #airbnb</t>
  </si>
  <si>
    <t>Belper, England</t>
  </si>
  <si>
    <t>A character 1 bed apartment in the heart of Belper - newly refurbished and close to all the town's amenities.</t>
  </si>
  <si>
    <t>Allan Pulga</t>
  </si>
  <si>
    <t>ICYMI: Fascinating read on the power and market share Airbnb now wields on Earth... Tweet sent from my Airbnb suite in D.C.  #travel #Airbnb</t>
  </si>
  <si>
    <t>Regina, SK</t>
  </si>
  <si>
    <t>My nickname is Poon. Communications and PR consultant. Dad. Lover of food, travel and sneakers.</t>
  </si>
  <si>
    <t>Acton Capital</t>
  </si>
  <si>
    <t>How @HomeToGo outpaces #Airbnb: The Berlin-based search engine startup beats the tech giant in #SEO expertise, shows Juan Gonzalez via @sistrix  #DigitalMarketing #dataviz</t>
  </si>
  <si>
    <t>Munich, Germany</t>
  </si>
  <si>
    <t>GROWTH. DRIVEN BY REASON. Acton is a leading European late-stage #VC investor. We backed @Etsy @iwoca @zooplusUK @holidaycheck @mytheresa_com @HomeToGo etc.</t>
  </si>
  <si>
    <t>Homewood Lodge</t>
  </si>
  <si>
    <t>Homewood Lodge has taken the plunge on twitter. Exciting times ahead!! #Airbnb #holidays</t>
  </si>
  <si>
    <t>Forton, England</t>
  </si>
  <si>
    <t>I'm a bit of a crazy cat, but I prefer dogs to humans. I enjoy painting unloved bits and bobs and I love running the family holiday business, Homewood Lodge.</t>
  </si>
  <si>
    <t>Sujon Khan</t>
  </si>
  <si>
    <t>Sujon</t>
  </si>
  <si>
    <t>EdgeProp Malaysia</t>
  </si>
  <si>
    <t>Don't put cap on short-term rentals, says #Airbnb #myedgeprop</t>
  </si>
  <si>
    <t>Mutiara Damansara</t>
  </si>
  <si>
    <t>EdgeProp.my is Malaysia's most useful property website, focused on empowering consumers with the resources they need to make better-informed property decisions.</t>
  </si>
  <si>
    <t>Bibi</t>
  </si>
  <si>
    <t>Budget Travel Tips: Hostel vs Airbnb Comparison #airbnb #hostel #budgettravel #traveltips #adventure #bibisadventures</t>
  </si>
  <si>
    <t>Augusta, GA</t>
  </si>
  <si>
    <t>Hi! I'm Bibi, a name given to me by my guides when I was climbing Mount Kilimanjaro! http://www.travelswithbibi.com #hiking #notlost #backpacking #HikeWithDogs</t>
  </si>
  <si>
    <t>Elizabeth Byrne</t>
  </si>
  <si>
    <t>Only 3 more sleeps til the #georgetownhousetour! For a comfortable place to stay in the heart of Georgetown, consider this #Airbnb. It has parking available, too. Contact @HomeSweetCity for more information.</t>
  </si>
  <si>
    <t>Amelia Scarlett</t>
  </si>
  <si>
    <t>These 20 Nightmare Airbnb Stories Are so Horrifying You Might Go Back to Regular Hotels for Good #airbnb #amazing</t>
  </si>
  <si>
    <t>califo</t>
  </si>
  <si>
    <t>My mission in life is not merely to survive, but to thrive; and to do so with some passion, some compassion, some humor, and some style.</t>
  </si>
  <si>
    <t>Shelly Robshaw-Bryan</t>
  </si>
  <si>
    <t>Great bit of viral marketing and a bit of a wow moment for me as a recent customer of @Airbnb_uk I just received an email and have a free gift winging it's way to me! Most unexpected and very lovely indeed :) #marketing #airbnb #airbnblove #aesop</t>
  </si>
  <si>
    <t>Nantwich, Cheshire</t>
  </si>
  <si>
    <t>Creatively fizzy Marketing Consultant, SEO &amp; word-person. Loves include snowboarding, the great outdoors &amp; music. I work for the digital agency, Surefire Media</t>
  </si>
  <si>
    <t>The Lagoon House</t>
  </si>
  <si>
    <t>In the end, we only regret the chances we didn't take.  #beachlife #wanderlust #traveling #adventure #February #airbnb</t>
  </si>
  <si>
    <t>Puerto Rico, USA</t>
  </si>
  <si>
    <t>This #AirBnB 6,000 Sf. 5 bed, 7 bath, lagoon-front home features ample space and amenities, perfect for families and groups of all sizes.</t>
  </si>
  <si>
    <t>Schofields Insurance</t>
  </si>
  <si>
    <t>This is where #Airbnb travellers are staying in 2019:  #Travel #holidaylets #holidayhome #holidayhomes #houseinsurance</t>
  </si>
  <si>
    <t>Bolton, UK</t>
  </si>
  <si>
    <t>Provides #insurance for #holidaycottages, #holidaylets &amp; #overseasproperty http://www.schofields.ltd.uk. Shares marketing tips for #holidayrental owners</t>
  </si>
  <si>
    <t>Café ice Residences-Silom/CentralBKhttps://www.airbnb.jp/rooms/696411  via Twitter Web Client #airbnb</t>
  </si>
  <si>
    <t>We at #NestAngel provide only the best room amenities for your guests. Check out  to see what we can provide for your holiday rentals. #airbnb #servicedapartment #hospitality</t>
  </si>
  <si>
    <t>Nanashomes</t>
  </si>
  <si>
    <t>Our new poise room - - - - #airbnbhost #homestay #hosting #Airbnb #airbnbmalaysia #airbnbguest #guestairbnb #homeaway #homeawaymalaysia #agoda #hotel #studio #studioapartment…</t>
  </si>
  <si>
    <t>Petaling Jaya, Selangor</t>
  </si>
  <si>
    <t>Your host for a cosy stay</t>
  </si>
  <si>
    <t>#Airbnb has negatively impacted three key metrics of #hotel performance growth - hotel room #revenues, #averagedailyrates, and #occupancyrates. Read more at  #servicedapartments #servicedapartmentnews</t>
  </si>
  <si>
    <t>Sihle Ngobese</t>
  </si>
  <si>
    <t>Will the new Tourism Amendment Bill end #Airbnb? Is the new Mark Data poll on the elections reliable? This and more in today's The Daily Friend! Watch here --&gt; () You can also read our daily articles at</t>
  </si>
  <si>
    <t>Cape Town, South Africa</t>
  </si>
  <si>
    <t>#YourFavouriteFatboy. Industrial Sociologist. Host of the @BigLibertyShow. I ❤️ #liberty. Head of Strategic Ops at @IRR_SouthAfrica. Ideas matter. 🇿🇦🇮🇱🇺🇸</t>
  </si>
  <si>
    <t>Ivan Oliveros</t>
  </si>
  <si>
    <t>Ciudad Guayana, Venezuela</t>
  </si>
  <si>
    <t>Linda</t>
  </si>
  <si>
    <t>Manuel Solartes</t>
  </si>
  <si>
    <t>Chacao, Venezuela</t>
  </si>
  <si>
    <t>Anti-Socialista Anti-Chavista</t>
  </si>
  <si>
    <t>Jhonnatan Padron Oliveros</t>
  </si>
  <si>
    <t>Especial</t>
  </si>
  <si>
    <t>Clemen Gonzalez</t>
  </si>
  <si>
    <t>Caracas, Venezuela</t>
  </si>
  <si>
    <t>Lesbiana</t>
  </si>
  <si>
    <t>DHENNYS FARIAS</t>
  </si>
  <si>
    <t>Venezuela</t>
  </si>
  <si>
    <t>Interesante</t>
  </si>
  <si>
    <t>Jose David Oliveros Marcano</t>
  </si>
  <si>
    <t>Serio Demás...</t>
  </si>
  <si>
    <t>Gladys Malave</t>
  </si>
  <si>
    <t>Pobre, Venezolana....</t>
  </si>
  <si>
    <t>Luis Oliveros</t>
  </si>
  <si>
    <t>Bien... Normal</t>
  </si>
  <si>
    <t>Nightwalk Dresden</t>
  </si>
  <si>
    <t>#StreetArt Tour today with guests from #Airbnb in #Dresden #Travel #Sightseeing #Stadtführung</t>
  </si>
  <si>
    <t>Dresden, Germany</t>
  </si>
  <si>
    <t>Alternative Sightseeing Tour Dresden - with Street Art Tour Dresden, Kurt Vonnegut Tour &amp; Nightwalk Dresden call or SMS +49 172 7815007</t>
  </si>
  <si>
    <t>Elisha Gordon</t>
  </si>
  <si>
    <t>We have had incredible guests airbnb - and generous reviews 😍😍😍 #5star #airbnb #stayhere #brooklynairbnb #brooklyn #visitbrooklyn #host @ Brooklyn, New York</t>
  </si>
  <si>
    <t>Brooklyn</t>
  </si>
  <si>
    <t>Work hard. Play hard.</t>
  </si>
  <si>
    <t>Dianne Bayley</t>
  </si>
  <si>
    <t>Every time we find ways earn a little much-needed money, #Government and now #DepartOfTourism, stops us. They arrest #Spaza owners; remover street vendors; give NO support to #SMEs - and now, "Regulating #Airbnb "? What if #Leisure industry wasn't so expensive? #Travel @Airbnb RT @ITOnlineSA: IS THIS FAIR? ‘Regulation of #Airbnb is draconian’ says @FMFSouthAfrica's Chris Hattingh in response to #Government #Tourism Amendment Bill on 12 April; #DepartmentOfTourism says "it's about being fair". Your thoughts? @Airbnb #SouthAfrica ~</t>
  </si>
  <si>
    <t>Johannesburg, South Africa</t>
  </si>
  <si>
    <t>Freelance writer; social media &amp; online reputation specialist. Be brave. Use your real name and pic. Blocked by #OurDA - #FreeSpeechGone</t>
  </si>
  <si>
    <t>123 Reg</t>
  </si>
  <si>
    <t>What a great #business idea! 🥔💡#Airbnb #entrepreneurs #hospitality #creative #property RT @thisisinsider: A giant potato in Idaho has been turned into an Airbnb, and you can rent it for $200 a night</t>
  </si>
  <si>
    <t>London, UK</t>
  </si>
  <si>
    <t>Kick start a successful online business. 123 Reg provides domains, hosting, email, SEO and more!</t>
  </si>
  <si>
    <t>IT-Online</t>
  </si>
  <si>
    <t>IS THIS FAIR? ‘Regulation of #Airbnb is draconian’ says @FMFSouthAfrica's Chris Hattingh in response to #Government #Tourism Amendment Bill on 12 April; #DepartmentOfTourism says "it's about being fair". Your thoughts? @Airbnb #SouthAfrica ~</t>
  </si>
  <si>
    <t>One of South Africa's leading IT publications and websites.</t>
  </si>
  <si>
    <t>GetPaidForYourPad</t>
  </si>
  <si>
    <t>Airbnb News Update April  #airbnb @airbnb</t>
  </si>
  <si>
    <t>Los Angeles</t>
  </si>
  <si>
    <t>Learn to maximize profits with your Airbnb listing from the BEST resource available and Get Paid For Your Pad.</t>
  </si>
  <si>
    <t>Bigger Picture</t>
  </si>
  <si>
    <t>Have you got a property out there that you can't sell, a hotel room or an AirBnB that you just can't fill? We can help you achieve that sale or occupancy through our professional photography. #professionalphotography #airbnb #property #nefollowers</t>
  </si>
  <si>
    <t>North East, England</t>
  </si>
  <si>
    <t>Specialist commercial photography and film. Suppliers of inspiring and effective images to industry and the media.</t>
  </si>
  <si>
    <t>Jesper Glasius</t>
  </si>
  <si>
    <t>Keep your eyes open when staying away from home - not all people have good intentions. See earlier tweet for tips on how to spot hidden cameras. #travel #travelrisk #AirBnB</t>
  </si>
  <si>
    <t>Currently Cadiz, Andalusia</t>
  </si>
  <si>
    <t>Travel Risk Management professional, always learning and curious about innovation and sustainability. Will occasionally give opinions - those are my own</t>
  </si>
  <si>
    <t>Tired of Hotels? Get UP to 55$ OFF on tour first Booking on  for Great Apartments! Sign up here for free! #RipCity #Dame #Lillard #Travel #Airbnb #Saveyourmoney</t>
  </si>
  <si>
    <t>Exiled Arizona</t>
  </si>
  <si>
    <t>MATT hanging out in Tzavella blocking site of previous raid. Looks like for building workers. #antireport #airbnb #investment</t>
  </si>
  <si>
    <t xml:space="preserve">Exarcheia, Athens </t>
  </si>
  <si>
    <t>Live reports from Athens during events. Anarchist, post left. Greece is my home far away from home.</t>
  </si>
  <si>
    <t>Brenthurst Wealth</t>
  </si>
  <si>
    <t>Important info to take note of: "Airbnb says it has boosted the SA economy by R8.7 billion and created 22,000 jobs." - @mybroadbanc Crazy Airbnb regulations show that government just doesn’t understand business: FMF  #airbnb @GoToSouthAfrica @Tourism_gov_za</t>
  </si>
  <si>
    <t>Official page of Brenthurst Wealth. Accredited FPI Approved Professional Practice™ http://www.bwm.co.za/index.php/disclaimer. Top Boutique Wealth Manager 2017</t>
  </si>
  <si>
    <t>On Koh Samui, illegal hotels raided, foreigners arrested they were not paying the same taxes, or operating under the same rules, as the licensed hotels. #thailand #illegalhotels #unlicencedhotels #airbnb #vrbo</t>
  </si>
  <si>
    <t>Breathe</t>
  </si>
  <si>
    <t>“He who climbs upon the highest mountains laughs at all tragedies, real or imaginary. #breathe #coworking #mountains #mentalhealth #hiking #cowork #airbnb</t>
  </si>
  <si>
    <t>Uttaranchal, India</t>
  </si>
  <si>
    <t>Your Himalayan co-working retreat</t>
  </si>
  <si>
    <t>The latest image from the GowerLive #webcam on the roof 730RocksMumbles #AirBnB. Book at  #Mumbles #Swansea #Gower #travel. Watch live at  #622</t>
  </si>
  <si>
    <t>Flamingo Short Lets</t>
  </si>
  <si>
    <t>We’re proud of our 96% occupancy rates and excellent record of service. It’s how we’ve won excellent reviews on all the listings platforms we use and achieved Super-host status with Airbnb! 🏚️🌟 Read more about us:  #airbnb #propertymanagement</t>
  </si>
  <si>
    <t>We are dedicated professionals that specialise in short let and serviced apartment management, including housekeeping and cleaning across the UK 🏠</t>
  </si>
  <si>
    <t>You know what to do.👇👇👇 Be assisted by a 2xSuperhost!!! For booking: ✔AIRBNB - ⠀ ✔ -⠀ #AIRBNBsuperhost #AIRBNB #bestplaceindxb #dreamdtravels #UAEDUBAI #dubaistay #dubaimarina #dubailuxuryapartment</t>
  </si>
  <si>
    <t>Anabode</t>
  </si>
  <si>
    <t>Airbnb backs call for mandatory registration system for short let properties  #Landlords #PropertyNews #AirBnB #ShortLets #London</t>
  </si>
  <si>
    <t>London, The World</t>
  </si>
  <si>
    <t>The Property Management App for Landlords &amp; Property Professionals. Connect maintenance providers. Streamline communications &amp; processes. Get started for free.</t>
  </si>
  <si>
    <t>Jamie King</t>
  </si>
  <si>
    <t>Airbnb Has a Hidden-Camera Problem.  . #airbnb #camera #cryptocurrency #crypto #happy #problem #ico #ethereum #pets</t>
  </si>
  <si>
    <t>Former Europe.</t>
  </si>
  <si>
    <t>Host, STEAL THIS SHOW - https://stealthisshow.com &amp; https://patreon.com/stealthisshow Founder, Totemic https://totemic.co Previously: VODO, STEAL THIS FILM</t>
  </si>
  <si>
    <t>Executive Sea view apartement 84 m2https://www.airbnb.jp/rooms/2999964  via Twitter Web Client #airbnb</t>
  </si>
  <si>
    <t>Lottie</t>
  </si>
  <si>
    <t>Peaceful mornings ❤️ . . . #Peace #peaceful #morningmotivation #tranquil #mountains #meditation #Mindfulness #WednesdayMotivation #stmarysspace #airbnb #creativeretreat #retreat #yoga #breathe #recordingstudio #studiolocation #argyll #highlands #Scotland</t>
  </si>
  <si>
    <t>West Highlands, Scotland, UK</t>
  </si>
  <si>
    <t>Residential recording studio, creative retreat, wedding venue &amp; airbnb in the Scottish Highlands http://www.facebook.com/stmarysspace http://www.instagram.com/st.marys.space/</t>
  </si>
  <si>
    <t>Filips Palace</t>
  </si>
  <si>
    <t>Ljubljana castle. Book your city trip holiday in this beautiful city.  #hotel #ljubljanastay #airbnb #filippalace #ljubljanastay #booking #centerstay #ljubljana #castle</t>
  </si>
  <si>
    <t>Republic of Slovenia</t>
  </si>
  <si>
    <t>AIRBNB - get 46€ off your stay with under link: https://www.airbnb.com/c/ulojk</t>
  </si>
  <si>
    <t>Cottagetree</t>
  </si>
  <si>
    <t>Discover Suffolk this summer - a beautiful coastline, rural villages, and a stunning selection of holiday cottages to stay in! #suffolk #cycling #walking #Norfolk #airbnb #swimming #familyholidays #suffolkcoast #selfcatering #petfriendly #holidaycottages</t>
  </si>
  <si>
    <t>Charming holiday cottages in beautiful rural and coastal locations throughout Suffolk.</t>
  </si>
  <si>
    <t>Bear Kub Kabin</t>
  </si>
  <si>
    <t>Almost time for those fun summertime lake weekends. Get your spring and summer reservations in soon. #BearKubKabin  Photo by: @bigbearrealtor_jess #bigbear #bigbearlake #cabin #vacationrental #logcabin #visitbigbear #airbnb #vrbo #beautifuldestinations</t>
  </si>
  <si>
    <t>Big Bear Lake, CA</t>
  </si>
  <si>
    <t>Beautiful log cabin vacation rental in Big Bear Lake, CA. Perfect for 1 or 2 families. 3 bedroom. Sleeps 8. One block from Snow Summit. #bearkubkabin</t>
  </si>
  <si>
    <t>Out There</t>
  </si>
  <si>
    <t>The latest #TourismAmendmentBill calling for regulation of @Airbnb smacks of #Communism ideals. Minister of #tourism can place ‘thresholds’ on occupancy of #Airbnb #SA. Limiting #occupancy and #income of #hosts. @alanwinde @SouthAfricaTM @DestGardenRoute</t>
  </si>
  <si>
    <t>Garden Route, Western Cape SA</t>
  </si>
  <si>
    <t>Getting Garden Route tourism, business and news Out There!</t>
  </si>
  <si>
    <t>#Tea is always the best idea😊 Explore maison tea menu with more than 30 different types🍵 #maisonvie #london #kilburn #nw6 #frenchcafe #frenchbakery #frenchrestaurant #ICMP #airbnb #londonfoodie #londonfood #londoncafe #londonbakery #londonrestaurant #queenspark #southhamstead</t>
  </si>
  <si>
    <t>░C░H░A░S░I░N░G░ ░T░H░E░ ░D░O░N░K░E░Y░</t>
  </si>
  <si>
    <t>Tips and tricks to make the most of your Airbnb stay.  #TravelTips #Croatia #Airbnb</t>
  </si>
  <si>
    <t>Croatia</t>
  </si>
  <si>
    <t>We are Aussies who live in Croatia &amp; blog about it, the Balkans &amp; Eastern Europe. We cover travel, accomm food &amp; culture. Ranked in the Top 50 Travel Blogs.</t>
  </si>
  <si>
    <t>Angelo Candido</t>
  </si>
  <si>
    <t>“The sounds of dozens of wheelie suitcases rattling over the cobblestones after an 11 a.m. checkout have become as reliable as the bells of the Sagrada Familia” - The #Airbnb #Invasion of #Barcelona</t>
  </si>
  <si>
    <t>Rome</t>
  </si>
  <si>
    <t>“L’Italia produce poco grano perché è tutta coltivata a retorica” (Vittorio Gassman ne “Il profeta” di Dino Risi, 1968)</t>
  </si>
  <si>
    <t>🚀 Götz Thümecke CEO Eventerprise ☀</t>
  </si>
  <si>
    <t>Massive traction from selected tech Unicorn 🦄 IPOs 🙂 &amp; more Big Guns in the pipeline for 2019 🚀🚀 Good luck 🤞 . . . #zoom #lyft #uber #Airbnb #slack #pinterest #wework #Unicorn #vc…</t>
  </si>
  <si>
    <t>Digital Transformation | Diversity &amp; Inclusion | Organizational change | Innovation http://linkedin.com/in/gotzthumecke</t>
  </si>
  <si>
    <t>Get up to 55$ OFF on your first Booking on Airbnb for Great Apartments! Sign up here! #WorldBookDay #TuesdayThoughts #TuesdayMotivation #Lemonade #Travel #Airbnb</t>
  </si>
  <si>
    <t>Platform Group</t>
  </si>
  <si>
    <t>We like this. Floyd the furniture company have partnered with their favourite Air B&amp;Bs in the US and supplied their furniture providing bespoke showrooms for their brand.  #Floyd #AirBnb #Furniture #vacation #US #holidays #design</t>
  </si>
  <si>
    <t>Brighton</t>
  </si>
  <si>
    <t>We transform people’s experience of your business inside and out. Beautiful, creative, targeted thinking that drives business success. Brand Interiors Digital</t>
  </si>
  <si>
    <t>A Highland afternoon @visitnsw @visitsouthernhighlands @airbnb #visitsouthernhighlands #kangaloon #southernhighlands #NewSouthWales #sunset #airbnbau #airbnb #kangaloon #australia #travel #explore #wine #beer #fire #aussie #clovarcreative</t>
  </si>
  <si>
    <t>CyberTaters</t>
  </si>
  <si>
    <t>For a moment there I thought I was some Uber masher. Reality hit, using admin:admin on a Airbnb wifi router is more research than anything else. I shall have a discussion with the owner regardless. #potatosecurity #changeyourpasswords #potato #bali #adminadmin #airbnb #masher</t>
  </si>
  <si>
    <t>Eugene, OR</t>
  </si>
  <si>
    <t>s/cyber/potato/ig; -- yet another @m0rb bot</t>
  </si>
  <si>
    <t>Ken Summers</t>
  </si>
  <si>
    <t>For a moment there I thought I was some Uber hacker. Reality hit, using admin:admin on a Airbnb wifi router is more research than anything else. I shall have a discussion with the owner regardless. #cybersecurity #changeyourpasswords #cyber #bali #adminadmin #airbnb #hacker</t>
  </si>
  <si>
    <t>Perth</t>
  </si>
  <si>
    <t>All the letters are present, grammar and spelling are negotiable. Part time poet, lyricist, photographer, masters student and Cyber Security guy.</t>
  </si>
  <si>
    <t>Ad Age India 🇮🇳</t>
  </si>
  <si>
    <t>Why are Brands Interested to Invest in Oyo?  #Airbnb @Yougov_India @oyorooms</t>
  </si>
  <si>
    <t>India</t>
  </si>
  <si>
    <t>Join the conversations about marketing, advertising and media.</t>
  </si>
  <si>
    <t>DiamondBoxing</t>
  </si>
  <si>
    <t>Check out this awesome Entire condominium on Airbnb: Live Like Royalty On The Las Vegas Strip!, sleeps 5 #AirBnB #Vegas #LasVegas #Poker #NHL #VGK #Raiders #NFL</t>
  </si>
  <si>
    <t>New  York</t>
  </si>
  <si>
    <t>Boxing and Boxing and more Boxing</t>
  </si>
  <si>
    <t>Think Realty</t>
  </si>
  <si>
    <t>Best places to live-  #thinkrealty #realestateinvesting #Airbnb</t>
  </si>
  <si>
    <t>Resources for #RealEstate Investors | The central source for connecting investors with all the resources you need to succeed! | #WeThinkRealty</t>
  </si>
  <si>
    <t>George Washington slept herehttps://www.airbnb.jp/rooms/970329  via Twitter Web Client #airbnb</t>
  </si>
  <si>
    <t>Large 5Star #Florida #vacationhome with prival pool on #Airbnb Tropical #TommyBahama style - #VRBO April 23, 2019 at 10:00PM</t>
  </si>
  <si>
    <t>FairParkRising</t>
  </si>
  <si>
    <t>Fire suppression system working yet at Statler? All still #AirBNB ? RT @tgborch: Pretty quick progress on a major project. Still waiting for any construction to happen on Centurion sites in southern Dallas. Plano approves $1 billion redevelopment plan for Collin Creek Mall</t>
  </si>
  <si>
    <t>Dallas, TX</t>
  </si>
  <si>
    <t>Tracking the new revitalization plan for Fair Park and other topics</t>
  </si>
  <si>
    <t>CaptainJetson.com  - Best Travel Advisor</t>
  </si>
  <si>
    <t>Top 15 Competitor Alternatives to Airbnb  #travel #airbnb #airbnbalternatives</t>
  </si>
  <si>
    <t>Los Angeles, CA</t>
  </si>
  <si>
    <t>Travel, #aviation Blogger &amp; #Airline Pilot sharing his more than 30 years of How to Travel the World. Visit- https://captainjetson.com #travel #flights #hotels</t>
  </si>
  <si>
    <t>Alexander Jarvis</t>
  </si>
  <si>
    <t>Private #Airbnb email on how a #VC missed out on a #unicorn</t>
  </si>
  <si>
    <t>Fundraising? Does your pitch deck suck? Want pro attention. Head to http://perfectpitchdeck.com</t>
  </si>
  <si>
    <t>David DesBaillets</t>
  </si>
  <si>
    <t>Rise of ghost hotels casts pall over #Toronto rental market  #Housing #R2housing #NHS #AirBNB #onpoli</t>
  </si>
  <si>
    <t>Outremont, Montréal</t>
  </si>
  <si>
    <t>Epitaph shall read Good friend for God sake forbear To dig the dust enclosed here Blessed be the man that spares these stones &amp; cursed be he that moves my bones</t>
  </si>
  <si>
    <t>Airbnb Siem Reap</t>
  </si>
  <si>
    <t>Best Siem Reap #airbnb in town | @Airbnb #follobackforfolloback #cambodia</t>
  </si>
  <si>
    <t>Cambodia</t>
  </si>
  <si>
    <t>#travel to #siemreap #angkor https://www.airbnb.com/users/86985840/listings @airbnb discovering #instagood clearly #amazing</t>
  </si>
  <si>
    <t>SpoCoLibraryDistrict</t>
  </si>
  <si>
    <t>#vacation #literarytravels #airbnb Book Your Dream Literary Escape Today For $17 Through Airbnb</t>
  </si>
  <si>
    <t>Spokane County, Washington</t>
  </si>
  <si>
    <t>Our vision is a community that learns, works, creates, and thrives together.</t>
  </si>
  <si>
    <t>We need the tourism industry in Spain and everywhere brought back into local hands and away from big faceless money grabbing corporations and Airbnb #spain #tourism #travel #universalBnB #airbnb #barcelona</t>
  </si>
  <si>
    <t>thailand</t>
  </si>
  <si>
    <t>ALL properties in Thailand offering room/rooms on a daily basis require a Hotel Licence, we are here to help you if you do not have one. http://www.myillegalhotel.com</t>
  </si>
  <si>
    <t>Scott McMaster</t>
  </si>
  <si>
    <t>Raise cash for the VC's to plow into more unicorns, rinse, repeat...The reason so many unprofitable companies are going public  #Uber #Lyft #UberIPO #AirBnB #IPO</t>
  </si>
  <si>
    <t>Washington State, USA</t>
  </si>
  <si>
    <t>software developer, distance runner, fitness guy, renaissance man</t>
  </si>
  <si>
    <t>FoxGroveFarm</t>
  </si>
  <si>
    <t>Junior Suites 1 and 2 are ready for single travelers or couples, pet friendly too! #airbnb #airbnbsuperhost #ocalafl #juniorsuites</t>
  </si>
  <si>
    <t>Ocala, FL</t>
  </si>
  <si>
    <t>Home of Palm Equestrian Academy, managed by @Cyril_PR, @lynnspalm and @mfcdavis @Airbnb hosts at Fox Heaven, Fox Hideaway, Fox Lodge, Fox Den and Fox Lair.</t>
  </si>
  <si>
    <t>Jim Ingersoll</t>
  </si>
  <si>
    <t>Have you tried staying or hosting an AirBnB? How do you like it? #airbnb RT @realtordotcom: Despite new regulations, the short-term #rental industry is still booming in these cities.  #Airbnb #VRBO</t>
  </si>
  <si>
    <t>Richmond, VA</t>
  </si>
  <si>
    <t>Author, Host of Real Estate Success Podcast and the Deal Maker 2020 Live . http://www.investingnownetwork.com</t>
  </si>
  <si>
    <t>A new business collaboration between @HeartFuse and @VenicePeach! Follow and find out all that #AirBandMe can do for your #airbnb rentals and listings to make them POP! Get in touch!</t>
  </si>
  <si>
    <t>617AtlRental</t>
  </si>
  <si>
    <t>#vacationrental #vacationhome #Airbnb in #Atlanta 4bed 2bath mins from the airport and miles from downtown #booknow #617atlrental</t>
  </si>
  <si>
    <t>Traveling to #ATL &amp; need a vacation rental click the link in the bio, DM us for more information! Nice homes mins away from the Airport &amp; Downtown Atlanta</t>
  </si>
  <si>
    <t>HostlyBnb</t>
  </si>
  <si>
    <t>Who doesn't love a full kitchen in their @airbnb? Check out our property in Lakeview. Visit  for more photos #hostly #hostlyChicago #airbnbexperience #airbnbhomes #airbnbchicago #airbnbproperties #airbnb #airbnbkitchen</t>
  </si>
  <si>
    <t>Hostly Chicago at your service! We do Airbnb &amp; property rental management right. Contact us to take the hassle out of Airbnb'ing today: http://hostlybnb.com.</t>
  </si>
  <si>
    <t>Lisa Peterson</t>
  </si>
  <si>
    <t>With manicured garden settings, this home offers a tranquil green backdrop, whilst seamless living spaces have been styled to perfection with tribal influences.  . . #labodeaccommodation #realestate #property #airbnb #homehost</t>
  </si>
  <si>
    <t>Sydney</t>
  </si>
  <si>
    <t>Accommodation Specialist and Personal Concierge</t>
  </si>
  <si>
    <t>TidyHost</t>
  </si>
  <si>
    <t>#AtlanticCity with our management partners @shphilly1. Looking for a full service management and cleaning solution for your #airbnb? Ask us how!</t>
  </si>
  <si>
    <t>Philadelphia, PA</t>
  </si>
  <si>
    <t>Airbnb Cleaning in Philadelphia PA, Atlantic City NJ, Chicago IL, and San Diego CA 🏠🛎 Visit us at http://TidyHost.co</t>
  </si>
  <si>
    <t>mycummingnews</t>
  </si>
  <si>
    <t>Here's what I've been working on today! Watch the full story at . #ShortTermRentals #Airbnb #CummingGA #ForsythCountyGA #MyCummingNews #WhereAtlantaSpeaks #MetroAtlanta #ATL #Atlanta #11Alive @11AliveNews</t>
  </si>
  <si>
    <t>Cumming, GA</t>
  </si>
  <si>
    <t>My Cumming News powered by @11alive is your hub for all things #CummingGA 🎥📍 Stay Connected FB: “My Cumming News”</t>
  </si>
  <si>
    <t>L'Abode</t>
  </si>
  <si>
    <t>Luxury Accommodation Specialists: We strive to provide our guests with a personalised and enjoyable experience with expert attention to detail.</t>
  </si>
  <si>
    <t>Sam Faissal</t>
  </si>
  <si>
    <t>Not being customer-centric is the biggest threat to any business!! It’s NOT technology!! #Netflix #Uber #Apple #Amazon #AirBnB</t>
  </si>
  <si>
    <t>Montreal, Quebec, Canada</t>
  </si>
  <si>
    <t>Educational Technologist - #FinoAllaFine #WeTheNorth - SAM (Success = Attitude + Motivation)</t>
  </si>
  <si>
    <t>sumos.io</t>
  </si>
  <si>
    <t>A case of an Airbnb host who acts like a malicious spy using internet cameras.  Try these 6 simple ways to protect yourself.  #IoT #smarthome #airbnb #security #Malware #Hackers #Hacker</t>
  </si>
  <si>
    <t>Burlingame, CA</t>
  </si>
  <si>
    <t>Hacker Alerts for Your Connected Devices. For people who love their connected devices plus the peace of mind of a secure home network.</t>
  </si>
  <si>
    <t>Brian Keith Ellis</t>
  </si>
  <si>
    <t>Looking to help out an aging parent or to make some extra money on #AirBnB? — Either way, this gorgeous home with full in-law suite is amazing!</t>
  </si>
  <si>
    <t>Kitchener, Waterloo, Cambridge</t>
  </si>
  <si>
    <t>Friend, family man, REALTOR® in #WaterlooRegion - Dedicated to high level customer service and results! KWGTR Brian@BrianEllisTeam.ca #BrianEllisSalesTeam</t>
  </si>
  <si>
    <t>Euro Amy</t>
  </si>
  <si>
    <t>This Easter we were scammed on #Airbnb and we only found out on the street in location. I have complained &amp; had some limited assistance that came too late and was insufficient. Note; Airbnb does not check the phone or email details of hosts are real, nor their ID. Thread...</t>
  </si>
  <si>
    <t>Spain</t>
  </si>
  <si>
    <t>Politically active mother, psychologist, entrepreneur and world citizen, living in Barcelona, Spain.</t>
  </si>
  <si>
    <t>American Bubble Tent Factory</t>
  </si>
  <si>
    <t>Bubble Huts LLC -  #glamping #tents #camping #outdoors #madeinusa #startups #biztrends #popuphotels #boutiquehotels #airbnb #bnb</t>
  </si>
  <si>
    <t>American Bubble Tent &amp; Life-size Crystal Globe Manufacturer located in Arizona, USA Founder/CEO Amy Kaiserman</t>
  </si>
  <si>
    <t>Kristyn Wong-Tam</t>
  </si>
  <si>
    <t>Rise of ghost hotels casts pall over Toronto rental market #HousingCrisisTO #Airbnb</t>
  </si>
  <si>
    <t>Toronto, Turtle Island</t>
  </si>
  <si>
    <t>Progressive. Human rights activist. Urbanist. Champion of all things Toronto. http://www.kristynwongtam.ca</t>
  </si>
  <si>
    <t>Neelo Villar</t>
  </si>
  <si>
    <t>Can't afford to have a unit yet so better experience it thru airbnb. #staycation #Wheninmanila #Airbnb</t>
  </si>
  <si>
    <t xml:space="preserve">Quezon City, National Capital </t>
  </si>
  <si>
    <t>Leap of faith</t>
  </si>
  <si>
    <t>Paul Marshman</t>
  </si>
  <si>
    <t>"... There are more than 1,700 Airbnb usernames in Toronto listing more than one entire property for rent", starving the city's rental market (Toronto Star): This is just one of the things wrong with #Airbnb</t>
  </si>
  <si>
    <t>Baby boomer influencer, writing about travel for over-50s on the move. Read my travel tips, cruising advice and adventures at The Travelling Boomer</t>
  </si>
  <si>
    <t>Suzi Pratt</t>
  </si>
  <si>
    <t>Home for tonight. So excited to spend the night on.a sailboat in the middle of the sea. #airbnb</t>
  </si>
  <si>
    <t>Seattle, WA</t>
  </si>
  <si>
    <t>Photographer @GettyImages @EaterSeattle. Writer @DigitalPS. One half of @GeminiConnect [Photo tips + camera gear + vlogs].</t>
  </si>
  <si>
    <t>Open and airy Laurelwood. All the windows offer lots of opportunity for wildlife sightings! 🐿🐇🦌 #boone #airbnb #homeaway</t>
  </si>
  <si>
    <t>#2019April24thOKINAWA 「Comic Dojo TEE🥋Family」 PM17:00〜 PM20:00〜 Experience the weightlessness performance at close range  #Okinawa #Japan #Travel #Airbnb #Naha #Tourism #Pocketalk #Nonverbal #Entertainment #TEEFamily #THEKINGOFFIGHTERS🔥</t>
  </si>
  <si>
    <t>Margie Abernethy</t>
  </si>
  <si>
    <t>Considering extra income? Become an AirBnB host! #AirBnB #SuperHostBecome an Airbnb host here</t>
  </si>
  <si>
    <t>Sarasota, FL</t>
  </si>
  <si>
    <t>Lucky lady, loving wife &amp; lifestyle blogger. Estate Sale Aficionado, cannabis advocate. Blogger at Happy Healthy Over http://50.com</t>
  </si>
  <si>
    <t>Kevin F. Czaicki</t>
  </si>
  <si>
    <t>Hawaiian legislators approve plans to #tax #Airbnb and other short-term rentals</t>
  </si>
  <si>
    <t>Columbia, MO</t>
  </si>
  <si>
    <t>Name pronounced, psyche [sahy-kee]. Nerd @CenturyLink. Hobby-biking. Looking for the next technology. Information contained in my posts reflect my views only.</t>
  </si>
  <si>
    <t>Hastings County EcD</t>
  </si>
  <si>
    <t>There are still spaces left for the Short-Term Accommodations Workshop Series Workshop #1. Visit  to view available dates and purchase your ticket. #Airbnb</t>
  </si>
  <si>
    <t>Hastings County, ON, Canada</t>
  </si>
  <si>
    <t>What's happening in local #Economic &amp; #Tourism #Development | Attracting #entrepreneurs who dream of saying #ileftthecity - ask us how to make it happen today.</t>
  </si>
  <si>
    <t>EFL</t>
  </si>
  <si>
    <t>Hah!!! Nice. #Airbnb ! Big #Idaho Potato turned into a hotel  via @10NewsWTSP</t>
  </si>
  <si>
    <t>Tampa, FL❤️ Virginia &amp; Atlanta</t>
  </si>
  <si>
    <t>My “bio” changes with each day; life is entertaining like that</t>
  </si>
  <si>
    <t>IG: @veganndahood</t>
  </si>
  <si>
    <t>To celebrate Mama Earth Yesterday we made some “PESTO”. a SUSTAINABLY GREEN Capsule with 12 special ingredients. Our #airbnb His and Hers Weekender Capsule was designed w couples in mind,…</t>
  </si>
  <si>
    <t>Newark, NJ</t>
  </si>
  <si>
    <t>🏚🍄🏢🏠🏬🏚</t>
  </si>
  <si>
    <t>Taking light &amp; bright to another level! Visit Us at  to learn how to profit from investment properties that you don't even need to own. #airbnb #vacationrental #luxurylisting</t>
  </si>
  <si>
    <t>A.J. Birtwistle</t>
  </si>
  <si>
    <t>Why is it call AirBnB? They don't offer breakfast. It should just be called AirB. @Airbnb #airbnb #airb #liesandtrickery #accommodation #bednobreakfast #notincluded</t>
  </si>
  <si>
    <t>Vancouver, BC</t>
  </si>
  <si>
    <t>#AirBNB crisis, front page on the Toronto Star. @ptfry, @kennedystewart, illegal hotels are illegal. #STR regulations without enforcement are worse than the situation they replaced. Vancouver's situation would be embarrassing if it weren't so incredibly damaging. #vanre RT @Vodarek: My first front page story: @TorontoStar — Rise of short-term rentals eat up market. Thanks to my partner @swathisadagopan, and our mentor, the amazing @thecribby. Thrilled!!! #investigativejournalism #affordablehousing #airbnb @munkjournalism</t>
  </si>
  <si>
    <t>G-Pod Americas</t>
  </si>
  <si>
    <t>We are excited to call Texas our new home! DM for private tour. . . . #gpodLiving #modern #architecture #adventure #digitalnomad #containerhome #travel #airbnb #design #homedesign #modularhomes #offgrid #tinyhouse #cabinlife #nature #explore #tech</t>
  </si>
  <si>
    <t>Austin, TX</t>
  </si>
  <si>
    <t>Transportable luxury living. Grand spaces. Small footprint. A modern modular space designed to embrace the outdoors.</t>
  </si>
  <si>
    <t>Keith Gormezano</t>
  </si>
  <si>
    <t>The @Airbnb Invasion of Barcelona. The other side of the "Evil #Airbnb Empire" and how it hurts locals.</t>
  </si>
  <si>
    <t>Seattle, WA, United States</t>
  </si>
  <si>
    <t>Advanced Certified QuickBooks ProAdvisor (desktop &amp; online) &amp; Intuit Premier Reseller makes house calls in Greater Seattle to help you. 206-789-8328 abt@scn.org</t>
  </si>
  <si>
    <t>Brett Boese</t>
  </si>
  <si>
    <t>Not #fakenews: Recent #Airbnb guest of mine was hired on the spot by #rochmn bar after walk-in job request. Started working the very next day. RT @ecutts_PB: Some area restaurants and bars are struggling with finding enough employees. “With six restaurants closing in Rochester recently, you’d think there would be people. Where did they go?” Rochester Chef Chris Rohe asked. Story via @WheresKiger</t>
  </si>
  <si>
    <t>Rochester, MN</t>
  </si>
  <si>
    <t>Gustavus grad, ex-journalist and sports junkie</t>
  </si>
  <si>
    <t>So much colour and charm #comfortcottagehealing #visitwales #dogfriendly #TheDogsWithMe #alpacas #ArtsWales #SunDogs #Airbnb RT @GDPTenby: day now languorous hard shadowed amidst a tide mantra *Tenby Harbour Pembrokeshire Wales @TenbyOfficial @ruthwignall @ThePhotoHour @DerekTheWeather @lovepembs @kelseyredmore @WALES @WalesCoastPath @Campaign4Parks</t>
  </si>
  <si>
    <t>Pretpark Amsterdam</t>
  </si>
  <si>
    <t>Amsterdam, Noord-Holland</t>
  </si>
  <si>
    <t>Open 24/7 - Pretpark Amsterdam Bewoners 020 vragen aandacht voor commerciële uitbuiting van stad - monocultuur bezoekers toerisme short stay hotels disneyland</t>
  </si>
  <si>
    <t>My first front page story: @TorontoStar — Rise of short-term rentals eat up market. Thanks to my partner @swathisadagopan, and our mentor, the amazing @thecribby. Thrilled!!! #investigativejournalism #affordablehousing #airbnb @munkjournalism</t>
  </si>
  <si>
    <t>Chad E. Watson</t>
  </si>
  <si>
    <t>Oh yeah. Sounds like an excellent idea! #blackbird #southwestairlines lookout! #flights #lyft #airbnb #uber</t>
  </si>
  <si>
    <t>Dad, Graphics Pro, Maker</t>
  </si>
  <si>
    <t>Pedro</t>
  </si>
  <si>
    <t>🔥Book your NEXT Holiday with UP to 🔥55$ OFF on Airbnb!Sign up here! #Holiday #Airbnb</t>
  </si>
  <si>
    <t>Madrid, España</t>
  </si>
  <si>
    <t>holaaaaaaaa compas k tal</t>
  </si>
  <si>
    <t>kristie</t>
  </si>
  <si>
    <t>Villa de la Rosa is located in the exclusive El Cid community in Mazatlan, Mexico. (see profile for weblink &amp; more!) #mazatlan #mexico #beach #latinamerica #pacificocean #relaxation #sea #sinaloa #solitude #traveldestinations #vrbo #airbnb #flipkey #villas #luxury #homeaway</t>
  </si>
  <si>
    <t>California, USA</t>
  </si>
  <si>
    <t>Love luxury living at the villa!</t>
  </si>
  <si>
    <t>24SevenPM</t>
  </si>
  <si>
    <t>LIFE IS SHORT... Buy the beach house!! 🏝 Find your best options at the link im our Bio! @24SevenPM #highendproperty #visitquintanaroo #airbnb #twentyfourseven #cancun #paradise…</t>
  </si>
  <si>
    <t>Cancun</t>
  </si>
  <si>
    <t>Property Management and Real Estate experts in Cancun and Playa del Carmen. ¨Our mission to help you, our passion to serve you¨</t>
  </si>
  <si>
    <t>Arielle Silver</t>
  </si>
  <si>
    <t>Had no idea my #kickstarter launch day was also #WorldBookDay2019 ! My life is ruled by books and music. Auspicious indeed! Tonight, stay in a book-themed #Airbnb ! @TravelLeisure @lithub</t>
  </si>
  <si>
    <t>Heart of Laurel Canyon. Pulse of Americana. Poetry of the Chelsea Hotel • #singersongwriter 🎶 • #writer 📚 • #YogaTeacher •#LosAngeles • @aula + @IWWG</t>
  </si>
  <si>
    <t>SA Commercial Prop News</t>
  </si>
  <si>
    <t>Small businesses in uphill battle over #Airbnb regulation // #realestae #hotel #hospitality #southafrica</t>
  </si>
  <si>
    <t>AWARD WINNING online resources for Space Seekers, #Property Professionals and Companies that invest in, #lease or manage #CommercialRealEstate in #SouthAfrica.</t>
  </si>
  <si>
    <t>JonFifa69</t>
  </si>
  <si>
    <t>El Astillero, España</t>
  </si>
  <si>
    <t>God damn it</t>
  </si>
  <si>
    <t>Casa Galpy</t>
  </si>
  <si>
    <t>We are blushing! In 24 hours we got these two lovely reviews of two different guests on our #Airbnb listing and a very nice picture with kind words on Instagram! We feel so honored that…</t>
  </si>
  <si>
    <t>Aruba</t>
  </si>
  <si>
    <t>Sunny holidays at Aruba! #onehappyisland #bonbini #aruba #caribbean #holidayatcasagalpy #holiday #holidayinthesun #villawithapool #sunnyholidays #happygalpy</t>
  </si>
  <si>
    <t>Carolyn 🔮</t>
  </si>
  <si>
    <t>Student at SJSU 📚 📖 ✍️ / Music Lover / Aspiring Actress #TeamWorldWide</t>
  </si>
  <si>
    <t>Destroying #AirBNB keyboxes on public space is a fantastic idea. @CityofVancouver, please take note. #vanre RT @Univers_Airbnb: #Montreal : la #municipalité combat les locations #Airbnb illégales en détruisant les "boites à clés" installés sur le mobilier urbain ! #immobilier #justice @MTL_Ville</t>
  </si>
  <si>
    <t>Hussain Ahmmed</t>
  </si>
  <si>
    <t>Lablu khan</t>
  </si>
  <si>
    <t>XRP To The Moon 2019</t>
  </si>
  <si>
    <t>Somebody broke into my backyard and stole my $250 tent 😂🙏🏻 #Airbnb $xrp #xrp</t>
  </si>
  <si>
    <t>Follow Us For More News in #XRP!</t>
  </si>
  <si>
    <t>Fazlulkarim</t>
  </si>
  <si>
    <t>mithon</t>
  </si>
  <si>
    <t>ashiq</t>
  </si>
  <si>
    <t>jewel07</t>
  </si>
  <si>
    <t>Raju</t>
  </si>
  <si>
    <t>dhaka</t>
  </si>
  <si>
    <t>If you're going to be an #Airbnb host, here's how to be a great one. #REtips</t>
  </si>
  <si>
    <t>istagers</t>
  </si>
  <si>
    <t>Connect #realesate to #Homestaging Pros (#stagers, #organizers, #photographers, #interiordesigners, #virtualstagers). List your biz on http://iStagers.com</t>
  </si>
  <si>
    <t>Parti Populaire - Pierrefonds-Dollard</t>
  </si>
  <si>
    <t>Please RETWEET ! and express yourselves in comments section below. This is bordeline hate-speach on the part of UN High Commission on Refugees Canada director Jean-Nicolas Beuze. #UNexit #TrudeauMustGo #PPC2019 #canpoli #polcan #UNHCR #OpenSociety #Airbnb #MayorsMigrationCouncil RT @jnbeuze: Key info to better understand how to respond to anti-refugee sentiment. Increased polarization of attitudes towards “non-white” immigration amongst Canadians determined by: • political affiliations • province • education &amp; socio-economic level</t>
  </si>
  <si>
    <t>Dollard-Des Ormeaux, Québec</t>
  </si>
  <si>
    <t>Association du Parti Populaire du Canada dans comté de Pierrefonds-Dollard. People's Party of Canada association in Pierrefonds-Dollard riding. RT≠Endors. 🇨🇦 ⚜️</t>
  </si>
  <si>
    <t>Daisy Cheynes</t>
  </si>
  <si>
    <t>51 Raeburn Place, Edinburgh</t>
  </si>
  <si>
    <t>Destination shop and website for your home, jewellery and gifts, sourced from some of the most creative and modern designers in Scotland and beyond.</t>
  </si>
  <si>
    <t>Delaloy Emmanuel</t>
  </si>
  <si>
    <t>Matthew Chen from San Diego, California . #studio #portrait #airbnb #guest #canon_photos #adobe #lightroom</t>
  </si>
  <si>
    <t>Paris, france</t>
  </si>
  <si>
    <t>Photographe portraitiste #photographe #portrait #reportage #corporate #evenementiel</t>
  </si>
  <si>
    <t>Come il cacio sui maccheroni – Italian Saying Translation: Like the cheese on Macaroni. This sayings is used when something or someone has arrived in the right time.👌💕 #interpreter #travelApp #Translation #translate #wanderlust #airbnb #duolingo</t>
  </si>
  <si>
    <t>sylvie</t>
  </si>
  <si>
    <t>Just Pinned to PINWORTHY: TRAVEL :  #travel #tlpicks #travelblogger #travelguide Why you should be using private vacation rentals for your family vacations. #familytravel #traveltips #travelwithkids #airbnb #vrbo #vacationrentals // Family Travel | Travel…</t>
  </si>
  <si>
    <t>style scout. mama bird. dame traveler. beach boheme. wellness advocate. instantpot addict. daydream believer ❤️✌🇵🇭 https://instagram.com/life.by.sylvie</t>
  </si>
  <si>
    <t>Poonam Gupta</t>
  </si>
  <si>
    <t>So after a dreamy countryside home and then a modern home in the busy city centre, here's a luxurious #airbnb room in a quiet, posh neighborhood. 😊</t>
  </si>
  <si>
    <t>Sarah | Lust 'Till Dawn</t>
  </si>
  <si>
    <t>Airbnb Superhost: What It Is, Why It's Good and How to Get It #airbnb #superhost #airbnbhost</t>
  </si>
  <si>
    <t>New York x Amsterdam</t>
  </si>
  <si>
    <t>Exploring, creating, and wanderlusting from dusk 'till dawn ~ Say hello at http://instagram.com/lusttilldawn</t>
  </si>
  <si>
    <t>Barrie 360</t>
  </si>
  <si>
    <t>It's Pitch-In Week in many communities, including Oro-Medonte; Mayor Harry Hughes proud of how his community gets involved - that and more in this month's #OroMedonte Update #BurlsCreek #AirBnB #Potholes #Budget #School @TwpOroMedonte @HurricaneHarryH</t>
  </si>
  <si>
    <t>Barrie, Ontario</t>
  </si>
  <si>
    <t>What Barrie's talking about. From local news to restaurant reviews, we capture the heartbeat of our city. For traffic &amp; weather alerts, follow @Barrie360alerts</t>
  </si>
  <si>
    <t>Suite Rosso &amp; Nero</t>
  </si>
  <si>
    <t>The review of Lisa (Canada), guest in April with #airbnb !An excellent AirBnB! The location is ideal;right next to the old city!Could walk to everything easily yet also convenient to leave city for day trips.apartment spacious and well set up for families; a babysitter too.</t>
  </si>
  <si>
    <t>Lecce, Puglia</t>
  </si>
  <si>
    <t>A wonderful holiday house a few steps away from Lecce's old town, Salento. Una splendida casavacanze a Lecce, capoluogo del Salento, a 50 m. dal Centro Storico.</t>
  </si>
  <si>
    <t>We hope everyone had a great 4 day #Easter weekend! Take a look at our fun new #Airbnb that we look after in #Bristol city centre:  😄</t>
  </si>
  <si>
    <t>Tina Stinson</t>
  </si>
  <si>
    <t>Plan on visiting Mercedes Benz Stadium soon? How would you like to walk to the stadium? Sounds great? So book your stay at the MLK Manor! This 3 Bed / 1Bath sleeps 8 guest! Click the link:  #airbnb #mercedesbenzstadium #airbnbatlanta #vacationrentals</t>
  </si>
  <si>
    <t>Georgia Real Estate Agent</t>
  </si>
  <si>
    <t>khraj</t>
  </si>
  <si>
    <t>akibss10</t>
  </si>
  <si>
    <t>Four-room suite, complete with three private bedrooms, each with queen beds; Loft TV-room w/ 55” 4K TV, DirectTV, AppleTV and 1.5 baths. #airbnb #Brenham #RoundTop #Antiques @ILoveBlueBell</t>
  </si>
  <si>
    <t>ashiq18</t>
  </si>
  <si>
    <t>dha</t>
  </si>
  <si>
    <t>johny boy</t>
  </si>
  <si>
    <t>I like people</t>
  </si>
  <si>
    <t>Kleinstor Granados Millan</t>
  </si>
  <si>
    <t>Caricuao, Venezuela</t>
  </si>
  <si>
    <t>Linda... Bella... Original...</t>
  </si>
  <si>
    <t>SpotHost</t>
  </si>
  <si>
    <t>Taking the Hassle Out of Letting Your Home  takes all the stress out of letting your #property – creating more time for you to enjoy the benefits. You can pick &amp; choose the services you need &amp;amp; all at a competitive price too. #airbnb #homeshare #scotland</t>
  </si>
  <si>
    <t>Scotland, United Kingdom</t>
  </si>
  <si>
    <t>Short-term rental management company in #Glasgow &amp; #Edinburgh. Supporting the #sharingeconomy in #Scotland with #Superhost service! #Airbnb</t>
  </si>
  <si>
    <t>Mark Hendriksen</t>
  </si>
  <si>
    <t>Fodor's Choice #Corfu now on #airbnb :</t>
  </si>
  <si>
    <t>London UK + [Corfu]</t>
  </si>
  <si>
    <t>Personal views from owner of The Merchant's House, Old Perithia Corfu. Director ABC of Opera Productions Ltd., &amp; b3creative. Entrepreneur + 4 patents pending.</t>
  </si>
  <si>
    <t>Adrian Knott</t>
  </si>
  <si>
    <t>EVENING! ☀️☀️☀️☀️☀️☀️☀️☀️☀️☀️☀️☀️☀️☀️ 🇬🇧THE SUN IS OUT IN DEVON STILL FRIENDS💪🏽❤️ 🌞MAY BANK HOLIDAY 3rd - 6th MAY STILL AVAILABLE🌞 🏠Large Holiday Villa with swimming pool &amp; hot tub, sleeps 23 #devonholiday #pool #airbnb #holidays ✨✨✨✨SPECIAL £…</t>
  </si>
  <si>
    <t>LONDON - AIR BNB House http://bit.ly/2j12ywS Bespoke mortgage broker, London. HolidayCottage lettings [http://www.coastguardcottages.co.uk] Chair CCBC @AlexChalkChelt</t>
  </si>
  <si>
    <t>Rosa Oliveros</t>
  </si>
  <si>
    <t>miami</t>
  </si>
  <si>
    <t>Adicta... Sex</t>
  </si>
  <si>
    <t>Habib Sinan</t>
  </si>
  <si>
    <t>I'm happy person in this world, I always try to learn new topics from online 😀</t>
  </si>
  <si>
    <t>WIOD</t>
  </si>
  <si>
    <t>Today's Q&amp;A covers Florida regulating #Airbnb not communities. Listen live to @brianmuddradio at 11:50.</t>
  </si>
  <si>
    <t>Miami/Fort Lauderdale</t>
  </si>
  <si>
    <t>We are South Florida's source for news, weather and traffic 24/7 !</t>
  </si>
  <si>
    <t>Adam</t>
  </si>
  <si>
    <t>#airbnb @Airbnb_uk trying to create a profile for a couple of days but keeps saying I can't add my "describe myself"</t>
  </si>
  <si>
    <t>Reading England</t>
  </si>
  <si>
    <t>New to twitter. follow me</t>
  </si>
  <si>
    <t>The avenue @Mt_Briscoe is just a sea on #primroses at this time of year with us. #Primroses #Spring #MountBriscoeOrganicFarm #Nature #visitoffaly #Airbnb</t>
  </si>
  <si>
    <t>GoVanguard</t>
  </si>
  <si>
    <t>‘Land Lordz’ Service Powers Airbnb Scams #Airbnb #scam</t>
  </si>
  <si>
    <t>Greater New York Metro Area</t>
  </si>
  <si>
    <t>On The Forefront of Cyber Security</t>
  </si>
  <si>
    <t>Only 4 more sleeps til the #georgetownhousetour! For a comfortable place to stay in the heart of Georgetown, consider this #Airbnb. It has parking available, too. Contact @HomeSweetCity for more information or book online.</t>
  </si>
  <si>
    <t>Hey Friends. Don’t be like Kevin. Nobody wants family in their house. Book the parents, the in-laws, whomever for a stay...but then once they are gone book yourself a stay.  #AirBnb #SuperHost #BookMyPlace RT @kfine39: Looking forward to stashing the in-laws at @IndyMidtownStay this weekend. (Regrettably we’re not using it). They will be briefed about being on their best behavior as we don’t want bad reviews from one of the hottest locations in Indy!</t>
  </si>
  <si>
    <t>Cynthia Miller</t>
  </si>
  <si>
    <t>#Austin #Airbnb: BEST Locale, Lovely Home, FAMILIES GROUPS BIZ PETS, sleeps 12</t>
  </si>
  <si>
    <t>Austin, Texas</t>
  </si>
  <si>
    <t>Ad Agency Owner; Adoptive mom; LTYM 2013 cast; Animal &amp; Human Justice; Author of funny children's' books; Contributor @30seconds</t>
  </si>
  <si>
    <t>Sally Benner</t>
  </si>
  <si>
    <t>Come to the Coast, the water awaits! @BurchillsBandB #SunshineCoastBC #Airbnb #bedandbreakfast #view #cabin #getaway #enjoy #pool #ocean #hottub</t>
  </si>
  <si>
    <t>Burchill's B&amp;B by the Sea</t>
  </si>
  <si>
    <t>Fairbnb researcher @twieditz will be discussing #Airbnb’s ghost hotel growth in #Ottcity today on @CFRAOttawa. Tune in at 12:35pm. #onpoli #ottpoli #affordablehousing</t>
  </si>
  <si>
    <t>Here's our #daily tip for automating your AirBnB! Prepare 6 stays worth of care packages for your guests and and put them on the counter before your next group arrives! Things to include can be shampoo, K-cups, take-out menus, and small kleenex packets! #airbnb #vacationrental</t>
  </si>
  <si>
    <t>Tony Miller</t>
  </si>
  <si>
    <t>Check out my latest article: The Essential Airbnb Meetup with Genevieve Walton  via @LinkedIn #Airbnb #shorttermrentals #Ottawa #investing</t>
  </si>
  <si>
    <t>Ottawa</t>
  </si>
  <si>
    <t>Ottawa's Investor Focused Realtor. REIN Realtor of the Year 2017 and 2018 - Ottawa Preferred Realtor for Keyspire, Investor Life, and Clover Properties.</t>
  </si>
  <si>
    <t>Angel Host</t>
  </si>
  <si>
    <t>Here is an #Easter egg that can help you keep your fill-rate up immediately after the holiday season. Learn how dynamic pricing can help you fight the slump in your #Airbnb bookings. Know more at</t>
  </si>
  <si>
    <t>The reservation &amp; guest communication solution for property managers and Airbnb hosts.</t>
  </si>
  <si>
    <t>George Dearing</t>
  </si>
  <si>
    <t>Analysis from @realtordotcom using #AirDNA data and a few other criteria ranked the best #AirBnB markets. 🌇📈🏙 #homeaway #vrbo #shorttermrentals #realestate #airbnbhosts ———————-</t>
  </si>
  <si>
    <t>father | husband | hustler | #Austin real estate agent &amp; investor 🏠 | EV adopter🔋sustainability advocate ♻️ | @UHouston alum 👉 http://bit.ly/AustinAirBnBs</t>
  </si>
  <si>
    <t>Mike Pilley</t>
  </si>
  <si>
    <t>How about offering local crafted keepsakes as add on sale during AirBNB stay?  #artist #keepsake #handcrafted #Airbnb</t>
  </si>
  <si>
    <t>Bakersfield, CA</t>
  </si>
  <si>
    <t>Bakersfield techie, web developer, and WordPress evangelist.</t>
  </si>
  <si>
    <t>Krista Muscarella</t>
  </si>
  <si>
    <t>Sign up for Airbnb with my link for $40 off your first trip. #airbnb @airbnb #discount #promocode #savemoney!</t>
  </si>
  <si>
    <t>@sunygeneseo, '12. @cityyearla, '13. University at Buffalo @ubgse, '16. #schoolpsychologist #adventurer #explorer</t>
  </si>
  <si>
    <t>Brian Ward</t>
  </si>
  <si>
    <t>#airbnb prices in #cartagena Colombia...best value I've seen! 🇨🇴 Middle-aged and reckless, this dimestore shrink shakes up the Colombian dating scene with his provocative,…</t>
  </si>
  <si>
    <t>Sacramento, CA</t>
  </si>
  <si>
    <t>Middle-aged and reckless, this passionate opportunist shakes up the Colombian dating scene with his tips on finding love in S America. "Safety Third: Colombia."</t>
  </si>
  <si>
    <t>Jill Laine</t>
  </si>
  <si>
    <t>Search these gorgeous homes and more with this easy app, updates in real time from the MLS!  #losangeles #realestate #investmentproperty #airbnb #homesweethome #howwedwell #househunters #housebuyers #homesearch #forsale #california #beachlife #app #lifehack</t>
  </si>
  <si>
    <t>Los Angeles, Nashville</t>
  </si>
  <si>
    <t>Interior Styling &amp; Design. Cruelty-free. CA Realtor. 👉The Art of First Impressions👈</t>
  </si>
  <si>
    <t>Steve Hougard</t>
  </si>
  <si>
    <t>Tuesday Tip : This chart by Morgan Stanley breaks-down the reasons why some people use and don’t use Airbnb. #airbnb #tuesdaytip #hougardloans</t>
  </si>
  <si>
    <t>Cardiff by the Sea, CA</t>
  </si>
  <si>
    <t>Home Loan Specialist | Refinancing Expert</t>
  </si>
  <si>
    <t>mtnbvan™ #PublicInquiryNOW 💸🥑☘️</t>
  </si>
  <si>
    <t>Hello @FireChiefReid &amp; good morning. A question: Does @CityofVancouver often contact @VanFireRescue for #Airbnb fire inspection &amp;amp; bylaw compliance? Seems to be thousands of illegal ones that likely don’t comply. Thanks in advance. #vanpoli</t>
  </si>
  <si>
    <t>The Vancouver Model</t>
  </si>
  <si>
    <t>Local citizen, not politically funded. Our housing mkt is broken. ProMOAR hsg &amp; excuses won't fix this #VanRE #CommunityNotCommodity #bcpoli #vanpoli</t>
  </si>
  <si>
    <t>Farooq Alvi</t>
  </si>
  <si>
    <t>You can rent a beautiful 6-bedroom mansion with a pool on #Airbnb for $17 per night, but you only have one day to book. TODAY!!!! @Airbnb @AllAbout_Airbnb</t>
  </si>
  <si>
    <t>Bengaluru South, India</t>
  </si>
  <si>
    <t>Blogger | Creative Writing | Outdoor Enthusiast | Conversationalist | Bursting With Ideas | Sucker for Love | Spiritually Absorbed</t>
  </si>
  <si>
    <t>Tierney Lily</t>
  </si>
  <si>
    <t>Save on your first Air BnB trip with my code  #airbnb #airbnbcode #traveldiscount #airbnbrefer</t>
  </si>
  <si>
    <t>Writer &amp; blogger from LDN.</t>
  </si>
  <si>
    <t>Carlos Cabrera</t>
  </si>
  <si>
    <t>Despite new regulations, the short-term #rental industry is still booming in these cities.  #Airbnb #VRBO</t>
  </si>
  <si>
    <t>Arcadia, CA</t>
  </si>
  <si>
    <t>MaryMace</t>
  </si>
  <si>
    <t>Charleston, SC</t>
  </si>
  <si>
    <t>The best new hotels in the world: the Hot List 2019 -  #hospitality #hospitalityindustry #hotels #checkin #motel #independenthotels #travel #airbnb #hotelprofs #hoteliers #boutiquehotel #tourism #wanderlust #luxuryhotels...</t>
  </si>
  <si>
    <t>🌟Special offer🌟 Join us tomorrow morning and enjoy a delicious breakfast with 10 percent discount😍 And don't forget to mention this code: "Maisontwit0424" #maisonvie #london #kilburn #nw6 #frenchcafe #frenchbakery #frenchrestaurant #ICMP #airbnb #londonfoodie #londonfood</t>
  </si>
  <si>
    <t>"LOVE NEST" w/ private Deck, 1 rm.  via Twitter Web Client #airbnb</t>
  </si>
  <si>
    <t>Hao Wang</t>
  </si>
  <si>
    <t>Airbnb is hosting a Spark Summit post-event, "Inside Airbnb: Spark", on Wednesday evening. Join us to hear how Airbnb teams are using Spark to enhance the overall travel experience. Food, drinks and time for mingling! RSVP required. #airbnb #spark</t>
  </si>
  <si>
    <t>Everything here is mine and has nothing to do with my employer :)</t>
  </si>
  <si>
    <t>Rodolfo Guillen</t>
  </si>
  <si>
    <t>Here's a list of 10 things to consider before deciding to become an #Airbnb host. #realestate</t>
  </si>
  <si>
    <t>Rancho Santa Margarita, CA</t>
  </si>
  <si>
    <t>Account Sales Manager at Michelli Measurement Group Inc - Instructor Examiner at PADI - Realtor®</t>
  </si>
  <si>
    <t>Check out this awesome Entire condominium on Airbnb: Live Like Royalty On The Las Vegas Strip!, sleeps 5 #Vegas #AirBnB #LasVegas #VegasStrip #LargeCondo</t>
  </si>
  <si>
    <t>StatGuardPlus</t>
  </si>
  <si>
    <t>Want to control costs? #airbnb #airbnbmag #hvac #hvactips #green #GOGREEN #MGMT #retail #wholesale #energy #energyefficient #saveenergy #electrical #environment #retail #dads #moms #kids #hotels #retail #crossfit #fitness #win #fun #earth #Fuel #LA #NYC</t>
  </si>
  <si>
    <t>Thermostat Guard / Combination Lock!</t>
  </si>
  <si>
    <t>Topsy Farms</t>
  </si>
  <si>
    <t>Amherst Island, ON, Canada</t>
  </si>
  <si>
    <t>We are a family-owned Ontario farm specializing in 100% pure wool products, sheepskins, and fresh frozen lamb. Farm life: http://www.topsyfarms.com/farm-stories</t>
  </si>
  <si>
    <t>Danny Beales</t>
  </si>
  <si>
    <t>Strongly support @MayorofLondon calls for a registration system for short-term lets. Massive problem in #Camden with unregulated boom leading to loss of housing for residents. @CamdenCouncil signed this letter calling for urgent Government action #Airbnb #housingcrisis RT @24housing: .@MayorofLondon calls for registration system to enforce short-term letting law in London -  #ukhousing</t>
  </si>
  <si>
    <t>Camden, London</t>
  </si>
  <si>
    <t>#Camden Councillor in Cantelowes @CamdenLabour, Cabinet Member for Investing in Communities (#Planning &amp; Regen) #Campaigns Manager @DiabetesUK All views own.</t>
  </si>
  <si>
    <t>Frank Porter</t>
  </si>
  <si>
    <t>Our gorgeous interiors - beauty in colour! . . . . . #DubaiMarina #Dubai #FrankPorterDesign #MarinaView #luxurylife #moderndesign #shortterm #stylish #design #interiors #interiordesign #airbnb #airbnbmanagement #holidayhome #vacationhome #vacation #propertymanagement #frankporter</t>
  </si>
  <si>
    <t>Cambridge Photo Walk Experience</t>
  </si>
  <si>
    <t>What a lovely Photo Walk Experience with Lydia in #Cambridge 📸#CambridgePhotoWalk #airbnbexperience #Airbnb</t>
  </si>
  <si>
    <t>Cambridge, England</t>
  </si>
  <si>
    <t>I will take you to iconic places &amp; hidden gems of Cambridge to shoot amazing photos for your Instagram &amp; Social Media #CambridgePhotoWalk</t>
  </si>
  <si>
    <t>Francoiseབཀྲིས་དབངམོ</t>
  </si>
  <si>
    <t>#Bhutan #Airbnb and accommodating tourists in private apartments is illegal: TCB</t>
  </si>
  <si>
    <t>Bhutan</t>
  </si>
  <si>
    <t>ᴘᴀᴜ ᴘᴜɪɢ</t>
  </si>
  <si>
    <t>"The #Airbnb Invasion of #Barcelona" by @Rebeccamead_NYC for the @NewYorker An interesting read to have an overall picture of the situation major cities experience due to #cheapflights, #tourism &amp; @airbnb, pumping #realestate bubbles &amp;amp; #gentrification.</t>
  </si>
  <si>
    <t>Barcelona</t>
  </si>
  <si>
    <t>Biodegradable, like you. | CMO @CAPSiDE #Cloud | #comedy, #punkrock &amp; #hummus | Engineer @la_UPC | Tech #Marketing on #AWS #Azure #GCP</t>
  </si>
  <si>
    <t>Welile 'Wellington' G</t>
  </si>
  <si>
    <t>I'm definitely putting money into #Airbnb when it lists. I was surprised to see that it is profitable already.</t>
  </si>
  <si>
    <t>Azania, Afrika</t>
  </si>
  <si>
    <t>Part Zulu, part Xhosa, African... Student... 🎾 Serena Williams... 🏁 Lewis Hamilton... ⚽ Thierry Henry Get out of your comfort zone.</t>
  </si>
  <si>
    <t>CPS Estates</t>
  </si>
  <si>
    <t>After a busy bank holiday witih our #airbnb being fully booked it's great to get a review like this from our guests in #holmfirth “We stayed for a 3 night break in Cosy Cottage. The apartment is absolutely great...</t>
  </si>
  <si>
    <t>Meltham, England</t>
  </si>
  <si>
    <t>#Meltham based Estate Agent. Customer service is our priority supporting clients selling or renting properties in Meltham #HolmeValley &amp; #Huddersfield</t>
  </si>
  <si>
    <t>Spring Hill Ranch BnB &amp; Morehttps://www.airbnb.jp/rooms/924102  via Twitter Web Client #airbnb</t>
  </si>
  <si>
    <t>#Airbnb is working to increase the #diversity of its hosts - The move comes at a time when several cities are attempting to crack down on short-term #rentals. Read more at  #servicedapartments #servicedapartmentnews</t>
  </si>
  <si>
    <t>Want to control costs? #airbnb #airbnbmag #hvac #hvactips #green #GOGREEN #MGMT #retail #wholesale #energy #energyefficient #saveenergy #electrical #environment #retail #dads #moms #kids #hotels #retail #crossfit #fitness #win #fun #earth #Homedepot</t>
  </si>
  <si>
    <t>Tymek Mróz</t>
  </si>
  <si>
    <t>I loved #OneLessStranger storyline behind @Airbnb's campaign in 2015, such a pity it nearly already vanished...  #overtourism #airbnb</t>
  </si>
  <si>
    <t>Zakopane</t>
  </si>
  <si>
    <t>Father / husband / entrepreneur. CEO of @madeinzakopane</t>
  </si>
  <si>
    <t>THEGOLDENMOON.COM</t>
  </si>
  <si>
    <t>AirBnB hosts: opportunity that most local hosts don't tap into. Unless... #newhosting #localhost #thegoldenmoon #airbnb #airbnbeurope #airbnbhost #airbnbhosting #airbnbhosttips #airbnblisting #getairbnbbookings #rentonairbnb #spareroom #superhost...</t>
  </si>
  <si>
    <t>http://THEGOLDENMOON.COM is the largest online travel accommodation booking platform incorporating 80 types of places to stay.</t>
  </si>
  <si>
    <t>Kawasemi an</t>
  </si>
  <si>
    <t>六孫王神社 Rokusonno shrine The origin of this shrine is more than 1000years ago. #airbnb #japan #japon #japonism #merveilleux #magnifique #oriental #shrine #vacation #voyage #vacance…</t>
  </si>
  <si>
    <t>Kyoto  japan</t>
  </si>
  <si>
    <t>We are accommodation for one group, central of Kyoto, near Nijojo castle. 京都は二条城、御金神社に近い5名様までご宿泊していただけます一棟貸切の宿です。</t>
  </si>
  <si>
    <t>Good #sandwiches for good moments👌😜 Don't waste time! Join us and enjoy treating yourself🌮🌯🥙 #maisonvie #london #kilburn #nw6 #frenchcafe #frenchbakery #frenchrestaurant #ICMP #airbnb #londonfoodie #londonfood #londoncafe #londonbakery #londonrestaurant #delicious #yummy</t>
  </si>
  <si>
    <t>The Acorn shepherd’s Hut</t>
  </si>
  <si>
    <t>Such a beautiful little church at Mwnt. #mwnt #cardigan #church #easterbreak #westwalescoast #blueskies #airbnb</t>
  </si>
  <si>
    <t>Brecon, Wales</t>
  </si>
  <si>
    <t>A beautiful &amp; romantic en-suite shepherd’s hut with stunning views of Pen-y-Fan. Ideal for exploring the Brecon Beacons.</t>
  </si>
  <si>
    <t>AirBnB host: opportunity that most local hosts don’t tap into  @getmixapp#newhosting #localhost #thegoldenmoon #airbnb #airbnbeurope #airbnbhost #airbnbhosting #airbnbhosttips #airbnblisting #getairbnbbookings #rentonairbnb #superhost #thegoldenmoon_com</t>
  </si>
  <si>
    <t>六孫王神社 Rokusonno shrine The origin of this shrine is more than 1000years ago. #airbnb #fantastics #formidable #japan #japonism #japon #magnifique #beautiful #belle #japaneseshrine…</t>
  </si>
  <si>
    <t>Knives out for Home-sharing app #Airbnb, as #SouthAfrica's #hotel industry losing millions of rand // #hospitality</t>
  </si>
  <si>
    <t>Happy day with us! :) #Travel #SanAndrés #Colombia #Buddhavilla #Caribbean #traveltips #traveltheworld #airbnb #Caribbeanlife #IslaDeSanAndrés #Hostel #rooms #Booking #travelling #poolside #airbnbexperiences #swimmingpool @Airbnb</t>
  </si>
  <si>
    <t>The Surveyors House, Tetbury</t>
  </si>
  <si>
    <t>Welcome to The Surveyor's House A stylish townhouse, sleeps 4 to 6 people. Suitable for families, and couples looking for a romantic retreat Visit  #tetbury #tetburylife #cotswoldslife #homeaway #airbnboftheday #airbnbsuperhost #holidayhouse #airbnb</t>
  </si>
  <si>
    <t>Tetbury, England</t>
  </si>
  <si>
    <t>Quirky, luxurious, spacious Townhouse for rent in Tetbury, Cotswolds. Full of character. A story waiting to be told. Sleeps 4-6 #tetbury #tetburyantiques</t>
  </si>
  <si>
    <t>Amber &amp; Co</t>
  </si>
  <si>
    <t>216 Uxbridge Road, W12 7JD</t>
  </si>
  <si>
    <t>One of the leading estate agents in UK with over 20 years in the industry, providing sales, lettings, property management, and mortgage specialist.</t>
  </si>
  <si>
    <t>CeRi Villas Group</t>
  </si>
  <si>
    <t>A great happiness to receive another 5/5 stars happy review from our last guests, Bertha - Jonathan and family from UK. 😍 Book here:  😃 *** #Bali #Indonesia #Airbnb @Airbnb @AllAbout_Airbnb #Superhost #rental #Travel #backpacker #Travellers #holiday #Trip</t>
  </si>
  <si>
    <t>Self Styled Designed Villas 😍 Be local in Bali villas. Luxury &amp; simply beautiful villas Bali. 2 &amp; 3 Bedrooms Private villa. Private Pool, BBQ &amp; Free WIFI.</t>
  </si>
  <si>
    <t>A great happiness to receive another happy 5* review from our last guests, Steve and family from Australia. 😍 Book here:  😃 #Airbnb #superhost @AllAbout_Airbnb @Airbnb #Bali #Indonesia #travel #rentals #Family #Couple #Honeymoon #backpacker #holiday</t>
  </si>
  <si>
    <t>The latest image from the GowerLive #webcam on the roof 730RocksMumbles #AirBnB. Book at  #Mumbles #Swansea #Gower #travel. Watch live at  #933</t>
  </si>
  <si>
    <t>BeMyGuest-PARIS</t>
  </si>
  <si>
    <t>#Grateful #Airbnb #RueJeanPierreTimbaud #Airbnb #Apartment #holidays #Vacaciones #Paris – cool</t>
  </si>
  <si>
    <t>PARIS</t>
  </si>
  <si>
    <t>#Paris #apartment #renting #holidays For your holiday stay in our apartment #gay 🌈 #propertymanager #facebook: BeMyGuestParis #instagram rezohomeinternational</t>
  </si>
  <si>
    <t>Deepak R Khemani</t>
  </si>
  <si>
    <t>Start a side #hustle, make some extra 💰 1. #freelancewriter 2. #AffiliateMarketing 3. #blogging 4. Become an #influencer 5. Teaching your #hobby #yoga 6. #mentoring 7. #photography services 8. Rent a spare room on #Airbnb 9. Have #garage #sales 10. Teach your #language</t>
  </si>
  <si>
    <t>#Author #Tedx Gateway Unplugged #Speaker, #Trainer, #Influencer, Loves Conversations.</t>
  </si>
  <si>
    <t>New #job: Airbnb - Customer Service Agent - Portuguese Market Location: Barcelona Salary: €15kpa - €16200pa ..  #Airbnb #Barcelona #CustomerService #Portuguese</t>
  </si>
  <si>
    <t>Julian Douch</t>
  </si>
  <si>
    <t>Thank you @jessicamtai for an insightful and honest talk at #apidays. Liked the migration analogies and interesting to note the avoidance of the #microservices trend. Good luck with the rest of your journey! #api #Singapore #Airbnb #whiteskylabs</t>
  </si>
  <si>
    <t>Digital enablement strategist using technology to drive business agility</t>
  </si>
  <si>
    <t>We are telling you! It's worth it! Be assisted by a 2xSuperhost!!! For booking: ✔AIRBNB - ⠀ ✔Booking.com- ⠀ #AIRBNBsuperhost #AIRBNB #bestplaceindxb #dreamdtravels #UAEDUBAI #dubaistay #dubaimarina #dubailuxuryapartment</t>
  </si>
  <si>
    <t>travelline vietnam</t>
  </si>
  <si>
    <t>Notre Dame Cathedral, a corner of French architecture in the heart of Saigon. #airbnb #hochiminhcity #hochiminh #saigon #vietnam #travel #notredamecathedral #ducbachurch #travellinevietnam</t>
  </si>
  <si>
    <t>Ho Chi Minh, Vietnam</t>
  </si>
  <si>
    <t>Travelline Vietnam - Travel Agency</t>
  </si>
  <si>
    <t>Petite Gem in Muir Beach CAhttps://www.airbnb.jp/rooms/408341  via Twitter Web Client #airbnb</t>
  </si>
  <si>
    <t>Your morning #coffee's on us! Come to the Maison Vie and get your coffee fix for the day💙☕💙 #maisonvie #london #kilburn #nw6 #frenchcafe #frenchbakery #frenchrestaurant #airbnb #londonfoodie #londonfood #londoncafe #londonbakery #londonrestaurant #thirsty #drink #momandbaby</t>
  </si>
  <si>
    <t>VI Caribbean Homestay</t>
  </si>
  <si>
    <t>Salt and sweat can fix just about anything...#beach #usvi #airbnb #noirbnb #travel</t>
  </si>
  <si>
    <t>St Thomas Virgin Islands</t>
  </si>
  <si>
    <t>Come Stay at our artistic BnB in the USVI</t>
  </si>
  <si>
    <t>AMIRO VISTA, Lake Garda</t>
  </si>
  <si>
    <t>Huge thanks to our guests: @AmiroVista has been awarded @Airbnb's #Superhost again! Only few dates remain for 2019, BOOK YOUR STAY  #airbnb #tt #lakegarda #holiday #holidays #love #italy #visitgarda #TripAdvisor #TravelTuesday #ttot #rtw #travel #gardasee</t>
  </si>
  <si>
    <t>Salo', Lake Garda</t>
  </si>
  <si>
    <t>Amazing #LakeGarda panorama views in this superb garden apartment, set in a #holiday residence with swimming pool. #airbnb #travel #tripadvisor #ttot #rtw #tt</t>
  </si>
  <si>
    <t>Need an insurance quote for your holiday home? 👇👇  #holidaylet #airbnb #holidayhome #homeinsurance</t>
  </si>
  <si>
    <t>Mermaid's chair before the storm... I miss this place being like this... #usvi #stthomas #airbnb #beach #MuslimWomen #Caribbean</t>
  </si>
  <si>
    <t>BorT</t>
  </si>
  <si>
    <t>I love yall &lt;3 __ _ #twitch #twitchmusic #twitchconeurope #friends #love #music ,#airbnb #memories</t>
  </si>
  <si>
    <t>Belgium</t>
  </si>
  <si>
    <t>My name is BorT, And i'm' a music streamer on Twitch. Feel free to come hangout with the man in the caravan playing guitar. https://www.twitch.tv/bort_</t>
  </si>
  <si>
    <t>Ankita Mishra</t>
  </si>
  <si>
    <t>The #IPO dream: After #Zoom and #Lyft, #Uber, #Airbnb, and other global unicorns are set to go public. While it’s raining IPOs for these unicorns, for their Indian counterparts it remains a distant dream... for now.</t>
  </si>
  <si>
    <t>Wild Heart🌸. The people. The music. The atmosphere. The conversations. The hijinks. #Journalist | #Blogger | #Focused | #Food | #Lifestyle | RT's≠Endorsement</t>
  </si>
  <si>
    <t>In Australia, online platforms and illegal operators are driving some in the tourism sector out of business, by bending laws to suit themselves. #australia #illegalhotels #airbnb #vrbo #homeaway #tourism #travel</t>
  </si>
  <si>
    <t>This afternoons read and a dose of fresh autumn farm air 😌 @countrystylemag @visitsouthernhighlands @airbnb #southernhighlands #destinationsouthernhighlands #countrystyle #read #relax #design #airbnb #NewSouthWales #clovarcreative #writer #traveller …</t>
  </si>
  <si>
    <t>Looking for a place to stay with your family and friends. Bed&amp;Stay has the place for you. Book a beautiful 3 story house for a great price. #AIRBNB :  #familytravel #japan #airbnbjapan #airbnbtokyo #travel #traveling #trip #budgetrip #familyvacations</t>
  </si>
  <si>
    <t>We totally love the weather in late April and early May. Not to hot and not too cold. Book your trip to Tokyo now and stay with us. Book us here:#AIRBNB :  #familytravel #japan #airbnbjapan #airbnbtokyo #travel #traveling #trip #budgetrip #familyvacations</t>
  </si>
  <si>
    <t>Looking for the perfect souvenir in Tokyo. Take a look at this great ideas and where to get them. Book your stay in #Tokyo with us here: #AIRBNB :  #familytravel #japan #airbnbjapan #airbnbtokyo #travel #traveling #trip #budgetrip #familyvacations RT @TimeOutTokyo: Get to know traditional Japanese folk toys, such as daruma and kokeshi dolls, and find out where you can buy some as souvenirs.</t>
  </si>
  <si>
    <t>Berm Berm Coffees</t>
  </si>
  <si>
    <t>#Gorgeous #House #Private #Pool | Siem Reap #Vacation - #Villas for Rent in Krong Siem Reap, Siem Reap Province, #Cambodia  #follobackforfolloback #RETWEEET #Airbnb #HOLIDAYS2018</t>
  </si>
  <si>
    <t>The best #coffeeshop in #SiemReap town, using #premium #coffee bean from #Mondulkiri. #Amazing Taste</t>
  </si>
  <si>
    <t>Plan your trip for May stay with us and do not miss the Ghibli Exhitibion. Book us here: #AIRBNB :  #familytravel #japan #airbnbjapan #airbnbtokyo #travel #traveling #trip #budgetrip #familyvacations #grouptravel #holidays #東京 #新宿 #野方 RT @MATCHA_global: Toshio Suzuki and Studio Ghibli Exhibition - Yubaba Is Back!  #Ghibli</t>
  </si>
  <si>
    <t>Sunset at #BigBearLake. Check out #BearKubKabin for your next visit to #BigBear!  Photo by: @encyclepedia_southern_cal #cabin #vacationrental #california #logcabin #visitbigbear #liveitupbigbear #airbnb #vrbo #beautifuldestinations #wildheart #cabinlife</t>
  </si>
  <si>
    <t>Startuprad.io startup podcast and vlog</t>
  </si>
  <si>
    <t>American consumers spent more on #Airbnb than on #Hilton last year</t>
  </si>
  <si>
    <t>Frankfurt, Germany</t>
  </si>
  <si>
    <t>German Startups in English | Regular News, and Interviews | iTunes http://apple.co/2xsHdaE | YouTube http://bit.ly/2LK14oW | Spotify http://spoti.fi/2DfIt1O</t>
  </si>
  <si>
    <t>Trying to do something different in #Tokyo. Here are some good ideas. Remember to book your stay with us here: #AIRBNB :  #familytravel #travel #japan #goldenweek RT @TokyoCheapo: Look past the usual guidebook fare and Tokyo has some genuinely weird attractions:</t>
  </si>
  <si>
    <t>Zen Den</t>
  </si>
  <si>
    <t>Addison, TX</t>
  </si>
  <si>
    <t>A privately owned home in Addison, Texas, available for rent on AirBnb. Special rates for pilots and veterans.</t>
  </si>
  <si>
    <t>Markus Ravik</t>
  </si>
  <si>
    <t>Quick grab from today's shoot for @airbnb - a beautifully styled house located in Sandy Bay, overlooking the harbour. #airbnbaustralia #airbnb #lifestyle</t>
  </si>
  <si>
    <t>Brisbane, Australia</t>
  </si>
  <si>
    <t>Music Photographer</t>
  </si>
  <si>
    <t>Marais Rossouw</t>
  </si>
  <si>
    <t>Airbnbs Enzyme has a . state () which allows you to assert state, when do you think we'll get this with useState? #react #airbnb</t>
  </si>
  <si>
    <t>Gold Coast, Australia</t>
  </si>
  <si>
    <t>🇦🇺 Australian. 😎 Passionate about software. 💻 Yes.. I actually like JavaScript! ⛪️ Lutheran.</t>
  </si>
  <si>
    <t>Birgitta Caspersen</t>
  </si>
  <si>
    <t>We lucked out on this #Airbnb #gittagoes #outdoors #farmstay #roadtrip #nztravel @ Whakamarama, New Zealand</t>
  </si>
  <si>
    <t>New Zealand</t>
  </si>
  <si>
    <t>just a girl with wanderlust, excited to explore the world | nomad, wanderer, adventurer, blogger, nerd</t>
  </si>
  <si>
    <t>Thx for the follow @DeputyTMoore 🙂 Look forward to your tweets. Quick question- Does @CityofVancouver often contact @VanFireRescue for #Airbnb fire inspection &amp; bylaw compliance? Seems to be thousands of illegal ones that likely don’t comply. #vanpoli</t>
  </si>
  <si>
    <t>We have the perfect #home for the #ocean lovers where we added aquatic elements, from wall #art to coffee table #decor, into the #furnishing of this 4 charming bedroom house in #Manly #Sydney. To book, visit  🌊🏡 #madecomfy #airbnb #australia #travel</t>
  </si>
  <si>
    <t>A Fairy-tale Gingerbread Househttps://www.airbnb.jp/rooms/1385692  via Twitter Web Client #airbnb</t>
  </si>
  <si>
    <t>Kevin W S Kan</t>
  </si>
  <si>
    <t>22.281646,114.151079</t>
  </si>
  <si>
    <t>Founding Member of Skinny Bitches 🇭🇰🇦🇺|F&amp;B Obsessed 🍣🧀🍳|Fine Wines 🍾🍷|Cigars 🚬|Travel &amp; Living ✈️💳| My 📱📸| Facebook|Twitter| SnapChat| Pinterest|</t>
  </si>
  <si>
    <t>Isidro Frómeta</t>
  </si>
  <si>
    <t>Not all heroes wear capes. #Superhost!  2 in a row, let’s get the third one @Airbnb #airbnb #airbnbsuperhost</t>
  </si>
  <si>
    <t>Dominican Republic</t>
  </si>
  <si>
    <t>Un mortal comun y corriente... KISS(Keep It Simple and Smart) If you think you’re too small to have an impact, try going to bed with a mosquito...</t>
  </si>
  <si>
    <t>Jessica van Dop</t>
  </si>
  <si>
    <t>An #Airbnb experience as cool as the caves you'd be staying in..."10 Epic Cave Houses You Can Book on Airbnb Right Now" via @TravelLeisure</t>
  </si>
  <si>
    <t>Content creator of beautiful experiences. International traveler &amp; food connoisseur. Always a Marine. Boricua. All about human connections. Views are my own.</t>
  </si>
  <si>
    <t>Large 5Star #Florida #vacationhome with prival pool on #Airbnb Tropical #TommyBahama style - #VRBO April 22, 2019 at 10:00PM</t>
  </si>
  <si>
    <t>Rebecca M. Bender</t>
  </si>
  <si>
    <t>#Tourism, #AirBnB, and #Barcelona —&gt; thoughtful article, and I def noticed a “theme park” vibe my last visit to BCN... but there are many more factors at play in #Spain than just AirBnB  #KSUSummerSpain #SpainTodayKSU</t>
  </si>
  <si>
    <t>Manhattan, KS</t>
  </si>
  <si>
    <t>Spanish language/literature professor, feminist scholar, critical theory and literature nerd; paleo/primal food and fitness enthusiast #spanprof</t>
  </si>
  <si>
    <t>Conspeared Podcast</t>
  </si>
  <si>
    <t>Retweet this if you ever stayed in a bad @Airbnb and wanted to warn others. #airbnb #apartment #vacation RT @AnxZenity: Worst Air B&amp;B ever! Slum! Lost money that I made by working overtime! If you are going to Orlando, avoid these apartments! Share with your friends! Warn them! @Airbnb #slum #Apartment #airbnb</t>
  </si>
  <si>
    <t>South Carolina, USA</t>
  </si>
  <si>
    <t>A #podcast that covers #Conspiracies, #TrueCrime, The #Paranormal and various other genres. http://Conspeared.podiant.co Email is at: conspeared@gmail.com</t>
  </si>
  <si>
    <t>China Travel News</t>
  </si>
  <si>
    <t>Chinese #Airbnb rival #Tujia aims for profitability in 2019 as it prepares for #IPO #homesharing</t>
  </si>
  <si>
    <t>Guangzhou, China</t>
  </si>
  <si>
    <t>http://ChinaTravelNews.com is a media brand powered by TravelDaily,China's leading online publisher and event organizer for the travel and tourism industry.</t>
  </si>
  <si>
    <t>AnxZenity Podcast</t>
  </si>
  <si>
    <t>Worst Air B&amp;B ever! Slum! Lost money that I made by working overtime! If you are going to Orlando, avoid these apartments! Share with your friends! Warn them! @Airbnb #slum #Apartment #airbnb</t>
  </si>
  <si>
    <t>#MentalHealth #podcast. One man’s battle with #anxiety / panic, and his drive to help others. http://Anxzenity.podbean.com email AnxZenity@gmail.com #Podfellas</t>
  </si>
  <si>
    <t>One room in appartementhttps://www.airbnb.jp/rooms/220851  via Twitter Web Client #airbnb</t>
  </si>
  <si>
    <t>Stephie Theodora</t>
  </si>
  <si>
    <t>Looking for an #airbnb in #Japan and I think I found the cutest one</t>
  </si>
  <si>
    <t>Burbank via Berlin</t>
  </si>
  <si>
    <t>TV writer for #DangerMouse, #Gummybear #Hanazuki #LittlestPetShop ,etc. Also #voice actor. Tweets are boring b/c I don’t want to get kicked out of this country.</t>
  </si>
  <si>
    <t>UNITE HERE</t>
  </si>
  <si>
    <t>New in @HarvardBiz: "…a 1% increase in Airbnb listings is causally associated with a 0.018% increase in rental rates and a 0.026% increase in house prices." NBD? #Airbnb average annual growth is 44%. #Fairbnb</t>
  </si>
  <si>
    <t>United States and Canada</t>
  </si>
  <si>
    <t>UNITE HERE represents workers throughout the U.S. and Canada who work in the hotel, gaming, food service, and airport industries. 🇺🇸🇨🇦</t>
  </si>
  <si>
    <t>Huge numbers for the size of Victoria  Cc:@lisahelps @carolejames @selinarobinson @AJWVictoriaBC #yyjre #airbnb #housingcrisis #yyjpoli</t>
  </si>
  <si>
    <t>Coto Japanese Academy</t>
  </si>
  <si>
    <t>Our sister school in azabu-juban is hosting a guided Japanese learning tour. #japantravel #japan #tokyo  #experience #airbnb #shinjuku #shibuya</t>
  </si>
  <si>
    <t>Tokyo, Japan</t>
  </si>
  <si>
    <t>We specialize in small classes, flexible course schedules, and fun conversation based Japanese learning. Join us today!</t>
  </si>
  <si>
    <t>Now the truth comes out. It's not about home sharing. It's #airbnb profiteering. #vanre #vanpoli RT @INTEGRITYBC: 47.1% of Vancouver (CMA) Airbnb hosts have multiple listings ... Adding #opendata to the #sharingeconomy debate in #vancouver  via @insideairbnb #bcpoli #vanpoli #vanre #affordablehousing #bchousing #bclp #bcndp #bcgreens</t>
  </si>
  <si>
    <t>Just beautiful #comfortcottagehealing #visitwales #dogfriendly #TheDogsWithMe #alpacas #ArtsWales #SunDogs #Airbnb #yell RT @GDPTenby: artifice of the black rat kind it's monkstone no one will mind as darkness is *Monkstone Point from Saundersfoot Pembrokeshire Wales @ItsYourWales @ThePhotoHour @Campaign4Parks @ruthwignall @WalesCentre @LivingSeasWales</t>
  </si>
  <si>
    <t>Workato</t>
  </si>
  <si>
    <t>#Airbnb can teach us a lot about scaling #business processes during times of rapid #growth.</t>
  </si>
  <si>
    <t>Cupertino, CA</t>
  </si>
  <si>
    <t>The only Intelligent Automation Platform. Also the creators of Workbot. We talk about future of work, business systems, and AI.</t>
  </si>
  <si>
    <t>Passport &amp; Plates</t>
  </si>
  <si>
    <t>Everyone hears about Airbnb horror stories but if you follow my tips, you should be able to avoid these issues and have a great renting experience!  #airbnb #travel #ttot #budgettravel #tbin #accommodation</t>
  </si>
  <si>
    <t>Sally | Arab-American Muslim food &amp; travel blogger helping you find the best local food &amp; travel experiences. Subscribe: http://bit.ly/passport_plates</t>
  </si>
  <si>
    <t>Kent</t>
  </si>
  <si>
    <t>You’d think that a company struggling with a “hidden cameras in its rooms” issue would avoid a line about “taking pictures of strangers.” #airbnb #copywriting</t>
  </si>
  <si>
    <t>OAK</t>
  </si>
  <si>
    <t>Copywriter and image mucker — Polaroid, notebooks, trash art, and uninformed opinions.</t>
  </si>
  <si>
    <t>ExploreBit</t>
  </si>
  <si>
    <t>#Funding #tech #realestate #hospitality #Airbnb #debt #financing #data #platform Explore startups, investors, funding and contacts all at one place visit</t>
  </si>
  <si>
    <t>Explore every bit of the startup world</t>
  </si>
  <si>
    <t>Daniel van Kessel</t>
  </si>
  <si>
    <t>Sick of landlord bashing? Make the switch today to Airbnb and circumvent all the “healthy homes / insulation” nonsense #Airbnb #rental #landlords #NZ #realestate</t>
  </si>
  <si>
    <t>Christchurch, New Zealand</t>
  </si>
  <si>
    <t>Don’t blame me, I voted for @nznationalparty ! 🇳🇿 Personal responsibility, communication &amp; hard work #nzpolitics #nz #christchurch #ocr #rbnz #nzpol</t>
  </si>
  <si>
    <t>bookish_cats_aye</t>
  </si>
  <si>
    <t>Texas Trust CU</t>
  </si>
  <si>
    <t>Arlington, TX</t>
  </si>
  <si>
    <t>Debra Smith</t>
  </si>
  <si>
    <t>Being an #Airbnb host can be profitable—if it's done right. #REtips</t>
  </si>
  <si>
    <t>Daytona Beach Shores, FL</t>
  </si>
  <si>
    <t>Realtor</t>
  </si>
  <si>
    <t>Victor Tofan</t>
  </si>
  <si>
    <t>Getting Started with Airbnb – Free Cloudbeds #eBook 📘 Want to start growing your #bookings on #Airbnb? Look no further ~&gt;  🛎</t>
  </si>
  <si>
    <t>Munich, Bavaria</t>
  </si>
  <si>
    <t>Cloudbeds Market Manager I Germany, International Business Consultant, Hospitality Management, Marketing, Audit &amp; Tax Planning, Coaching, Speaker</t>
  </si>
  <si>
    <t>Lawless &amp; Mae</t>
  </si>
  <si>
    <t>@  Great to meet you folks and see what you are doing. #Springfield #Missouri #airbnb</t>
  </si>
  <si>
    <t>The Official Twitter for Jack Lawless &amp; Rebecca Mae, find on Pandora Radio, iHeart Radio, order It's A Good Thing and others from Amazon, iTunes, CD Baby</t>
  </si>
  <si>
    <t>robbie brinkley</t>
  </si>
  <si>
    <t>The tree house has been cleaned from winter winds and snow. #springcleaning #brinkleychihouse #airbnb #outdoorshower #waterharvesting #earthday @ Brinkley House</t>
  </si>
  <si>
    <t>tijeras, nm</t>
  </si>
  <si>
    <t>artist</t>
  </si>
  <si>
    <t>CryptoMartV8</t>
  </si>
  <si>
    <t>You can also rent #airbnb using #BTC and other 4 #cryptocurrencies, thanks to @bitrefill  #crypto2019 #crypto #cryptocurrency #Bitcoin #ETH #ethereum #LTC #DASH #DOGE #blokchchain #bitcoinnews #CryptoNews #blockchaintech #fintech #blokchchainnews #Adoption</t>
  </si>
  <si>
    <t>Microsoft Architect; Bitcoin / Ethereum / Cryptocurrency Enthusiast; Blockchain Generalist</t>
  </si>
  <si>
    <t>Military Crashpad</t>
  </si>
  <si>
    <t>Did you know... Military Crashpad is Veteran-Owned and Operated? #veteranowned #veteranoperated #crashpad #crashlife #airforce #airbnb #militarylodging #dod #militarycrashpad</t>
  </si>
  <si>
    <t>San Antonio, TX</t>
  </si>
  <si>
    <t>DeerHideoutRetreat</t>
  </si>
  <si>
    <t>Green grass &amp; green trees! Book your stay at Deer Hideout Retreat!  #deerhideoutretreat #bookdirect #booknow #airbnb #greentrees #greengrass #relax #stay #play #getaways #yoursuiteawaits #guestsuite #rurallife #grocerystoredownthestreet #closetothebestpizza</t>
  </si>
  <si>
    <t>Virginia, USA</t>
  </si>
  <si>
    <t>Welcome to Deer Hideout Retreat! We are located in Palmyra, Virginia with 2 acres of land. We hope you choose our home for your stay. Check us out on Airbnb!</t>
  </si>
  <si>
    <t>Lindsey Scully</t>
  </si>
  <si>
    <t>Looking to keep those eco-friendly vibes going year-round? Check out these awesome listings from across Canada for #EarthDay #airbnb #ecofriendly</t>
  </si>
  <si>
    <t>Communications (Canada) @Airbnb</t>
  </si>
  <si>
    <t>Idaho® Potatoes</t>
  </si>
  <si>
    <t>For #EarthDay a 6 ton Idaho Potato has been officially recycled as an #Airbnb, now called the #BigIdahoPotatoHotel At this #grandopening! @kristiemaewolfe has been extremely successful with her tiny homes @MissIdaho @ninaaforest @BigIdahoPotato</t>
  </si>
  <si>
    <t>Idaho</t>
  </si>
  <si>
    <t>Welcome to the official Twitter page of the Idaho Potato Commission and Famous Idaho® Potatoes. Find us on Facebook: http://facebook.com/famousidahopotatoes</t>
  </si>
  <si>
    <t>Looking for a place to rent if traveling to #Atlanta we have #vacationrental #vacationhomes #Airbnb mins from the airport and miles from downtown #Atlanta #booknow #travelers #traveler #tourist click the link below 3bed 2bath</t>
  </si>
  <si>
    <t>4bed 2bath bath available for booking in #Atlanta mins from the airport and miles from downtown #Atlanta #Airbnb #vacationrental #vacationhome #Airbnb #booknow by clicking the link and getting in touch with the host Steve</t>
  </si>
  <si>
    <t>Leo</t>
  </si>
  <si>
    <t>Customer service of #Uber is always awesome. They listen to their customers. It would be an insult to compare them with #AirBNB, which sucks so much that I feel bad to put these 2 names in the same twit. Good job #uber you are always the best!</t>
  </si>
  <si>
    <t>I do what I wanna do.</t>
  </si>
  <si>
    <t>Looking for a #vacationrental #vacationhome #Airbnb in #Atlanta 3bed 2bath mins from the airport and miles from downtown #Atlanta #booknow #travelers #traveler #tourist #trips</t>
  </si>
  <si>
    <t>Peter D. Csathy</t>
  </si>
  <si>
    <t>Yes, #airbnb is also now a media company  #entertainment #movies @THR @latimes @nytimes</t>
  </si>
  <si>
    <t>Los Angeles, California</t>
  </si>
  <si>
    <t>Chairman CREATV Media &amp; Partner SAM CREATV Ventures - Media &amp; Tech VC, Advisor, Dealmaker, Entrepreneur, Journalist, Creator, Music Fan, Family Man</t>
  </si>
  <si>
    <t>#Recommended #Best #Places to #Stay #Corfu #Greece #Telegraph #Travel 2019 The Merchant's House B&amp;B, 4 suites, up to 8 persons #airbnb</t>
  </si>
  <si>
    <t>BigUziFlirt</t>
  </si>
  <si>
    <t>Had my first #airBnB experience. Wonderful. Will be doing it again in the future.</t>
  </si>
  <si>
    <t>Just a cool dude who wants the most out of life.</t>
  </si>
  <si>
    <t>Petula Dvorak</t>
  </si>
  <si>
    <t>A Bud and Breakfast - meet the new DC tourism #420 #airbnb #dccannabis #420friendly</t>
  </si>
  <si>
    <t>Columnist for The Washington Post, off- balance mother of two, forever searching for comfortable 4-inch heels and really good tomato soup.</t>
  </si>
  <si>
    <t>𝙺𝚒𝚗𝚏𝚘𝚕𝚔 𝙿𝚑𝚘𝚝𝚘𝚐𝚛𝚊𝚙𝚑𝚢</t>
  </si>
  <si>
    <t>‘Life is beautiful’ with neon in it! #thesunshineshoot #📸 #neon #blessed #naturallight #interiordesign #interiorshoot #photography #photographyshoot #manchester #fallowfield #upnorth #springishere #openspace #pink #concrete #detailing #airbnb #stayhere #freelance #hireme #🙌🏻</t>
  </si>
  <si>
    <t>Chatburn Ribble Valley</t>
  </si>
  <si>
    <t>Life style and event photography. Airbnb Manchester. The New and Reclaimed Flooring Company. Live Ribble Valley Magazine. Greendale View Kitchen.</t>
  </si>
  <si>
    <t>Barefoot Vacation Rentals</t>
  </si>
  <si>
    <t>Stay in this amazing home and get a chance to win the lottery. Each guest receives a personal note with a lottery ticket. #Vacationrentals #Airbnb #VRBO #vacation #staylocal #smallbusiness #womanowned #Temecula #makingmemories #weddings #love #winetasting #lovetemecula</t>
  </si>
  <si>
    <t>AirbnbWATCH Florida</t>
  </si>
  <si>
    <t>.@StopPredators is urging government officials to step in and protect unsuspecting families from #Airbnb hidden cameras, arguing that @Airbnb is incapable of doing it themselves. #AirbnbWATCHFL</t>
  </si>
  <si>
    <t>Florida, USA</t>
  </si>
  <si>
    <t>Holding Airbnb accountable for keeping Florida communities safe and playing by the rules. Learn more on our website: http://airbnbwatch.org #AirbnbWATCHFL</t>
  </si>
  <si>
    <t>The Elvis House</t>
  </si>
  <si>
    <t>#MusicMonday here at The Elvis House listening to Blue Hawaii. #theelvishouse #theelvishousewaco #elvis #elvispresley #bluehawaii #waco #tx #texas #travel #airbnb #comeandstay #getaway #music #song #relax #unwind #monday #goodvibes</t>
  </si>
  <si>
    <t>Waco, TX</t>
  </si>
  <si>
    <t>Come lay your head where the "King of Rock 'n' Roll" laid his.</t>
  </si>
  <si>
    <t>I rent out #vacationrental #vacationhome #Airbnb in #Atlanta RT @Tusslindo: @MsFAEmous @TheTeSpa @C_C_CREATOR @KashRugbyy @LiveWireTrainin @e__bia @tiek617 @KnottyGirls @StreetUnionPlug @LittyLigo Can everyone you listed post what they sell in this thread. I will start. I sell Hair/Beard Butter 🧔🏿🍯</t>
  </si>
  <si>
    <t>Vaan the Raccoon</t>
  </si>
  <si>
    <t>Happy #EarthDay everyone! Here’s two of the most beautiful sights on Earth, at a wonderful #airbnb in Atlanta; my boyfriend and Scooter the Emu. Did you know that Emus are good swimmers?~</t>
  </si>
  <si>
    <t>North Carolina, USA</t>
  </si>
  <si>
    <t>Raccoon studying Geography. Also an English Teacher. 21\M\Taken https://curiouscat.me/VaanTheRaccoon</t>
  </si>
  <si>
    <t>jon gardella #RealEstate #RE</t>
  </si>
  <si>
    <t>#Airbnb Bliss: Top 10 Cities Where #VacationRentals Rake in the Most Cash... #RealEstate #investmentproperties #landlords #RE #VRBO</t>
  </si>
  <si>
    <t>HOUSTON - USA</t>
  </si>
  <si>
    <t>Real Estate News... Articles-insights-links-pics- from across the web on a variety of #realestate, #housing, #mortgage &amp; #propertymanagement info...</t>
  </si>
  <si>
    <t>Kate Talerico</t>
  </si>
  <si>
    <t>While cities like Boston and Portland have started regulating #airbnb, Boise is still catching up with the trend. Some say that it's taking away from the housing stock and increasing rent costs.</t>
  </si>
  <si>
    <t>reporting on West Ada + Canyon County @idahostatesman | previously @courierjournal @Reveal | let's talk about transit | ktalerico-at-idahostatesman-dot-com</t>
  </si>
  <si>
    <t>April E. Allford</t>
  </si>
  <si>
    <t>Sign up for #Airbnb with my link for $40 off your first trip. Have fun! 🤩</t>
  </si>
  <si>
    <t>Indianapolis, Indiana</t>
  </si>
  <si>
    <t>I was an extra in Hoosiers.</t>
  </si>
  <si>
    <t>AGHQ</t>
  </si>
  <si>
    <t>Every #Airbnb comes with a welcome packet giving guests all the information they need to make the most of their stay. Edgemont #park right here in Montclair, NJ is a popular one. #getaway…</t>
  </si>
  <si>
    <t>Montclair, NJ</t>
  </si>
  <si>
    <t>A community-driven hospitality company.</t>
  </si>
  <si>
    <t>RifferMusic</t>
  </si>
  <si>
    <t>🐣 Happy Easter 🐣 from Riffer Music " The Airbnb of Live Music" ! 👉  #easter #riffer #riffermusic #easter2019 #happyeaster #music #concert #livemusic #musicindustry #singer #bands #airbnb #livestreaming #freehost #gigs #startup #newidea</t>
  </si>
  <si>
    <t>Riffer is "The Airbnb of Live Music! 🎵🎸🎶 Support Us https://igg.me/at/riffermusic-theairbnbofmusic</t>
  </si>
  <si>
    <t>michael hageloh</t>
  </si>
  <si>
    <t>These days, you never know who’s watching. #Airbnb #somebodyswatching @JBrodkin</t>
  </si>
  <si>
    <t>New York, NY</t>
  </si>
  <si>
    <t>For Icons and Outliers. #Startup Mentor | #Apple Veteran | #Schnark | #Writer @StartUpGrind</t>
  </si>
  <si>
    <t>cale</t>
  </si>
  <si>
    <t>Went to book an #airbnb for Vancouver. I sent the owner a msg abt the location &amp; they sent an invite to book but my friend tried to book instead cause she had a discount. They declined for no reason. Friend is black w/ Ethiopian name. Can’t help but wonder....</t>
  </si>
  <si>
    <t>Missouri, USA</t>
  </si>
  <si>
    <t>RN/MPH • neurosurgery research coordinator • #chroniclife • migraine alert dog • #PublicHealth • #UglyDog</t>
  </si>
  <si>
    <t>Sign me up. Already paid in bitcoin. #Followerz #Airbnb #SuperHost</t>
  </si>
  <si>
    <t>Travel Life Confessions</t>
  </si>
  <si>
    <t>I recently covered an event hosted by Bluetent and their partners, , Airbnb and RedSky Insurance. I found a lot of interesting takeaways from this event to benefit the traveler who likes to book online. #bookingcom #airbnb</t>
  </si>
  <si>
    <t>We'll help you unwind from the scary words Retirement and Fixed Income. Travel on a budget, locally, on a Harley, be inspired--Visit @TravelLifeConfessions.com</t>
  </si>
  <si>
    <t>A buen entendedor, pocas palabras – Spanish saying. Translation: A good listener, few words. The smart person quickly understands what someone says without a lot explanation.🤗💕 #interpreter #airbnb #duolingo #translation #communication #travelApp #YattsiApp #translate</t>
  </si>
  <si>
    <t>Burren Sanctuary</t>
  </si>
  <si>
    <t>Burren Nature Sanctuary. Flora. Fauna, Karst. Natural history visitor centre with fun adventure playgrounds, farm pets &amp; artisan cafe FB http://bit.ly/1ts52GF</t>
  </si>
  <si>
    <t>Keith from San Diego California A great guest. . #portrait #airbnb #guest #headshot #studio #canon_photos #adobe #lightroom #man</t>
  </si>
  <si>
    <t>PackThePJs</t>
  </si>
  <si>
    <t>Towards the end of last year we booked a short break to South Devon. #Airbnb came to our rescue with Opy’s Barn, that slept 4 people, with wifi, and was dog friendly @Airbnb_uk @VisitDevonUK @dartmouth #Devon #airbnb #dogfriendly #travel #familytravel</t>
  </si>
  <si>
    <t>Travel. Family. Fun. We are a UK-based family travel and lifestyle blog #blogger Please contact tracey@packthepjs.com</t>
  </si>
  <si>
    <t>Michaela</t>
  </si>
  <si>
    <t>The #Airbnb Invasion of #Barcelona</t>
  </si>
  <si>
    <t>Barcelona, Spanien</t>
  </si>
  <si>
    <t>Interim Senior Recruitment and ChangeManager Digital Transformation | Hypnosetherapeutin | in meinem Paralleluniversum besitze ich eine Bar auf La Gomera</t>
  </si>
  <si>
    <t>Marc&amp;Laura</t>
  </si>
  <si>
    <t>Annecy</t>
  </si>
  <si>
    <t>Nucliff Agency</t>
  </si>
  <si>
    <t>Entrepreneur | Digital Evangelist | Founder at Nucliff Agency</t>
  </si>
  <si>
    <t>Paradise Adventures Costa Rica (PACR)</t>
  </si>
  <si>
    <t>Costa Rica Airbnb Vacation Rentals, La Fortuna, Arenal, Gunacaste Beaches #vacation #travel #costarica #Airbnb #superhost #cabins</t>
  </si>
  <si>
    <t>Costa Rica</t>
  </si>
  <si>
    <t>Costa Rica's top rated Adventure Experts, providing visitors with first hand travel advice and recommendation, creating memories that last a lifetime.</t>
  </si>
  <si>
    <t>First Class Properties</t>
  </si>
  <si>
    <t>Understand what your space can accommodate.  #firstclasscompany #firstclassinvest #luxuryapartment #luxurylifestyle #hospitality #invest #houseforrent #renovation #airbnb #interiordesign #weloveourquests #vip #businesstrip #holidays #greece #varkiza</t>
  </si>
  <si>
    <t>Attiki, Greece</t>
  </si>
  <si>
    <t>Furnished luxury apartments for rent of First Class Properties, located in the most sought after areas of Athens.</t>
  </si>
  <si>
    <t>BredonHillCleaning</t>
  </si>
  <si>
    <t>How to get booked on Airbnb when you’re a new host  #guestready #howtogetyourfirstairbnbbooking #airbnb #holidaylet #cotswolds #bredonhill #gloucestershire #worcestershire</t>
  </si>
  <si>
    <t>Overbury, England</t>
  </si>
  <si>
    <t>Established in 2000 we've built up an excellent reputation for domestic and commercial cleaning. Housekeeping too for holiday lets, Airbnb and hotels.</t>
  </si>
  <si>
    <t>Ingrid Baetens</t>
  </si>
  <si>
    <t>Discount of 20% for the first 3 bookings!!! #airbnb #Uzès #Provence #DouceFrance</t>
  </si>
  <si>
    <t>Vilnius Centre Old Town Studio and Sauna</t>
  </si>
  <si>
    <t>Happy to welcome you for your next stay in #Vilnius @ the City Hall Studio Old Town apartment &amp; sauna  #Lithuania #travel 🛅 #traveltips #vacation #trip #tourism 🛬 #Airbnb  #sauna 🔥</t>
  </si>
  <si>
    <t>Vilnius City Hall Studio Old Town apartment &amp; sauna. Accommodation @ the heart of Vilnius, Wilno, Вильнюс, Vilna, 维尔纽斯, 빌 뉴스, विल्नियस, ヴィルニアス, ವಿಲ್ನಿಯಸ್</t>
  </si>
  <si>
    <t>NJBIZ</t>
  </si>
  <si>
    <t>Barrier to the beach🏖: ‘#AirBnB tax’ clouds outlook for summer at the shore | “People when they heard there was a tax, cancelled their reservations, either saying they’re not going to go on vacation or they’re going to look ... outside of #NewJersey.”</t>
  </si>
  <si>
    <t>New Jersey</t>
  </si>
  <si>
    <t>All Business. All New Jersey. | Get NJBIZ in your inbox via http://bit.ly/njbizsubscribe</t>
  </si>
  <si>
    <t>Book your stay at Holiday Scottsdale between now and August 31, 2019 and receive #FreeStarbucks when you check-in. Hurry, this offer ends April 30, 2019. #Airbnb #Vrbo #Starbucks #Freecoffee</t>
  </si>
  <si>
    <t>Ashburnham Insurance</t>
  </si>
  <si>
    <t>It's the season to rent out that spare #property you're not using. Here's some tips if you're thinking of renting on #Airbnb</t>
  </si>
  <si>
    <t>Southend-on-Sea, East</t>
  </si>
  <si>
    <t>Cheap Landlord Insurance | Public Liability Insurance | Land Insurance | Buy To Let Insurance | Employers Liability Insurance | Insure with the best UK Broker</t>
  </si>
  <si>
    <t>A productive writing holiday coming to an end. Here's proof I did stuff with words. ◇⠀ ⠀ #ideas #loglines #mornings #writersofinstagram #airbnb #travel #vibes #writing #life #wonder</t>
  </si>
  <si>
    <t>Sonder just gave $100K "furniture donation" to CoV's non-market housing. Charitable or #donorsfirst? (2018 v. @Forbes) Sonder Raises $135M To Turn Airbnb-Style Apartments Into A Different Kind Of Hotel  #vanre #airbnb #housingcrisis #vanpoli</t>
  </si>
  <si>
    <t>Visit  to learn more #airbnb #airbnbhost #airbnbexperience #airbnbcoupon #airbnbexperiences #airbnbhomes #airbnbguest #bnb #bnbreadathon #moneygram #moneymotivated #entrepreneurship #unitedstates #businesstips #inspire #makemoney #rentalproperty #rentals</t>
  </si>
  <si>
    <t>When your Airbnb host have an appreciation for aesop products 😌 @airbnb @aesopskincare #aesop #airbnb #southernhighlands #travel #travelphotography #relax #easter #easterlongweekend #aussie #australia #clovarcreative #bath #luxury #beauty #bathtime #…</t>
  </si>
  <si>
    <t>Rare #opportunity at $1.1m just blocks from #AbbotKinney in #Venice , this 2b/1b is perfect for a #weekend #getaway ! One unit in a private, 3 unit building, HOA dues are $200/mo. #dealoftheday #losangeles #realestate #homesweethome #airbnb #investmentproperty #MondayMotivaton</t>
  </si>
  <si>
    <t>Kenley Neufeld</t>
  </si>
  <si>
    <t>Certainly a complex question. Interesting assessment by HBR. Readable and short. #airbnb #housing RT @HarvardBiz: One-fifth of the average annual increase in U.S. rents is attributable to Airbnb, according to a recent study</t>
  </si>
  <si>
    <t>Ojai, California</t>
  </si>
  <si>
    <t>I'm a Dharma Teacher ordained by @ThichNhatHanh, a Community College Dean @SantaBarbaraCC, married with two awesome teens. Librarian trained. UTC-8</t>
  </si>
  <si>
    <t>Copenhagen Bike &amp; Breakfasthttps://www.airbnb.jp/rooms/258670  via Twitter Web Client #airbnb</t>
  </si>
  <si>
    <t>It's 2016 #Eurovision all over again. #AirBnB in #TelAviv host cancels 3 weeks before the trip. All we get is a measly +10% credit from AirBnB. @Airbnb is this the best you can do???</t>
  </si>
  <si>
    <t>Drink. Travel. Dine™</t>
  </si>
  <si>
    <t>Parisian apartment... what a view of the Eiffel Tower. . . . . . . #effieltower #paris #apartment #living #sky #home #vrbo #homeaway #airbnb #visit #parisianstyle #drinktraveldine</t>
  </si>
  <si>
    <t>We love to indulge in everything Drink. Travel. Dine</t>
  </si>
  <si>
    <t>Jason Clements</t>
  </si>
  <si>
    <t>How to Take Photos of Your #Airbnb Listing That Get You Bookings ☞  via @LaptopLandlord</t>
  </si>
  <si>
    <t>Niagara-on-the-Lake, Ontario</t>
  </si>
  <si>
    <t>Real Estate Sales Rep with Royal LePage. Vacation Rental Property Manager. Digital Marketing Specialist. #RLP #RealEstate #airbnb #NOTL http://jasonclements.ca</t>
  </si>
  <si>
    <t>You too #comfortcottagehealing #visitwales #dogfriendly #TheDogsWithMe #alpacas #ArtsWales #SunDogs #Airbnb #yell RT @Theminoltakid: Good morning. Wishing you a happy Monday. Hope you have a great day @ruthwignall @rachaelhxx @kelseyredmore @fiftyminus2 @itsSaraOlsen @Mandtakespics @Bluebird19273 @ColinBell2505 @huwmdavies @Hawkins65S @maria4nature @CathyTa21628333 @aliowl78</t>
  </si>
  <si>
    <t>grandson of 2 #immigrants</t>
  </si>
  <si>
    <t>Good on #airbnb for not pushing anyone out of rented property here.  #housing #homelessness</t>
  </si>
  <si>
    <t>Bonita, CA</t>
  </si>
  <si>
    <t>I am not in union with a nation that will debase itself by electing Donald Trump to be #POTUS » #FreeTheBear</t>
  </si>
  <si>
    <t>"I definitely wouldn’t want to do without social media now." Read what the owner of Belle Grove Barns had to say about their use of #socialmedia in our recent article...  #holidayhome #holidays #holidaylets #airbnb #holidayrental</t>
  </si>
  <si>
    <t>Passos do Turismo</t>
  </si>
  <si>
    <t>🇧🇷 Studio in Largo da #Carioca - Dowtown - Apartments for Rent in Centro, #RiodeJaneiro, #Brazil  #Airbnb #StudioNaCarioca</t>
  </si>
  <si>
    <t>Rio de Janeiro, Brasil</t>
  </si>
  <si>
    <t>Conteúdo relevante nas áreas de #Turismo, #Hotelaria, #Sustentabilidade, #Marketing e #SocialMedia além de #FrasesDeImpacto</t>
  </si>
  <si>
    <t>Daniella - iliketodabble</t>
  </si>
  <si>
    <t>10 Enchanting Yurts For Rent On Airbnb - #2 was probably our favorite! #yurtsonairbnb #airbnb</t>
  </si>
  <si>
    <t>Software engineer, #sidehustler, #travelhacker, blogger and cat/dog/tarantula momma trying to live a sustainable lifestyle for a future of #financialfreedom.</t>
  </si>
  <si>
    <t>Jobs fill your pocket, but adventures fill your soul.  #beachlife #wanderlust #traveling #adventure #February #airbnb</t>
  </si>
  <si>
    <t>Ak</t>
  </si>
  <si>
    <t>Get up to 55$ OFF on your first Booking on Airbnb! Sign up here #EarthDay #Travel #Airbnb</t>
  </si>
  <si>
    <t>Nairobi, Kenya</t>
  </si>
  <si>
    <t>Development Oriented being</t>
  </si>
  <si>
    <t>#Airbnb eyes commercial buildings in new partnership...  #RealEstate #NYC #RXR</t>
  </si>
  <si>
    <t>Coupon Fleek</t>
  </si>
  <si>
    <t>Sign up for AirBnB here &amp; get $40 off your first stay.  #airbnb #travel #touristlife</t>
  </si>
  <si>
    <t>Sharing digital coupon codes and freebies with the community. It's coupons on fleek (How Cheesy).</t>
  </si>
  <si>
    <t>Forever Freebies</t>
  </si>
  <si>
    <t>Sign up for AirBnB with our referral and get $40 off your first trip.  #airbnb #travel #touristlife</t>
  </si>
  <si>
    <t>Imagine getting freebies for all eternity. Welcome to Forever Freebies! #freebies #coupons</t>
  </si>
  <si>
    <t>Beautiful Historic House on Hudsonhttps://www.airbnb.jp/rooms/933639  via Twitter Web Client #airbnb</t>
  </si>
  <si>
    <t>Calling the future Jogja hospitality troops! Contact us for more info. Be there or be square 😉 #BVNews #BVExperience #Airbnb #AirbnbBali #AirbnbJogja #AirbnbHost #Hospitality #BaliHospitality #JogjaHospitality #UGM #BukitVista</t>
  </si>
  <si>
    <t>NewsWatch TV</t>
  </si>
  <si>
    <t>Boating season is upon us so why not connect with other boat owners? @skippermyboat is basically the #Airbnb of boating. .</t>
  </si>
  <si>
    <t>For Breaking News, Tech Reviews, &amp; Celebrity Talk, watch NewsWatch on The AMC Network every other Monday at 7 AM.</t>
  </si>
  <si>
    <t>Internetbob</t>
  </si>
  <si>
    <t>52.08752,5.139863</t>
  </si>
  <si>
    <t> Music News Arabic World</t>
  </si>
  <si>
    <t>To our lovely customers: We just wanted to say...Thank You...for your loyalty and support💙💙💙 #maisonvie #london #kilburn #nw6 #frenchcafe #frenchbakery #frenchrestaurant #ICMP #airbnb #londonfoodie #londonfood #londoncafe #londonbakery #londonrestaurant #queenspark</t>
  </si>
  <si>
    <t>Bewen Xie</t>
  </si>
  <si>
    <t>I traveled Asia alone. Here’s what happened.  #solotravel #hostelworld #airbnb #hotel #travel #explore #earthday #adventure #backpacker #bali #indonesia</t>
  </si>
  <si>
    <t>Travel | Yoga | Astrology 🌻</t>
  </si>
  <si>
    <t>April 22-30 Spacious 1 Bedroom Modern Clean Luxury Living Room &amp; Kitchen · stunning infinity pool · 2 large, private terraces · fans &amp;amp; air con · SmartTV·Wifi · Bluetooth Speakers  #airbnb #tulum #rivieramaya #playadelcarmen #QRoo #vacationrental</t>
  </si>
  <si>
    <t>Visit Rome by my Airb&amp;b! Trip to the lovely Tivoli #airbnb</t>
  </si>
  <si>
    <t>April 22-27 Affordable Luxury Studio Clean, Modern, Beautiful · stunning infinity pool · large, private terrace · fans &amp; air con · SmartTV·Wifi · Bluetooth Speakers · kitchen · Aldea Zama  #airbnb #tulum #rivieramaya #playadelcarmen #QRoo #vacationrental</t>
  </si>
  <si>
    <t>Revoking article 50 increasingly likely‏</t>
  </si>
  <si>
    <t>After areas improved, communities damaged, #NewOrleans regulated that in residential zones, only live-in owners could offer #AirBnB. Regs to be reviewed in “Spring”. Some enterprising locals caught in the middle. @JFTAXI @Micky_Murray @vonny_bravo RT @planetmoney: First, the city of New Orleans embraced Airbnb so people bought and fixed up property left and right. But then the rules went from some of the most relaxed to the strictest in the country.</t>
  </si>
  <si>
    <t>I cycle to get around, love elegance, fond of tech. Trust in facts/evidence &amp; believe in the rule of law (&amp; due process). All views someone else's.</t>
  </si>
  <si>
    <t>Bella Daniel</t>
  </si>
  <si>
    <t>Airbnb Bliss: Top 10 Cities Where Vacation Rentals Rake in the Most Cash  #Trends #airbnb</t>
  </si>
  <si>
    <t>Turlock, Ca.</t>
  </si>
  <si>
    <t>Selling Real Estate since 1989</t>
  </si>
  <si>
    <t>Strandhill Beach Apts</t>
  </si>
  <si>
    <t>Hoppy was happy he came to stay with us this Easter! 🐇 He just popped down stairs to Shells Cafe, had eggs for breakfast, chocolate ones of course &amp; hopped on the surfboard &amp;amp; impressed everybunny with moves! #newapartment #airbnb #gostrandhill #Sligo</t>
  </si>
  <si>
    <t>Sligo, Ireland</t>
  </si>
  <si>
    <t>Private 1 &amp; 2 bedroom seafront apartments in the vibrant seaside holiday village of Strandhill. #accommodation #Strandhill #Sligo #surf Contact: Stephen Taylor</t>
  </si>
  <si>
    <t>A stay fit for a Knight of the Seven Kingdoms. #BrandContent #WaterCooler #Airbnb #SuperHost</t>
  </si>
  <si>
    <t>Hacienda Moyano</t>
  </si>
  <si>
    <t>Very nice :) #PRIslandstyle #Haciendamoyano #hotel #resort #guesthouses #guest #airbnb #expedia #hotels #hotelscom #travelocity #google #nature #rainforest #reviews #rating #naguabopr🇵🇷…</t>
  </si>
  <si>
    <t>Naguabo, Puerto Rico USA</t>
  </si>
  <si>
    <t>Entrepreneurs &amp; expert vacation adventure travel hosts John &amp; Sara rent studio apartments &amp; pool south of El Yunque in Puerto Rico overlooking the Caribbean Sea</t>
  </si>
  <si>
    <t>PAUSE</t>
  </si>
  <si>
    <t>Glimpses of the surrounding areas 🔅🐣🙂 . #semester #organic #yoga #kundalini #eko #ekologisk #vacation #relax #Airbnb #airbnbsweden #visitÖsterlen #visitsweden #visitskåne #Tomelilla…</t>
  </si>
  <si>
    <t>Tomelilla, Sverige</t>
  </si>
  <si>
    <t>Bed &amp; Breakfast PAUSE....more than a B&amp;B... yoga . massage . active relaxation meditation . detox-/aromatherapy SPA. Eco food Tomelilla/Österlen -Skåne - Sweden</t>
  </si>
  <si>
    <t>Holiday letting portals are constantly taking steps to reduce criminal acts being committed - however, holidaymakers still get caught out. Our advice here:  #airbnb #homeaway #holidays2019 #scams #holidays #holidayhome</t>
  </si>
  <si>
    <t>Stay U-nique</t>
  </si>
  <si>
    <t>Another week and another great feedback from our customers! Nothing makes us happier! #guest #airbnb #stayunique #hospitality #Barcelona</t>
  </si>
  <si>
    <t>Barcelona, Spain</t>
  </si>
  <si>
    <t>Official twitter account for apartment rental company, Stay U-nique in central Barcelona. #PassionForCaring</t>
  </si>
  <si>
    <t>We know is #Monday but start planning your weekend in #Tokyo. We have great prices for these upcoming weeks. Book us on @Airbnb now :) #AIRBNB :  #familytravel #travel #japan #goldenweek RT @TimeOutTokyo: Your week in Tokyo, sorted.</t>
  </si>
  <si>
    <t>The latest image from the GowerLive #webcam on the roof 730RocksMumbles #AirBnB. Book at  #Mumbles #Swansea #Gower #travel. Watch live at  #531</t>
  </si>
  <si>
    <t>Tarihi Galatasaray Hamamı</t>
  </si>
  <si>
    <t>📌Online Booking ⬇️⬇️⬇️ 👉👉 #tbt #galatasarayhamamı #hamam #hammam #istanbul #turkey #galatasaray #turkishbath #taksim #istiklalcaddesi #hamamkeyfi #trip #tripadvisor #booking #airbnb #taksimsquare #gelinhamamıorganizasyonu #beyoğlu-</t>
  </si>
  <si>
    <t>Istanbul, Turkey</t>
  </si>
  <si>
    <t xml:space="preserve"> +90(212)2524242</t>
  </si>
  <si>
    <t>A lovely couple deserves a lovely place.💏 Take it from these guests! 👉 Be assisted by a 2xSuperhost!!! #AIRBNBsuperhost #AIRBNB #bestplaceindxb #dreamdtravels #UAEDUBAI #dubaistay #dubaimarina #dubailuxuryapartment #bestviewindubai #marinaview #dubaigoals</t>
  </si>
  <si>
    <t>Monica.Bian</t>
  </si>
  <si>
    <t>The light! shot by ins:chenfeixing 📸 #shenzhen #shenzhencity #shenzhenchina #shenzhenlife #shenzhenuniversity #guangdong #hongkong #china #chinese #expatlife #asia #asian #megacity #skyscraper #architecture #airbnb</t>
  </si>
  <si>
    <t>Beijing</t>
  </si>
  <si>
    <t>Be yourself.</t>
  </si>
  <si>
    <t>Michael Prentice</t>
  </si>
  <si>
    <t>TFW your #Airbnb host didn't pay the bill and you loose Internet at midnight when you have online meetings the next day. Oh and it takes up to 24 hours to come back on after payment is made.</t>
  </si>
  <si>
    <t>Melbourne, FL</t>
  </si>
  <si>
    <t>Lead maintainer of #AngularJS #Material, @Angular team. Software Architect, Consultant, OSS contributor @DevIntent. Father and community builder.</t>
  </si>
  <si>
    <t>Jim Newton-Smith</t>
  </si>
  <si>
    <t>As a SuperHost it’s always a pleasure to provide cool, filtered water, fresh fruit, a choc &amp; even a welcoming smile #airbnb Looking forward to travelling in Belgium soon, photo of Airbnb we’ll be staying at has bottles of Leffe bierre on the balcony overlooking the river RT @BellEducator: The best thing about checking into an @Airbnb is seeing what goodies the homeowners/previous occupants left for you. This time - Sierra Nevada, lemons, and organic eggs in the fridge, sunscreen by the pool, and yummy smelling soaps. Already brainstorming what treats I'll leave!</t>
  </si>
  <si>
    <t>Bristol, UK</t>
  </si>
  <si>
    <t>Working with people to find personalised and integrated health and business solutions that are best for them.</t>
  </si>
  <si>
    <t>Travelline Studio - The best places for amazing photos in Saigon More information about Travelline Studio here  #airbnb #hochiminhcity #hochiminh #saigon #saigonview #vietnam #travel #travellinevietnam</t>
  </si>
  <si>
    <t>ZingaZingAaah</t>
  </si>
  <si>
    <t>I prefer AirBnb's where the owner doesn't live next door. #Airbnb #Holiday #Roadie</t>
  </si>
  <si>
    <t>All my kids have the same daddy°°ISTP°°Aquarius°°Mom°°Non-believer°°NZ born Samoan°°Married°°Android OS°°Employed°°Thiccc°°Weirdo°°Shits°°Giggles°°</t>
  </si>
  <si>
    <t>Liftcar to beautiful castle with amazing view. Book your city trip holiday in this beautiful city.  #hotel #ljubljanastay #airbnb #filippalace #ljubljanastay #booking #centerstay #ljubljana #castel #liftcar</t>
  </si>
  <si>
    <t>Loving the weather, hope you are having a good weekend #comfortcottagehealing #visitwales #dogfriendly #TheDogsWithMe #alpacas #ArtsWales #SunDogs #Airbnb #yell RT @JamesConlon_: Everyone enjoying the bank holiday weekend? Feeling happier in my body and in myself at the moment. FINALLY. Love yourself 💜</t>
  </si>
  <si>
    <t>🦍BJackz🐘</t>
  </si>
  <si>
    <t>#Airbnb is the worse shit ever they had us in some devil worshiper crib and won’t give us our money back like wtf 🤬 mfs don’t respect what you believe in nowadays</t>
  </si>
  <si>
    <t>LOST IN THIS STATE OF MIND flying around on the ☁️</t>
  </si>
  <si>
    <t>Discover the beauty of the bamboo forests in #tokyo. Book your stay in #Tokyo with us here #AIRBNB :  #Airbnbhost #bambootree RT @LIVEJAPANGuide: When you think about #Japan, you might think about bamboo forests! But did you know that you can find several of these beautiful forests in and around Tokyo?</t>
  </si>
  <si>
    <t>#Weekend happiness with our new pink frozen #yogurt👌😋 #maisonvie #london #kilburn #nw6 #frenchcafe #frenchbakery #frenchrestaurant #ICMP #airbnb #londonfoodie #londonfood #londoncafe #londonbakery #londonrestaurant #instagood #instafood #delicious #yummy #tasty #queenspark</t>
  </si>
  <si>
    <t>Bluebell Cottage Tipperary 🇮🇪</t>
  </si>
  <si>
    <t>The #bluebells are blooming at Bluebell Cottage this Easter weekend 💙 Happy Easter! #Ireland #tipperary #airbnb #selfcatering #bluebell #flowers #easter @VisitTipp @ancienteastIRL @IRLHHeartlands @Failte_Ireland @GWandShows</t>
  </si>
  <si>
    <t>Borrisoleigh, Tipperary</t>
  </si>
  <si>
    <t>Idyllic 19th century Irish cottage with modern facilities. Your 'Home from Home' in the heart of #Ireland, sleeps 6. To book: http://abnb.me/EVmg/juRwMMQ8aE</t>
  </si>
  <si>
    <t>This a called for all Samurai warrior fans! Do not miss this exhibition that runs from April 27th through May 6th. in Tokyo. Remember to book your stay with us here:#AIRBNB :  Exhibition link:</t>
  </si>
  <si>
    <t>Sparrow</t>
  </si>
  <si>
    <t>Where did you have your breakfast today? 🇬🇷 🌊 ☀ 😎 🥤 ☕ 🥐#airbnb #vacationrental #tourist #tourism #travelling #traveler #holidays #ocean #paradise #relax #island #traveller #greece #athens #sparrow #thesparrow #hospitality #hospitalityservices #breakfast #brunch #healthyfood</t>
  </si>
  <si>
    <t>Athens</t>
  </si>
  <si>
    <t>Hospitality Services</t>
  </si>
  <si>
    <t>Genevieve Frew</t>
  </si>
  <si>
    <t>“Are those for me?” • • • #easter #eastereggs #tasmania #huonvalley #dogslife #airbnb</t>
  </si>
  <si>
    <t>Melbourne</t>
  </si>
  <si>
    <t>Still from Sydney but still living in Melbourne. Still acting, still cruising and still writing about it. Still here and still listening.</t>
  </si>
  <si>
    <t>“we show that a 1% increase in Airbnb listings is causally associated with a 0.018% increase in rental rates and a 0.026% increase in house prices.” ——- 🏠📈 #airbnb #STR #RealEstate #NIMBY #housing</t>
  </si>
  <si>
    <t>Check out this awesome Entire condominium on Airbnb: Live Like Royalty On The Las Vegas Strip!, sleeps 5 #WSOP #Poker #Vegas #AirBnB</t>
  </si>
  <si>
    <t>pat</t>
  </si>
  <si>
    <t>Oh geez. Going to bed, and still don't have #airbnb reservation confirmed, verified, whatever. Going to be more than upset if I lose this reservation. Yes, they've been trying to help but still a problem. Wish me luck.</t>
  </si>
  <si>
    <t xml:space="preserve">springfield mo </t>
  </si>
  <si>
    <t>#RAK Scout--my inspiration. dying breed #redhead #stlouis #ozarks #druryuniv #Springfield #missouri #helpthejourney</t>
  </si>
  <si>
    <t>Large 5Star #Florida #vacationhome with prival pool on #Airbnb Tropical #TommyBahama style - #VRBO April 21, 2019 at 10:00PM</t>
  </si>
  <si>
    <t>Houseit Productions</t>
  </si>
  <si>
    <t>. 🎥 + 📸 + 🏘 Houseitprod@gmail.com . . #HouseitProductions #Houseit #realestate #miamirealestate #realty #realtor #openhouse #luxuryhomes #broker #miami #airbnb…</t>
  </si>
  <si>
    <t>Miami, Fl</t>
  </si>
  <si>
    <t>South Florida Media Services Marketing &amp; Branding, Video / Aerial Email: houseitprod@gmail.com</t>
  </si>
  <si>
    <t>ᗪominic G. Brown</t>
  </si>
  <si>
    <t>How to Detect #Hidden #surveillance #cameras With Your #Smartphones  #spying #IoT #iPhone #Livestream #livestreaming #airbnb #hotels #nightvision #privacy</t>
  </si>
  <si>
    <t>McKinney, TX</t>
  </si>
  <si>
    <t>Husband™ Father™ #Entrepreneur -- Meraki = To Provide the BEST #Insurance Solutions</t>
  </si>
  <si>
    <t>Greg Martin</t>
  </si>
  <si>
    <t>Another great Billliant Nights photography workshop at Brooklyn Bridge Park. #China #France #Italy #NYC #Brooklyn #Airbnb #Airbnbexperiences #photography #nightphotography #travel #tourism #photoworkshop #phototours #teampixel #canon #nikon #travel #architecture #iphone #P30pro</t>
  </si>
  <si>
    <t>Brilliant Nightscapes photography workshop. http://airbnb.com/experiences/10…</t>
  </si>
  <si>
    <t>The #perfect #beach #hat for #puertomorelos #casadelosviajeros #stepstothebeach Link in bio #mexico #youshouldbehere #casadelosviajeros #vacationrental #airbnb #vrbo #homeaway #doyoutravel #travelandlife #traveldeeper #travel #travelphotography #trave…</t>
  </si>
  <si>
    <t>Bed&amp;Stay, it is a 3 story house with 6 bedrooms. 2 of them with double bed and 4 bedrooms with a bunkbed. Perfect to host up to 12 people. Book us here:#AIRBNB :  #familytravel #travel #japan</t>
  </si>
  <si>
    <t>#HappyMonday We are just a few days for May. Did you book your stay in #Tokyo? Bed&amp;Stay is a great place to host families and groups. Book us here: #AIRBNB :  #familytravel #travel #japan</t>
  </si>
  <si>
    <t>BlackBearLodgeTahoe</t>
  </si>
  <si>
    <t>Got Tahoe plans for spring or summer? We've got just the place:  #visittahoe #laketahoe #tahoeaccommodations #BigBlue #tahoeaccommodations #vrbo #airbnb</t>
  </si>
  <si>
    <t>Sky Meadows, So Lake Tahoe, CA</t>
  </si>
  <si>
    <t>Holder of the keys to Black Bear Lodge Tahoe, California's world class vacation destination. Ski, hike, bike, boat, fish. Come stay! http://www.vrbo.com/746889</t>
  </si>
  <si>
    <t>Mitsuhiro Sugano</t>
  </si>
  <si>
    <t>Guests from Tokyo #airbnb #guesthouse #farmstay #kumamoto</t>
  </si>
  <si>
    <t>Tokyo</t>
  </si>
  <si>
    <t>Howie Doin</t>
  </si>
  <si>
    <t>I don't know why I do this to myself but I just came up with the final Major Construction project! #airbnb #cashcow #riskvsreward #dreamproject #volunteersneeded — feeling crazy</t>
  </si>
  <si>
    <t>Brooklyn, NY</t>
  </si>
  <si>
    <t>Proud Nerd &amp; Former Hacker, Solar Champ, Jeopardy Champ, Performed @ Lincoln Center. Cook, Engineer, Front Page of Reddit &amp; Re-tweeted By Twitter Corp too!</t>
  </si>
  <si>
    <t>The #perfect #beach #hat for #puertomorelos #casadelosviajeros #stepstothebeach Link in bio #mexico #youshouldbehere #casadelosviajeros #vacationrental #airbnb #vrbo #homeaway #doyoutravel #travelandlife #traveldeeper #travel #travelphotography #travelblogger #vacationmod…</t>
  </si>
  <si>
    <t>Wade Wright</t>
  </si>
  <si>
    <t>Airbnb leads $160M funding for Lyric, startup designing apartments specifically aimed at travelers  #airbnb #realestate</t>
  </si>
  <si>
    <t>http://StartupNewsAsia.com: Asia's startup news daily, monthly, quarterly, annual, web &amp; print // App and language/subject-agnostic print-to-web platform in dev</t>
  </si>
  <si>
    <t>GoldenGateTrailblazr</t>
  </si>
  <si>
    <t>Off to Maui? Make itinerary planning a breeze. @mauivisit #MauiHawaii #mauiguide #airbnb @MAUImag #mauitravelblog #optoutside #easter #HappyEaster #mauitrailblazer</t>
  </si>
  <si>
    <t>San Francisco-Marin</t>
  </si>
  <si>
    <t>Hike-Walk-Bike San Francisco &amp; Marin with the Golden Gate Trailblazer guidebook. Print, eBook, mobile. A #TrailblazerTravelBook by Jerry Sprout. Avail on Amazon</t>
  </si>
  <si>
    <t>Rent Bali Villas</t>
  </si>
  <si>
    <t>"STUNNING BALI" SEMINYAK / PETITENGET LUXURY VILLAS 3 &amp; 4 bedroom sleep 6 to 11 people To contact me please email me: baliparadisevillas1@gmail.com #seminyak #petitenget #bali #beach #relax #airbnb #villarental #villa #holidayrental #baliholiday #balilife #holiday #travel</t>
  </si>
  <si>
    <t>Denpasar, Bali</t>
  </si>
  <si>
    <t>Oysteer New Zealand</t>
  </si>
  <si>
    <t>How Can Estate Agents Benefit From Mobile Apps?  #Uber #Airbnb #Propertynz #RealEstateMarketing #Rightmove #Realestatenz #Auckland</t>
  </si>
  <si>
    <t>Auckland, New Zealand</t>
  </si>
  <si>
    <t>In the ##RealEstate Industry?🏡 Join our Millionaire Mindset Agents Group: http://facebook.com/groups/mmagents/</t>
  </si>
  <si>
    <t>RealEstateInvesting</t>
  </si>
  <si>
    <t>The Game of Short-Term #RentalProperty &amp; #Airbnb Arbitrage| #RealEstateInvesting.com</t>
  </si>
  <si>
    <t>Jacksonville, FL</t>
  </si>
  <si>
    <t>http://RealEstateInvesting.com is relaunching a completely new platform. Check out the new website which includes a social network, forums, blog, podcast and more</t>
  </si>
  <si>
    <t>Jason Forker Ruoff</t>
  </si>
  <si>
    <t>Club House 🏠 Goals 😍😍 #vacationrentals #vacation #travel #vacationrental #airbnb #beach #holidayrental #holidayhome #holiday #luxuryvilla #propertymanagement #familyvacation #vacationmode…</t>
  </si>
  <si>
    <t>Hampton Bays</t>
  </si>
  <si>
    <t>Freelance photographer, videographer and Matterport user (creating 3D walk-throughs of houses). located in The Hamptons</t>
  </si>
  <si>
    <t>“I am at home among trees.” J.R.R. Tolkien’s love of nature shows clearly through all of his literary works. 🌲🌲🌲 This picture was taken from underneath the hemlock at Laurelwood. It’s so lovely when you find hidden little coves under the trees. #quotes #tolkien #airbnb #boone</t>
  </si>
  <si>
    <t>Indulge in the ultimate getaway at this architect designed coastal masterpiece. Bordered by parkland, the home's commanding setting affords awe-inspiring 360-degree views.  . . #labodeaccommodation #airbnb #luxury #shortstays #holiday #luxury</t>
  </si>
  <si>
    <t>Storybook House Guest Studiohttps://www.airbnb.jp/rooms/1570731  via Twitter Web Client #airbnb</t>
  </si>
  <si>
    <t>Mike Ferris</t>
  </si>
  <si>
    <t>#AirBNB app is complete GARBAGE! Entered password correctly 30 times.... then it locked me out. Worthless app design</t>
  </si>
  <si>
    <t>Stoneybatter, Dublin, Ireland</t>
  </si>
  <si>
    <t>Nebraskan in Ireland -Sci-Fi-fan.Music (guitar &amp; bass player &amp; recording), skepticism &amp; science, writing &amp; poetry</t>
  </si>
  <si>
    <t>#2019April22ndOKINAWA 「Comic Dojo TEE🥋Family」 PM17:00〜 PM20:00〜 Experience the weightlessness performance at close range  #Okinawa #Japan #Travel #Airbnb #Naha #Tourism #Pocketalk #Nonverbal #Entertainment #TEEFamily #THEKINGOFFIGHTERS🔥</t>
  </si>
  <si>
    <t>Florida Memes</t>
  </si>
  <si>
    <t>These hacks are 100% true. ⁣⠀ #canada #vacationrental #airbnb #snowbird #vrbo #airbnbhost #snowbirds #canadiansnowbirds #florida #southflorida #floridamemes</t>
  </si>
  <si>
    <t>The Official real deal Florida Memes 🌴🌴🌴</t>
  </si>
  <si>
    <t>#2019May6thOKINAWA #GW✨ 「Golden Week Special Live🎤」 PM 1st 13:00〜 / 2st 16:00〜 [place] Aeon Naha 1Ｆ Uruk Square  #Okinawa #Japan #Travel #Airbnb #Naha #Tourism #AeonNaha #LiveMusic #D51 #Music #Pocketalk</t>
  </si>
  <si>
    <t>Eisa Museum🇯🇵  「Youth club regular dance👲」 Teruya April28th PM14:00 coming soon May12th PM14:00 Misato May12th PM17:00 Ikehara May26th PM14:00 #Okinawa #Japan #Travel #Airbnb #OkinawaCity #Tourism #Pocketalk #Entertainment #Eisa #Performance</t>
  </si>
  <si>
    <t>Symeon R. Brown</t>
  </si>
  <si>
    <t>I Woke up to this view🙌🏾 . . . . . . #Travel #TravelLife #WorldTraveler #TravelGoals #LikeThis #EntrepreneurLife #Travelmotivation #Globe #CatchFlights #TakeFlight #WorkFromHome #airbnb…</t>
  </si>
  <si>
    <t>#RealEstate #Film #Marketing 🌍Traveler✈️ Work Like a Boss or work For a Boss</t>
  </si>
  <si>
    <t>Martha Lippa</t>
  </si>
  <si>
    <t>Latest #airbnb review.. link to book in bio please share if you know anyone looking for a spot #brynmawrcollege #brynmawr #bmcbanter #haverfordcollege #haverford #villanova #mainline…</t>
  </si>
  <si>
    <t>Bryn Mawr, PA</t>
  </si>
  <si>
    <t>50 something and fabulous!</t>
  </si>
  <si>
    <t>Geneva Lakes Web</t>
  </si>
  <si>
    <t>Bring out the beauty of your #bnb. 🎥 🎞 #holiday #vacationrental #photography #travelphotography #travelling #vacation #airbnbhomes #airbnbhost #travel #travelgram #homeaway #realestate #instatravel #airbnbphoto #wanderlust #vrbo #airbnb #airbnblife #superhost #airbnbexperience</t>
  </si>
  <si>
    <t>Lake Geneva</t>
  </si>
  <si>
    <t>Geneva Lakes Web is a full-service agency that works with game-changing brands, inspired companies, and global influencers.</t>
  </si>
  <si>
    <t>Aquaholic</t>
  </si>
  <si>
    <t>Another great 5 star ⭐⭐⭐⭐⭐ review! Hope to see you next year! Still plenty of weeks available during the summer! #Frangistabeach #florida #vrbo #homeaway #homeexchange #saltlife #vacation #springbreak #30a #destin #santarosabeach #airbnb #miramarbeach #sup #surf #golf #rent</t>
  </si>
  <si>
    <t>Miramar Beach, FL</t>
  </si>
  <si>
    <t>Frangista Beach - Miramar Beach, Florida Vacation Rental near Destin and 30a - Steps from the sugar sand beach - VRBO - https://www.vrbo.com/4272174ha</t>
  </si>
  <si>
    <t>Maggie Damato Realtor</t>
  </si>
  <si>
    <t>Maintaining your house is a must when preparing your house as an #Airbnb vacation home. #rentalproperty</t>
  </si>
  <si>
    <t>Glastonbury, CT</t>
  </si>
  <si>
    <t>Allen Coin 👨‍💻</t>
  </si>
  <si>
    <t>Raleigh, NC</t>
  </si>
  <si>
    <t>Digital strategist, web developer, marketer, writer, and more! Opinions mine. Faves, RTs, &amp; follows ≭ endorsements. #amwriting 📧 allencoin @ http://allencoin.com</t>
  </si>
  <si>
    <t>Adeola Olowojoba</t>
  </si>
  <si>
    <t>I will manage your #Airbnb, #Booking or #VacationRental for you. #RemoteWork #VirtualAssistants #RealEstate #Expedia #VRBO #CustomerService #Travel #Holiday #London #PropertyManager #RemoteJob</t>
  </si>
  <si>
    <t>Lagos, Nigeria</t>
  </si>
  <si>
    <t>Professional #Graphic Designer &amp; #VFX artist|| Born #Leader I rep #capricon #teamFUTA.</t>
  </si>
  <si>
    <t>Tom Ryan (Pre-order KEEP THIS TO YOURSELF now!)</t>
  </si>
  <si>
    <t>Wheeler has settled right into one of the coolest Air BnB’s we’ve ever rented. #miniroadtrip #nekocaseconcert #londonontario #april2019 #airbnb #hippad #coolcrib #midcentury</t>
  </si>
  <si>
    <t>Toronto (but I left my heart in Nova Scotia)</t>
  </si>
  <si>
    <t>Small town dude, big city attitude. KEEP THIS TO YOURSELF (AW&amp;Co May 2019) Pre-order now! http://www.keepthistoyourselfbook.com Rep: @ericsmithrocks 🇨🇦🏳️‍🌈 he/him</t>
  </si>
  <si>
    <t>Liza Analli</t>
  </si>
  <si>
    <t>The most interesting thing by staying at stranger's place is the deco. #airbnb in family's houses rocks</t>
  </si>
  <si>
    <t xml:space="preserve">Barcelona </t>
  </si>
  <si>
    <t>Purple witch &amp; rabbi on edge: Testing life and reclaiming it. *GirlyBear*Fag*Whatever*</t>
  </si>
  <si>
    <t>HistoricHomesSoCo</t>
  </si>
  <si>
    <t>Some #Airbnb guests will forget their toothbrushes. That's why having a spare one on hand is a good idea. #RE</t>
  </si>
  <si>
    <t>New Bedford, MA</t>
  </si>
  <si>
    <t>A South Coast Massachusetts Realtor representing buyers and sellers of fine homes in the New Bedford Historic District and surrounding coastal towns.</t>
  </si>
  <si>
    <t>Julio Perez</t>
  </si>
  <si>
    <t>Turning your house into an #Airbnb rental is a good way to earn extra cash. Here's what you need to know. #realestate</t>
  </si>
  <si>
    <t>iPhone: 25.789772,-80.135536</t>
  </si>
  <si>
    <t>I have been a RealEstate agent in Miami Beach for over 10 yrs. dealing in all aspects of the industry from leasing to sales of condos &amp; single family homes.</t>
  </si>
  <si>
    <t>Trevor Rappleye</t>
  </si>
  <si>
    <t>It’s the little things. This is what makes a customer loyal and coming back. Love @Airbnb and their hosts. Wow. #airbnb</t>
  </si>
  <si>
    <t>Long Beach, CA</t>
  </si>
  <si>
    <t>CEO of @corpfilmingusa - Industry’s Top video marketing agency- Weekly vlog videos on Tuesday’s! Sign up to get weekly tips and videos below!</t>
  </si>
  <si>
    <t>Journy</t>
  </si>
  <si>
    <t>Think #Airbnb for #campsites! 🏕 #Hipcamp</t>
  </si>
  <si>
    <t>Journy is the brand new travel app for the culturally curious viewer. Powered by @ovationtv #travel #wanderlust #traveler #globalcitizen ✈️</t>
  </si>
  <si>
    <t>Exarcheia Tourism    #airbnburn</t>
  </si>
  <si>
    <t>OECD data released shows that the average Greeks pocket money is back to 2013-2014 levels. #airbnb #capitalism #headingfordisaster</t>
  </si>
  <si>
    <t>ET is an anti authoritarian grouping of individuals defining, defending, expanding and progressing the alternative &amp; rebellious vision of Exarcheia.</t>
  </si>
  <si>
    <t>Catherine Quinn</t>
  </si>
  <si>
    <t>My annual plea to #Hotel, #bedandbreakfast, #guesthouse and #Airbnb owners of #Ireland. For the love of god, buy better hairdryers! #tourism</t>
  </si>
  <si>
    <t>BÁC 's Fear Manach</t>
  </si>
  <si>
    <t>What fresh hell is this?</t>
  </si>
  <si>
    <t>Happy Easter from The Elvis House!🥚💐🐇🌷🐣 #theelvishouse #theelvishousewaco #waco #texas #tx #happyeaster #easter #easterbasket #airbnb #getaway #weekend #sunday #sundayfunday #eastereggs #eastercard #happy #comeandstay #elvis</t>
  </si>
  <si>
    <t>Suites Fenicia</t>
  </si>
  <si>
    <t>Happy Easter! 🐣🐰 . #travel #eggs #eastereggs #happyeaster #pascua #huevosdepascua #travelgram #suitesfenicia #dailyescape #hotel #traveldeeper #playa #viajar #viajaresvivir #viajeros #airbnb #playadelcarmen #mexico #rivieramaya #beach #palm #vacations #vacay #friends #easter</t>
  </si>
  <si>
    <t>Playa del Carmen</t>
  </si>
  <si>
    <t>Fully furnished suites @ Playa del Carmen, to feel just like home || Only 5 blocks away from the beach|| ✉️info@suitesfenicia.com</t>
  </si>
  <si>
    <t>More Easter bunnies at @Mt_Briscoe What a lovely Spring Day. Next year we definitely having an egg hunt! #EasterSunday #airbnb #weekendbreaks #visitoffaly</t>
  </si>
  <si>
    <t>Great shot #comfortcottagehealing #visitwales #dogfriendly #TheDogsWithMe #alpacas #ArtsWales #SunDogs #Airbnb #yell RT @GDPTenby: waved and steeple'd town peopled monkstone golden still as a roosting bird. *Tenby town and North Bay from Monkstone Beach @TenbyOfficial @ThePhotoHour @ItsYourWales @ruthwignall @DerekTheWeather @WalesCentre @lovepembs @Campaign4Parks</t>
  </si>
  <si>
    <t>You can host guest on your property. For more information about Airbnb, visit  #bnbprogram #airbnb #unitedstates #property #properties #realty #broker #realtor #realestate #investment #housing #househunting #homesforsale #listing #justlisted #HomeSale</t>
  </si>
  <si>
    <t>AwesomeWebDesigns.ca</t>
  </si>
  <si>
    <t>Five star ratings have become the new norm instead of three being the average or baseline. All that five star rating means now is a service/product is acceptable. That's unfortunate because we don't know which ones are great and above average. #airbnb #uber #amazon #google</t>
  </si>
  <si>
    <t>Canada / Toronto</t>
  </si>
  <si>
    <t>Founder of http://Awesomewebdesigns.ca | #Ecommerce, #SEO, #Branding and #WebDeveloper Consultant. Living in #Toronto</t>
  </si>
  <si>
    <t>Austin Thornton</t>
  </si>
  <si>
    <t>NATURAL ✖️ HABITAT (or not) Never started in an #AirBnB until this. Whats some other good Airbnbs?? 💯🔥 Swipe ➡️ for Dogo.</t>
  </si>
  <si>
    <t>Ex-Drummer of Woe, Is Me.</t>
  </si>
  <si>
    <t>Drew Gibson</t>
  </si>
  <si>
    <t>The beautiful courtyard of the apartment I’m staying in, here in Milan - Italy. 🇮🇹 #airbnb #livelikealocal #apartment #navigli #milan #italy #milano #italia #homefromhome #travel…</t>
  </si>
  <si>
    <t>Music Junkie, Animal Lover &amp; World Traveller</t>
  </si>
  <si>
    <t>Dr Charles Sinkala</t>
  </si>
  <si>
    <t>#Airbnb is the largest #accommodation provider in the world and they own no real-estate. Homeowners make extra money by renting our spare rooms to people looking for accommodation.@MinAyandaDlodlo @DrSinkala @LindiweSisuluSA</t>
  </si>
  <si>
    <t>Zambia</t>
  </si>
  <si>
    <t>An award winner, Pan Africanist and Global Citizen. Dr Sinkala is a renowned Zambian politician and leader of a Major Political Party PCIP. #Politics</t>
  </si>
  <si>
    <t>Mai-ana Hutchinson</t>
  </si>
  <si>
    <t>Last picture with molly the Airbnb car this morning she loved cuddles #BlackCatsOfInstagram #airbnb</t>
  </si>
  <si>
    <t>Yorkshire and The Humber, Engl</t>
  </si>
  <si>
    <t>NZer living in the UK now starting hiking long distance trails.</t>
  </si>
  <si>
    <t>🏠 Airbnb Hosts: How helpful would a beautifully crafted professional video 🎞 of your #airbnb for landing those #reservations ? Call or DM now. #airbnbexperience #travelgram #vacationrental #airbnblife #travel #wanderlust #travelling #airbnbsuperhost #airbnbhost #vacation</t>
  </si>
  <si>
    <t>ManageCasa Inc</t>
  </si>
  <si>
    <t>Airbnb eating up hotel revenues and driving down hotel room rates. New acquisition means it'll shake the industry up further.  #Airbnb #hotels #revenue #bookings #vacations #travel #business</t>
  </si>
  <si>
    <t>A simple, all-in-one, online property management software for property managers and landlords to efficiently manage properties in one place. #PropTech.</t>
  </si>
  <si>
    <t>Invest Grup Bilişim</t>
  </si>
  <si>
    <t>(offers above 7.000 considered)  (offers above $ 2770 considered) / (discount ticket domain)  (offers above $ 15.000 considered) Offers ; domains@investgrup.com #brandname #airbnb #brand #ticketsales #rental</t>
  </si>
  <si>
    <t>Bodrum - Ankara</t>
  </si>
  <si>
    <t>12 yıllık tecrübe ile Bodrum'da web tasarım, web yazılım, web hosting hizmetleri...</t>
  </si>
  <si>
    <t>Matt Lucas</t>
  </si>
  <si>
    <t>Wow, huge investment move by AirBnB here! Very cool to see.  via @samsharf @forbes @samanthasharf #airbnb #investment #startup #lyric</t>
  </si>
  <si>
    <t>Pittsburgh, Pa</t>
  </si>
  <si>
    <t>Software developer with a passion for sports</t>
  </si>
  <si>
    <t>Clark Kent</t>
  </si>
  <si>
    <t>:: Okay, Airbnb... I have questions. Does The Louvre know about this? Is this legal? What if I need a snack in the middle of the night? Can I take selfies with the exhibits? 🤔🧐🤷🏾‍♂️😂🤣 #livelovelaugh #cksthingstobuy #airbnb</t>
  </si>
  <si>
    <t>Miramar, FL</t>
  </si>
  <si>
    <t>This ain't no tall order, this is NOTHIN' to me... difficult takes a day, impossible takes a week!</t>
  </si>
  <si>
    <t>Spot77</t>
  </si>
  <si>
    <t>This Shasta Camper visor has to go WAY up there on the Astrodome sleeper. #spot77 #realestate #shastaastrodome #camping #shastarepairs #vintagetrailer #glamping #airbnb</t>
  </si>
  <si>
    <t>Wholesale Real Estate. I buy USA homes, #tinyhouse #cashflow #campground #mobilehome #realestate. Cheap investor renovation projects available for you! #Spot77</t>
  </si>
  <si>
    <t>Installing the cargo rain visor on the Shasta Astrodome this morning. Beautiful day! #vintagetrailer #shastaastrodome #tinyhouse #realestate #airbnb #spot77 #ibuyhouses #inlove #cheaphome…</t>
  </si>
  <si>
    <t>Jason Almeida</t>
  </si>
  <si>
    <t>Definitely one of the most interesting #airbnb houses...it has an Avery, talking birds, little horse and an acrobatic host #fontainebleau #climbing @ Fontainebleau, France</t>
  </si>
  <si>
    <t>A #Technology | #Microsoft | #PowerPlatform | #MSDyn365 | #Climbing | #Photography | #Food | #Funtimes enthusiast, in no particular order</t>
  </si>
  <si>
    <t>TheTechieGuy</t>
  </si>
  <si>
    <t>With so many creeps having access to cheap spy camera, here is how you can check if your Airbnb or hotel room has any hidden cameras:  #taveltips #howto #airbnb #hotel #spycameras #gear</t>
  </si>
  <si>
    <t>I make tech YouTube videos here http://bit.ly/2FLtOxD (who doesn't right?) I also Blog, wrote a book &amp; bribe-able with coffee ❤️living in USA!</t>
  </si>
  <si>
    <t>Converge</t>
  </si>
  <si>
    <t>Trusted #business content that helps #startups,#scaleups, and #SMEs build better businesses. Visit Converge to read or contribute today.</t>
  </si>
  <si>
    <t>Holis Resort</t>
  </si>
  <si>
    <t>Lodging and accommodation at Holis Resort comprises 4 rooms and 4 suites, altogether 8 apartments. You're welcome to spend a night, a week, or forever...😍 #HolisResort #Epe #Lagos #AirBnB #Booking</t>
  </si>
  <si>
    <t>Epe, Nigeria</t>
  </si>
  <si>
    <t>Holis Resort is a botanical garden located in Idena Village, Epe, Lagos. It offers health, fitness, and relaxation.</t>
  </si>
  <si>
    <t>Lachesis figlia di Zeus 🇮🇹🇰🇪🏴󠁧󠁢󠁳󠁣󠁴󠁿🇪🇺</t>
  </si>
  <si>
    <t>One of those #Airbnb wee shites has just kicked in our security door shouting open sesame and laughing like a deranged hyena. 😡</t>
  </si>
  <si>
    <t>Edinburgh</t>
  </si>
  <si>
    <t>Brexitland is a mad mad world. Scotland 🏴󠁧󠁢󠁳󠁣󠁴󠁿 save your children. SNP, Scottish Independence Incase anyone doubted 😉</t>
  </si>
  <si>
    <t>Ashley Davidson-Fisher</t>
  </si>
  <si>
    <t>It’s a windy and stormy Easter weekend so I’ve opted for some indoor fun and am in the throes of planning my July vacation. I’ve managed to secure all my #airbnb places and am now concentrating on a car rental. Who says bad weather days can’t be fun! #tripplanning #calendarevent</t>
  </si>
  <si>
    <t>Provence, France</t>
  </si>
  <si>
    <t>🇫🇷 Expat to Provence, France.🇺🇸 Born in the USA. 📚Author of ”La Petite Josette en Provence”. 🚙 Road trip warrior. 🏃‍♂️ Randonnée aficionado.</t>
  </si>
  <si>
    <t>Holiday Scottsdale wishes you a very Happy Easter! #Vrbo #Airbnb #Easter #airbnbhost</t>
  </si>
  <si>
    <t>Lin Ibrahim</t>
  </si>
  <si>
    <t>Let's register with #AIRBNB! ---&gt;</t>
  </si>
  <si>
    <t>Am a Leo &amp; Am a Multitasker.</t>
  </si>
  <si>
    <t>The Cross-Eyed Pianist</t>
  </si>
  <si>
    <t>AKA Fran Wilson. Pianist | Writer | Blogger #UKBlogAwards arts &amp; culture finalist. Also tweeting for @7StarArts Lapsang souchong drinker</t>
  </si>
  <si>
    <t>Carolyne Beaulne</t>
  </si>
  <si>
    <t>🐰 Happy Easter My Friends What Are You Family Traditions Practiced On #Easter Day 🐣? #RealEstate #Realtor #RealEstateAgent #RanchoCucamonga #RanchoCucamongaRealEstate #RanchoCucamongaRealtor #Remax #Century21 #ColdWellBanker #NewHome #DreamHome #AirBnB #Home #House</t>
  </si>
  <si>
    <t>Rancho Cucamonga, CA</t>
  </si>
  <si>
    <t>Mainstreet Realtors 🏡 909.456.6799 📱 Bre # 02001395 carolyne.bseguin@gmail.com</t>
  </si>
  <si>
    <t>Kevin Amter</t>
  </si>
  <si>
    <t>Join #AirBnB today and save w/ this link:</t>
  </si>
  <si>
    <t>United States of America</t>
  </si>
  <si>
    <t>Enjoy Life. It has an expiration date. EXCD first. Author fourth. https://mindsforrent.com #DeleteFacebook</t>
  </si>
  <si>
    <t>ComFlex Realty - Team Bryant Real Estate</t>
  </si>
  <si>
    <t>💥Happy Easter💥 ⭐️⭐️⭐️⭐️⭐️#realestate #realtors #toronto #expectmore #getmore #savemore #oshawa #whitby #ajax #clarington #bowmanville #petraway #charlesstreet #condo #easter #homesweethome #airbnb #mls</t>
  </si>
  <si>
    <t>Whitby, Ontario</t>
  </si>
  <si>
    <t>💥Saving you more is what we do! 💥Big Results! Small commission. #expectmore #getmore #savemore #realtors #realestate Bryant@Comflex.ca #durhamregionrealestate</t>
  </si>
  <si>
    <t>Balaji</t>
  </si>
  <si>
    <t>How to Detect Hidden Surveillance Cameras With Your Phone  #airbnb</t>
  </si>
  <si>
    <t>Boston</t>
  </si>
  <si>
    <t>Tamil Blogger</t>
  </si>
  <si>
    <t>Covered Bridge--Featured on HGTVhttps://www.airbnb.jp/rooms/562526  via Twitter Web Client #airbnb</t>
  </si>
  <si>
    <t>vaneza lagman</t>
  </si>
  <si>
    <t>Found out about this place while reading one of the reviews on #Airbnb. Can always trust on the #travel community. ⛪ Also, how about this being the most perfect day? Happy Easter from the…</t>
  </si>
  <si>
    <t xml:space="preserve">London, United Kingdom </t>
  </si>
  <si>
    <t>selective exposure</t>
  </si>
  <si>
    <t>Aleeya Lady Buddha</t>
  </si>
  <si>
    <t>Bookings taken now Airbnb best time to visit is when Hollidays are over and you have the town to your self plenty of parking ect #merimbula #saphirecoast #superhost #airbnb…</t>
  </si>
  <si>
    <t>friends with Our Mother Mary QUICK GET THE STRAIGHT JACKET</t>
  </si>
  <si>
    <t>Hisao</t>
  </si>
  <si>
    <t>A little downtime at the Airbnb . . . #urbansketchers #urbansketching #pensketch #quicksketch #sketchbook #sketching #sketch #airbnb #mtl @ Montreal, Quebec</t>
  </si>
  <si>
    <t>Takoma Park, MD USA</t>
  </si>
  <si>
    <t>I must confess ignorance on the matter of which Mr. Willis speaks. -Arnold Jackson, Esq. Tweeting into the void.</t>
  </si>
  <si>
    <t>staminee boulevard</t>
  </si>
  <si>
    <t>📌 Daarom : the best place to celebrate my 40th birthday ❤️🙏🏼💋🥂🍀 #review_boulevard #airbnb #thatswy @ Kortrijk</t>
  </si>
  <si>
    <t>Kortrijk, groeningelaan 15</t>
  </si>
  <si>
    <t>KROEG ▫️Airbnboulevard ▫️BOOMTERRAS ▫️TOOG ▫️TAPA▫️BELGIUM BEERS ▫️JOSÉ&amp;TINE ▫️+32474993976 ▫️OPEN OP DON VRIJ ZAT &amp; ZONDAG ▫️Bar open 6pm / zat &amp; zon 4.30pm</t>
  </si>
  <si>
    <t>Green Cottage Design</t>
  </si>
  <si>
    <t>Outdoor Nautical Beach Cottage Signs  … … ********** PERFECT FOR YOUR #Airbnb #Rentals #Beachhouse #Oregon #Coastalliving #Wrightsville #PlantationFlorida #Rodanthe #NorthCarolina #Bassharbor #PortAransas #BethanyBeach #PacificPalisades #Maine ☀️🌊⛵️⚓️</t>
  </si>
  <si>
    <t>#Coastalliving #BeachHouse #CottageSigns⛱️#PoolParty🍹#personalizedsigns #TreeSwings🌳 Small #Business utilizing BIG Ideas! #CustomSigns🌴#estatesigns #lakehouse</t>
  </si>
  <si>
    <t>Guests from England #airbnb #farmstay #guesthouse #kumamoto</t>
  </si>
  <si>
    <t>Adrian</t>
  </si>
  <si>
    <t>2 nights booked in #Dubrovnik in an amazing #Airbnb with a rooftop terrace overlooking the old town. Just need to pick and island near #Split to stay for a couple of nights. Any advice welcome . September can’t came quick enough now. #Croatia #DalmationCoast #Vacation #travel</t>
  </si>
  <si>
    <t>Sunderland, England</t>
  </si>
  <si>
    <t>pro peanut butter taster, sometimes seen in the odd tv show and movie. Traveller, Food &amp; exercise lover and Star Wars geek. just a normal guy from Sunderland</t>
  </si>
  <si>
    <t>Marcin Jamroz</t>
  </si>
  <si>
    <t>Happy Easter!!! #hospitalitytechnology #digitalsignage #saas #travel #ott #hospitality #airbnb #tourism #hospitalitytechnolog #bergtechnologies #easter #lgelectronics</t>
  </si>
  <si>
    <t>Starnberg</t>
  </si>
  <si>
    <t>فوربس الشرق الأوسط</t>
  </si>
  <si>
    <t>Airbnb Leads $160 Million Investment Into Hospitality Startup Lyric  #startups #Investment #Airbnb</t>
  </si>
  <si>
    <t xml:space="preserve">Office 302, Al Attar Business </t>
  </si>
  <si>
    <t>The homepage of the world's business leaders</t>
  </si>
  <si>
    <t>Stunning Villa Heart of Seminyakhttps://www.airbnb.jp/rooms/251336  via Twitter Web Client #airbnb</t>
  </si>
  <si>
    <t>Boston Real Estate</t>
  </si>
  <si>
    <t>Airbnb is working to increase the diversity of its hosts and customer base.  #realestate #airbnb #vacationrentals #diversity #NAACP</t>
  </si>
  <si>
    <t>Boston, MA</t>
  </si>
  <si>
    <t>Covering everything real estate in Boston &amp; New England.</t>
  </si>
  <si>
    <t>CoinBaron</t>
  </si>
  <si>
    <t>#Airbnb’s explosive growth jolts #hotel industry’s bottom line</t>
  </si>
  <si>
    <t>Germany</t>
  </si>
  <si>
    <t>Selfish, asshole, troll, superficial, hates humans and especially you. Here for the profits, not the technology.</t>
  </si>
  <si>
    <t>portreebandb</t>
  </si>
  <si>
    <t>We would like to wish all our friends, past and future guests a very happy #easter. 2019 is off to a fantastic start and we are so happy to be able to share our #island home of #skye with guests from all over the world. #ScotlandIsNow #VisitScotland #airbnb</t>
  </si>
  <si>
    <t>Portree, Scotland</t>
  </si>
  <si>
    <t>An-Airidh is a Bed &amp; Breakfast owned by the Macleod family set in a stunning location by the shore of Loch Portree in the beautiful Island of Skye.</t>
  </si>
  <si>
    <t>Adrian Klee</t>
  </si>
  <si>
    <t>Sad to see this coming from a company with such a strong creative culture. They miss the whole point of „design-led“. Designers (should) solve user pains foremost. Their mental models need to cross-pollinate the whole org to effect change.  #airbnb #design</t>
  </si>
  <si>
    <t>Berlin, Deutschland</t>
  </si>
  <si>
    <t>Currently building a new breed of innovation consultancy @ Ross Republic. We help clients to grow their business and to bring innovative ideas to market.</t>
  </si>
  <si>
    <t>The latest image from the GowerLive #webcam on the roof 730RocksMumbles #AirBnB. Book at  #Mumbles #Swansea #Gower #travel. Watch live at  #1358</t>
  </si>
  <si>
    <t>Arthur Online</t>
  </si>
  <si>
    <t>There have been calls to regulate short term lets, like #Airbnb, so that they do not put the long term market at risk  via @LA_Today</t>
  </si>
  <si>
    <t>London - UK</t>
  </si>
  <si>
    <t>Award winning cloud-based #propertymanagement system that seamlessly connects property managers, tenants, contractors, letting agents and property owners.</t>
  </si>
  <si>
    <t>Pamela Mateo</t>
  </si>
  <si>
    <t>Sign up for Airbnb and get ₱1,600 off your first adventure. Here’s my invitation link:  #Airbnb #Experience #Discount #Coupon</t>
  </si>
  <si>
    <t>21 | Working Mom | Cc girl | Lover of food and travel | 🇵🇭 | 👑 God is within her, she will not fall. 💕</t>
  </si>
  <si>
    <t>Alicia Brayboy</t>
  </si>
  <si>
    <t>$55 credit for your first booking! Airbnb coupon/discount code:  (new customers/signup) #airbnb #coupon #discountcode #promo #freecredit</t>
  </si>
  <si>
    <t>#Actress // #Host &amp; Creative. Personal account. Not really #acting or #film related, but feel free to join in on the laughs! IG: @askalicia</t>
  </si>
  <si>
    <t>Cloudland Camping</t>
  </si>
  <si>
    <t>Have you bought your festival tickets yet? Are you still deciding whether to risk the weather in a tent or give yourselves a little luxury this festival season? We can help...  #festivaltickets #festivalcamping #airbnb</t>
  </si>
  <si>
    <t>Exeter, Devon</t>
  </si>
  <si>
    <t>Hello! We are Cloudland Camping - providing the very best Camper Vans and Vintage Airstreams for music festivals. And we deliver!</t>
  </si>
  <si>
    <t>Chris Isak 机械诗人</t>
  </si>
  <si>
    <t>#Digital Exile: How I Got Banned for Life from #AirBnB</t>
  </si>
  <si>
    <t>Frankfurt am Main, Deutschland</t>
  </si>
  <si>
    <t>I'm about Tech, Gadgets, AI, IoT, Collab, Gaming, Geek Stuff ✖ Love Tea ✖ INTJ ✖ 求是创新 ✖ @TechAcuteCom Founder and Journalist ✖ #LenovoAccelerate in May</t>
  </si>
  <si>
    <t>Locksley</t>
  </si>
  <si>
    <t>Never used #AirBnb before but next time I go on hols, I’d definitely consider it!</t>
  </si>
  <si>
    <t>Beijing, China</t>
  </si>
  <si>
    <t>☕️📹📷💻📱🏃🏽‍♂️⛷🏂👪🇯🇲🇪🇺🇬🇧🇨🇳</t>
  </si>
  <si>
    <t>TheHungryHousewives</t>
  </si>
  <si>
    <t>Wonderful day exploring #dashpointbeach with the family! Less than an hour from our #airbnb #vintagesmalltowncharmer there are miles of trails for hiking and places for a picnic!…</t>
  </si>
  <si>
    <t>Pacific NW</t>
  </si>
  <si>
    <t>Food lover, Airbnb host, &amp; Indt Leader with H2O At Home NON-toxic Home Care http://www.facebook.com/AlisaGarateTheHungryHousewivesH2OAtHomeAdvisor</t>
  </si>
  <si>
    <t>“Being out in nature with the sun rising is good for the soul” — photo and quote by @bending_energy_photography Check out #BearKubKabin for your next #BigBear visit!  #bigbearlake #cabin #vacationrental #pinksunrise #pinksky #logcabin #airbnb #vrbo</t>
  </si>
  <si>
    <t>immigrant mentality.🌍</t>
  </si>
  <si>
    <t>Idk why but me and @melimelllll new apartment feels like a #airbnb lol, like you usually gotta go home but we get to stay here and shit aha #blessed #TheMarathonContinues</t>
  </si>
  <si>
    <t>Liverpool, England</t>
  </si>
  <si>
    <t>Human 30 years old. “Appreciate your position while plotting your promotion” MMF 🐒</t>
  </si>
  <si>
    <t>saurabh parmar</t>
  </si>
  <si>
    <t>#airbnb, #benjerrys etc are the kind of brands we need to have more of. RT @benandjerrys: It’s hard to celebrate 4/20 when so many people of color are still being arrested for pot. We have to do better. Learn more:</t>
  </si>
  <si>
    <t>New Delhi</t>
  </si>
  <si>
    <t>Brand Communication &amp; Startup Consultant</t>
  </si>
  <si>
    <t>Juliana LoBiondo</t>
  </si>
  <si>
    <t>275 North Street, Newburgh</t>
  </si>
  <si>
    <t>Attorney ⚖️ Founder of America Rows &amp; Swims Newburgh 🚣🏻‍♀️Broadway &amp; Disney Fanatic 🎭Reader 📚Traveler ✈️</t>
  </si>
  <si>
    <t>BRITNEY WALDRON</t>
  </si>
  <si>
    <t>Airbnb...deleting negative reviews..! Doesn't that violate the rights of consumers?!? @Airbnb @AirbnbHelp #Airbnb #Lawyers #Lawyer @ConsumerReports</t>
  </si>
  <si>
    <t>Actor, Singer, Model, Host, Writer &amp; Entrepreneur. Outspoken Canadian Contact: britwald@hotmail.com IMDB: http://www.imdb.com/name/nm7585590/?ref_=fn_al_nm_1</t>
  </si>
  <si>
    <t>Amazing Amira steps frm shops/beachhttps://www.airbnb.jp/rooms/548960  via Twitter Web Client #airbnb</t>
  </si>
  <si>
    <t>Frédérique Mittelstaedt</t>
  </si>
  <si>
    <t>If you really have a problem with @Airbnb rendering apartments unavailable/unaffordable to local residents, stop using #Airbnb yourself and complain to your government for not building enough #socialhousing and/or not creating better rules for #renterprotection.</t>
  </si>
  <si>
    <t>Founder @AutomorphHQ · Freelance software engineer @toptal · I travel the world and work remotely to follow my interests. · Making electronic music @anaphonic</t>
  </si>
  <si>
    <t>Large 5Star #Florida #vacationhome with prival pool on #Airbnb Tropical #TommyBahama style - #VRBO April 20, 2019 at 10:00PM</t>
  </si>
  <si>
    <t>Blue Mountain Cabins - Gatlinburg / Pigeon Forge</t>
  </si>
  <si>
    <t>View from #Anakeesta We have availability for your #summer2019 getaway at #appalachianescapecabin in the Smoky #mountains. Only 6 mi from #Gatlinburg. 👉 #vacation #familytime #cabinforrent #airbnb #naturelovers #naturephoto</t>
  </si>
  <si>
    <t>Sevierville, TN</t>
  </si>
  <si>
    <t>Smoky Mountains Vacation log cabins by owner. 3 bedroom, 4 bedroom, 5 bedroom. Near Gatlinburg &amp; Pigeon Forge, Tennessee. Book direct - support small business.</t>
  </si>
  <si>
    <t>NOLA.Fille</t>
  </si>
  <si>
    <t>One more reason not to get an #AirBnB in #nola.</t>
  </si>
  <si>
    <t>New Orleans, LA</t>
  </si>
  <si>
    <t>Be grateful. Be decent. #RESIST ⚜ Laissez les bons temps rouler. ⚜</t>
  </si>
  <si>
    <t>Barakah Heritage Farm</t>
  </si>
  <si>
    <t>Come stay with us at The Loft at Barakah Heritage Farm for a unique un-camping adventure. Campsites also available on Hipcamp and Tentrr. #barakahfarm #rickettsglen #uncamping #rickettsglenstatepark #hikingadventures #airbnb #hipcamp #tentrr</t>
  </si>
  <si>
    <t>Pennsylvania, USA</t>
  </si>
  <si>
    <t>Rare horses. Homesteading &amp; Heritage breeds. Overnight stays. Horsecamping. Farm experiences. Adventure camping. Airbnb. Hipcamp. Classes &amp; Tours.</t>
  </si>
  <si>
    <t>Penthouse in the Midst of Tokyohttps://www.airbnb.jp/rooms/3861181?guests=2&amp;amp;s=7Bk6 #airbnb</t>
  </si>
  <si>
    <t>Jason Ruoff</t>
  </si>
  <si>
    <t>:Owning a home is a keystone of wealth… both financial affluence and emotional security”. ... Suze Orman #vacationrentals #vacation #travel #vacationrental #airbnb #beach…</t>
  </si>
  <si>
    <t>Lansing</t>
  </si>
  <si>
    <t>Jessica Borden</t>
  </si>
  <si>
    <t>If you haven’t tried @airbnb - then check it out now!! #traveljunkie #airbnb</t>
  </si>
  <si>
    <t>Chattanooga, TN</t>
  </si>
  <si>
    <t>Keller Williams Director of Tech. Creating a legacy. ❤️ Jesus, my kids, adventures, football, @braves, craft beer, the woods, kayaking, &amp; traveling the world.</t>
  </si>
  <si>
    <t>Such a cool vacation home. #vacationrentals #vacation #travel #vacationrental #airbnb #beach #holidayrental #holidayhome #holiday #luxuryvilla #propertymanagement #familyvacation…</t>
  </si>
  <si>
    <t>Mikol</t>
  </si>
  <si>
    <t xml:space="preserve"> Seven Seas</t>
  </si>
  <si>
    <t>(Instagram: @tallmikol)</t>
  </si>
  <si>
    <t>One good thing about April snow showers is you get to cozy up next to the fireplace! Gotta look for the silver linings right? Picture by: 1:16 Media #boone #airbnb #homeaway</t>
  </si>
  <si>
    <t>Between A Marine Portraits</t>
  </si>
  <si>
    <t>Coming soon! #RealEstate #photos! However, anyone who is interested in #booking for ANY real estate photos can do so now! Doesn't matter if it's for your #Airbnb, #VRBO or anything in between! Contact #BAMPortraits</t>
  </si>
  <si>
    <t>Summit County, CO</t>
  </si>
  <si>
    <t>📸 Formerly Nia Mari Photography. I'm recreating myself. You'll see Portraits, Weddings &amp; Boudoir. Book your shoot today!</t>
  </si>
  <si>
    <t>Four-room suite, complete with three private bedrooms, each with queen beds; Loft TV-room w/ 55” 4K TV, DirectTV, AppleTV &amp; 1.5 baths. We are a 15 minute drive to Round Top. #airbnb #Brenham #RoundTop #Antiques @ILoveBlueBell #Wine #hospitality #texas</t>
  </si>
  <si>
    <t>CertiStay</t>
  </si>
  <si>
    <t>Catch up on our latest blog post! We discuss how to advertise your commitment to safe &amp; secure vacation rentals to potential and booked guests:  #vacationrentalmarketing #vacationrentals #vrma #airbnb #vrbo</t>
  </si>
  <si>
    <t>Third-party safety and security certification for short-term rentals. #VacationRentals #Airbnb #HomeAway #VRBO</t>
  </si>
  <si>
    <t>Christian Frei</t>
  </si>
  <si>
    <t>Are you a Blockbuster or a #Netflix? Business models are on fire! Tech-driven, service-based models are massively impacting long-standing businesses. Just think about #UBER, #AirBnB, and #Tesla to name a few. Have you reinvented your go-to-market? Are you innovative enough? #4IR</t>
  </si>
  <si>
    <t>Zurich</t>
  </si>
  <si>
    <t>Coach Individuals + Organizations to Proactively Disrupt | Pioneer in Digital Industrial Revolution | Talent Gardener | Global Speaker | Former Microsoft Exec</t>
  </si>
  <si>
    <t>Julie DenOuden</t>
  </si>
  <si>
    <t>Iceland Airbnb: Staying at a Rooftop Spa Apartment in Reykjavik via @katiejcollins  &lt;--You had me at "rooftop spa" #airbnb #iceland</t>
  </si>
  <si>
    <t>Girl on the Move On the road 🚘 In the air ✈️ From your favorite reading chair 📚 Let's discover the world 🌎 Inquiries: girlonthemoveblog01@gmail.com</t>
  </si>
  <si>
    <t>IBIIXO TECHNOLOGIES</t>
  </si>
  <si>
    <t>If everything is coming your way, then you're in the wrong lane.That’s what #Readymade #airbnb #clone is all about A WRONG LANE.Go right lane with #Custom Airbnb Clone. Don’t want to make a mistake?  Talk to us at  #VacationRental</t>
  </si>
  <si>
    <t>ibiixo is a fab #web #development, #MobileApp &amp; #Web&amp;app #Clone Development company. We provide innovative solutions for #Startups and #Enterprises!</t>
  </si>
  <si>
    <t>-1 day for a MAJOR CLOSET SALE at our Barrio location 📍⁣ ___⁣ ⁣ #webunkyou • #SanDiego • #airbnb • #QueSeaUnGranDia</t>
  </si>
  <si>
    <t>#2019April21stOKINAWA 「Comic Dojo TEE🥋Family」 PM17:00〜 PM20:00〜 Experience the weightlessness performance at close range  #Okinawa #Japan #Travel #Airbnb #Naha #Tourism #Pocketalk #Nonverbal #Entertainment #TEEFamily #THEKINGOFFIGHTERS🔥</t>
  </si>
  <si>
    <t>Renée Fishman</t>
  </si>
  <si>
    <t>#AirBnB host declined my request to book. Says prop unavail. trying to get me to rent a diff property thru . The entire thing feels like a scam. Website feels lacking (no last name for the founder?) Anyone know abt them?</t>
  </si>
  <si>
    <t xml:space="preserve">NYC </t>
  </si>
  <si>
    <t>Create space for your best work. Serve without self-sacrifice. Speaker • Author • Founder, The Ritual Revolution™</t>
  </si>
  <si>
    <t>Jeana Travels</t>
  </si>
  <si>
    <t>When traveling #Airbnb is my goto for affordable accommodations in the best locations. Get $40off here  #coupon #deal</t>
  </si>
  <si>
    <t>Award winning 🌞 Los Angeles based #travel #blogger. Jeana@surfandsunshine.com 🤘🏼 Insta + Snap: JeanaTravels</t>
  </si>
  <si>
    <t>steffi 🌚</t>
  </si>
  <si>
    <t>Enyoing some tinder profiles 💁‍♀️ #stillinkrakow #airbnb</t>
  </si>
  <si>
    <t>just say the word and we'll take on the world ❤🌍</t>
  </si>
  <si>
    <t>Your daily view is everything. Whether it be Virginia wine country or Nags Head sound or beach view! #oldnagsheadcove #soundsgroovyobx #airbnbhost #beachhouse #obx #soundviews #airbnb…</t>
  </si>
  <si>
    <t>MartaOTMove Podcast</t>
  </si>
  <si>
    <t>Thank you @NEXTpittsburgh for the feature on our Airbnb Artist’s gallery where travelers can immersive themselves in local + international works with placards and booklet in the Airbnb. Come visit Pittsburgh!   #airbnb #travel #art</t>
  </si>
  <si>
    <t>Pittsburgh, PA</t>
  </si>
  <si>
    <t>Award winning show hosted by Marta Mazzoni. Candid and comedic conversation-Travel inspiration-Pop culture-General nerdery-PGH martaonthemovepodcast@gmail.com</t>
  </si>
  <si>
    <t>Superb #comfortcottagehealing #visitwales #dogfriendly #TheDogsWithMe #alpacas #ArtsWales #SunDogs #Airbnb #yell RT @GDPTenby: once upon a time, again working and grooving around our town of coolness beauty and fish *marketing photos for my client right there on the sea side of the steeple. *Tenby Pembrokeshire @TenbyOfficial @ItsYourWales @ruthwignall @ThePhotoHour @WalesCoastPath</t>
  </si>
  <si>
    <t>This is one of the most special places #comfortcottagehealing #visitwales #dogfriendly #TheDogsWithMe #alpacas #ArtsWales #SunDogs #Airbnb #yell RT @GDPTenby: less existential maybe profound andmetaphysical and zen...and much more the sea *Priory Beach from the slipway Caldey Island off Tenby Pembrokeshire Wales @ItsYourWales @TenbyOfficial @CaldeyIsland @ThePhotoHour @WalesCoastPath @ruthwignall @kelseyredmore</t>
  </si>
  <si>
    <t>Farm Away Retreat</t>
  </si>
  <si>
    <t>Easter Blessings from our farm to You! #letsgosomewhere #airbnb #Easter #family #friends #farmaway #gatherlearnstay #comestaywithus #familytravel #countrylife #spring @ Portage la Prairie,…</t>
  </si>
  <si>
    <t>Portage la Prairie, Manitoba</t>
  </si>
  <si>
    <t>95 acre wooded river lot. Experience life on the farm- Your home away from home. Farm stay, outdoor wedding site, care farm</t>
  </si>
  <si>
    <t>Lee</t>
  </si>
  <si>
    <t>#AirBnB Hidden Cameras.  via @YouTube</t>
  </si>
  <si>
    <t xml:space="preserve">UK </t>
  </si>
  <si>
    <t>Coffee snob and bookworm. Solitary Wiccan.</t>
  </si>
  <si>
    <t>Ever wondered why #AirBnB does not let you search reviews by ratings, and only displays them chronologically?</t>
  </si>
  <si>
    <t>Lisa Fountain</t>
  </si>
  <si>
    <t>#Airbnb goals 💪 @Tomhlord</t>
  </si>
  <si>
    <t>Leeds</t>
  </si>
  <si>
    <t>Are you ready for summer?! . . . #gpodLiving #modern #architecture #adventure #digitalnomad #containerhome #travel #airbnb #design #homedesign #modularhomes #offgrid #tinyhouse #cabinlife #nature #explore #tech</t>
  </si>
  <si>
    <t>Book directly with Barefoot Vacation Rentals and save $$! #Bookdirect #bookdirectly #Vacationrentals #Airbnb #VRBO #TemeculaVacationRentals #TemeculaVacationRental #vacation #vacationrental #staylocal #shoplocal #smallbusiness #womanowned #usa #airforce #follow #Temecula</t>
  </si>
  <si>
    <t>Jose Rodriguez Nuñez</t>
  </si>
  <si>
    <t>#Airbnb explosive growth jolts hotel industry's bottom line -</t>
  </si>
  <si>
    <t>A Dominican in Canada that Dreams to fight for a better world,who knows perfectly English French, Portuguese, Spanish wants to learn Mandarin and Deutsch</t>
  </si>
  <si>
    <t>CL Reed</t>
  </si>
  <si>
    <t>#SkydivePerris does it again by hosting  #Jump here: Skydive Perris then... #StayHere:  #networking #ASUITEC #accommodations #shorttermrental #Airbnb #HomeAway #tandemjump...</t>
  </si>
  <si>
    <t>Perris, CA</t>
  </si>
  <si>
    <t>Airbnb/HomeAway BnB located in Perris, California only 2.6 miles from Skydive Perris avail to host your next Skydive, Hot Air Balloon, Vacation or Business stay</t>
  </si>
  <si>
    <t>ChildishGambino</t>
  </si>
  <si>
    <t>Hotels yo fucking Monopoly is over #Airbnb is the wave</t>
  </si>
  <si>
    <t>Beaverton, OR</t>
  </si>
  <si>
    <t>SnapChat:Curioussmoov21 Insta:Jay2Smoov</t>
  </si>
  <si>
    <t>Letulet provides you with an all-in-one dashboard that tracks the #Airbnb activity in your building, revenue flow, guest info, booking schedules &amp; more - all with exportable reports. Swipe to learn how we've made home-sharing easy for #landords.</t>
  </si>
  <si>
    <t>Keith Meyers</t>
  </si>
  <si>
    <t>Getting the sauna ready for the season here at #DecompressU! Check out our reviews at #Airbnb #Chassell #RusticCabinwithSauna to see what our guests think of it!  #Keweenaw #upperpeninsula #PureMichigan</t>
  </si>
  <si>
    <t>Chassell, MI</t>
  </si>
  <si>
    <t>Your home base for travel &amp; adventure in the Keweenaw! Facebook at Decompress U and at Airbnb in Chassell</t>
  </si>
  <si>
    <t>CloseBy You</t>
  </si>
  <si>
    <t>What are the things you should never compromise when doing a short term #rental? 3) Your #principles ! Do not comply with scam artists who sell one thing and provide another. By being true to our #beliefs, we make the world a better place. #Hosting #Airbnb #solotravel</t>
  </si>
  <si>
    <t>Portugal</t>
  </si>
  <si>
    <t>Family owned spaces and local living to share with fellow explorers and travelers.</t>
  </si>
  <si>
    <t>Sign up for AirBnB here &amp; get $40 off your first trip.  #airbnb #travel #touristlife</t>
  </si>
  <si>
    <t>Sign up for AirBnB here &amp; get $40 off your 1st trip.  #airbnb #travel #touristlife</t>
  </si>
  <si>
    <t>What are the things you should never compromise when doing a short term #rental? 2) Your #health due to poor cleaning/hygiene! No matter where, #apartments must comply with basic rules! #Hosting #Airbnb #solotravel</t>
  </si>
  <si>
    <t>Martin Butters  Technology &amp; Marketing</t>
  </si>
  <si>
    <t>Here's How #Airbnb and #Pixar Use Storytelling to Bring Great Experiences to Travelers</t>
  </si>
  <si>
    <t>UK &amp; Ireland</t>
  </si>
  <si>
    <t>Outstanding quality Technology, Marketing &amp; Business content at affordable prices. email admin@markitwrite.com</t>
  </si>
  <si>
    <t>So Mrs #CloseBy is on another of her #worktrips and a bad #Airbnb choice got her rushing to a #hotel. @Airbnb support has been outstanding. So what are the things you should never compromise? 1) Your physical #safety! No matter where, #apartments must comply with basic rules!</t>
  </si>
  <si>
    <t>#casadelosviajeros In our #garden #today These #flowers #smell #amazing #plumeria #puertomorelos #stepstothebeach Link in bio #puertomorelos #mexico #youshouldbehere #casadelosviajeros #vacationrental #airbnb #vrbo #homeaway #doyoutravel #travelandlife #traveldeeper #trav…</t>
  </si>
  <si>
    <t>Ashes to Stardust</t>
  </si>
  <si>
    <t>Cities like #Barcelona, #Paris, etc. hit hard by #AirBnB (both in people being driven out and economically) should give more hotel permits but require laundry facilities, kitchen areas, and other amenities that current hotels are universally lacking.</t>
  </si>
  <si>
    <t>Ivry-le-Temple, France</t>
  </si>
  <si>
    <t>You probably don’t know me as rue. they/them. ⴷ𝛓Ⴙ𝓮⟆ ╁° ⋝𝕋ɖጺɻ⨆𝕊𝔱</t>
  </si>
  <si>
    <t>Old Lime Cottage, Inverness</t>
  </si>
  <si>
    <t>A fantastic review from our guests, this is what makes all the hard work worth while 🥰🙏⭐️⭐️⭐️⭐️⭐️ #Airbnb #airbnbhost #grateful @Airbnb_uk @Airbnb @AllAbout_Airbnb</t>
  </si>
  <si>
    <t>Farr Inverness</t>
  </si>
  <si>
    <t>2 Bedroom Cottage in Farr, Inverness available for holiday lets via Airbnb</t>
  </si>
  <si>
    <t>#casadelosviajeros In our #garden #today These #flowers #smell #amazing #plumeria #puertomorelos #stepstothebeach Link in bio #puertomorelos #mexico #youshouldbehere #casadelosviajeros #vacationrental #airbnb #vrbo #homeaway #doyoutravel #travelandlif…</t>
  </si>
  <si>
    <t>Together with Altus Boom Operator's Association, we celebrate next Saturday April 27, 2019, the Symposium’s 40th Anniversary and the arrival of the new air-to-air refueling tanker, the Boeing KC-46 Pegasus! #crashpad #crashlife #airbnb #airforce #hotel #altus</t>
  </si>
  <si>
    <t>Antonia</t>
  </si>
  <si>
    <t>Back to our beautiful #airbnb so the teenager can revise (she has a schedule). I may or may not have had a small nap. We’re going Greek tonight!</t>
  </si>
  <si>
    <t>Hertfordshire</t>
  </si>
  <si>
    <t>Yolandi Fourie</t>
  </si>
  <si>
    <t>HAPPY SUNNY EASTER: Hope everyone is having a lovely Bank holiday so far and enjoying the sun. #Sandbanks #WeekendAway #SunnyWeekend #interior #HolidayHomeInteriors #Airbnb #Colour #BlueIsMyFavoriteColour</t>
  </si>
  <si>
    <t>Interior Designer | Interior Design, Decorate &amp; Styling | Sourcing | Colour &amp; Art Lover | Always on the search for new Products and Designs | KLC Alumni 💫</t>
  </si>
  <si>
    <t>Rorie Still - Author</t>
  </si>
  <si>
    <t>Scouting trip successful! #la #california #phillystrong #airbnb</t>
  </si>
  <si>
    <t>Author of Flashbang: Sci-Fi Stories That Will Blow Your Mind!</t>
  </si>
  <si>
    <t>Erik Hanson</t>
  </si>
  <si>
    <t>Out in Brooklyn to get some work done.....#airbnb #propertymanager #propertymanagement #airbnbhost #airbnbexperience #airbnbsuperhost @ Jefferson Street</t>
  </si>
  <si>
    <t>Lower East Side New York City</t>
  </si>
  <si>
    <t>My life is a dream come true! Im making visual records of ethereal events with 7 NYC solo shows ! My webpage http://erik-hanson.blogspot.com ,,,,</t>
  </si>
  <si>
    <t>So the first #airbnb was a dreamy countryside. The next one is right in the middle of a city but so cosy and inviting. Wonder what took me so long to book an airbnb. 😊</t>
  </si>
  <si>
    <t>tvsun.org</t>
  </si>
  <si>
    <t>.@cityoftemecula "What happens when #Airbnb allows a 14-year-old to rent a home? 100 underage, drunk teens:"  @TVUSD @Temecula #Temecula</t>
  </si>
  <si>
    <t>Temecula Valley Stand United Neighbors. No short-term rentals (STRs) in our single-family neighborhoods zoned 1-5.</t>
  </si>
  <si>
    <t>#PHC-DIGITAL Design</t>
  </si>
  <si>
    <t>#Hospitality - Lyric raises $160 million Series B led by #Airbnb - @DiscoverCRETECH</t>
  </si>
  <si>
    <t>Kingston, Jamaica</t>
  </si>
  <si>
    <t>Official account of #PHC-DIGITAL Design (a division in #PHC Group @PHCapitalGrp): ICT/AEC consultants to Caribbean, building owners &amp; design professionals.</t>
  </si>
  <si>
    <t>SAHM Plus... | Ivy</t>
  </si>
  <si>
    <t>"Unless you're renting a suite at a hotel establishment, space is an issue in most hotel rooms."  #family #Travel #Airbnb</t>
  </si>
  <si>
    <t>Jacksonville, Florida</t>
  </si>
  <si>
    <t>Mom, wife, author. I encourage you to be a better parent &amp; wife, and to give time to yourself. #momlife #sahm</t>
  </si>
  <si>
    <t>Tess</t>
  </si>
  <si>
    <t>With recent #AirBnB problems, here's how you can stay safe before your next trip!</t>
  </si>
  <si>
    <t xml:space="preserve">Denver, Colorado </t>
  </si>
  <si>
    <t>Helping you navigate healthcare insurance for your family &amp; business specializing in Medicare, Healthcare &amp; Life Insurance. We are here to help. 303-359-8773</t>
  </si>
  <si>
    <t>The mountains are calling...Have you booked your #summer vacation yet? Website👉  #smokiesvacation #bookdirect #booknow #seeourwebsite #visitsmokies #cabinlife #logcabin #Summer2019 #airbnb #vrbo #houfy #mountainview #smokymountains</t>
  </si>
  <si>
    <t>county country homes</t>
  </si>
  <si>
    <t>An #Easter miracle! God saved the #honeybee #PARIS #visitthecounty #pecounty #airbnb</t>
  </si>
  <si>
    <t>Prince Edward County Canada</t>
  </si>
  <si>
    <t>Exceptional residences in PEC for vacation rental. Home owner? Contact us to get your home listed. A few weeks rental covers your taxes.</t>
  </si>
  <si>
    <t>JetsetterJason</t>
  </si>
  <si>
    <t>I'm always interested in safer, more natural products for the #Airbnb, curious how @zevoinsect will fare this season in Bed-Stuy Brooklyn. Fruit flies, backyard bugs, and whatever's in the basement of 19th century Brownstone. Spring cleaning and I might give it a try! #superhost</t>
  </si>
  <si>
    <t>Brooklyn Airbnb SuperHost Technocrat Trinidadian/Grenadian traveler, attuned to all things curried, tried, true, and just.</t>
  </si>
  <si>
    <t>lorenzo H</t>
  </si>
  <si>
    <t>$55 ❤️💚💜🧡💙💸💲💵✈️🔥 Airbnb code coupon promo discount first. $55 OFF CLICK LINK NOW! Try it. Please DM me if you have any issues. #airbnb #airbnbcode #airbnbdiscount #airbnbpromo #airbnbcoupon #Happy420</t>
  </si>
  <si>
    <t>CODES AND CREDITS</t>
  </si>
  <si>
    <t>The 5 things we look for when #traveling for #work for more than a week: 5. A host that is responsive, can provide some tips that help you get into the local community, and assist in case of emergency #hosting #apartment #Airbnb #worktravel</t>
  </si>
  <si>
    <t>Brookex1738</t>
  </si>
  <si>
    <t>Don’t wanna leave this Airbnb with you 😩 #lgbt #airbnb</t>
  </si>
  <si>
    <t>Tampa, FL 💕</t>
  </si>
  <si>
    <t>I play for keeps and I don’t lose.</t>
  </si>
  <si>
    <t>Michael Erwin</t>
  </si>
  <si>
    <t>Soaking up the Austin sunshine before the wedding. #sunshine #friends #wedding #austin #instagay #loveislove #airbnb #vacation @ Barton Hills, Austin, Texas</t>
  </si>
  <si>
    <t>News/politics junkie, avid traveler, Chicagoan, views are my own.</t>
  </si>
  <si>
    <t>Ken Torres</t>
  </si>
  <si>
    <t>How to find hidden cameras in your #Airbnb, and anywhere else</t>
  </si>
  <si>
    <t>#Hospitality I #Marketing I #Technology I #AtleticodeMadrid I #Music I #Boricua 🇵🇷</t>
  </si>
  <si>
    <t>Munna Chowdhury</t>
  </si>
  <si>
    <t>Get up to 55$ OFF on your first Booking on Airbnb! Sign up here! #Happy420 #EasterSaturday #Airbnb #MCITOT</t>
  </si>
  <si>
    <t>Chittagong, Bangladesh</t>
  </si>
  <si>
    <t>The 5 things we look for when #traveling for #work for more than a week: 4. A place that is affordable - assuming you have a limited travel budget - and is flexible to accommodate a visit from your family or friends #hosting #apartment #Airbnb #worktravel</t>
  </si>
  <si>
    <t>Ravine Vineyard</t>
  </si>
  <si>
    <t>Take a peek into the extra cozy Ravine Cottage! #NOTL #AirBNB RT @wanderniagara: Enjoying our stay @ravinevineyard cottage for Easter weekend! What a beautiful rental home. Can’t wait for dinner tonight @ravinevineyard restaurant. #wanderlustniagara #wanderniagara…</t>
  </si>
  <si>
    <t>St. Davids, Ontario</t>
  </si>
  <si>
    <t>Continuing the legacy of our family while living locally &amp; sustainably. Celebrating over 150 years on our family farm in beautiful Niagara!</t>
  </si>
  <si>
    <t>khairul_rahaman</t>
  </si>
  <si>
    <t>hello everyone....</t>
  </si>
  <si>
    <t>Athena Reich</t>
  </si>
  <si>
    <t>When google maps tells you your Airbnb cabin is down a small narrow path and you think, “Oh how cute and rustic!” #familyvacation #vacation #travel #familyportraits #familytrip #famfirst #airbnb #airbnbhost #airbnbexperience #airbnbphoto #airbnbsuperhost</t>
  </si>
  <si>
    <t>Actress, Lady Gaga Impersonator, writer, &amp; single lesbian mama by choice. As seen in the #Emmy nom @vegasbabyfilm http://AlternativeFamiliesInternational.com</t>
  </si>
  <si>
    <t>MONICO RAMON SUAREZ BRAZON</t>
  </si>
  <si>
    <t>MARyPOSA B&amp;B</t>
  </si>
  <si>
    <t>what is your #program #today ? - #costarica #playa #beach #love #cute #nature #barbecue #family #friends #enjoy #enjoyyourlife #bnb #airbnb #booking #lonelyplanet #travel…</t>
  </si>
  <si>
    <t>Playa potrero costa rica</t>
  </si>
  <si>
    <t>bienvenus bienvenidos welcome #b&amp;b in #costarica #puravida #playapotrero #playatamarindo</t>
  </si>
  <si>
    <t>Ian Beckett</t>
  </si>
  <si>
    <t>#Airbnb's explosive growth jolts hotel industry's bottom line - Meanwhile hotels bear the burden of taxes, regulation, health&amp;safety ... while AirBnB cock a snoot</t>
  </si>
  <si>
    <t>London, Manchester (UK)</t>
  </si>
  <si>
    <t>Scientist, Accountant, Financier - brought text messaging to the world at SEMA, text M-commerce/banking at MILLICOM &amp; opened up CEE/FSU at CET</t>
  </si>
  <si>
    <t>Bookings available now Airbnb #merimbula #airbnb #airbnbsuperhost #love #healing #retreat #crystals #getaway #budget #ocean #forests @ Liane B Aleeya Lady Buddha Retreat</t>
  </si>
  <si>
    <t>April 22-28 Affordable Luxury Studio or Spacious 1 BDRM Clean, Modern, Beautiful · stunning infinity pool · large, private terrace · fans &amp; air con · SmartTV·Wifi · Bluetooth Speakers · kitchen  #airbnb #tulum #rivieramaya #playadelcarmen #vacationrental</t>
  </si>
  <si>
    <t>Scott Montgomery</t>
  </si>
  <si>
    <t>#AirBnB bookings available over summer sleeps 4 🤣🤣</t>
  </si>
  <si>
    <t>liverpool</t>
  </si>
  <si>
    <t>Running Liverpool to NYC virtual run 3,315 miles for Claire House Children’s Hospice finish line NYC marathon 🏃🏻‍♂️🗽🍏🥇 text CNYC80 £5 to 70070</t>
  </si>
  <si>
    <t>Host So Simple</t>
  </si>
  <si>
    <t>Summer is just around the corner! ☀️ This apartment is spacious and airy, perfect for a summer getaway to the city 🏠  #Airbnb #Liverpool #Accommodation</t>
  </si>
  <si>
    <t>Liverpool based short term property management and renovation services company-specialising in @Airbnb &amp; @TripAdvisor.For any enquiries: info@host-so-simple.com</t>
  </si>
  <si>
    <t>Eric Stewart's Ins</t>
  </si>
  <si>
    <t>Anyone have husbands with beards??? #business #chubb #allstate #statefarm #insurance #coverage #lifeinsurance #marketing #agents #agent #protection #airbnb #investments</t>
  </si>
  <si>
    <t>Franklin, TN</t>
  </si>
  <si>
    <t>Eric Stewart provides Auto/Car Insurance, Homeowners Insurance, Business/Commercial Insurance, and Life/Health Insurance for Franklin and all of Tennessee.</t>
  </si>
  <si>
    <t>Sign up for Airbnb with my link for $40 off your first trip. #airbnb @airbnb #discount #promocode</t>
  </si>
  <si>
    <t>Giorgio Gissi</t>
  </si>
  <si>
    <t>New kitchen @apuliatime B&amp;b the best for guests!! 🏡🌈🌞 Find us on @Booking @Airbnb #italy #Puglia #bedandbreakfast #apuliatime #kitchen #kitchendesign #fresh #BookingNow #airbnb</t>
  </si>
  <si>
    <t>Bari, Puglia</t>
  </si>
  <si>
    <t>B&amp;b Apulia Time manager ; Personal Trainer &amp; Slimming Trainer ; Photographer ; Trader ; - Linkedn profile : Giorgio Gissi - Instagram profile: apulia_time_bb</t>
  </si>
  <si>
    <t>SM SOLD MARKETING</t>
  </si>
  <si>
    <t>There’s radically different language in the new second-home rider, but @FannieMae says it just clarifies that owners can rent out a second home both short-term and long-term  #airbnb #vrbo</t>
  </si>
  <si>
    <t>USA</t>
  </si>
  <si>
    <t>SM Sold, a Real Estate and Mortgage marketing solutions company with a difference. We create unique marketing programs for agents and brokers across the globe.</t>
  </si>
  <si>
    <t>Cypress House Ranch Bed &amp; Breakfasthttps://www.airbnb.jp/rooms/208590  via Twitter Web Client #airbnb</t>
  </si>
  <si>
    <t>#PierrefondsDollard #BernierNation #polcan #canpoli #polqc #RoxhamRd #UNHCR #OpenSociety #AirBnb #MayorsMigrationCouncil #CenturyInitiative #TrudeauMustGo NOW! VOTE #MadMax AND #PPC2019 TO #StopTheMadness!</t>
  </si>
  <si>
    <t>Dewshi Law</t>
  </si>
  <si>
    <t>How the "Airbnb of boats' is trying to rule the wavers with rentals.  #legal #law #legalfeeds #airbnb</t>
  </si>
  <si>
    <t>Markham, Ontario</t>
  </si>
  <si>
    <t>Licensing and Regulatory Lawyer.</t>
  </si>
  <si>
    <t>Fing</t>
  </si>
  <si>
    <t>Scan the Wi-Fi network. @huffpostcanada recommends using #Fingapp to scan the network for hidden IP cameras when checking into an #Airbnb  @Airbnb</t>
  </si>
  <si>
    <t>Fing develops network scanning, network security and Wi-Fi troubleshooting tools built for #IoT. Join our #InternetOfThings today!</t>
  </si>
  <si>
    <t>#WorldCreativityAndInnovationDay @DaveitFerris always brings so much #creativity &amp; #innovative ideas &amp;amp; #services to his co. @HeartFuse &amp;amp; their umbrella companies - @SugarWires @GlitterSignal @airbandme @ChorusWave! #websites #airbnb #music #webhosting</t>
  </si>
  <si>
    <t>☝️Buying or selling real estate? 💥At Comflex Realty we are the difference🤙.  ⭐️⭐️⭐️⭐️⭐️#realestate #realtors #toronto #expectmore #getmore #savemore #oshawa #whitby #ajax #clarington #bowmanville #petraway #charlesstreet #condo #homesweethome #airbnb #mls</t>
  </si>
  <si>
    <t>Dawn Meckem</t>
  </si>
  <si>
    <t>Sunrise coffee on my little terrace in #meridamexico. The hummingbirds will be here any moment! #airbnb</t>
  </si>
  <si>
    <t>#jacksonhole homegirl. Wyoming Health &amp; Life Agent. Insurance and ACA Expert. http://dawnmeckem.com</t>
  </si>
  <si>
    <t>To our lovely fans... Have a Happy Easter🎉 Wishing you the hope of new beginnings easter brings💙💙💙 #easter #maisonvie #london #kilburn #nw6 #frenchcafe #frenchbakery #frenchrestaurant #ICMP #airbnb #londonfoodie #londonfood #londoncafe #londonbakery #londonrestaurant</t>
  </si>
  <si>
    <t>Pooja</t>
  </si>
  <si>
    <t>#Airbnb’s exponential growth worldwide is devouring an increasing share of hotel revenues and also driving down room prices and occupancy rates, suggests a new study, which also found that travelers felt Airbnb properties were more authentic than franchised hotels. …</t>
  </si>
  <si>
    <t>Follow me! I am interesting... 🥰 #breakingnews #news #socialmedia #tech #politics #sports #india #movies #bollywood #technews #technology #indianpolitics</t>
  </si>
  <si>
    <t>Hotelier Middle East</t>
  </si>
  <si>
    <t>WATCH: What's Trending: With #AirBnB's expansion plans and #Google announcing #GoogleHotels, #HotelierMiddleEast discusses how different these services are and what it could mean for #hotels and #hoteliers:  #OTA #onlinetravelagencies</t>
  </si>
  <si>
    <t>United Arab Emirates</t>
  </si>
  <si>
    <t>The online home for hospitality industry professionals in the Middle East</t>
  </si>
  <si>
    <t>Lactic Acid Junkies</t>
  </si>
  <si>
    <t>Family Tour #airbnbexperinces #airbnb #madrid #españa #madcity #spain #run #running #sightseeing #runseeing #traveling #exploring #cityrun #urbanrun #runcation #travelrunning…</t>
  </si>
  <si>
    <t>Madrid, Spain</t>
  </si>
  <si>
    <t>Official Account of Lactic Acid Junkies Run Crew</t>
  </si>
  <si>
    <t>Before you even *think* about giving up on your holiday let, let’s have a look at a few basic tips to generate more bookings...  #holidaylets #holidayhomes #hosting #airbnb</t>
  </si>
  <si>
    <t>Historic Oldest Street In the USA!  via Twitter Web Client #airbnb</t>
  </si>
  <si>
    <t>es inclusion service</t>
  </si>
  <si>
    <t>How can we enter in with #wheelchair to reach appartement in #Paris ?? #handicapper #airbnb #handicappers</t>
  </si>
  <si>
    <t>EtoileService Inclusion services. Specialist of access itinerary in Paris sightseeing spots. Travel Coordinator</t>
  </si>
  <si>
    <t>COMMERCIAL SIGNAGE-RETAIL-BOUTIQUES-RESORTS-DEDICATION CEREMONY-AIRBNB-VRBO-SALONS-YACHTS-SPAS &amp; MORE! DESIGN ALONG WITH US! RENDERINGS PROVIDED IN ADVANCE  #Retail #resort #RENEW #dedication #townhall #airbnb #Vrbo #signs</t>
  </si>
  <si>
    <t>Antique Boutique Apartment Zagreb</t>
  </si>
  <si>
    <t>[FUN FACT] Zagreb is also called a city of museums as there are more of them per square foot than any other city in the world! #vacationrental #vacationhome #airbnb #croatiarentals #zagrebrentals #vacationmode @ZagrebFacts</t>
  </si>
  <si>
    <t>Zagreb</t>
  </si>
  <si>
    <t>Eager and happy to host you in an original Austro-Hungarian early 20th century antique apartment offering authentic Zagreb experience! 900 m from main square😄</t>
  </si>
  <si>
    <t>Loving the spring mornings at #maisonvie💙 It's the #weekend...let's enjoy it together😊 #london #kilburn #nw6 #frenchcafe #frenchbakery #frenchrestaurant #ICMP #airbnb #londonfoodie #londonfood #londoncafe #londonbakery #londonrestaurant #delicious #yummy #tasty #queenspark</t>
  </si>
  <si>
    <t>Teomete تيومته</t>
  </si>
  <si>
    <t>Boycott #airbnb RT @ShameChronicles: Airbnb to allow listings from illegal Israeli settlements.</t>
  </si>
  <si>
    <t>Istanbul &amp; Akmescid  استانبول</t>
  </si>
  <si>
    <t>Attığım küfürlü twitler hakedene ancak iltifat olabilir lakin onlara küfür edebilecek kadar terbiyesiz değilim.Yine de hoşlanmayan takipçilerimden özür dilerim</t>
  </si>
  <si>
    <t>Prana Residence Spa Indoor Poolhttps://www.airbnb.jp/rooms/234296  via Twitter Web Client #airbnb</t>
  </si>
  <si>
    <t>Dream Destinations Travel and Tourism LLC provides the best Value of Service!!! #AIRBNBsuperhost #AIRBNB #bestplaceindxb #dreamdtravels #UAEDUBAI #dubaistay #dubaimarina #dubailuxuryapartment #bestviewindubai #marinaview #dubaigoals</t>
  </si>
  <si>
    <t>IANS Tweets</t>
  </si>
  <si>
    <t>Global hospitality services provider #Airbnb is shaking up the #hotel industry by driving down the lodging prices and revenues for #traditionalhotels, a new study suggests.</t>
  </si>
  <si>
    <t>India's largest independent News Agency</t>
  </si>
  <si>
    <t>Mário D.</t>
  </si>
  <si>
    <t>.//Back to renting season!//. . .//If any of you want to visit one of the most beautiful places in #Portugal you’re welcome to stay at my place//.  #airbnb #holidays</t>
  </si>
  <si>
    <t>Ireland/Portugal</t>
  </si>
  <si>
    <t>.//3DArtist|MotionDesigner|Father|Grandfather//.</t>
  </si>
  <si>
    <t>Fabrizio</t>
  </si>
  <si>
    <t>Before Easter what is the best way to run in my beautiful city? #Airbnb #Wakeup #Roma #wakeupnigeria #runningcommunity</t>
  </si>
  <si>
    <t>Ignaty Nikulin</t>
  </si>
  <si>
    <t>Londo, UK and Malta</t>
  </si>
  <si>
    <t>Malta and London based creative front-end developer and web designer. Founder @coneheadedcat. I do job well for its own sake. Pescetarian. Introvert. Apatheist.</t>
  </si>
  <si>
    <t>Emma 🐝🌼</t>
  </si>
  <si>
    <t>Get £25 off your first #Airbnb trip with my code, DO IT DO IT DO IT 👉🏼👉🏼</t>
  </si>
  <si>
    <t>#Blogger | Graduate | Confused &amp; tired | Love a #goodcause! ✌🏼🙊🏳️‍🌈☀️</t>
  </si>
  <si>
    <t>This Mushroom Dome Tiny House Is Airbnb’s Most Popular Listing:  #airbnb #holidayhomes #holidayhome #holidaylets #homeinsurance</t>
  </si>
  <si>
    <t>The latest image from the GowerLive #webcam on the roof 730RocksMumbles #AirBnB. Book at  #Mumbles #Swansea #Gower #travel. Watch live at  #52</t>
  </si>
  <si>
    <t>Sebastian May</t>
  </si>
  <si>
    <t>Carlsberg create world's first waterfall-powered pub and it’s available to book on Airbnb  #pub #design #architecture #airbnb #beer #hotels</t>
  </si>
  <si>
    <t>I manage brands, produce multi-media content for the creative sector, and work as an artist. I run campaigns for @DACSforArtists and @art360fdn. 😎</t>
  </si>
  <si>
    <t>Air bnb London is a popular concept that has been introduced to the house owner to rent their place at their comfort for a week, month or for a night stay. #Airbnb #Airbnblondon #Airbnbhost #Airbnbmanagementservice</t>
  </si>
  <si>
    <t>No.5 Chester</t>
  </si>
  <si>
    <t>Last summer we saw The Greatest Showman with the kids. Pizza Express deliver to your seat &amp; take your own fizz - perfect, magical evening in the Roman Garden &amp;amp; the singing was awesome! #chester #moonlightflicks #airbnb #cheshire #grosvenorpark #summertime  RT @StoryhouseLive: MORE SCREENINGS ADDED due to popularity for Moonlight Flicks! Tues 9 July - Dirty Dancing 🕺🏻 Tues 23 July - Dirty Dancing 💃 Tues 30 July - The Greatest Showman 🎪 Tues 13 Aug - A Star Is Born 🎤 Tues 20 Aug - Bohemian Rhapsody 👑 Sun 25 Aug - A Star is Born 🌟</t>
  </si>
  <si>
    <t>Chester, England</t>
  </si>
  <si>
    <t>5* Cosy &amp; Contemporary Victorian Terrace right in the centre of Chester -perfect for families or couples. Holidays, business and longer stays.</t>
  </si>
  <si>
    <t>Sleep with style. Book your city trip holiday in this beautiful city.  #hotel #ljubljanastay #airbnb #filippalace #ljubljanastay #booking #centerstay #ljubljana #triplebridge</t>
  </si>
  <si>
    <t>What our #AirBnB guests woke up to this morning #mumbles 😍😍😍😍.</t>
  </si>
  <si>
    <t>On the Way</t>
  </si>
  <si>
    <t>Our first Airbnb'ers of the season are arriving today. Looking forward to meeting them.  #airbnb #WHW #westhighlandway #milngavie #Scotland #walking #trekking #mountains #visitors #tourism #adventure</t>
  </si>
  <si>
    <t>Scotland</t>
  </si>
  <si>
    <t>50 something married couple brimming with ideas, bucket lists, travel stories, interested in keeping healthy and living life.</t>
  </si>
  <si>
    <t>New #apartment #house RUE CURIAL near #Canaldelourcq et @104paris #art #airbnb #host #guesthouse to rent for holidays #paris day book one of our apartment #gay #gaytravel #tourisme…</t>
  </si>
  <si>
    <t>Visit Rome!!! By my Airb&amp;b #airbnb</t>
  </si>
  <si>
    <t>Thank you #BigBearLake for such a great #snow season! Now it is time now to start booking your #summer reservations! #bearkubkabin www.vrbo.com1207626 #bigbear #cabin #vacationrental #vacation #california #logcabin #airbnb #vrbo #cabininthewoods #cabinlife #cabinlove</t>
  </si>
  <si>
    <t>Ph8tal</t>
  </si>
  <si>
    <t>My bro booked an #Airbnb for the weekend in Alabama for 4 people. Had 5 instead. Slight inconvenience right. Not for the case owner he called my bro. Refunded him his money and told him to leave in the next hour or the police comes. Yes we are all of the same skin complexion</t>
  </si>
  <si>
    <t>Vallejo, CA</t>
  </si>
  <si>
    <t>Young Black Hard Working And Gifted. 🤙🏾🤙🏾🤙🏾 #RIPPOPZ #MYHERO</t>
  </si>
  <si>
    <t>SYNJ Intel</t>
  </si>
  <si>
    <t>Ahmadabad City, India</t>
  </si>
  <si>
    <t>🇮🇳Ahmedabad based company working towards excellence in the Cyberspace,Cyber Defence,OSINT (Open Source Intelligence)Training and Cyber Warfare Innovation.</t>
  </si>
  <si>
    <t>David A. Lee</t>
  </si>
  <si>
    <t>Looking down from the 35th floor. #toronto #canada #highrise #airbnb #davidaleephotography #architecturalphotography @ Tridel- 300 Front St West</t>
  </si>
  <si>
    <t>Palm Springs / Los Angeles, CA</t>
  </si>
  <si>
    <t>Professional photographer specializing in event, real estate, and portrait shoots, and screenwriting partner with husband Daniel Vaillancourt.</t>
  </si>
  <si>
    <t>Boston.com</t>
  </si>
  <si>
    <t>What Boston really cares about right now.</t>
  </si>
  <si>
    <t>Check out this awesome Entire condominium on Airbnb: Live Like Royalty On The Las Vegas Strip!, sleeps 5 #Vegas #LasVegas #AirBnB #VGK #Raiders #WSOP #Poker #Hockey</t>
  </si>
  <si>
    <t>Wbcom Designs 💡</t>
  </si>
  <si>
    <t>Ever thought of starting an #OnlineMarketplaceBusiness like #Amazon, #Etsy, or #Airbnb? Here is a quick guide on how to start a marketplace business. #ecommerce #wordpress #webdevelopment #webdesign</t>
  </si>
  <si>
    <t>Lucknow</t>
  </si>
  <si>
    <t>Web Design Agency. We are WordPress BuddyPress developers for Custom plugin &amp; theme development. Woocommerce, Membership WPLMS Multisite Community website</t>
  </si>
  <si>
    <t>Varun Dubey</t>
  </si>
  <si>
    <t>Lucknow, India</t>
  </si>
  <si>
    <t>#WordPress &amp; #BuddyPress Expert, Manager @wbcomdesigns #StartUp build communities with WordPress.🚀 DM for any support or help related to BuddyPress7⃣</t>
  </si>
  <si>
    <t>The Cetusaurus at Irish Beachhttps://www.airbnb.jp/rooms/374409  via Twitter Web Client #airbnb</t>
  </si>
  <si>
    <t>Large 5Star #Florida #vacationhome with prival pool on #Airbnb Tropical #TommyBahama style - #VRBO April 19, 2019 at 10:01PM</t>
  </si>
  <si>
    <t>Outdoor Nautical Beach Cottage Signs  … ************* #Coastalliving PERFECT FOR YOUR #Airbnb #Rentals #Beachhouse #vrbo #Portland #Wrightsville #FloridaKeys #NagsHead #SouthCarolina #Barharbor #Galveston #FtmyersBeach #Delaware #Massachusetts ☀️🌊🏊‍♂️⛵️⚓️</t>
  </si>
  <si>
    <t>Outdoor Nautical Beach Cottage Signs  … ******#Coastalliving PERFECT FOR YOUR #Airbnb #Rentals #Beachhouse #Seattle #Oregon #Charlotte #PlantationFlorida #Rodanthe #NorthCarolina #Bassharbor #CocoaBeach #PacificCoast #Maryland ☀️🌊🌊🚣‍♀️🏊‍♂️⛵️⚓️#Ohio #Iowa</t>
  </si>
  <si>
    <t>Outdoor Nautical Beach Cottage Signs  … *************** #Coastalliving PERFECT FOR YOUR #Airbnb #Rentals #Beachhouse #Oregon #Wrightsville #Florida #Rodanthe #NorthCarolina #Bassharbor #PortAransas #BethanyBeach #PacificPalisades #Maine ☀️🌊🚣‍♀️🏊‍♂️⛵️⚓️</t>
  </si>
  <si>
    <t>Outdoor Nautical Beach Cottage Signs  … ********** PERFECT FOR YOUR #Airbnb #Rentals #Beachhouse #Oregon #Coastalliving #Wrightsville #PlantationFlorida #Rodanthe #NorthCarolina #Bassharbor #PortAransas #BethanyBeach #PacificPalisades #Maine ☀️🌊🚣‍♀️🏊‍♂️⛵️⚓️</t>
  </si>
  <si>
    <t>Canuck Palms Exuma</t>
  </si>
  <si>
    <t xml:space="preserve"> Great Exuma, Bahamas</t>
  </si>
  <si>
    <t>Beautiful 2 bedroom 2 bathroom vacation rental steps from an amazing secluded beach on the island of Great Exuma, Bahamas canuckpalms.ca</t>
  </si>
  <si>
    <t>Outdoor Nautical Beach Cottage Signs  ******************** PERFECT FOR YOUR #Airbnb #Rentals #Beachhouse #Guest #Oregon #Wrightsville #PlantationFlorida #Rodanthe #NorthCarolina #Bassharbor #PortAransas #BethanyBeach #PacificPalisades #Maine ☀️🌊🌊🚣‍♀️🏊‍♂️⛵️⚓️</t>
  </si>
  <si>
    <t>Desmond Yuen</t>
  </si>
  <si>
    <t>Who is buying Housing in San Francisco? How IPOs from companies like #Lyft, #Pinterest, #airbnb , Instacart, Palantir, #Postmates , #slack , and #Uber will affect the housing market in #SF? 50% of the buyers in SF work for the software industry!</t>
  </si>
  <si>
    <t>Follow me to get news on #Intel, #HPC, #CloudComputing, #Blockchain, #ArtificialIntelligence, #5G, #Edgecomputing, #Technology and society.</t>
  </si>
  <si>
    <t>Scottsdale Strippers</t>
  </si>
  <si>
    <t>480.420.4479</t>
  </si>
  <si>
    <t>👙Phoenix &amp; Scottsdale AZ Strippers👙🥇2018 New Times *BEST* of PHOENIX! Bachelor Party entertainment AIRBNB services &amp; more in ARIZONA http://facebook.com/azstripshows</t>
  </si>
  <si>
    <t>Shwetank Verma</t>
  </si>
  <si>
    <t>Investing and entrepreneurship. Co-founder Leo Capital @leoDotCapital . #insurtech #digitalhealth #fintech</t>
  </si>
  <si>
    <t>Deskby</t>
  </si>
  <si>
    <t>Hey folks!! You are never too old to set another goal or to dream a new dream. - C.S. Lewis #quotes #weekend #worklife #dreams #coworkingspace #coworker #coworkingindonesia #jktgo #vscocam #marketplace #airbnb #coworkinglife #community #nomad #workfromanywhere #sharedoffice</t>
  </si>
  <si>
    <t>Indonesia</t>
  </si>
  <si>
    <t>Deskby is a marketplace for startups/freelancers to discover nearby &amp; book affordable working space real-time with flexible working &amp; strong community networks.</t>
  </si>
  <si>
    <t>Loveios</t>
  </si>
  <si>
    <t>How To Find Hidden Cameras In Your Airbnb Homes #Applenews #Airbnb, #Camera, #Privacy</t>
  </si>
  <si>
    <t>Norfolk, NE</t>
  </si>
  <si>
    <t>#Loveios- Home of the Apple Fans, A Tech Blog With Focus On Apple News, Tutorials, And Accessories #AppleNews Partnering @Appleosophy</t>
  </si>
  <si>
    <t>George</t>
  </si>
  <si>
    <t>Ann Arbor, Michigan</t>
  </si>
  <si>
    <t>An eclectic journey through the Travel Miles/Points Blogosphere.</t>
  </si>
  <si>
    <t>KATIE ❤</t>
  </si>
  <si>
    <t>My host is asking me to cancel my reservation on my end. Which is in the first place they are the one who message me that they can't accommodate me today. I already send a message thru Airbnb but no one is assisting me yet. I need help to book new space. #Airbnb</t>
  </si>
  <si>
    <t>Frustrated wattpad writer. ♥ When writing the story of your life, Don't let anyone else to hold the PEN. ✏✏ || Follow me on IG: A_katepascual</t>
  </si>
  <si>
    <t>The Tech Journal</t>
  </si>
  <si>
    <t>With @Airbnb you can find travel adventures and new places to go far away or near to you, and access vacation home rentals, new experiences, and places to visit all around the world. Find other such Apps in this Blog.  #Airbnb #AppsForiPhone</t>
  </si>
  <si>
    <t>All about #Tech, in simple way. We cover all #TechNews related with #Apple, #Google, #Microsoft, #Facebook and support #Startup &amp; #Innovation!</t>
  </si>
  <si>
    <t>Fabio Passos</t>
  </si>
  <si>
    <t>Rio de Janeiro</t>
  </si>
  <si>
    <t>#Turismo, #Hotelaria, #Marketing, #Inovação, #Startup, #Empreendedorismo, #Sustentabilidade, #SocialMedia, além de #FrasesDeImpacto.</t>
  </si>
  <si>
    <t>Elle Park</t>
  </si>
  <si>
    <t>We're staying on an alpaca farm. Squeee!!!!!! I am in love with the animals here. #airbnb @ Chesterfield, Virginia</t>
  </si>
  <si>
    <t>Runs for Prospect Park Track Club. Mother of Bandit.</t>
  </si>
  <si>
    <t>PragueFriendly.CleaningServices</t>
  </si>
  <si>
    <t>Check out my latest article: 21 Cleaning Tips &amp;amp; Tricks that can help you during your spring cleaning!  prostřednictvím @LinkedIn #cleaningservices #expats #prague #airbnb #praguefriendly #europefriendly</t>
  </si>
  <si>
    <t>Prague, Czech Republic</t>
  </si>
  <si>
    <t>Prague's Truly Expat Friendly Cleaning Service &amp; Airbnb Cleaning Service Provider</t>
  </si>
  <si>
    <t>HomeUnion</t>
  </si>
  <si>
    <t>Listing you property on @Airbnb? Calculate #Airbnb weekly rent using calculator by @homeunion. Tap here:</t>
  </si>
  <si>
    <t>Irvine, CA, USA</t>
  </si>
  <si>
    <t>You Invest, We Do the Rest. Hands-free residential real estate that generates monthly income and builds equity. We tweet about real estate investing.</t>
  </si>
  <si>
    <t>Lisa Greig</t>
  </si>
  <si>
    <t>#Airbnb beware: The @ato_gov_au is coming for property investors this #tax season - SmartCompany</t>
  </si>
  <si>
    <t>Bentleigh, Melbourne</t>
  </si>
  <si>
    <t>Tax Thaumaturgist for micro and small business. Policy advocate. 💨🌩️☁️</t>
  </si>
  <si>
    <t>What an amazing day from start to finish #comfortcottagehealing #visitwales #dogfriendly #TheDogsWithMe #alpacas #ArtsWales #SunDogs #Airbnb #yell RT @ruthwignall: The dawn of a whole new.. beautiful day.... #sunrise #EasterBankHoliday</t>
  </si>
  <si>
    <t>Colin</t>
  </si>
  <si>
    <t>Skip the hotel and try out #Airbnb for a local experience - get a free $40 with your first booking!</t>
  </si>
  <si>
    <t>North Carolina</t>
  </si>
  <si>
    <t>SWE and Youtuber. I love tech, games, cars, and my dog Kimba. Cavs and UNC fan/alum. Currently obsessed with cryptos, get started here - https://goo.gl/1BU1Ej</t>
  </si>
  <si>
    <t>Southside Daily</t>
  </si>
  <si>
    <t>Can’t find a hotel or Airbnb for Something in the Water? Williamsburg has room  #sitw #airbnb</t>
  </si>
  <si>
    <t>Virginia Beach, Va.</t>
  </si>
  <si>
    <t>Your free online news source for Virginia Beach and Norfolk. All local. Find us on the air at All News 102.1, send news tips to news@southsidedaily.com</t>
  </si>
  <si>
    <t>Currently in bloom at Laurelwood Cabin: our cherry blossom tree! 🌸🌸🌸One thing I love about living so close to the mountains is that even though the cherry trees are pretty much done in Charlotte, a quick trip up to #Boone and you can see some more! #airbnb #floralfriday</t>
  </si>
  <si>
    <t>Jon Wilson</t>
  </si>
  <si>
    <t>Did you 'miss' #Amazon, #Facebook, #Google, #Uber, #AirBnb, #Microsoft, &amp; others? Me, too!!! Well, do NOT miss the impending EXPLOSION of the #cannabis #hemp-#CBD industry…</t>
  </si>
  <si>
    <t>Mooresville, NC</t>
  </si>
  <si>
    <t>I ❤️ what I do! #LetsGrowTOGETHER, #UpgradingLifestyles ON the #SecondWave w/the #NaturalHealthRevolution to TRULY live #LifeUnlimited! http://Facebook.com/JackedOnLife</t>
  </si>
  <si>
    <t>Did you 'miss' #Amazon, #Facebook, #Google, #Uber, #AirBnb, #Microsoft, &amp; others? Me, too!!! Well, do NOT miss the impending EXPLOSION of the #cannabis #hemp-#CBD industry as it goes to $22 BILLION by 2022! Ask me, "How?" NOW, or kick yourself later!!! #THC #momentum</t>
  </si>
  <si>
    <t>NEW BLOG POST!  Ever wondered how much you can do to automate your AirBnB's? Find out here! #airbnb #automation #homeautomation #vacationrentals #travel #apartments #smarthome #Airbnbhost #hosting #guidebook #alexa #smartspeakers</t>
  </si>
  <si>
    <t>The 5 things we look for when #traveling for #work for more than a week: 3. A neighborhood that feels safe, where you can easily shop and carry your groceries home, and has nearby cafes/restaurants in case you don’t want to eat in #hosting #apartment #Airbnb #worktravel</t>
  </si>
  <si>
    <t>You’ll always win because Elvis is the king of hearts. ♠️♥️♣️ #theelvishouse #theelvishousewaco #waco #texas #tx #elvis #cards #games #comevisit #comeandstay #relax #friday #weekend #weekendvibes #playingcards #music #rocknroll #cardtable #kingofhearts #airbnb</t>
  </si>
  <si>
    <t>Wonderstruck Weekend</t>
  </si>
  <si>
    <t>The birds and I will show you the way...... to the next brewery! . . . . #cardinals #redbird #virginia #visitrichmond #RVA #airbnbexperience #airbnb #Scottsaddition #beertour #beernerd #beernerds #beer #craftbeer #beertourism #travel #camperlife #solotravel</t>
  </si>
  <si>
    <t>Teaching all poor and sometimes irresponsible 20, 30,and 40 somethings how to travel on chump change!</t>
  </si>
  <si>
    <t>Allison Wells</t>
  </si>
  <si>
    <t>Sooooooo in love with our #airbnb find at #lechamois #whistler can’t wait to test out that jacuzzi tub! #honeymoon #whistler #jacuzzi #bubblebath #relaxing #weekendaway #easterweekend…</t>
  </si>
  <si>
    <t>Loves: My cats x 6, my husband (@rambochicken), Supernatural, bubble baths and wine ❤️</t>
  </si>
  <si>
    <t>Here are the 5 things we look for when #traveling for #work for more than a week: 1. A ‘home away from home’ where you can prepare your meals and has enough space and amenities to relax/finish some work related tasks #hosting #apartment #Airbnb #worktravel</t>
  </si>
  <si>
    <t>Sign up for AirBnB here and get $40 off your first trip.  #airbnb #travel #touristlife</t>
  </si>
  <si>
    <t>Louise O'Reilly</t>
  </si>
  <si>
    <t>✨ SPRING BREAK ✨ Chilling and enjoying a cuppa on our beautiful balcony in old town Estipona. : : : #spain #estipona #travel #europe #potd #travelblog #lifestylebyloulou #airbnb…</t>
  </si>
  <si>
    <t>Cavan Republic Of Ireland</t>
  </si>
  <si>
    <t>📺 Freelance Presenter:TG4/IrishTV/CavanTV/IrishWebTV 🎤Singer &amp; Teacher📽Show 👻snap:louloulifestyle https://youtu.be/sAy-79peZ6g</t>
  </si>
  <si>
    <t>Sign up for AirBnB here &amp; get $40 off your first adventure.  #airbnb #travel #touristlife</t>
  </si>
  <si>
    <t>Rustic Retreats</t>
  </si>
  <si>
    <t>Spacious yard, decks for grilling, and of course bonfires-At the legendary Moose Lodge. #mooselodge #vacationbetter #rusticretreats #rustic #wisconsindells #vacationhome #airbnb #vrbo #airbnb #cabin</t>
  </si>
  <si>
    <t>Wisconsin, USA</t>
  </si>
  <si>
    <t>Quality north woods vacation homes in the Wisconsin Dells area!</t>
  </si>
  <si>
    <t>A beautiful day for raking where it has melted here at Decompress U! The current forecast is creating optimism for a smooth start of the season!  #Airbnb #rusticcabinwithsauna #Chassell #Keweenaw #upperpeninsula #PureMichigan</t>
  </si>
  <si>
    <t>Tearing your hair out over your remodel? This may help you:  #remodel #realestate #investmentproperty #doneforyou #design #interiordesign #lifehack #FridayMotivation #airbnb #easydoesit #renovation #flippinghouses #dosanddonts #homesweethome #mustread</t>
  </si>
  <si>
    <t>Julia Ortiz Sabate</t>
  </si>
  <si>
    <t>Having a great night in Donegal! #offsite #airbnb</t>
  </si>
  <si>
    <t>Dublín, Irlanda</t>
  </si>
  <si>
    <t>day dreamer &amp; night thinker</t>
  </si>
  <si>
    <t>Lulu McGuiness</t>
  </si>
  <si>
    <t>Happy Easter Weekend... #sunshine #easter #ireland #wildatlanticway #travel #iphonephotography #walk #donegal #blackbarn #blackhouse #longweekend #bankholiday #walk #swim #airbnb…</t>
  </si>
  <si>
    <t xml:space="preserve">Ireland. </t>
  </si>
  <si>
    <t>Fashion stylist | Interior stylist | Creative Consultant</t>
  </si>
  <si>
    <t>Martin Comas</t>
  </si>
  <si>
    <t>As more vacationers use Airbnb, Seminole County looks to put in place regulations to residents wanting to rent out their home.  #seminolecounty #airbnb</t>
  </si>
  <si>
    <t>Orlando, FL</t>
  </si>
  <si>
    <t>Martin Comas is a reporter for the Orlando Sentinel.</t>
  </si>
  <si>
    <t>🎥🎹 MICHAEL B. ISBELL 🌴👨🏽‍💻</t>
  </si>
  <si>
    <t>Had such an amazing stay in Atlanta with @glory_to_christ at this AWESOME #AirBnB. Got some really pretty shots for the owner, Cameron, and looking forward to going back sometime to shoot…</t>
  </si>
  <si>
    <t>Costa Mesa, CA</t>
  </si>
  <si>
    <t>#YouTuber &amp; #Videographer 🎥 | #Photography Enthusiast 📸🚵🏽‍♂️ | @WednesdayWander @MBIM_Gaming 📽️ Check the #links to #learnmore 🎹</t>
  </si>
  <si>
    <t>Letulet helps renters earn extra money hosting short-term #Airbnb rentals! We help you professionally negotiate with your #landlord to reach an equitable split of the Airbnb revenue, giving them incentives to grant you permission. We really like win-wins!</t>
  </si>
  <si>
    <t>All Seasons Fireplaces Pools Spas</t>
  </si>
  <si>
    <t>Upgrade Your Backyard With A Doughboy Pool! We are an authorized dealer and will deliver and install. Call our office at 760-365-6668 for more information and see the link below. #PalmSpring #JoshuaTree #Airbnb #Pools #Swimming</t>
  </si>
  <si>
    <t>From #JoshuaTree to #PalmSprings and beyond we can make your home a #resort. #Fireplaces #Spas #Pools. Give us a call today 760-365-6668</t>
  </si>
  <si>
    <t>CiiRUS</t>
  </si>
  <si>
    <t>Grant Fawcett with @VRMData and @BeyondPricing at the @Airbnb party and wrapping up the #VRMA in North Carolina. #whereisciirus #northcarolina #airbnb #keydatadashboard #beyonpricing #comingtoatownnearyou</t>
  </si>
  <si>
    <t>The most connected vacation rental #software in the world! #Market, #Manage, and #Connect with guests and owners!</t>
  </si>
  <si>
    <t>Helen Sikavitsa</t>
  </si>
  <si>
    <t>Airbnb's explosive growth jolts hotel industry's bottom line - Florida State University News  #Airbnb #impact #tourism #business #leisure #hotel #industry #online #marketplace #state #law #policies</t>
  </si>
  <si>
    <t>Thessaloniki, Greece</t>
  </si>
  <si>
    <t>Resources for #language teaching by a #teacher of English living/working in Greece, dancer at heart, art &amp; book lover, keen on photography &amp; traveling as well.</t>
  </si>
  <si>
    <t>Perfect opportunity for anyone who wants to make money, simply go to , and choose a date and time that’s best for you. #bnbprogram #airbnb #unitedstates #property #properties #realty #broker #realtor #realestate #investment #housing #househunting</t>
  </si>
  <si>
    <t>Cheryl Ferraro</t>
  </si>
  <si>
    <t>Airbnb’s explosive growth jolts hotel industry’s bottom line - Hospitality service #Airbnb is fast becoming the 800-pound gorilla that’s shaking up the hotel industry and forever changing it.</t>
  </si>
  <si>
    <t>San Juan Capistrano, CA</t>
  </si>
  <si>
    <t>Making &amp; breaking websites since 1998. 🙈🙉🙊 My latest project https://ReallyGood.com/amp/ @ReallyGood_com 👍 #NetNeutrality</t>
  </si>
  <si>
    <t>Thank you @NEXTpittsburgh for featuring my artist’s gallery Airbnb where guests can get to know local talent through their works and tour booklet.  #airbnb #pgh #art #artgallery RT @NEXTpittsburgh: 'Marta on the Move' @icantfindmarta creates a mini-art gallery for her new North Side Airbnb -</t>
  </si>
  <si>
    <t>AirGMS Technologies</t>
  </si>
  <si>
    <t>💡Weekly #Airbnb Tips Guests often opt for renting some kind of vehicle to get around a city they stay in. To get extra income and simplify the search of rentals for your guests you can rent out a bicycle right at your place 🚲 Discover more tips here:</t>
  </si>
  <si>
    <t>Vacation Rental Management software for professional #Airbnb hosts. #Airbnb #automation</t>
  </si>
  <si>
    <t>Calloway Storage</t>
  </si>
  <si>
    <t>🌲4 Tips To Renovating A Cottage That’s Ready For Renters:  #cottage #storage #selfstorage #airbnb</t>
  </si>
  <si>
    <t>Muskoka Lakes, Ontario</t>
  </si>
  <si>
    <t>Calloway Storage offers quality self-storage and portable storage solutions across the Muskoka region. We have something to fit all of your storage needs.</t>
  </si>
  <si>
    <t>Attack The Sound</t>
  </si>
  <si>
    <t>Tonight thedentheatre for airbnbconcerts_chi tix online only  . . . .tix in bio . . . #attackthesound #airbnb #concert #show #band #chipop…</t>
  </si>
  <si>
    <t>Chi-Pop band from the Chicagoland. Booking: attackthesoundmanager@gmail.com</t>
  </si>
  <si>
    <t>This weekend we have a stay using the space for a group of photo sessions. I tend to agree that it has great light and lines. #Airbnb #SuperHost</t>
  </si>
  <si>
    <t>"According to the City of White Rock, there are 13 vacation rentals registered with business licences" "However, a quick scan on AirBnB can return dozens of properties"  #vanre #airbnb</t>
  </si>
  <si>
    <t>Woods Crossing</t>
  </si>
  <si>
    <t>Relax. Explore. Discover. #vrbo #airbnb #superhosts</t>
  </si>
  <si>
    <t>Lock Springs, MO</t>
  </si>
  <si>
    <t>Come escape to the woods. Vacation home rental and event facility located between Jamesport and Chillicothe in Missouri.</t>
  </si>
  <si>
    <t>full moon 🌕serenade 🐦🎶#blackbird . #semester #organic #yoga #kundalini #eko #ekologisk #vacation #relax #Airbnb #airbnbsweden #visitÖsterlen #visitsweden #visitskåne #Tomelilla #Österlen…</t>
  </si>
  <si>
    <t>CBIZ VRI</t>
  </si>
  <si>
    <t>#QuestionOfTheDay As a #vacationrental property owner, how are you reaching the 244 million+ audience that uses #socialmedia? Check out this blog to discover how you and your business could extend your reach!  #blog #airbnbhost #vrbo #airbnb #insurance</t>
  </si>
  <si>
    <t>1st of its kind coverage, our short-term #vacationrental policy was developed to protect the risks unique to vacation rental #propertyowners since 2002 💚</t>
  </si>
  <si>
    <t>ケイレン</t>
  </si>
  <si>
    <t>The Airbnb we stayed at Penang (Part 3) #huaweimate20pro #leicatriplecamera #photography #keilengraphy #traveltography #penang #airbnb #throwback @ Maritime Suite</t>
  </si>
  <si>
    <t>シンガポール</t>
  </si>
  <si>
    <t>ビジュアル系、J-Rock、ギター、写真術、アニメ、抹茶味、日本文化、デーサイン。</t>
  </si>
  <si>
    <t>The Airbnb we stayed at Penang (Part 2) #huaweimate20pro #leicatriplecamera #photography #keilengraphy #traveltography #penang #airbnb #throwback @ Maritime Suite</t>
  </si>
  <si>
    <t>The Airbnb we stayed at Penang (Part 1) #huaweimate20pro #leicatriplecamera #photography #keilengraphy #traveltography #penang #airbnb #throwback @ Maritime Suite</t>
  </si>
  <si>
    <t>Do you want to check out G-pod yourself? DM us for private tour. . . . #gpodLiving #modern #architecture #adventure #digitalnomad #containerhome #travel #airbnb #design #homedesign #modularhomes #offgrid #tinyhouse #cabinlife #nature #explore #tech</t>
  </si>
  <si>
    <t>A Complete #Handyman &amp; #Maintenance Co. (𝔼𝕤𝕥. 𝟚𝟘𝟙𝟟) Owned &amp; Operated by Hᴇᴀᴛʜ Jᴏʜɴsᴛᴏɴ #EHSLASVEGAS #VegasLocal #SmallBusiness #VegasHandyman</t>
  </si>
  <si>
    <t>Come stay in a Barefoot Vacation Rental and enjoy 4 days of fun and unique event. #temecula #airbnb #propertymanagement #barefootvacationrentals #vacation #wine #vrbo #wineries #wine #winetasting #travel #bookdirect #wedding #destination #winecountry #RealityRally #lovetemecula</t>
  </si>
  <si>
    <t>Kandi Grantz</t>
  </si>
  <si>
    <t>Airbnb Support is Unreliable and Inconsistent: still waiting 48 hours and counting for support to respond. With every Airbnb Support experience going very poorly in the past year as an owner I am looking for alternative platforms. @Airbnb @AirbnbHelp #airbnb</t>
  </si>
  <si>
    <t>Haiku-Pauwela, HI</t>
  </si>
  <si>
    <t>Mom, Farmer, Artist, Tennis, Beach, Surf</t>
  </si>
  <si>
    <t>Robert Doolan</t>
  </si>
  <si>
    <t>White Rock- rental vacancy being affected by accommodation being rented on short term rental sites against bylaws. #VRBO #whiterock #AIRBNB #realestate #RobertDoolan #Doolanitwrong</t>
  </si>
  <si>
    <t>White Rock, British Columbia</t>
  </si>
  <si>
    <t>Residential &amp; Commercial Real Estate Agent servicing Vancouver/Lower Mainland. Protecting your position in all your Realestate transactions.</t>
  </si>
  <si>
    <t>Sean Herde</t>
  </si>
  <si>
    <t>Utah</t>
  </si>
  <si>
    <t>Hi my name is Sean</t>
  </si>
  <si>
    <t>Cara Calvert-Thomas</t>
  </si>
  <si>
    <t>#KermitTheDog and I had a fun little adventure on our #AirBnB property this morning... . .. ... #northeastnewmexico #rowenewmexico #santafe #roadtrip #naturewalk #ilovemydog #whosagoodboy…</t>
  </si>
  <si>
    <t>Alaska grown, KU alum, artist loving living in California, searching for food &amp; culture. . . like minds would be nice too. . .</t>
  </si>
  <si>
    <t>Heidi Harris</t>
  </si>
  <si>
    <t>What the hell???? Now wonder #airbnb rooms are looking better by the minute. Pluck, pluck, pluck those chickens....  @LasVegasLocally</t>
  </si>
  <si>
    <t>Award winning radio talk host, proudly swimming against the cultural tide. Weekdays 6-9 AM on AM 670 KMZQ. Latest book: 'Don't Pat Me on the Head!"</t>
  </si>
  <si>
    <t>Deepinder S Rana</t>
  </si>
  <si>
    <t>#airbnb Just making money and supporting the Hosts for there place. Your support is not even curtious enough to ask the issue in detail. You are allowing your platform for racial abuse. #BNB #reviews #story</t>
  </si>
  <si>
    <t>Chandigarh, India</t>
  </si>
  <si>
    <t>Be the center of change you want around. Follow your instinct; Stick to morals and Lead by example.</t>
  </si>
  <si>
    <t>Riley Tours</t>
  </si>
  <si>
    <t>#taxi #travel #visitjamaica #beach #blueskies #Jamaica #caribbeansea #islandlife #tropicalweather #tripadvisor #viral #airbnb #airport #tourguide #privatetours #shoreexcursion #villa #travelagents #transportation reservations@rileytours.biz 18768334388</t>
  </si>
  <si>
    <t>Jamaica</t>
  </si>
  <si>
    <t>Riley Tours is a domestic tour company which specslializes in private transportation services in Jamaica.</t>
  </si>
  <si>
    <t>Carla Carlson</t>
  </si>
  <si>
    <t>#Airbnb leads $160 million investment in #RealEstate and hospitality startup Lyric | VentureBeat #CarlaTexRealtor</t>
  </si>
  <si>
    <t>Kingwood/Houston, Tx</t>
  </si>
  <si>
    <t>#REALTOR 🏠 #MultiFamilyProfessional #QuoteLover #SocialMediaBizzyBee ~ Love to share random stuff! Avid animal lover 🐕 #CarlaTexRealtor</t>
  </si>
  <si>
    <t>Hospitality Ireland</t>
  </si>
  <si>
    <t>#Airbnb Completes Acquisition Of #HotelTonight</t>
  </si>
  <si>
    <t>Dublin, Ireland</t>
  </si>
  <si>
    <t>Hospitality Ireland is the No. 1 trade publication for the #hospitality sector in #Ireland - our magazine covers #hotels, #restaurants, #bars, #food and more.</t>
  </si>
  <si>
    <t>Military Crashpad is about more than just a place to stay. It's about honoring our service members and ensuring they have a community around them. We recently hosted a BBQ at our XX #Crashpad, and it was epic! Care to join? #crashpads #crashlife #randolphafb #airbnb #airforce</t>
  </si>
  <si>
    <t>John M. Shutske</t>
  </si>
  <si>
    <t>Study in #light at amazing #airbnb in #Milwaukee.</t>
  </si>
  <si>
    <t>Madison, WI</t>
  </si>
  <si>
    <t>Agricultural Engineering Specialist at UW-Madison; Dad; and, husband. Tweets are mine alone &amp; do not represent the viewpoints of any other organization/person.</t>
  </si>
  <si>
    <t>#FreeStarbucks ! Book your stay at Holiday Scottsdale between now and August 31, 2019 to receive FREE Starbucks upon check-in. Offer ends April 30, 2019 #Starbucks #Vrbo #Airbnb #Airbnbhost #vacationrental</t>
  </si>
  <si>
    <t>Richard Deal</t>
  </si>
  <si>
    <t>#bluebells #closeup at the tiny house #airbnb #hipcamp #glampinghub #gotowv #naturephotography #nature #cabin #shepherdstown #stoneriverhouse #bluebell #getaway #getawayfromthecity</t>
  </si>
  <si>
    <t>Shepherdstown, WV</t>
  </si>
  <si>
    <t>Consultant, systems integrator, entrepreneur, IT Director</t>
  </si>
  <si>
    <t>Marsha @ Carrigeen</t>
  </si>
  <si>
    <t>Wow! What a lovely surprise to get in the post today from airbnb ❤️ #thankyou #airbnblove #airbnb #superhost #glamping #ireland #irland #irlande #irlanda @ Carrigeen…</t>
  </si>
  <si>
    <t>Kilkenny</t>
  </si>
  <si>
    <t>Wife, Mammy, Thatter and owner at Carrigeen Glamping Pods, Kilkenny</t>
  </si>
  <si>
    <t>Breezeway</t>
  </si>
  <si>
    <t>Airbnb Leads New $160 Million Funding for Short-Term Rental Brand Lyric #airbnb #shorttermrental #vacationrental #propertymanager #propertyoperations</t>
  </si>
  <si>
    <t>The Most Intelligent Property Operations Platform.</t>
  </si>
  <si>
    <t>Mr. #AhmedHussen, why more and more ''#GLOBAL'' #talent??? What's wrong with the #LOCAL talent we already have here in #CANADA??? #TrudeauMustGo #UNexit #StopTheMadness #RoxhamRd #UNHCR #OpenSociety #Airbnb #PierrefondsDollard #PPC2019 #BenrierNation #polcan #canpoli #polqc RT @HonAhmedHussen: What a great story of courage &amp; determination. Hafsa Imran "If I don’t do it now, I’m going to regret it forever." How 🇨🇦 is attracting Global 🌍 talent!  #womenintech</t>
  </si>
  <si>
    <t>Gaurav</t>
  </si>
  <si>
    <t>Airbnb API: Everything You Need to Know #Airbnb API  #airbnbgreece #VRM #tech #mktg #smm #startups #smallbiz #SmallBusiness #airbnbgreece</t>
  </si>
  <si>
    <t xml:space="preserve">India </t>
  </si>
  <si>
    <t>Entrepreneur</t>
  </si>
  <si>
    <t>VacationReadyService</t>
  </si>
  <si>
    <t>Today is a great day to stay inside and catch up on some Zzz's! Don't let this weather rain on your parade! Spend some quality family time inside one of our comfy vacation rentals! #hiltonheadisland #vacationrental #vacationreadyservices #VRS #airbnb #vrbo #homeaway</t>
  </si>
  <si>
    <t>Hilton Head Island, SC</t>
  </si>
  <si>
    <t>We are a property management company offering short-term and long term rental homes! Check out our website or Call our Office to find out more! 843-614-3678</t>
  </si>
  <si>
    <t>Celeb_FC</t>
  </si>
  <si>
    <t>Wow, certainly doesn't look great! #AirBnB RT @SharletteK: Hello @Airbnb I need to make a major complaint. A 50% refund is JUST not good enough. Here’s what I actually got, as opposed to what was ADVERTISED. How can you allow this to still be listed Air BnB? They have the nerve to keep the cleaning fee. It was filthy! RT my people!</t>
  </si>
  <si>
    <t>Celebrities/sports people Volunteering at Charity Events all over the UK.. For charity / player enquiries - info@celebfc.co.uk PR for Celeb FC by @RocojaLimited</t>
  </si>
  <si>
    <t>Hailien ☾</t>
  </si>
  <si>
    <t>Headed to Niagra for a family reunion today and staying in a #Airbnb manor 😁 right on the canal #solucky #EasterWeekend</t>
  </si>
  <si>
    <t>Huntsville, Ontario</t>
  </si>
  <si>
    <t>lost in the right direction 🌻 👁</t>
  </si>
  <si>
    <t>Awad Makkawi</t>
  </si>
  <si>
    <t>2x Founder. Destroying the stat that 8 out of 10 businesses fail. Help #startups to market-fit asap. Grab the Ecourse below on Building Products Customers Want</t>
  </si>
  <si>
    <t>92.5 WESC FM</t>
  </si>
  <si>
    <t>#BacheloretteParty Finds Dead Body At #Airbnb</t>
  </si>
  <si>
    <t>Greenville, SC</t>
  </si>
  <si>
    <t>Carolinas' Best Country &amp; Your All Time Favorites! An #iHeartCountry Station!</t>
  </si>
  <si>
    <t>Acri Realty</t>
  </si>
  <si>
    <t>412-459-0111</t>
  </si>
  <si>
    <t>Pittsburgh's Premier Property Management Company. Homeowners are at the center of everything we do.</t>
  </si>
  <si>
    <t>Jules Mckenzie</t>
  </si>
  <si>
    <t>Short-term rental properties weren’t on #Severn township’s radar until complaints started coming in about a house on Shoreview Drive. #RealEstate #Investing #Mortgage #Housing #Realtor #property #REINON #Ontario #AIRBNB  via @orilliamatters</t>
  </si>
  <si>
    <t xml:space="preserve">Orillia, Ontario </t>
  </si>
  <si>
    <t>Jules Mckenzie is a successful Rental Housing Provider in Orillia, Ontario. An aspiring #CrossFitter at #CrossFitExhilarate</t>
  </si>
  <si>
    <t>Are you already dreaming about your next holiday already? Why not let your home pay for it?🏡  #Airbnb #Liverpool #Accommodation</t>
  </si>
  <si>
    <t>"I definitely wouldn’t want to do without social media now." Read what @bellegrovebarns had to say about their use of #socialmedia in our recent article...  #holidayhome #holidays #holidaylets #airbnb #holidayrental</t>
  </si>
  <si>
    <t>Wendy Bywaters</t>
  </si>
  <si>
    <t>#Nhill #VisitNhill #VisitHindmarsh #WimmeraMallee #Grampians #Victoria #Australia #airbnb @ Wendy's Retreat Nhill</t>
  </si>
  <si>
    <t>Nhill, Victoria Australia</t>
  </si>
  <si>
    <t>Owner Airbnb, experienced Manager in hospitality &amp; Agri Business. Advocate for Rural &amp; Remote Communities, Education, Refugees. Hindmarsh Councillor 2012 -2016</t>
  </si>
  <si>
    <t>You can never go wrong when you put in the extra effort to add quality supplies for your guests at your #airbnb or #servicedapartment property. #quote #hospitality #London</t>
  </si>
  <si>
    <t>{{[mORGANICo]}}</t>
  </si>
  <si>
    <t>I’m now hosting extreme wood carving classes in Peckham, south london. all are welcome to make art (-: details here  #london #tourism #wood #carving #sculptures #class #chainsaw #morganico #art #peckham #totempole #tree #trees #workshop #airbnb #experience</t>
  </si>
  <si>
    <t xml:space="preserve">London, England InkerLand </t>
  </si>
  <si>
    <t>Human #graffiti #streetart #painter #totempole #art #carver #sculptor #artist &amp;now #author of #kidsbook https://www.gbpublishing.co.uk/searching-with-sam-widges</t>
  </si>
  <si>
    <t>IronPhil</t>
  </si>
  <si>
    <t>This morning, we have been mostly..... #Sea #SeaView #Forth #Scotland #Relax #Chill #Seaviews #Seaside #Beach #airbnb</t>
  </si>
  <si>
    <t>Nailsea, North Somerset</t>
  </si>
  <si>
    <t>Husband, Dad, Ironman, 7 day JOGLE, endurance swims, Beat Cancer, Avoided wheelchair Author:http://ow.ly/E0nXm YouTube:https://www.youtube.com/user/philcollard</t>
  </si>
  <si>
    <t>Robert Leonard</t>
  </si>
  <si>
    <t>Is a #Share #Economy a fad or real (the Future)? It Depends on #SocialMedia tools - Yes? #Zipcar #AirBnB</t>
  </si>
  <si>
    <t>Marketing Strategist Print, Web &amp; Social. 31 yr Entrepreneur - all about Local &amp; Localization. Built Internet News &amp; eCommerce Localization Tools. 561-371-4113</t>
  </si>
  <si>
    <t>#FF @airbandme a company that was just launched and founded by @HeartFuse and @VenicePeach to aid in your #airbnb rentals, listings and so much more!!!</t>
  </si>
  <si>
    <t>#FF @VenicePeach an incredibly creative and unique #photographer who shoots #weddings #portraits, #events, #musicians #gigs etc and she is also the co-founder of @airbandme - for all of your #airbnb needs!!!</t>
  </si>
  <si>
    <t>NEW! Northampton Cottage in the heart of Woodbridge. Recently refurbished to a very high standard, perfect for families &amp; friends, sleeps 6! #Suffolk #woodbridge #familyholiday #holidaycottage #petfriendly #dogswelcome #walking #cycling #airbnb #sailing</t>
  </si>
  <si>
    <t>Travelline Studio - a fancy place to stay, it's contain everything you need when you travel to Ho Chi Minh city More information about Travelline Studio here  #airbnb #hochiminhcity #hochiminh #vietnam #travel #travellinevietnam</t>
  </si>
  <si>
    <t>Tanya N</t>
  </si>
  <si>
    <t>Book a getaway for the long weekend. Sign up to Airbnb with this link and get R600 off your first booking. #Airbnb #discount #discountcode #GirlTalkZA #KingTalkZA #mommytalkza</t>
  </si>
  <si>
    <t>🥰</t>
  </si>
  <si>
    <t>Shropshire Luxury Glamping</t>
  </si>
  <si>
    <t>Here's a glimpse of our third pod, the Stretton (excuse the power tools), with a refreshing and colourful retro decor, being delivered in a couple of weeks. #glamping #luxuryglamping #shropshire #shropshirehills #visitshropshire #airbnb #churchstretton #glampingpods</t>
  </si>
  <si>
    <t>Ludlow, England</t>
  </si>
  <si>
    <t>The latest image from the GowerLive #webcam on the roof 730RocksMumbles #AirBnB. Book at  #Mumbles #Swansea #Gower #travel. Watch live at  #959</t>
  </si>
  <si>
    <t>New #apartment #house RUE SAINT DENIS #airbnb #host #guesthouse to rent for holidays #paris #sunny day book one of our apartment #gay #gaytravel #tourisme #tourist #travel #viaje…</t>
  </si>
  <si>
    <t>EAfrica Luxurytravel</t>
  </si>
  <si>
    <t>Anyone still looking for a self catering unit in Mombasa reach out on 0736365886. we still have this 3bedroomed apartment fullyfurnished inNyali near Tamarind Hosts six Comfortably. #accommodation #airbnb #EasterWeekend #easter #HappyEaster #kenyanmediasupportroadsafety</t>
  </si>
  <si>
    <t>Nairobi-kenya</t>
  </si>
  <si>
    <t>Rosebell is a #LuxuryTravelBlogger, for #LuxitAfrica, A #MagicalKenya BrandAmbassador, TourismConsultant , AvidTraveler, LovesNature, different culture &amp; food.</t>
  </si>
  <si>
    <t>Dianne San Luis</t>
  </si>
  <si>
    <t>It's the little things that count. My host greeted me with these yummy cupcakes when I arrived 🥰 #YahnnyBlyandCo #YBCtheWorld #AirBnB #TravelStories</t>
  </si>
  <si>
    <t>Honolulu, HI</t>
  </si>
  <si>
    <t>Photographer. Writer. Outdoor guide. Owner of an adventure travel company @Yahnnyblyandco #YahnnyBlyandCo #DASLPhotosandStories</t>
  </si>
  <si>
    <t>John Charcol</t>
  </si>
  <si>
    <t>Thinking about renting out a property? You might want to read this first! #Airbnb</t>
  </si>
  <si>
    <t>St. Helen's, 1 Undershaft, London, EC3P 3DQ</t>
  </si>
  <si>
    <t>Official Twitter account for John Charcol – the UK’s original independent mortgage expert. Tweet your question or speak to our experts now: ☎️ 03702 184 968</t>
  </si>
  <si>
    <t>Tammerly, Holiday Rental Agency</t>
  </si>
  <si>
    <t>Owners &amp; Agents: are you Easter ready? Wentworth House Daylesford, Victoria are. Small touches can mean the most to your guest. HOPPY EASTER! 🐰🐰🐰 #holidayhome #vacationrental #holidayrental #homeawayau #airbnbaustralia #airbnb #homeaway #stayz #vrbo #owners #agents</t>
  </si>
  <si>
    <t>Holiday Rental Marketing Agency optimising your holiday rental listings and increasing your bookings! Click link for FREE report to maximise your listing today.</t>
  </si>
  <si>
    <t>Under our apartment you can enjoy cocktails in style.  #hotel #ljubljanastay #airbnb #filippalace #ljubljanastay #booking #centerstay #ljubljana #coctails #riverside</t>
  </si>
  <si>
    <t>At Bed&amp;Stay, you can relax comfortably after a long day exploring Tokyo and you can carry all your bags without no problem between floors because our house has an elevator. Book us here: #AIRBNB :  #familytravel #travel #japan</t>
  </si>
  <si>
    <t>So incredibly lovely #comfortcottagehealing #visitwales #dogfriendly #TheDogsWithMe #alpacas #ArtsWales #SunDogs #Airbnb #yell RT @walkventure: From Tenby with love #ThisIsWales</t>
  </si>
  <si>
    <t>We totally love sunny days! Tokyo is getting warmer. May and June are the best time to visit if you like this weather. Book your stay now with us. We have great prices for a beautiful 3 story house. Book us here: #AIRBNB :  #familytravel #travel #japan</t>
  </si>
  <si>
    <t>foxx</t>
  </si>
  <si>
    <t>What are the words I'm looking for? #howstheserenity #mossypoint #wyuna #airbnb @ Mossy Point</t>
  </si>
  <si>
    <t>Canberra, Australia</t>
  </si>
  <si>
    <t>- mum</t>
  </si>
  <si>
    <t>A beautiful place to explore when you come to #tokyo. Book your stay here: #AIRBNB :  #familytravel #travel #japan RT @MATCHA_global: Ashikaga Flower Park In Tochigi - A Dream Destination Near Tokyo  #Tochigi</t>
  </si>
  <si>
    <t>Do not miss all the fun things happening in #tokyo this weekend. Remember to book your stay with us here #AIRBNB :  #familytravel #travel #japan RT @TimeOutTokyo: The best things happening in Tokyo this weekend.</t>
  </si>
  <si>
    <t>#HappyFriday Coming to Japan, you need to try the real sushi. Here is a list with one of the coolest places to go. Book your stay in #Tokyo with us here: #AIRBNB :  #familytravel #travel #japan RT @favy_jp_com: Tokyo's Top 10 High-End Sushi Restaurants | favy</t>
  </si>
  <si>
    <t>秋秋</t>
  </si>
  <si>
    <t>30.702336,104.050977</t>
  </si>
  <si>
    <t>最近在坡县写码。</t>
  </si>
  <si>
    <t>Kelly Lane</t>
  </si>
  <si>
    <t>Ok I need to go to LA next week and wanted to book a private place but first they're suggesting I filter by places with hangers &amp; smoke detectors 🤔 #airbnb</t>
  </si>
  <si>
    <t>Santa Barbara</t>
  </si>
  <si>
    <t>everything all of the time</t>
  </si>
  <si>
    <t>Anabelle </t>
  </si>
  <si>
    <t>Spring sunsets by #lapazbayrentals #airbnb #rentals #travel #vacation #realestate #digitalnomad #sunset #nofilter #forrent #forsale #skyporn en Harker Board Co.</t>
  </si>
  <si>
    <t>La Paz, Baja Mx</t>
  </si>
  <si>
    <t>La Paz Realtor. “Algunas personas nunca enloquecen. Han de tener unas vidas realmente horribles.” - Charles Bukowski.</t>
  </si>
  <si>
    <t>PoncaCityAirbnb</t>
  </si>
  <si>
    <t>3 bedroom amazing airbnb home in Ponca City, OK … Perfect location for your wedding guests to relax and unwind! #airbnb #hotels #airbnbhost #Poncacity</t>
  </si>
  <si>
    <t>Ponca City, OK</t>
  </si>
  <si>
    <t>Absolutely positively loving the Airbnb experience as a host! We would love to have you as a guest… Check it out! https://abnb.me/8Vglj4BuYV</t>
  </si>
  <si>
    <t>Large 5Star #Florida #vacationhome with prival pool on #Airbnb Tropical #TommyBahama style - #VRBO April 18, 2019 at 10:01PM</t>
  </si>
  <si>
    <t>Novi's Dad...</t>
  </si>
  <si>
    <t>This #Airbnb dope. A few suggestions here and there tho ✊🏾</t>
  </si>
  <si>
    <t xml:space="preserve">North Carolina, USA </t>
  </si>
  <si>
    <t>God 1st! I'll tweet while I wait, bc in due time.... Married 2 my lady &amp; a father 2 our daughter!! God, Family, Football #SNCRx2 #WSSU #MBA #FTA #TGBTG #RTP</t>
  </si>
  <si>
    <t>TinyHomesRule(ofLaw)</t>
  </si>
  <si>
    <t>The 21 Most Popular Tiny Homes on Airbnb -  via @thisisinsider#tinyhouse #tinyhomes #DIY #minimalism frugal #travel #roadTrip #vacation #airbnb</t>
  </si>
  <si>
    <t>U.S.</t>
  </si>
  <si>
    <t>Eric - Husband, Father, Lawyer, Forever a Mainer/New Englander, Tiny/Small Home, Cannabis/Hemp Enthusiast Providing a Source of Info on Those Enthusiasms, Etc.</t>
  </si>
  <si>
    <t>Inglewood Clothing Line</t>
  </si>
  <si>
    <t>Inglewood Clothing Line Shop  #custom #inglewood #iphone #Photoshoot #therapy #foodie #chef #springbreak #clippers #crenshaw #compton #longbeach #airbnb #car #cars #jewelry #lowrider #art #hiphop</t>
  </si>
  <si>
    <t>Inglewood, CA</t>
  </si>
  <si>
    <t>Rachel M. Lance</t>
  </si>
  <si>
    <t>You know your #Airbnb host likes a good time when she starts her restaurant recommendation with “You’ll have to bring your own wine, but...” #Travel</t>
  </si>
  <si>
    <t>Durham, NC</t>
  </si>
  <si>
    <t>scientist, engineer, author, supernerd, pyro.... Favorite things include cake, grime under my fingernails, and properly designed o-ring seals.</t>
  </si>
  <si>
    <t>NWATravelGuide</t>
  </si>
  <si>
    <t>Where are you staying on your next trip to #BentonvilleAR? Check out the Top 10 #Airbnb and #VacationRentals in Bentonville Arkansas.</t>
  </si>
  <si>
    <t>Northwest Arkansas</t>
  </si>
  <si>
    <t>Discover the Best of Northwest Arkansas Top 10 Bentonville, Rogers , Eureka Springs, Fayetteville Ar, Springdale &amp; Siloam Springs</t>
  </si>
  <si>
    <t>#airbnb #nhill #visitnhill #visithindmarsh #WimmeraMallee #grampians #Victoria #australia @ Wendy's Retreat Nhill</t>
  </si>
  <si>
    <t>Rah</t>
  </si>
  <si>
    <t>This #420, order any of our #hemp or all natural products by end of this April and automatically be entered to win a 2-day stay at our #Denver #cannabisfriendly #airbnb</t>
  </si>
  <si>
    <t>#HempNation - #Cannabis Evangelist - Homestead Guru - Great Vibes</t>
  </si>
  <si>
    <t>You can usually tell pretty early in the booking to stay process who is going to be more work then others. It never fails. #Airbnb #SuperHost</t>
  </si>
  <si>
    <t>Sherrie Hansen</t>
  </si>
  <si>
    <t>Spring attempting a landing. #thisisiowa #bedandbreakfast #airbnb #bluebelleinn #spring @ Blue Belle Inn B&amp;B and Tea House in St. Ansgar, North Central Iowa</t>
  </si>
  <si>
    <t>Iowa</t>
  </si>
  <si>
    <t>Author of Night &amp; Day, Love Notes, Wildflower of Scotland novels: Wild Rose, Blue Belle, Shy Violet, Sweet William. Owner of the Blue Belle Inn B&amp;B &amp; Tea House.</t>
  </si>
  <si>
    <t>Just Frugal Me</t>
  </si>
  <si>
    <t>Sometimes all we need are easy ways to make money fast. Find out all the best ways to make money in your spare time! Learn More:  #money #earningmoney #makingmoney #frugal #swagbucks #apps #uber #ebay #amazon #airbnb #parklee #ANDROID #SURVEYS #paypal</t>
  </si>
  <si>
    <t>Georgia, USA</t>
  </si>
  <si>
    <t>Check out money-saving, money making, frugal activities, and frugal recipes tips and advice.</t>
  </si>
  <si>
    <t>Brittany Jean Ⓥ</t>
  </si>
  <si>
    <t>Let's take multiple takes, by the obvious background changes and reviews on #airbnb Fucking ridiculous!!! Let's get the whole family in on the lies and no fact check a damn thing!! #MJInnocent #WadeRobsonIsALiar #safechucklies RT @teelawon4ever: Unfortunately for @Oprah, the negative impact she &amp; @HBO were anticipating on MJ’s reputation failed spectacularly.The fraudulent movie has had quite the opposite affect as his streaming &amp;amp; social #’s hv all posted major increases. Numbers don’t &amp;amp; OPRAH do.</t>
  </si>
  <si>
    <t>Harveys Lake, PA</t>
  </si>
  <si>
    <t>Runner, vegan, outdoors fanatic!! Michael Jackson is life.. Britney is queen.. #itsBritneyBitch</t>
  </si>
  <si>
    <t>ℂ𝕝𝕒𝕦𝕕𝕚𝕒 𝔸𝕞𝕖𝕟𝕕𝕠𝕝𝕒</t>
  </si>
  <si>
    <t>[𝖍𝖊𝖆𝖗𝖙'𝖘 𝖎𝖓]𝕻𝖆𝖗𝖎𝖘</t>
  </si>
  <si>
    <t>When I am old they will say: "I hear she lived in Paris &amp; it changed her forever." 🗺 alternative education teacher | writer | MLIS student | dreamer</t>
  </si>
  <si>
    <t>Guests from Switzerland #airbnb #farmstay #guesthouse #kumamoto</t>
  </si>
  <si>
    <t>SEEN Magazine</t>
  </si>
  <si>
    <t>Jesse and Cali Green, the owners and designers behind A Green Haus #Airbnb rentals, share how they got started in renovating and designing spaces, cool projects they’re working on and more.</t>
  </si>
  <si>
    <t>Michigan, USA</t>
  </si>
  <si>
    <t>A lifestyle publication covering fashion, dining, art, entertainment, health &amp; home in Metro Detroit to help you live your best life local | #SEENMagazine</t>
  </si>
  <si>
    <t>At Table House you’re invited to do as much or as little as you please. Help yourself to seasonal produce from the garden, let the kids roam the property or take a picnic down to the secluded, private beach.  #labodeaccommodation #tasmania #airbnb</t>
  </si>
  <si>
    <t>Royal Realty, LLC</t>
  </si>
  <si>
    <t>Read. Share. Re-post.  #royalrealtyhawaii #newsletter #airbnb #rentalmarket #rentprices #oahu #maui #managementcompany #property #housing #realtor #oahurealtor #mauirealtor #rentals #listings #research</t>
  </si>
  <si>
    <t>Team of Realtors with the passion of helping people with their Real Estate needs on the island of #Oahu and #Maui of Hawaii.</t>
  </si>
  <si>
    <t>TaxSlayer</t>
  </si>
  <si>
    <t>Listing your home on a site like #Airbnb or #VRBO is a quick way to earn extra cash. But do you know what your tax liability is as a host? We've got all the answers you need:</t>
  </si>
  <si>
    <t>Simply Free - $0 Federal, $0 State. Discover simply priced tax preparation that includes everything you need to file...with no surprises. #SlayIt</t>
  </si>
  <si>
    <t>Arise Work From Home</t>
  </si>
  <si>
    <t>An exclusive opportunity with the Airbnb client program is currently available. Help Airbnb hosts and guests have unforgettable trip experiences! Enroll today  . #Airbnb #Travel #Opportunity</t>
  </si>
  <si>
    <t>Miramar, Florida</t>
  </si>
  <si>
    <t>Arise Virtual Solutions provides a platform to connect small, primarily home-based call center companies with clients many of which are Fortune 500 companies.</t>
  </si>
  <si>
    <t>Kristine Davidson</t>
  </si>
  <si>
    <t>Sign up for Airbnb with my link for $45 CAD off your first trip. #airbnb #houseforrent #travel #interline</t>
  </si>
  <si>
    <t>New Brunswick, Canada</t>
  </si>
  <si>
    <t>Full Time Airline Employee. East Coast Canada and Lover of Ice Cream. Scrapbook Designer for Simple Stories.</t>
  </si>
  <si>
    <t>50Folds</t>
  </si>
  <si>
    <t>Asia</t>
  </si>
  <si>
    <t>Build to the Sun. Startup strategy constulting: http://strategy.50folds.com Venture builder: http://50folds.com</t>
  </si>
  <si>
    <t>Living Hotel Nosara</t>
  </si>
  <si>
    <t>Exuberant tropical gardens, exotic birds singing and the ever present howler monkeys offer an ideal backdrop for your escape.  ☎ 2682 5201 📧 livinghotelnosara@gmail.com #Nosara #Guanacaste #CostaRica #Beach #Surf #Retreat #Yoga #Hotel #Tourism #Airbnb</t>
  </si>
  <si>
    <t>Guanacaste, Costa Rica</t>
  </si>
  <si>
    <t>The hotel is surrounded by lush tropical gardens and is just a 3-minute walk from the surf.</t>
  </si>
  <si>
    <t>#2019April19thOKINAWA 「Comic Dojo TEE🥋Family」 PM17:00〜 PM20:00〜 Experience the weightlessness performance at close range  #Okinawa #Japan #Travel #Airbnb #Naha #Tourism #Pocketalk #Nonverbal #Entertainment #TEEFamily #THEKINGOFFIGHTERS🔥</t>
  </si>
  <si>
    <t>Thinking about the #impeachment of your #airbnb cleaners? We've got your back, vote for @TidyHost!</t>
  </si>
  <si>
    <t>Wanda Beasley</t>
  </si>
  <si>
    <t>70 69 Jarvisburg, NC 27947</t>
  </si>
  <si>
    <t>Outer Banks catering 25+ yrs officiating, catering, cakes, rentals + more</t>
  </si>
  <si>
    <t>Lailan Bento</t>
  </si>
  <si>
    <t>[ OPEN HOUSE TODAY 04/18! ] 2PM - 4PM Vista #Waikoloa &gt;&amp;gt; Price Reduced to $599,000 &lt;&amp;lt; See More on this property here:  #airbnb #vrbo #hawaiirealestate</t>
  </si>
  <si>
    <t>Kailua-Kona, Hawaii</t>
  </si>
  <si>
    <t>I specialize in buying and selling Hawaii Real Estate. Being a native Hawaiian (born and raised) I'm able to bring something special to all of my clients!</t>
  </si>
  <si>
    <t>Rose Song Wang</t>
  </si>
  <si>
    <t>Please do not support #airbnb. Recently, I found a place I booked to be unsafe, and left immediately. Instead of refunding me in full, @Airbnb delayed my process then gave one excuse after another to not refund me (1 being it was too late). Endangerment is not worth it y'all!</t>
  </si>
  <si>
    <t>🛴CEO @myinmotion 🍃micromobility advocate on lifelong journey to a smaller carbon footprint 🎓 @dartmouth alum</t>
  </si>
  <si>
    <t>Flote Inc</t>
  </si>
  <si>
    <t>Sharing Economy council of Urban Land Institute was extra-fascinating. Seeing live #Airbnb hybrid development examples, discussing #blockchain applications and seeing #startup demos. @UrbanLandInst @ULI_Nashville #ULISpring2019 #SharingEconomyCouncil</t>
  </si>
  <si>
    <t>Transforming Commercial Real Estate assets into trade-able digitized shares offering a step up in liquidity, access, and transparency. #floteinc #CREtech</t>
  </si>
  <si>
    <t>As you can see @bedoseartsometimes had a great time on his tour, and so could you!! 6 spots still open for the weekend! Link in Bio . . . . #superman #nerd #visitrichmond #RVA #airbnbexperience #airbnb #Scottsaddition #beertour #beernerd #beernerds #beer #craftbeer #beertourism</t>
  </si>
  <si>
    <t>kendall rhodes(๑˃̵ᴗ˂̵)</t>
  </si>
  <si>
    <t>This happened to me once, so weird - back to hotels! How to find hidden cameras in your #Airbnb</t>
  </si>
  <si>
    <t>manager: @paralumanent film &amp; new media producer: SouthlandTales, MailOrderWife, LARiotSpectacular, Eulogy, HuntingParty, HonorList, SingleBy30, more coming</t>
  </si>
  <si>
    <t>That is amazing, must go there, never been #comfortcottagehealing #visitwales #dogfriendly #TheDogsWithMe #alpacas #ArtsWales #SunDogs #Airbnb #yell RT @ruthwignall: Oh to be here.... perfect! #waterfall #wonderfulWales x</t>
  </si>
  <si>
    <t>Peter Bordes</t>
  </si>
  <si>
    <t>Airbnb leads Lyric funding amid ongoing deal spree  #Airbnb #Startups #IPO</t>
  </si>
  <si>
    <t>Digital transformation obsessed Serial Entrepreneur, Founder, Seed Investor, CEO, Chairman @oneQube @MainBloq @TruVestco @TrajectoryCaptl @FraudDotNet @OCEARCH</t>
  </si>
  <si>
    <t>Love, Iris Blog</t>
  </si>
  <si>
    <t>If you are heading to Fiji soon, be sure to stay at the KoKo Resort. It's a very beautiful location on top of a mountain. Check out my blog post:  #resort #fiji #polynesia #hotelresort #hotels #luxury #luxuryhotels #airbnb #airbnbhouse #house #nadi #india</t>
  </si>
  <si>
    <t>I'm Iris!! A Fashion Blogger and Travel Blogger! http://Instagram.com/loveirisblog</t>
  </si>
  <si>
    <t>Sebastian St. George</t>
  </si>
  <si>
    <t>Why Airbnb Produced Documentary ‘Gay Chorus Deep South,’ Its First-Ever Film (EXCLUSIVE)  #News #Airbnb</t>
  </si>
  <si>
    <t>Lover of Life &amp; Good Eats – Content Creator - Writer #Producer #PGA | #Rocker GIFD | Organic Gardener | #Coffee Lover | Former #Fashion CEO</t>
  </si>
  <si>
    <t>Find Your Best Mortgage</t>
  </si>
  <si>
    <t>💥 Another highly satisfied real estate investor closing on their first Nashville Airbnb 💥 #nashville #airbnb #investor #mortgagemagicinmusiccity — at Rudy Title &amp; Escrow</t>
  </si>
  <si>
    <t>The right mortgage at the right time in your life can be a game changer! 5 STAR Mortgage Banker NMLS 1116389 #findyourbestmortgage</t>
  </si>
  <si>
    <t>Charisa</t>
  </si>
  <si>
    <t>Noticed some of my lilacs have started blooming, so I had to cut a few stems for the guesthouse. 💜 . . . #lilac #freshlilacs #freshcutflowers #airbnb #vrbo #flowerlove #flowerpower…</t>
  </si>
  <si>
    <t>Springfield, MO</t>
  </si>
  <si>
    <t>Fashion Communication. Visual Arts. Marketing. Stephens College graduate.</t>
  </si>
  <si>
    <t>Accent Amenities</t>
  </si>
  <si>
    <t>Do you know how to avoid bad airbnb guests? We do. Learn more:  #airbnb #airbnbguests #airbnbamenities #accentamenities #guestamenities #toiletries #travelsize #guesttoiletries</t>
  </si>
  <si>
    <t>Bend, OR</t>
  </si>
  <si>
    <t>Spa-quality hotel soaps, shampoos, and toiletries for your valued guests! Always in stock, same day shipping.</t>
  </si>
  <si>
    <t>Mollie Lloyd Birch</t>
  </si>
  <si>
    <t>#governorsmansionhistoricdistrict #bernicegarden #southmain #airbnb @ Little Rock, Arkansas</t>
  </si>
  <si>
    <t>Little Rock, Arkansas</t>
  </si>
  <si>
    <t>15+ years of professional experience in the real esate industry. Associate Broker with Charlotte John Company.</t>
  </si>
  <si>
    <t>Nurstead Court</t>
  </si>
  <si>
    <t>HAPPY SPRING // I knew we chose blue for a reason! Shepherd's Hut Accommodation coming soon! - #bluebells #spring #shepherdshut #bedandbreakfast #airbnb #weddingaccommodation…</t>
  </si>
  <si>
    <t>Meopham, Kent</t>
  </si>
  <si>
    <t>Beautiful family run country house wedding and events venue in kent with luxury boutique accommodation and excellent transport links</t>
  </si>
  <si>
    <t>What are your plans for the day? #vacation #stthomasvirginislands #usvi #stt #vistrong #weekend #healthyfood #vegetarianrecipes #airbnb #bedandbreakfast #Caribbean</t>
  </si>
  <si>
    <t>HelloSociety, A New York Times Company</t>
  </si>
  <si>
    <t>Dreaming of picturesque Parisian seascapes like this bluesy view captured by our friend @sarah_michelle_lawrence during her stay in Nice, courtesy of @airbnb and @visa_us. #Airbnb #Visa #HelloSocietyPartner</t>
  </si>
  <si>
    <t>Marina del Rey, CA</t>
  </si>
  <si>
    <t>Full-service social storytelling that drives human connection. A New York Times Company with an expertise in Influencer-powered content creation.</t>
  </si>
  <si>
    <t>Reine Desrosiers</t>
  </si>
  <si>
    <t>Something new that challenges the incumbent and may end up killing it = disrupter #uber #airbnb #GCAdDay</t>
  </si>
  <si>
    <t>Advertising, marketing &amp; comms professional. Advocate 4 change, eternal optimist &amp; life's forever student. MUA &amp; radio personality too! Opinions are my own.</t>
  </si>
  <si>
    <t>Sienna Web Designs</t>
  </si>
  <si>
    <t>#Podcast Episode 7: The Tyler Lau Interview, #Assange, Thought Experiments, #AirBnB Scams and More</t>
  </si>
  <si>
    <t>Tampa Bay, FL</t>
  </si>
  <si>
    <t>Full service web design and development company. Delivering successful web projects in Tampa Bay since 1998.</t>
  </si>
  <si>
    <t>Storage West</t>
  </si>
  <si>
    <t>The whole truth of being a great Airbnb host. See if it is the right thing for your life #HereForYou #General #Business #USA #Jobs #Airbnb #Host</t>
  </si>
  <si>
    <t>San Diego, CA 92120</t>
  </si>
  <si>
    <t>Storage West Self Storage San Diego, CA. Self Storage available in San Diego. Come store with us! Hours: Mon - Sat, 9am to 6pm. Closed on major holidays.</t>
  </si>
  <si>
    <t>Jo Franco-Wheeler</t>
  </si>
  <si>
    <t>Hanging with ma honey in Texas Hill Country. #wimberley #texashillcountry #airbnb @ Casa Artista</t>
  </si>
  <si>
    <t>Angela Visockis</t>
  </si>
  <si>
    <t>The Weirdest Vacation Rental House Rules From Guests Who Experienced Them ...wait, a curfew??? #airbnb</t>
  </si>
  <si>
    <t>Office Administrator for the BEST company EVER! I have the good fortune to work with our Realtors and provide them the support they need to be successful!</t>
  </si>
  <si>
    <t>Michael Leanos</t>
  </si>
  <si>
    <t>You're going to need to right type of insurance to protect your #rentalproperty if you want to be an #Airbnb host.</t>
  </si>
  <si>
    <t>Bell Gardens, CA</t>
  </si>
  <si>
    <t>With #Easterholiday your #airbnb guests could be on a different kind of #Easteregg hunt to find the right #vacationrental. Get ready for the holiday season with professional listing across all holiday platforms! DM @MyAngelHost to know more!</t>
  </si>
  <si>
    <t>Dom Beveridge</t>
  </si>
  <si>
    <t>Hugely impressive and yet another data point that shows the explosive growth of the urban core in #ShortTermRentals. #Airbnb is leading a $160 million #funding round for a small, luxury-rental apartment startup  via @business @airbnb @lyric</t>
  </si>
  <si>
    <t>Houston, TX</t>
  </si>
  <si>
    <t>Strategy/Data/Tech guy specializing in the #multifamily/#apartment industry. For more thoughts on #Marketing, #RevenueManagement and stuff, check out my site.</t>
  </si>
  <si>
    <t>Raul Gonzalez</t>
  </si>
  <si>
    <t>About my last post. Two nights just got booked.#WerkHouseSA #whenindemand #airbnb</t>
  </si>
  <si>
    <t>San Antonio via H-town 🚀</t>
  </si>
  <si>
    <t>Visual Artist, MFA | AirBnB Superhost: Werk House SA http://Instagram.com/werkin_artistr… http://squareup.com/market/artist-…</t>
  </si>
  <si>
    <t>Storage West Anaheim</t>
  </si>
  <si>
    <t>Anaheim, CA 92805</t>
  </si>
  <si>
    <t>Storage West Self Storage Anaheim, CA. Storage units available in Anaheim. Come store with us! Hours: 9am to 6pm. Closed on major holidays.</t>
  </si>
  <si>
    <t>Airbnb is leading a $160 million funding round for a small, luxury-rental apartment startup  via @business #airbnb #apartments #hotels #hotelindustry</t>
  </si>
  <si>
    <t>Airbnb makes another big acquisition reflecting a trend in the short term rental market. #Lyric #HotelTonight #hotels #bnb #airbnb #shorttermrental #apartment #housingmarket #2019</t>
  </si>
  <si>
    <t>Trajectory Capital</t>
  </si>
  <si>
    <t>We invest, and collaborate with entrepreneurs &amp; companies driving #digitaltransformtion. Help them gain critical-mass #startups #enterpreneurs #blockchain</t>
  </si>
  <si>
    <t>MintTM</t>
  </si>
  <si>
    <t>Let’s celebrate this world heritage day with rolling your ideas to travel and stay business with the wheels of the best Airbnb Clone in the industry.  #worldheritageday2019 #worldheritageday #AirbnbClone #Airbnb</t>
  </si>
  <si>
    <t>Rajkot, India</t>
  </si>
  <si>
    <t>MintTM is a prolific Information Technology company offering multifaceted IT managed services like #GraphicsDesign, #DigitalMarketing, #Programming and #Tech.</t>
  </si>
  <si>
    <t>BU JOSTL</t>
  </si>
  <si>
    <t>Check out @MatsuiShigenori's Article "Is Law Killing the Development of New Technologies?: Uber and AirBnB in Japan" in 25.1  @AllardLaw #iplaw #uber #airbnb #academicjournal #lawschool #science #technology #jostl #lawreview #lawjournal #bulaw #busl</t>
  </si>
  <si>
    <t>Boston Univ. School of Law</t>
  </si>
  <si>
    <t>Journal of Science and Technology Law</t>
  </si>
  <si>
    <t>VacationinSedona</t>
  </si>
  <si>
    <t>Let the games begin!!! Tag the competitive person in your life 🎲🎲🏅🎲🎲 Let us help you find your perfect vacation home getaway! Come stay with us...  #vacationinsedona #vrbo #airbnb #experienceparadise #vacation #sedona #getaway…</t>
  </si>
  <si>
    <t>Sedona, AZ</t>
  </si>
  <si>
    <t>You are invited to come and enjoy the unsurpassed beauty of Sedona and the Verde Valley. This is our unique corner of the world! Come vacation with us!</t>
  </si>
  <si>
    <t>Airbnb makes $400 million purchase of HotelTonight. Is this just the beginning as they go public? #airbnb #shorttermrental #apartment #businesstravel #ipo #hoteltonight #Mergers #acquisitions  Checkout this tweet about #luxuryhome…</t>
  </si>
  <si>
    <t>HeavenRiots</t>
  </si>
  <si>
    <t>When you get to your #Airbnb via #donkey 🐎... And hit a traffic jam consisting of #goatherds ... You know you're in #ErRif #Morocco ... 😄🥴🖤💣🖤💣💥 Berber: ⴰⵔⵉⴼ Arif or ⴰⵔⵔⵉⴼ Arrif or ⵏⴽⵔ Nkor…</t>
  </si>
  <si>
    <t>New York &amp; Orlando</t>
  </si>
  <si>
    <t>Spiced with the flavors of vice that make for a tasty meal.</t>
  </si>
  <si>
    <t>Anjeli Singh</t>
  </si>
  <si>
    <t>I decided to live in Airbnb for a change and not manage my house. It was an amazing experience, made some friends, lived with a film maker, a designer and a mother. A real world to know people. #Airbnb</t>
  </si>
  <si>
    <t>Delhi, Pune India</t>
  </si>
  <si>
    <t>UX Researcher &amp; Founder of HUREO</t>
  </si>
  <si>
    <t>Farm House Furniture</t>
  </si>
  <si>
    <t>Do you have a Farmhouse style AirBnB or rental? Looking for a way to add an extra touch to your property? Check out our beautiful Timber Frame 6 Drawer Storage Bed! Great for any and all guests! Order today! Give us a call at (800) 677-1058 #FarmhouseFurniture #Guest #AirBnB</t>
  </si>
  <si>
    <t>Knoxville, TN</t>
  </si>
  <si>
    <t>At Farmhouse Furniture Store in Knoxville TN we provide the best handcrafted furniture tables, bedroom furniture,rustic furniture and living room furniture.</t>
  </si>
  <si>
    <t>Morris Law Center</t>
  </si>
  <si>
    <t>#Airbnb making a dent into Strip revenue, report finds #VegasLife #VegasNews</t>
  </si>
  <si>
    <t>We prepare you for the future and protect you along the way.</t>
  </si>
  <si>
    <t>Airbnb makes $400 million purchase of HotelTonight. Is this just the beginning as they go public? #airbnb #shorttermrental #apartment #businesstravel #ipo #hoteltonight #Mergers #acquisitions</t>
  </si>
  <si>
    <t>Justin Dees</t>
  </si>
  <si>
    <t>A sweet beachfront #condo in #Galveston, Texas on @Airbnb Come stay at my place! #airbnb #beach #summer</t>
  </si>
  <si>
    <t>Looking to connect with other Yogis...and everyone else in between. :-)</t>
  </si>
  <si>
    <t>When you get to your #Airbnb via #donkey 🐎... And hit a traffic jam consisting of #goatherds ... All while smoking spliffs ... You know you're in #ErRif #Morocco ... 😄🥴🖤💣🖤💣💥 Berber:…</t>
  </si>
  <si>
    <t>If he was smart, Robert Mueller would book some R&amp;R and get away for a while. You should too! Beers and Ninentdo included. #MuellerReport #News #Brand #BookMyPlace #Airbnb #SuperHost</t>
  </si>
  <si>
    <t>The whole unfiltered truth of being a great Airbnb host. See if it is the right thing for your life #HereForYou #General #Business #USA #Jobs #Airbnb #Host</t>
  </si>
  <si>
    <t>Mission Viejo, CA 92692</t>
  </si>
  <si>
    <t>Storage West Self Storage Mission Viejo, CA. Excellent Mission Viejo storage. Come store with us! Hours: Mon - Sat, 9am to 6pm. Closed on major holidays.</t>
  </si>
  <si>
    <t>Gaurav Mendiratta</t>
  </si>
  <si>
    <t>Social Media &amp; Brand Advocacy Evangelist | Founder @WErSociosquares | http://sociosquares.com | http://socioadvocacy.com | @socio_advocacy</t>
  </si>
  <si>
    <t>In Springtime we eat ice cream sandwiches with our beer, and so should you. Join a tour and learn about the best ice cream sandwiches in town @Nightingaleicecream . #visitrichmond #RVA #airbnbexperience #airbnb #beertour #beer #craftbeer #icecream #icecreamsandwiche</t>
  </si>
  <si>
    <t>Inline Policy</t>
  </si>
  <si>
    <t>Inline Policy Founder @pandashomik gives his view on the regulation of short-term accommodation rental platforms such as @airbnb #regulation #airbnb</t>
  </si>
  <si>
    <t>Specialists in #politics, #policy &amp; #regulation for #tech companies #digital #data #sharingeconomy #onlineplatforms</t>
  </si>
  <si>
    <t>#2019April27thOKINAWA 「Okinawa Vegan Matsuri🥙」  A collection of shops offering vegan dishes😋 AM11:00〜PM16:00 #Okinawa #Japan #Travel #Airbnb #Ginowan #Tourism #Pocketalk #food #Vegan RT @churatoku: 2019年4月27日(土）、宜野湾マリーナで「沖縄ヴィーガン祭り」開催🍔 詳細はこちら⇒</t>
  </si>
  <si>
    <t>Heard of rental arbitrage? It's a short-term rental strategy that's become popular with hosts who don't own property. Here's a look at the best and worst markets across the US for arbitrage:  #airbnb #homeaway</t>
  </si>
  <si>
    <t>Benchmark</t>
  </si>
  <si>
    <t>Torey Eisenman interviews Susan Nastasi and her amazing bed and breakfast in Soul Haven Ranch in the heart of Winter Garden FL. Watch the video to see Soul Haven Ranch! Watch the full video here:  #airbnb #WinterGarden #Florida #Travel</t>
  </si>
  <si>
    <t>Windermere, FL</t>
  </si>
  <si>
    <t>ArtworkRework</t>
  </si>
  <si>
    <t>#airbnb landlords. use a properrty floorplan to increas rentals and reduce questions</t>
  </si>
  <si>
    <t>Here at ArtworkRework we supply application ready artwork for a variety of industries. If you have an artwork issue we can probably help</t>
  </si>
  <si>
    <t>Get your paddles ready because this rustic charmer in #LagunaBeach is headed for #auction! No minimum, will sell to highest bidder. Currently listed at $795k on a 4500 sqft lot. #dealoftheday #airbnb #opportunity #thursdaythoughts #investmentproperty #california #realestate #home</t>
  </si>
  <si>
    <t>"Whip out Fing and give that network a scan." Thanks @FastCompany for mentioning #FingApp as a tool for finding hidden cameras in #airbnb rentals.</t>
  </si>
  <si>
    <t>Michael Palumbo</t>
  </si>
  <si>
    <t>2019 is proving to be the year of the unicorn IPO. IMO it’s been a great success so far and proves prior private market valuations have not been too high. That is good news for VCs and their investors. Still many IPOs to go including some big ones including #AirBnB and #Uber.</t>
  </si>
  <si>
    <t>Chicago</t>
  </si>
  <si>
    <t>#Author, #trader, #VC, real est. #investor, #entrepreneur. Opinions on markets, #politics, #sports, pop culture from a #Chicago Guy.</t>
  </si>
  <si>
    <t>Vaughn Dearing</t>
  </si>
  <si>
    <t>These #Beautiful, Off-The-Grid #Airbnb Rentals Are Made Of Reclaimed #Garbage..  #Taos, #NewMexico #Sustainable #Travel @ForbesLife</t>
  </si>
  <si>
    <t>Taos, NM</t>
  </si>
  <si>
    <t>Vaughn Dearing Real Estate Qualifying Broker. NAR GREEN, ABR, RSPS, ePro Designations, Residing in Taos is all about Lifestyle, Adventure, Culture &amp; Art</t>
  </si>
  <si>
    <t>Glenn Petersen</t>
  </si>
  <si>
    <t>Airbnb Leads New $160 Million Funding for Short-Term Rental Brand Lyric  via @Skift #Airbnb #P2P</t>
  </si>
  <si>
    <t>Chicago metropolitan area</t>
  </si>
  <si>
    <t>Interests include disruptive technologies, blockchain, artificial intelligence, the sharing economy, drones, cloud computing and free market economics</t>
  </si>
  <si>
    <t>#FAQs: Do you provide individual services? Yes, we understand that not everyone requires our full management service, therefore we can tailor and make you a personalised service. Contact us to find out more ➡️ #propertymanagement #scotland #airbnb</t>
  </si>
  <si>
    <t>Mairi Brown</t>
  </si>
  <si>
    <t>Just getting my spare room ready for tonight's #airbnbguest Sun streaming in so hard to get a pic of the room but snacks are good. #airbnb #airbnbhost #artisanroom #personaltouches…</t>
  </si>
  <si>
    <t>Thread &amp; Fabric. I design embroider &amp; make bespoke clothing &amp; accessories. Teach all sorts of sewing! Happy Stitching</t>
  </si>
  <si>
    <t>Need accommodation in Belper? Have a look at our newly refurbished 1 bed apartment on the Market Place #MarketHeadApartment #Airbnb #Belper</t>
  </si>
  <si>
    <t>ThePethouse_Airbnb</t>
  </si>
  <si>
    <t>In God's heart, forgiveness is always possible. Have a meaningful Holy Week! #ThePethouseDumaguete #Airbnb #DumagueteCity #Superhost #HolyWeek2019</t>
  </si>
  <si>
    <t>Dumaguete City</t>
  </si>
  <si>
    <t>Always strives to give comfort, quality and affordable stay to our every guest. #Superhost #Dumaguete #Philippines</t>
  </si>
  <si>
    <t>Unique artist mirrored househttps://www.airbnb.jp/rooms/1243535  via Twitter Web Client #airbnb</t>
  </si>
  <si>
    <t>Margaret Logan</t>
  </si>
  <si>
    <t>Hotels claiming #Airbnb is a threat to the tourist industry is like taxis claiming Ubers are a threat to the transport Industry. Room for all, guys!</t>
  </si>
  <si>
    <t>Kloof, South Africa</t>
  </si>
  <si>
    <t>My Office News</t>
  </si>
  <si>
    <t>SA plans to 'regulate' #Airbnb with new Bill. #Hotel industry representatives say they are held to far higher standards than a person who invites paying guests into their homes.  #SouthAfrica #WhereToStay #PlaceToSleep #hotels #travel #tourism</t>
  </si>
  <si>
    <t>iLookYou.com - Meet People Like You - Join Free!</t>
  </si>
  <si>
    <t>#Travel day to KUALA LUMPUR + AMAZING #Airbnb! | Malaysia | Vlog 061  via @YouTube</t>
  </si>
  <si>
    <t>Meet People Like You at http://iLookYou.com #Travelers #Backpackers #DigitalNomads #旅游 #Voyageurs #Reisende #Viajeros #Gezginler</t>
  </si>
  <si>
    <t>Clayton Reid</t>
  </si>
  <si>
    <t>So how is Lyric and #Airbnb's investment in their full floor development strategy for business travelers make it any different than a hotel?</t>
  </si>
  <si>
    <t>CEO, @MMGYglobal and trying to find enlightenment from the world of travel</t>
  </si>
  <si>
    <t>Skol Marbella Hols</t>
  </si>
  <si>
    <t>Spectacular views of pool, garden and sea Want to enjoy them? #bookyourholiday ‼️ ☀️🏖😎🌅🌴☀️🏖😎🌅🌴 #marbella #beachfront #location #marbellaholidays #skolapartments #skolmarbella #lifeisbetteratthebeach #best_airbnb #airbnb #vacation #holiday #vacationrental #holidayrental</t>
  </si>
  <si>
    <t>Marbella, Spain</t>
  </si>
  <si>
    <t>holiday rentals, sales, home management in Marbella prime locations - alquileres, ventas vacacionales, gestión de viviendas en Marbella</t>
  </si>
  <si>
    <t>Home Sharing Breathes Life into Underdeveloped #Athens Neighborhoods #airbnb  via @gtpgr</t>
  </si>
  <si>
    <t>Avy Loren-Cohen 🇨🇦</t>
  </si>
  <si>
    <t>#Airbnb leads #Lyric funding amid ongoing deal spree - via @pitchbook</t>
  </si>
  <si>
    <t>#Strategist #Advisor #Consultant #ExecutiveCoach #CEOCoach #PublicSpeaker #Writer #Growth &amp; #StartupExpert #FamilyOffice #Blockchain #ICO #CoFounder/COO</t>
  </si>
  <si>
    <t>Talha Sariyürek</t>
  </si>
  <si>
    <t>Aachen, Deutschland</t>
  </si>
  <si>
    <t>Just tweeting about the everyday life.</t>
  </si>
  <si>
    <t>Strange and Unusual and Beautiful ... in every book and cranny. #neverstopexploring #airbnbexperinces #airbnb #madrid #españa #madcity #spain #run #running #sightseeing #runseeing…</t>
  </si>
  <si>
    <t>Vegan options galore in Madrid! Here is a new restaurant with a total vegan menu. And it's delicious! #airbnbexperinces #airbnb #madrid #españa #madcity #spain #run #running #sightseeing…</t>
  </si>
  <si>
    <t>Benjamin Eisenstein</t>
  </si>
  <si>
    <t>Don’t act like you know the struggle if you’ve never slept in your car so you could #Airbnb your crib.</t>
  </si>
  <si>
    <t>New Delhi, India</t>
  </si>
  <si>
    <t>I'm a social entrepreneur currently managing @HealersMagazine.</t>
  </si>
  <si>
    <t>i-Hotel Services</t>
  </si>
  <si>
    <t>Antwerp - Belgium</t>
  </si>
  <si>
    <t>Your expert for Hotel Revenue &amp; E-Distribution Management.</t>
  </si>
  <si>
    <t>Madrid is full of surprises! Here ... A Nerdy Suprise! Bathrooms identified by Star Wars characters: HAN SOLO and PRINCESS LEIA #airbnbexperinces #airbnb #madrid #españa #madcity #spain…</t>
  </si>
  <si>
    <t>Borgo Bazziganta</t>
  </si>
  <si>
    <t>Come and walk or cycle the amazing nature around our #destinazioneumana #airbnb nei #appenninibolognesi #collibolognesi #bologna #inemiliaromagna @ Borgo Bazziganta</t>
  </si>
  <si>
    <t>Monte San Pietro</t>
  </si>
  <si>
    <t>Borgo Bazziganta | Cucina &amp; Filosofia #bologna #eatwith #socialeating #destinazioneumana #airbnb di Lucia &amp; @pjbury +393487914737 *use messenger code for chat*</t>
  </si>
  <si>
    <t>Dre Henderson</t>
  </si>
  <si>
    <t>Important research for #Edinburgh and #Scotland on #Airbnb and increased housing costs @KevinStewartSNP @LivingRent_Edi RT @Share_Better: .@HarvardBiz study finds @Airbnb accounts for 1/5 of the rent increases in the United States.</t>
  </si>
  <si>
    <t>Award winning Community Learning and Development Specialist as well as a Public Health professional, with a background in theatre.</t>
  </si>
  <si>
    <t>Jamie Zoch</t>
  </si>
  <si>
    <t>Airbnb has acquired Luckey(.)com from Tucows for an undisclosed amount. Airbnb acquired Luckey Homes in Dec/2018, which uses Luckey(.)fr and was the very likely reason for the .com purchase. #airbnb #luckey #surname #domain #brand</t>
  </si>
  <si>
    <t>Green Bay, Wisconsin</t>
  </si>
  <si>
    <t>Domain Name Specialist, Consultant, Research Specialist, DotWeekly Founder (formerly @yofie)</t>
  </si>
  <si>
    <t>Anita🍵</t>
  </si>
  <si>
    <t>Amsterdam, The Netherlands</t>
  </si>
  <si>
    <t>multidisciplinary designer | focused on UX/UI | tea lover</t>
  </si>
  <si>
    <t>Penny &amp; Sinclair</t>
  </si>
  <si>
    <t>🌟S U P E R H O S T🌟Did we mention we are #Airbnb #Superhosts? 🥇 We have 70 beautiful, #luxury #selfcatering #homes available in the #city &amp; #countryside for #shortlets from 3 nights to 3 months 🥇  #oxford #summertown #henleyonthames</t>
  </si>
  <si>
    <t>Oxford, England</t>
  </si>
  <si>
    <t>Independent sales &amp; lettings agency with an extensive portfolio in Oxfordshire &amp; The Cotswolds. Offices in Oxford, Summertown, Burford &amp; Henley on Thames.</t>
  </si>
  <si>
    <t>Purple Clean &amp; Linen Ltd</t>
  </si>
  <si>
    <t>Professional Airbnb cleaning and linen hire. Use our hands off service while you continue to build your short term letting business! #details #london #airbnb #cleaning @ London, United…</t>
  </si>
  <si>
    <t>Professional, reliable cleaning &amp; linen company in London. Email lewis@purplecleanandlinen.co.uk for a quote and to book in any services.</t>
  </si>
  <si>
    <t>"Social media is a key part of the marketing we do." Read what @WintertonCottag had to say about their use of #socialmedia in our recent article...!  #holidayhome #holidays #holidaylets #airbnb #holidayrental</t>
  </si>
  <si>
    <t>UP2U Surf SchoolBali</t>
  </si>
  <si>
    <t>Big waves in Kuta today to keep things safe for our guests we went to Jimbaran safe waves for all #surf #surfschoolbali #airbnb #airbnbhost #airbnbexperience #travelairbnb…</t>
  </si>
  <si>
    <t>Kuta Bali Indonesia</t>
  </si>
  <si>
    <t>Surf school and lessons in Bali</t>
  </si>
  <si>
    <t>Book now and see for your self! Be assisted by a 2XSuperhost!!! #AIRBNBsuperhost2x #AIRBNB #bestplaceindxb #dreamdtravels #UAEDUBAI #dubaistay #dubaimarina #dubailuxuryapartment #bestviewindubai #marinaview #dubaigoals</t>
  </si>
  <si>
    <t>Pete Chatziplis</t>
  </si>
  <si>
    <t>5th most miserable economy the EU #Debtcolony of Greece after 8 years of IMF/EU "bailout". Very good economy if you ask Germans, #AirBnb, loansharks, NPL/foreclosure vultures, raiders(#privatizations), traffickers, oligarchs, politicians, foreign diplomats. #miseryindex #Grexit</t>
  </si>
  <si>
    <t>Private Equity, M&amp;A and Development Consultant</t>
  </si>
  <si>
    <t>Pickling. . . #pickling #pickles #wildgarlic #wildgarlicflowers #wildfood #Forager #foraged #forestfood #food #Sustainability #sustainable #simple #SlowlySlowly #slowliving #slowfood #stmarysspace #creativeretreat #retreat #writersretreat #detox #relax #airbnb #ramsons</t>
  </si>
  <si>
    <t>Find all the pretty in our pink #latte💕☕ "Beetroot latte"😋 #maisonvie #london #kilburn #nw6 #frenchcafe #frenchbakery #frenchrestaurant #airbnb #londonfoodie #londonfood #londoncafe #londonbakery #londonrestaurant #delicious #yummy #tasty #thirsty #drink #coffee #momandbaby</t>
  </si>
  <si>
    <t>alti</t>
  </si>
  <si>
    <t>I want to do couchsurfing in Ginevra (switzerland).. someone hmu? #couchsurfing #couchtour #europe #ginebra #Geneva #airbnb #tourism #guidedtours #Switzerland</t>
  </si>
  <si>
    <t>Catalunya, Espanya</t>
  </si>
  <si>
    <t>just me</t>
  </si>
  <si>
    <t>The latest image from the GowerLive #webcam on the roof 730RocksMumbles #AirBnB. Book at  #Mumbles #Swansea #Gower #travel. Watch live at  #68</t>
  </si>
  <si>
    <t>Pitt Martin</t>
  </si>
  <si>
    <t>If you are renting out a room or a property, any money you earn must be declared as income. Any deductions you claim may need to be apportioned for private use! @PittMartinTax #pittmartintax #renting #room #property #money #earn #income #deductions #airbnb</t>
  </si>
  <si>
    <t>Sydney, New South Wales</t>
  </si>
  <si>
    <t>Pitt Martin is an established accounting firm in Sydney CBD delivering tax, advisory, wealth management &amp; accounting services.</t>
  </si>
  <si>
    <t>Emre Sevinç</t>
  </si>
  <si>
    <t>First many a people laughed off #SemanticWeb as an academic exercise, then @dbpedia came, and then Google Knowledge Graph. Then Microsoft started to invest, and then we see companies such as #AirBnB working on Knowledge Graph  #graph #data #graphdb</t>
  </si>
  <si>
    <t>Data Officer @AtlasCopcoGroup IoT | Math | Space | Jazz | Opera | History | 阿爾泰山脈 | ἐλευθερία | http://fatherinastrangeland.wordpress.com https://www.linkedin.com/in/emresevinc/</t>
  </si>
  <si>
    <t>I am now registering my activity at #airbnb site... I can help your paris tour wheelchair and elders.. Stay there!</t>
  </si>
  <si>
    <t>#Airbnb leads $160M Series B in debt and equity financing for Lyric, a hospitality platform offering short-term serviced apartments for business travelers (Deanna Ting/Skift)  #Technews #technology</t>
  </si>
  <si>
    <t>Daniel</t>
  </si>
  <si>
    <t>Sign up for ⁦⁦@Airbnb⁩ with my link for $40 off your first trip. #airbnb #airbnbcode #trip #travel #vacation</t>
  </si>
  <si>
    <t>Honolulu, Hawaii</t>
  </si>
  <si>
    <t>IG: @monehhh</t>
  </si>
  <si>
    <t>In our latest #blog post on "How to #invest in property for short-term rentals", we'll be spilling the beans on the conditions that'll make a #property perfect for #shorttermrental. Read the article on  #madecomfy #sydney #melbourne #brisbane #airbnb</t>
  </si>
  <si>
    <t>MattCarey</t>
  </si>
  <si>
    <t>Exclusive: @Airbnb gets into #Documentary production, developing film on @SFGMC set for premiere at #Tribeca2019  #airbnb #film #LGBT #LGBTQ @Tribeca</t>
  </si>
  <si>
    <t>Editor of http://Nonfictionfilm.com Doc writer/producer/director Fmr. CNN Senior Producer</t>
  </si>
  <si>
    <t>Magdalena</t>
  </si>
  <si>
    <t>#airbnb leads investment in #Lyric. That’s big move to the new space, the question is if such investment will not cannibalise main business. Interesting how Lyrics competitors on the platform will react (#Sonder, #StayAlfred, #Domio, #TheGuild,...)</t>
  </si>
  <si>
    <t>FinTech passionate</t>
  </si>
  <si>
    <t>Nooh Sinan Romeo</t>
  </si>
  <si>
    <t>Leverage Over Sweat 😓. #UgandaAirlines. #BrickandMortar has no room in the new world. We are moving towards shared ownerships. #Uber #Airbnb #SafeBoda #Amazon #Bookings #VirtualOffices ... ...</t>
  </si>
  <si>
    <t>Kampala, Uganda</t>
  </si>
  <si>
    <t>#Panelist; #AfricaBusinessPanel | #DesignThinking #SocialArchitect | #Passion 4 #Wildlife | #GlobalCitizen | We are all #Humans | RTs ≠ Endorsements</t>
  </si>
  <si>
    <t>Do you ever get up early and watch the #sunrise? We have some good ones at #BigBearLake #CA! Come up and stay with us at #bearkubkabin.  Photo by: @rgrphotoservices #bigbear #cabin #vacationrental #logcabin #airbnb #vrbo #sunrise_madness #sunrise_sunsets</t>
  </si>
  <si>
    <t>Karoo Girl</t>
  </si>
  <si>
    <t>Lets get this discussion going @airBnB How many #airbnb in #southafrica @VisitSA_UK pay their workers domestic wage rate? 20% under minimum wage?Tourists need to know where they stay pays mim wage R20/hr @HeraldPE @AlgoaFM @MorningLiveSABC @carteblanchetv @Derek_Hanekom @ShotLeft RT @Karoo_stories: Lets get #AirBnB in South Africa to state all their properties in South Africa pay minimum wage Lets put it out there that its about businesses building a community Tourists should know workers are paid minimum wage @Airbnb @DawnJorgensen @DiBrown5 @Derek_Hanekom @AnjeRautenbach</t>
  </si>
  <si>
    <t>Graaff-Reinet, South Africa</t>
  </si>
  <si>
    <t>Come travel with me:Chantelle the Tour Guide I love exploring the Karoo Info on Valley of Desolation Accommodation in Graaff-Reinet visit http://camdeboocottages.co.za</t>
  </si>
  <si>
    <t>Lets get #AirBnB in South Africa to state all their properties in South Africa pay minimum wage Lets put it out there that its about businesses building a community Tourists should know workers are paid minimum wage @Airbnb @DawnJorgensen @DiBrown5 @Derek_Hanekom @AnjeRautenbach RT @Karoo_stories: @TTshivhengwa @Derek_Hanekom @TBCZA @ravinadasen As soon as @airbnb is seen as a business that needs to be registered in South Africa it will immediately result in higher wages for workers, higher electricity payments to municipalities &amp; more rates &amp;amp; taxes if area is zoned as business #AirBnBs should be business registered</t>
  </si>
  <si>
    <t>nancy mccollum</t>
  </si>
  <si>
    <t>Super proud to be a #Superhost on Airbnb!  #maui #airbnb #Whales</t>
  </si>
  <si>
    <t>Maui, Hi.</t>
  </si>
  <si>
    <t>Recommend.my</t>
  </si>
  <si>
    <t>Can you sue a host for violating your privacy rights? #privacy #rights #cctv #spy #surveillance #Airbnb #host #RecommendMY</t>
  </si>
  <si>
    <t>Kuala Lumpur</t>
  </si>
  <si>
    <t>Create your happy place with Malaysia's #1 home improvement services website.</t>
  </si>
  <si>
    <t>Fairfax Federation</t>
  </si>
  <si>
    <t>#Airbnb law in #DC. is probably #unconstitutional, mayor says, citing recent #NY. #courtruling</t>
  </si>
  <si>
    <t>Fairfax County, VA</t>
  </si>
  <si>
    <t>The Federation is the Association for the County's Homeowner, Civic &amp; Community organizations.Join us as we work together. Tweets not endorsements</t>
  </si>
  <si>
    <t>Level the playing field in @SouthAfrica @Airbnb unregistered businesses can still pay workers on domestic wage rate ~ that is 20% less 😳 @VisitSA_UK lets get all #airbnb to register as a business to increase their workers wage. Do tourists know what owners of AirBnB pay workers? RT @GPMInstitute: There are exceptions to the new 2019 minimum wage law in South Africa, including lower wages for farm workers, domestic workers, and more. Full details at  #globalpayroll #payroll</t>
  </si>
  <si>
    <t>Archery in Tokyo!! a must see festival happening this weekend. Book your stay with us here #AIRBNB :  #familytravel #travel #japan RT @TokyoCheapo: This weekend is a rare chance to see horseback archers do their thing:</t>
  </si>
  <si>
    <t>A fantastic #sake festival will take place in #tokyo. book now your stay and be part of it #AIRBNB :  #familytravel #travel #japan RT @Tokyo_Weekender: Sample some of the best sake Japan has to offer at the Craft Sake Festival plus 7 other events you don't want to miss this weekend:</t>
  </si>
  <si>
    <t>This is one of the things we love about #tokyo. Great festivals for drinking and eating. Not boring day in this town. Book your stay with us here #AIRBNB :  #familytravel #travel #japan RT @TimeOutTokyo: Catch the best food and drink festivals coming to Tokyo.</t>
  </si>
  <si>
    <t>Do not stay in small apartments in Tokyo with your group. Bed&amp;Stay has the place for you. Book us here: #AIRBNB :  #familytravel #travel #japan</t>
  </si>
  <si>
    <t>Feedback on @Airbnb in your town &amp; what the impact is on your community when a business like local #airbnb don’t pay the same rate for wages, nor for electricity nor for rates &amp;amp; taxes ?? All for business equality, lets grow our local economy &amp;amp; ensure longterm business advancement RT @Karoo_stories: @FireflyAfrica @AnjeRautenbach @TTshivhengwa @TBCZA @ravinadasen @Derek_Hanekom Hot Topic at present @Airbnb As soon as #airBNB open in a town the average nightly room rate drops HOWEVER in my town AirBNBs pay lower wages, lower rate for electricity &amp;amp; lower rates &amp;amp; taxes than registered Businesses ~ ideally everyone’s expenses should be the same #livableWage</t>
  </si>
  <si>
    <t>#happythursday today is such a gorgeous day in Tokyo. May and June are great months to visit. Stay with us! we have awesome prices. Book us here #AIRBNB :  #familytravel #travel #japan</t>
  </si>
  <si>
    <t>Rachel.</t>
  </si>
  <si>
    <t>BnB is booked for the memorial. Definitely not the "booked" email I wanted. But excited to try out #airbnb</t>
  </si>
  <si>
    <t>Just an empath on life's journey to the beach.🏖 Ravenclaw. 💙💛 Cat mom.</t>
  </si>
  <si>
    <t>Earlier this week, we had the perfect mountain #retreat idea for you. If you prefer the #beaches, here's a spacious beachside #getaway in #Sydney you'd love to kickback in over the long #weekend this #Easter. To book this 3BR apartment, visit  #airbnb</t>
  </si>
  <si>
    <t>#Airbnb in #NewYorkCity - @Airbnb executives like @AlexDagg and @LindseyScully pretend it's not true...</t>
  </si>
  <si>
    <t>In Ireland, Airbnb is now trying dirty tricks to delay voting on short term rental laws, so it can profit more from its illegal hotels, again at the people's and cities expence. #airbnb #illegalhotel #ireland #dublin #str #ota #boo…</t>
  </si>
  <si>
    <t>In Japan, with now less than a fifth of its previous amount of listings re-appearing it proves the government was correct to shut down the illegal ones. #japan #airbnb #illegalhotels #travel #toursim #ota #booking #vacation</t>
  </si>
  <si>
    <t>Kristen Wilson Day</t>
  </si>
  <si>
    <t>Get online visibility with SEO &amp; PPC. Digital boss babe. Rita Connoisseur! Love shooting S&amp;W M&amp;P Pro! http://NakedNailNinja.com for fab fun nail polish strips.</t>
  </si>
  <si>
    <t>Large 5Star #Florida #vacationhome with prival pool on #Airbnb Tropical #TommyBahama style - #VRBO April 17, 2019 at 10:00PM</t>
  </si>
  <si>
    <t>Michelle@yvrealtor</t>
  </si>
  <si>
    <t>K....Soooo I went to Jensen's Finest Foods to find some Easter yummies and was NOT disappointed! #laquinta #cathedralcity #palmdesert #ranchomirage #palmsprings #jtnp #airbnb #stagecoach #coachella #vaca #addictedtolove #jensensfoods #michellequintana</t>
  </si>
  <si>
    <t>Berkshire HathawayHomeServices</t>
  </si>
  <si>
    <t>Realtor DRE 01903285 #palmsprings #yuccavalley #pioneertown #joshuatree #dhs Let's unlock your Real Estate Dreams 760-668-5733</t>
  </si>
  <si>
    <t>This + Smores = awesome!!!  #vacationinsedona #vrbo #airbnb #experienceparadise #vacation #sedona #getaway #hiking #verderiver #adventuresinsedona #arizona #instagramaz #travel #homeaway #vacationtime #journey #lovethis #weekendge…</t>
  </si>
  <si>
    <t>Don’t forget to send your friends a postcard from The Elvis House during your stay. #theelvishouse #theelvishousewaco #waco #tx #texas #comeandstay #getaway #airbnb #elvis #elvispresley #rocknroll #music #history #postcard #roadtrip #travel #kingofrocknroll</t>
  </si>
  <si>
    <t>Erica Holt</t>
  </si>
  <si>
    <t>After many messages and "no foreigners" warnings - I have successfully booked an #Airbnb for Beijing, Wuhan, and Shanghai. Now I just have to do everything else...#gradschool</t>
  </si>
  <si>
    <t>Graduate student/ TA History, China, Medicine, Women's Pain, Digital Humanities.</t>
  </si>
  <si>
    <t>Breezy_studio</t>
  </si>
  <si>
    <t>#InstantBooking is most challenging in #airbnb for me.... A guest need to check-in the next day morning.... Thank god can pass the key to him immediately after finished the cleaning works etc..🤗🤗😂 #breezystudio #serdang #univ360 #urgentbooking</t>
  </si>
  <si>
    <t>Serdang, Selangor</t>
  </si>
  <si>
    <t>I'm an Airbnb host, Airbnb guest and Breezy Studio janitor.... Tony Robbins started as janitor though.....</t>
  </si>
  <si>
    <t>With roughly three-quarters of Airbnb listings not in traditional tourist neighborhoods, it's no surprise to find that these illegal hotels make the rent prices rise. #airbnb #illegalhotels #worldtravel #holidays #travel #tourism</t>
  </si>
  <si>
    <t>#VRBO #Airbnb #Vacation #Rental #Signage with engraved details! We offer our #customers the chance to #design along with us! #Computer previews provided in advance! #Rodanthe #Coastalliving #Seagulls #Reno #Vegas #USVI</t>
  </si>
  <si>
    <t>De Island Shack Bda</t>
  </si>
  <si>
    <t>Welcome to Bermuda ... Yasmina #connecticut #airbnb #hotel #guesthouse #bermudatrails #bermudabound #happycustomers #cafe #coffeeshopsoftheworld #coffeeshop #bakery</t>
  </si>
  <si>
    <t>Bermuda</t>
  </si>
  <si>
    <t>Cafe Boutique in Somerset</t>
  </si>
  <si>
    <t>Angel Latterell</t>
  </si>
  <si>
    <t>View from the 41st floor #Airbnb #sandiego #eastvillage #loganbarrio #gentrification #highriseliving #vacationrentals #paprikaangel #southerncalifornia @ San Diego, California</t>
  </si>
  <si>
    <t>Seattle, Washington</t>
  </si>
  <si>
    <t>poet, foodie, blogger, Buddhist, healer, world traveler, student of life</t>
  </si>
  <si>
    <t>Guests from Singapore #airbnb #farmstay #guesthouse #kumamoto</t>
  </si>
  <si>
    <t>What you’ll see when your next vacation begins if you stay at Tanglewood! Picture by: 1:16 Media #boone #airbnb #homeaway</t>
  </si>
  <si>
    <t>Jason Bailey</t>
  </si>
  <si>
    <t>1 weekend available in May and 2 weekends available in June if you'd like to stay at #BearadiseCity. Please check our calendar for open dates. We'd love to have ya! #Airbnb #CabinLife…</t>
  </si>
  <si>
    <t>Morning Show Host | WNNX Rock 100.5 | The Bailey &amp; Southside Show | You Do You &amp; I'll Do Me | http://baileyandsouthside.com | http://www.jasonbailey.com</t>
  </si>
  <si>
    <t>Smells like Holy Week holiday in Cancun!! Enjoy 😉 #visitquintanaroo #airbnb #twentyfourseven #highendproperty #broker #holyweek #vacation #pool #pools #ocean #easter @ Bay View Grand…</t>
  </si>
  <si>
    <t>April 19-28 Affordable Luxury Studio Clean, Modern, Beautiful · stunning infinity pool · large, private terrace · fans &amp; air con · concierge · SmartTV·Wifi · Bluetooth Speakers · kitchen  #airbnb #tulum #rivieramaya #playadelcarmen #QRoo #vacationrental</t>
  </si>
  <si>
    <t>Airbnb investing in innovative startups in the rental space. #rental #apartment #airbnb #startup #California #Florida #Texas #NewYork #US #rentalbusiness</t>
  </si>
  <si>
    <t>Kerouac Kat</t>
  </si>
  <si>
    <t>Made it to my #airbnb - it’s beautiful AND (the reason I chose it) there’s a big dog.</t>
  </si>
  <si>
    <t xml:space="preserve">Emerald Triangle </t>
  </si>
  <si>
    <t>Mother of Kitten Mittens.</t>
  </si>
  <si>
    <t>#Airbnb disrupted #hotels. Now big travel and #hospitality companies are going after the next disruptive innovation themselves. Discover what companies are leading the innovations.</t>
  </si>
  <si>
    <t>Top 5 reasons why you should #host. 5. Because you believe that getting to know each other and caring is the first step for a better world. #superhost #airbnb #lisboa #sesimbra #portugal</t>
  </si>
  <si>
    <t>Top 5 reasons why you should #host. 4. Because you love your #food and think everyone should be able to taste it. #superhost #airbnb #lisboa #sesimbra #portugal</t>
  </si>
  <si>
    <t>Alison Martel</t>
  </si>
  <si>
    <t>Wednesday night view from our lovely air bnb ♥️ love this beautiful home in the historic district 🏡 #airbnb #savannahgeorgia #historichomes #vacation #bestfriends #spring2019 @ Savannah,…</t>
  </si>
  <si>
    <t>Lakeshore, Ontario, Canada</t>
  </si>
  <si>
    <t>Realtor, Rescued Greyhound Mom, Football &amp; NASCAR fan, Book Fanatic, Outlander Obsessed, Kitchen Diva, Connoisseur of Beer, Wine and Gin!!!</t>
  </si>
  <si>
    <t>Mingming Cheng</t>
  </si>
  <si>
    <t>The recent research (although short) on #algorithmic management in the #SharingEconomy shows algorithmic #Zcompetency does matter for #Airbnb hosts to effectively and efficiently "manage" their Airbnb listings. Read our recent article:</t>
  </si>
  <si>
    <t>Perth, Western Australia</t>
  </si>
  <si>
    <t>Senior Lecturer in Digital Marketing at @CurtinUni, Australia. Interests and Expertise: data science (big data), digital economy, Chinese young consumers</t>
  </si>
  <si>
    <t>Serenity Cottagehttps://www.airbnb.jp/rooms/1410878  via Twitter Web Client #airbnb</t>
  </si>
  <si>
    <t>Our guest rave about the ability to book tickets to the hottest shows or even have a private chef prepare them a beautiful meal for a more intimate experience 🥘 #Airbnb #VRBO #BookDirect</t>
  </si>
  <si>
    <t>Top 5 reasons why you should #host. 3. Because you love your culture and traditions and wish everyone could discover them. #superhost #airbnb #lisboa #sesimbra #portugal</t>
  </si>
  <si>
    <t>mediakix</t>
  </si>
  <si>
    <t>How Airbnb leverages Lady Gaga, Kim Kardashian &amp; dozens of other top celebrities on Instagram  #InfluencerMarketing #Airbnb</t>
  </si>
  <si>
    <t>Leading influencer marketing agency launching Instagram, YouTube, and Twitch campaigns for clients like Facebook, Blue Apron, LG, Uber, and Sony Pictures.</t>
  </si>
  <si>
    <t>Taking the Castle Doctrine to a literal level. 😍 Visit Us at  to learn how to profit from investment properties that you don't even need to own. #airbnb #vacationrental #luxurylisting</t>
  </si>
  <si>
    <t>Luis Ponce</t>
  </si>
  <si>
    <t>If you want to be an #Airbnb host, you've got to understand that you're entering the hospitality business. #REtips</t>
  </si>
  <si>
    <t>Miami, Florida</t>
  </si>
  <si>
    <t>Commercial and Residential Real Estate in Miami Bringing Happy Families Together</t>
  </si>
  <si>
    <t>Shadi</t>
  </si>
  <si>
    <t>How to find hidden #cameras in your #Airbnb, and anywhere else</t>
  </si>
  <si>
    <t>Passionate about innovation, the power of Blockchain tech, #DigitalTranformation #GrowthHack #MachineLearning, and a crusader of #HealthyLiving</t>
  </si>
  <si>
    <t>Nonya</t>
  </si>
  <si>
    <t>#Chicago #storage #luggage #baggage #free #shuttle #pickup #dropoff #service #wait #here #chicago #layover #lounge #couch #surf #midway #airport #ohare #airbnb #hotel #locker Call 1.312.945.7982 or go online to</t>
  </si>
  <si>
    <t>Chicago,</t>
  </si>
  <si>
    <t>http://WaitHereChicago.com-Luggage &amp; Layover Concierge Service w/Couch Surfing, Shuttle &amp; More! Free Pickup! Wait here if u have early arrivals or late departures!</t>
  </si>
  <si>
    <t>Top 5 reasons why you should #host. 2. Because you love your places and wish everyone could enjoy them. #superhost #airbnb #lisboa #sesimbra #portugal</t>
  </si>
  <si>
    <t>The Captain Suite</t>
  </si>
  <si>
    <t>Welcome to the terrace of the Captain Suite. Ready to book your next stay to NYC/Brooklyn/Williamsburg? #vrbo #vacationrentals #nyc #brooklyn #airbnb #bookingcom…</t>
  </si>
  <si>
    <t>Williamsburg Brooklyn, NY</t>
  </si>
  <si>
    <t>The luxurious vacation rental that rivals NYC 5-star hotel penthouses. Book now. You deserve to call this place home during your next visit to NYC.</t>
  </si>
  <si>
    <t>Don't Miss out? Spots are still open for the weekend! Link in the bio!! . . . . #visitrichmond #RVA #airbnbexperience #airbnb #Scottsaddition #beertour #beer #craftbeer #beertourism #travel #instatravel #travelgram #solotravel #wanderlust #nomad #wonderstruckweekend</t>
  </si>
  <si>
    <t>Rhys Chamberlain</t>
  </si>
  <si>
    <t>🚴‍♀️ Hitting the #market just after #Easter! Your new #holidayhome or #AirBnB in Omakau, #centralotagonz 🚴‍♀️ . #rhyschamberlainharcourts #trusttheprocess #stakeyourclaim ⚒…</t>
  </si>
  <si>
    <t>Central Otago, New Zealand</t>
  </si>
  <si>
    <t>Est 1981. Dad. Writer. Journo. 🏈Ex-teacher. I sell property @harcourtsotago 🏡 Recovering ex-scarfie. 🏀http://Instagram.com/nzchambo</t>
  </si>
  <si>
    <t>Private setting so close to the Dells! #turkeyrun #rustic #wisconsindells #vacationhome #airbnb #vrbo #cabin #vacationbetter</t>
  </si>
  <si>
    <t>Good morning twitter #airbnb Tokyo vacation rental coming soon👄</t>
  </si>
  <si>
    <t>PropTechCAPITAL</t>
  </si>
  <si>
    <t>#Airbnb Leads $160 Million #Investment Into #Hospitality #Startup #Lyric via @forbes  #RealEstate #PropTech</t>
  </si>
  <si>
    <t>Sign up for AirBnB via our referral and get $40 off your first stay.  #airbnb #travel #touristlife</t>
  </si>
  <si>
    <t>Sign up for AirBnB with our referral and get $40 off your 1st trip.  #airbnb #travel #touristlife</t>
  </si>
  <si>
    <t>Jose Cervantes</t>
  </si>
  <si>
    <t>If you need a place to stay, consider booking our #Airbnb at  RT @LAVillage: #Spring has sprung right here in #DownTownLakeArrowhead. Join us for #patio weather this #weekend and enjoy the spring air and #Easter festivities including an Easter Egg Hunt on Saturday!</t>
  </si>
  <si>
    <t>Lake Arrowhead California</t>
  </si>
  <si>
    <t>#Mountain retreat available on #Airbnb #SuperHost #LakeArrowhead #travel #skiing #SanBernardino You can use my Tesla referral link at http://ts.la/jose6966</t>
  </si>
  <si>
    <t>Avalex Dynamics</t>
  </si>
  <si>
    <t>Lyric raises $160 million in debt and equity to power the next generation of hospitality | TechCrunch #Airbnb</t>
  </si>
  <si>
    <t>Tampa, FL</t>
  </si>
  <si>
    <t>Liberty Trust, Avalex Ent etc., Joint Ventures, Startups, Activist, Citizen Scientist</t>
  </si>
  <si>
    <t>Luca Martucci</t>
  </si>
  <si>
    <t>meanwhile in Ticino codice identificativo #airbnb RT @RSInews: Tassa di soggiorno, si cambia Il Governo ticinese propone la modifica della legge sul turismo, per facilitare la riscossione del dovuto dalle piattaforme online</t>
  </si>
  <si>
    <t>Rio de Janeiro , Brazil</t>
  </si>
  <si>
    <t>*Brazil is not for beginners * Tom Jobim - #Brazil #Italy #Brics #destinationmarketing #travel #hospitality #avgeek</t>
  </si>
  <si>
    <t>Revolt World</t>
  </si>
  <si>
    <t>Round-Up of #Repression Against Social Spaces in #Italy - #antireport #airbnb Read here:</t>
  </si>
  <si>
    <t>#NoTroika #Solidarity with all the #people in the #world who are fighting against #austerity, #repressions and #police #brutality!</t>
  </si>
  <si>
    <t>Blissio</t>
  </si>
  <si>
    <t>Fancy a getting away to a proper country farmhouse? Take a look at my friend’s AirBnB set in the Oxfordshire countryside.... oh and tell your friends about it too (thanks) 😁 🏡  #oxfordshire #airbnb #farmhouse</t>
  </si>
  <si>
    <t>Henley-on-Thames, England</t>
  </si>
  <si>
    <t>Where would I be without the pesky Tiscalli Woman who couldn't spell my name? Former netballer, current teacher and a recent re-locater 'down south'.</t>
  </si>
  <si>
    <t>Home Share Pros</t>
  </si>
  <si>
    <t>This Tiny House Is the Most Popular #Airbnb in Tennessee #RealEstate #travel</t>
  </si>
  <si>
    <t>Home Share Pros is your go to guide to learn everything you need to build a profitable hospitality business. We have insider tips, classes, and case studies.</t>
  </si>
  <si>
    <t>solesuprme106</t>
  </si>
  <si>
    <t>$55 🧡💵💙💵🗺💜💲❤️💸✈️⚠️Airbnb code coupon promo discount first. $55 OFF CLICK LINK NOW! Try it. Please DM me if you have any issues. #airbnb #airbnbcode #airbnbdiscount #airbnbpromo #airbnbcoupon</t>
  </si>
  <si>
    <t>US</t>
  </si>
  <si>
    <t>$55 💙🧡💚💜❤️💸💲💵✈️⚠️🗺 Airbnb code coupon promo discount first. $55 OFF CLICK LINK NOW! Try it. Please DM me if you have any issues. #airbnb #airbnbcode #airbnbdiscount #airbnbpromo #airbnbcoupon</t>
  </si>
  <si>
    <t>SW Rancho Cuca</t>
  </si>
  <si>
    <t>The whole truth of being a great Airbnb host. See if it is the right thing for you just now #HereForYou #General #Business #USA #Jobs #Airbnb #Host</t>
  </si>
  <si>
    <t>Rancho Cucamonga, CA 91730</t>
  </si>
  <si>
    <t>Storage West Self Storage Rancho Cucamonga, CA. Self storage professionals who care! Come store with us! Hours: 9am to 6pm everyday. Closed on major holidays.</t>
  </si>
  <si>
    <t>Social Intents</t>
  </si>
  <si>
    <t>Live Chat for Slack. Try it today for free! Live Chat, Exit Intents, and Email List Builder #LiveChat #ecommerce #slack http://www.socialintents.com</t>
  </si>
  <si>
    <t>𝕮𝖍𝖎𝖈𝖆𝖌𝖔𝕾𝖈𝖆𝖓𝖓𝖊𝖗</t>
  </si>
  <si>
    <t>016: Caller says the #AirBnB guests refuse to leave #Chicago #ChicagoScanner</t>
  </si>
  <si>
    <t>Portage Park, Chicago</t>
  </si>
  <si>
    <t>Listening to Chicago's Finest &amp; Bravest since '92 - Youtube/Flickr/Insta/Clyp - Donations are greatly appreciated https://www.gofundme.com/x46f8xck</t>
  </si>
  <si>
    <t>Vicky Vella</t>
  </si>
  <si>
    <t>Short family break in #Mumbles Wales at an #airbnb with guitars, a chess set &amp; of course, an Xbox 🙄 (not requested) to top &amp;amp; tail our days out walking &amp;amp; eating - food highlights shown here…</t>
  </si>
  <si>
    <t>London/Chesham</t>
  </si>
  <si>
    <t>Midlife mum of 2 helping others find a Healthy Balance for Body &amp; Mind with ’Gisele so Well’ #nutrition #weightmanagement #guthealth #familyfood #selfcare</t>
  </si>
  <si>
    <t>Come to Perris, California for the Skydive Perris and take a tour of the Southern California Railway Museum after you rest at A Suite Collaboration's #Airbnb:...</t>
  </si>
  <si>
    <t>Grant McGregor</t>
  </si>
  <si>
    <t>How to find hidden cameras in your Airbnb, and anywhere else  #airbnb #CCTV</t>
  </si>
  <si>
    <t>Based in Edinburgh, our technology people offer friendly &amp; human IT Support Services, IT Consultancy &amp; IT project implementation. Visit us to see how we tick...</t>
  </si>
  <si>
    <t>Mindfluence</t>
  </si>
  <si>
    <t>Scammers who make a living swindling  customers have a powerful new tool at their disposal  via @briankrebs #Airbnb</t>
  </si>
  <si>
    <t>We are changing the way decision makers and solution providers interact with each other. The CISO Leadership Forum Series connects people in person.</t>
  </si>
  <si>
    <t>Randy Wachs</t>
  </si>
  <si>
    <t>Making a new annual BOTTOM 3 customer service companies! Excluding the obvious, #comcast #gebe #dish sure fire 2019 chart toppers will be #kiwisat and #dynastyspas Leaving one slot open. Looking forward to naming my top 3 performers. #Apple and #Airbnb are probably locks!</t>
  </si>
  <si>
    <t>St. Maarten</t>
  </si>
  <si>
    <t>Computer consultant specializing in web design and small business networking.</t>
  </si>
  <si>
    <t>Neslihan Ercan</t>
  </si>
  <si>
    <t>If you stay at #airbnb Protect yourself by taking before &amp; after photos! Here is why:  @Airbnb @AirbnbHelp #terriblecustomerservice</t>
  </si>
  <si>
    <t>Ireland</t>
  </si>
  <si>
    <t>Head of Turkish Market @udemy. One foot in Turkey, one in Ireland. Passionate about #education #elearning #marketing #edtech #traveling. Views are my own.</t>
  </si>
  <si>
    <t>Acampada Europe</t>
  </si>
  <si>
    <t>#refugeecamp #NoTroika #Solidarity with all the #people in the #world who are fighting against #austerity, #repressions and #police #brutality!</t>
  </si>
  <si>
    <t>Do you have a glass of wine in your hand? If your answer is no, you are wrong! #temecula #airbnb #propertymanagement #vacationrental #vacation #wine #vrbo #wineries #wine #winetasting #travel #wedding #winecountry #temeculavacationrentals #beourguest #staywithus #Europa</t>
  </si>
  <si>
    <t>Helen Morley</t>
  </si>
  <si>
    <t>Become an Airbnb Host and earn Money! List via the URL below &amp; will give you free advice on your listing &amp;amp; hosting. I am a superhost with 3 yrs experience, renting a private room &amp;amp; my home, and earning enough money not to work. #Airbnb #HostAirbnb</t>
  </si>
  <si>
    <t>An Art Lover, a Traveler, a fashionista and a Political Junkie. Always learning and will focus on one new piece of art day between pop commentary.</t>
  </si>
  <si>
    <t>Internal Comms by Fresh Air</t>
  </si>
  <si>
    <t>This would never have occurred to me until I read the recent story about the family who found cameras...now I'll be checking! "4 Ways To Tell If There Are Hidden Cameras In Your Airbnb"  #hiddencameras #personalsecurity #airbnb</t>
  </si>
  <si>
    <t>Plymouth, London, Budapest</t>
  </si>
  <si>
    <t>Fresh Air Studios/Group: Internal Communications, IVR Recording, and Engagement. Call 01752 229246.</t>
  </si>
  <si>
    <t>THE NORDROOM</t>
  </si>
  <si>
    <t>A beautiful @airbnb apartment in Paris. Full tour on my blog #airbnb #paris #airbnbparis</t>
  </si>
  <si>
    <t>A daily interior design blog created by Astrid. (insta/pinterest: thenordroom)</t>
  </si>
  <si>
    <t>Intl Accelerator</t>
  </si>
  <si>
    <t>Austin-based #accelerator program focused on helping non-US citizen #startup founders grow, fundraise and expand in the US. #growthhacking #fundraising</t>
  </si>
  <si>
    <t>It may be kind of crazy out there, but you just might have what it takes to dive into becoming a great Airbnb host #HereForYou #General #Business #USA #Jobs #Airbnb #Host</t>
  </si>
  <si>
    <t>The #sharingeconomy is here! Over 50% of 25-34 yr olds &amp; over 60% of those under 25 want the ability to #Airbnb their units to earn extra money. Letulet has crafted a way to help landlords embrace this growing way of life while also making extra money!</t>
  </si>
  <si>
    <t>Lou Archell</t>
  </si>
  <si>
    <t>[ad] - cor! Just look at this kitchen, fancy staying here? . Head to the blog, and read all about our stay at The Chapel on the hill with @airbnb. . You'll be wanting to book this place soon, the north is calling. #lgsadventures2019 #ad #airbnb</t>
  </si>
  <si>
    <t>UK lifestyle &amp; travel writer, blogger &amp; photographer. Blog: http://Littlegreenshedblog.co.uk Instagram: http://bit.ly/28mQ4DP Email: Loulittlegreenshed@gmail.com</t>
  </si>
  <si>
    <t>PROMO CODES</t>
  </si>
  <si>
    <t>$55 💜🧡💙💚❤️💸💵✈️⚠️🗺 Airbnb code coupon promo discount first. $55 OFF CLICK LINK NOW! Try it. Please DM me if you have any issues. #airbnb #airbnbcode #airbnbdiscount #airbnbpromo #airbnbcoupon #Beyonce #HOMECOMING #TIME100 #NationalHaikuDay</t>
  </si>
  <si>
    <t>There are worse views... #Scotland #AirBnB #SchoolHolidays #Forth #Water #Views #Kinghorn</t>
  </si>
  <si>
    <t>apm</t>
  </si>
  <si>
    <t>My questions on running a successful #airbnb get answered 👇 RT @cake: Curious about what it's like to be an @Airbnb superhost? Learn more from Lois Goodman in her Cake Panel!</t>
  </si>
  <si>
    <t>Paper beats rock. Rock beats scissors. Facts beat uninformed opinions.</t>
  </si>
  <si>
    <t>Halee Whiting</t>
  </si>
  <si>
    <t>Post Sunset Positano #positano #italy #airbnb #travel</t>
  </si>
  <si>
    <t>Rochester, NY</t>
  </si>
  <si>
    <t>I’m a travel blogger that writes about adult and family travel. Topics range from lifestyle, cruising, land trips and food/drink.</t>
  </si>
  <si>
    <t>Sebastien Tarnowski</t>
  </si>
  <si>
    <t>Given its activity in Paris, it's high time @Airbnb makes its pledge too #Airbnb #Paris #NotreDame #NotreDameFire #NotreDameCathedralFire #GAFA #taxes #taxegafa #reputation #socialmediamarketing #socialmedia RT @TechCrunch: Walt Disney and Badoo join companies pledging money to rebuild Notre-Dame  by @catherineshu</t>
  </si>
  <si>
    <t>Brussels</t>
  </si>
  <si>
    <t>Born &amp; Raised Parisian, Ex-Londoner, NYC Lover, lost in Bruxellisation. Digital Strategist.</t>
  </si>
  <si>
    <t>Spring in bloom on the private terrace of Captain Suite. Book your next visit to #NYC with us. You deserve this. #vacation #airbnb #vrbo #theplumguide #bookingcom #Brooklyn</t>
  </si>
  <si>
    <t>Vacation Inn LA</t>
  </si>
  <si>
    <t>Right in the heart of Studio City, walking distance from Ventura Blvd. close to coffeeshops, restaurants and boutique shops "Studio City Urban Escape - Houses for Rent in Los Angeles #Travel" @airbnb  #airbnb #studiocity #losangeles #vacationhomes</t>
  </si>
  <si>
    <t>Stay with Vacation Inn LA and experience next level accommodations and service dedicated to combining a home feeling with hotel-like amenities.</t>
  </si>
  <si>
    <t>Check out this awesome House on Airbnb: 5 min walk to bus line to downtown. Gorgeous space, sleeps 2 #pgh #airbnb #travel</t>
  </si>
  <si>
    <t>Coastholidaylets</t>
  </si>
  <si>
    <t>Brand new holiday rental apartment available moments from Hastings old town and the seafront. #visithastings #airbnb #weekendgetaway #bookingcom #holidayrental</t>
  </si>
  <si>
    <t>South East, England</t>
  </si>
  <si>
    <t>Coast Holiday lets, Specialising in short and long term stays in Hastings East Sussex.</t>
  </si>
  <si>
    <t>Accurate Rumours (Anna Kamolane)</t>
  </si>
  <si>
    <t>Hear neighbor explain why she called 911 on black Airbnb guests  via @YouTube Racial profiling in the U.S. coupled with the racist mentality &amp; brutality within the police force is overwhelming concerning #Police #airbnb #CNN</t>
  </si>
  <si>
    <t>On a quest to consciousness</t>
  </si>
  <si>
    <t>I see I'm blocked: don't fret, I won't interrupt Thursday's soirée. It's disingenuous to ignore the dark side of #AirBNB and illegal "hotel alternatives". If you're staying in one, you're part of a growing problem. Staying legally? Welcome. It's not complicated. #LuxTravelChat RT @vanSTRaction: Travellers' experiences 𝑎𝑟𝑒 𝑖𝑛𝑠𝑒𝑝𝑎𝑟𝑎𝑏𝑙𝑒 𝑓𝑟𝑜𝑚 their impact on their destination; a night in Bangkok will show you how it works. "Hotel alternatives" are illegal in most places. How can this possibly be off-topic? #LuxTravelChat indeed: please try harder. #vanre</t>
  </si>
  <si>
    <t>Fragias Photo Studio</t>
  </si>
  <si>
    <t>#kefalonivillas #creativeimages #exterior #inspiration #kefaloniahotels #relax #travelphotography #interior #photography #luxuryhotels #boutiquehotels #uniquevillas #luxuryvillas#travelling #kefalonia #greekislands #hotelphotography #airbnb #kostasfragias</t>
  </si>
  <si>
    <t>Κεφαλονιά, Ελλάδα</t>
  </si>
  <si>
    <t>YouTube: Tootsieetwins 🍒</t>
  </si>
  <si>
    <t>Tootsieetwins newest video is up now LA Vlog pt.1| Airbnb Tour 🌴✈️ Link in bio () • • • • #LA #philly #pictures #youtuber #youtube #subscribe #like #follow #haitianamerican #Tuesday #Tootsieetwins #airbnb</t>
  </si>
  <si>
    <t>Brooklyn.</t>
  </si>
  <si>
    <t>IG: @Makavelikid_ 🇭🇹 | Youtuber | on a bad day there’s always lipstick 💄 Email: Tootsieetwins@gmail.com</t>
  </si>
  <si>
    <t>Rental arbitrage is big business. Congrats @lyric on the funding from @airbnb:  #airbnb #homeaway</t>
  </si>
  <si>
    <t>Enjoy! #comfortcottagehealing #VisitWales #Dogfriendly #TheDogsWithMe #alpacas #ArtsWales #SunDogs #Airbnb #yell RT @ItsYourWales: Go see the brilliant and highly talented @TheSunDogs1 live at The Harbwr, Saundersfoot next weekend from Friday 19th at 9PM</t>
  </si>
  <si>
    <t>G</t>
  </si>
  <si>
    <t>WOW! What Would You Do? #NewOrleans #BacheloretteParty #AirBnB #G967</t>
  </si>
  <si>
    <t>Mississippi Gulf Coast</t>
  </si>
  <si>
    <t>Concerns over landlords misusing letting websites like #Airbnb in #Hastings - New legislation may be necessary to prevent unscrupulous landlords from abusing holiday letting websites. Read more at  #servicedapartments #servicedapartmentnews</t>
  </si>
  <si>
    <t>Coconut Cam</t>
  </si>
  <si>
    <t>GoPro Buster! Super chihuahua storms the Golden Gate! 🐶🚀🌉😎🤪 #Chihuahua #airbnb #airbnbexperiences @Airbnb @AirBnbExp @GGBridge #dogsofairbnb #coconutcam #goprodogs #DogCelebration #landofdogs #dogsoftwitter #gopro #goprohero7</t>
  </si>
  <si>
    <t>GoPro Dog Videos! Let me make your dog a GoPro Hero! Book your GoPro session today! Follow us on FB: GoPro Dogs IG: @goprocharlie YouTube channel: Coconut Cam</t>
  </si>
  <si>
    <t>GuestReady, a service for #Airbnb hosts, doubles down on Europe with another acquisition #travel #RealEstate</t>
  </si>
  <si>
    <t>PMI Premium Services</t>
  </si>
  <si>
    <t>Done!!! Love the new deck. #deck #sunbathıng #relax #BBQ #vacationrental #airbnb #vrbo @ Fort Lauderdale, Florida — in Fort Lauderdale, FL, United States</t>
  </si>
  <si>
    <t>Davie, FL</t>
  </si>
  <si>
    <t>We provide premier residential, commercial, and association property management in the Fort Lauderdale, FL area</t>
  </si>
  <si>
    <t>Done!!! Love the new deck. #deck #sunbathıng #relax #BBQ #vacationrental #airbnb #vrbo @ Fort Lauderdale, Florida</t>
  </si>
  <si>
    <t>Indulge Magazine</t>
  </si>
  <si>
    <t>Making Good Friday weekend plans? Check out these Airbnb Homes for the perfect getaway @Airbnb @Airbnb_in #GoodFriday #Airbnb  via @TheIndulgeMag</t>
  </si>
  <si>
    <t>Chennai, India</t>
  </si>
  <si>
    <t>A weekly #lifestyle #magazine @NewIndianXpress that celebrates the hippest events, places &amp; people in #Chennai, #Hyderabad, #Bengaluru, #Kochi and #Coimbatore</t>
  </si>
  <si>
    <t>E. Marshall</t>
  </si>
  <si>
    <t>Remember that family that found a hidden livestream camera in their #Airbnb Here's how to sweep your next vacation rental for such nuisances. Stay in a real hotel, and not somebody's "house." #WednesdayWisdom</t>
  </si>
  <si>
    <t>Regrets, lessons and advice from a wasted life. A loser's Journey.</t>
  </si>
  <si>
    <t>Hotel-grade bed sheets and toiletries are perfect amenities to add a bit of luxury to your #airbnb. #NestAngel #hospitality #london</t>
  </si>
  <si>
    <t>It may be crazy out there, but you might have what it takes to dive into becoming an Airbnb host #HereForYou #General #Business #USA #Jobs #Airbnb #Host</t>
  </si>
  <si>
    <t>In our #garden #today #butterfly #nature #beautiful #sopretty #casadelosviajeros #puertomorelos #stepstothebeach Link in bio #puertomorelos #mexico #youshouldbehere #casadelosviajeros #vacationrental #airbnb #vrbo #homeaway #doyoutravel #travelandlife #traveldeeper #trave…</t>
  </si>
  <si>
    <t>The Dubrovnik Times</t>
  </si>
  <si>
    <t>Are you an #Airbnb freak or an old-school package holiday lover?  #croatia #travel #Vacations</t>
  </si>
  <si>
    <t>Dubrovnik, Croatia</t>
  </si>
  <si>
    <t>News and views from #Dubrovnik, Croatia. The first English language newspaper in #Croatia Instagram - https://instagram.com/dubrovnik_times #dutimes</t>
  </si>
  <si>
    <t>Verdmont dolce vita</t>
  </si>
  <si>
    <t>Beautiful springtime smell the blossoms #piemonteturismo #nature #acquiterme #verdmontacquit #hotels #airbnb</t>
  </si>
  <si>
    <t>Italy</t>
  </si>
  <si>
    <t>Wine, food, people, culture, la dolce vita. Verdmont is a comforting relaxing space in the heart of Unesco hills. Welcome all.</t>
  </si>
  <si>
    <t>John Ellison</t>
  </si>
  <si>
    <t>Hey #Norwich property people! Want to make 30% better returns renting out your property on @Airbnb? Check out  and submit your details to get an estimate for how much you can earn with your property. #propertyinvestor #airbnb #local #property</t>
  </si>
  <si>
    <t>Norwich, England</t>
  </si>
  <si>
    <t>Learning to love like Jesus. Working to solve real human problems. I'm a digital product designer and entrepreneur passionate about crafting social change.</t>
  </si>
  <si>
    <t>In our #garden #today #butterfly #nature #beautiful #sopretty #casadelosviajeros #puertomorelos #stepstothebeach Link in bio #puertomorelos #mexico #youshouldbehere #casadelosviajeros #vacationrental #airbnb #vrbo #homeaway #doyoutravel #travelandlife…</t>
  </si>
  <si>
    <t>Sierra J.</t>
  </si>
  <si>
    <t>Cheers to hosts worldwide celebrating SuperHost status this quarter! 🎉 We are 'Super' proud to be celebrating this badge for our 9th quarter in a row! #airbnb #Superhost</t>
  </si>
  <si>
    <t>Tiny house living by the beach. Lover to @theonlywhit. Boxer mom. AirBnB host &amp; traveler. Trying seek discover &amp; follow my own path. Knotty. AS Warrior.</t>
  </si>
  <si>
    <t>Harvard Research: When Airbnb Listings in a City Increase, So Do Rent Prices  #SHUTthemDOWN #vanre #housingcrisis #airbnb #bcpoli #vanpoli</t>
  </si>
  <si>
    <t>Manchester Radio</t>
  </si>
  <si>
    <t>The last human. #Manchester #performers #LiveMCR #Manc #LiveMusic #poets #singers #BandsManchester #Uber #Airbnb #Instagram #Snapchat #Bitcoin #iPad #Kickstarter #Pinterest #AppStore…</t>
  </si>
  <si>
    <t>Manchester UK</t>
  </si>
  <si>
    <t>*Burger Station: The opposite of http://ManchesterRadio.Online - burger stations are superficially ‘local’ but are not'</t>
  </si>
  <si>
    <t>Sherri Simpson</t>
  </si>
  <si>
    <t>I traveled across Canada from BC to NS using AirBnB. It’s an amazing way to stay all over the world. If you don’t have an account, I recommend you create one. #airbnb #travel #home #stay #aroundtheworld</t>
  </si>
  <si>
    <t>Upper Tantallon, NS</t>
  </si>
  <si>
    <t>Guided to help others determine their innate strengths &amp; talents and use them to create a life &amp; business they love. 🇨🇦🦋🌏⛺️🦅 #freedom #loa</t>
  </si>
  <si>
    <t>Clive Robinson</t>
  </si>
  <si>
    <t>I love travelling #airbnb fab apartment in Chemnitz for only £45 a night!!</t>
  </si>
  <si>
    <t>Lewisham, London</t>
  </si>
  <si>
    <t>Opera lover from Monteverdi to Birtwhistle but huge fan of Handel, Wagner and Janacek. retired HIV+ non detectable and proud! love to travel. Liberal Democrat</t>
  </si>
  <si>
    <t>#Airbnb finally agreed to pay tax in #Vancouver - “In the housing realm of sub-one-per-cent vacancy rates, this tax is kind of like using cigarette taxes to pay for lung cancer treatments.” -- Andy Yan @Ayan604 Vancouver Sun, Feb. 8, 2018</t>
  </si>
  <si>
    <t>Trust but verify your #Airbnb! ‘4 Ways To Tell If There Are Hidden #Cameras In Your Airbnb ‘Security experts share how to find a hidden camera -- or protect yourself if you suspect one.</t>
  </si>
  <si>
    <t>#iRUN_int</t>
  </si>
  <si>
    <t>international Account from @iRUN_de #iRUN #iRUN_int #IhrRepräsentiertUnsNicht New german campaign against politicians - bundle the left-wing protests</t>
  </si>
  <si>
    <t>Nikki C</t>
  </si>
  <si>
    <t>Use my @Airbnb guide, to make a lot of money fast: #money #Entrepreneur #Entrepreneurship #airbnb #sidehustle #Expert</t>
  </si>
  <si>
    <t>Kiwi living in SA. Journalism and Creative Writing Degree Holder. Business and Fiction Writer</t>
  </si>
  <si>
    <t>Shane Mc Allister</t>
  </si>
  <si>
    <t>What sort of sorcery is this? The download (and upload) speed of my #airbnb in #Malaga - simply blistering! I won't be happy back home!</t>
  </si>
  <si>
    <t>Ireland (or travelling)</t>
  </si>
  <si>
    <t>Founder and Director of Possibilities at MobaNode</t>
  </si>
  <si>
    <t>Paulo Arsénio</t>
  </si>
  <si>
    <t>Alvor</t>
  </si>
  <si>
    <t>Bryer</t>
  </si>
  <si>
    <t>#Airbnb Just Bought #HotelTonight  via @CNTraveler</t>
  </si>
  <si>
    <t>Iowa, USA</t>
  </si>
  <si>
    <t>GQ Insider #Activist #Politics #equality #environment #Animals #mentalhealth #Resist #FBR #Lifestyle #Health #Trends #Products #Fashion #Reviews #Travel</t>
  </si>
  <si>
    <t>Visit Okinawa Japan -Four Seasons  #okinawa #japan #Tourism #travel #airbnb #pocketalk</t>
  </si>
  <si>
    <t>TheWhiteHouseStVincent</t>
  </si>
  <si>
    <t>We have a new swimming pool! #stvincent #Caribbean #airbnb #holiday #swimmingpool #luxury</t>
  </si>
  <si>
    <t>Saint Vincent and the Grenadin</t>
  </si>
  <si>
    <t>Premium airbnb</t>
  </si>
  <si>
    <t>Coffee is always provided at Holiday Scottsdale. Book your stay to enjoy all the comforts of home, away from home. #Vrbo #Airbnb #Hotcoffee #Morningcoffee #vacationrental</t>
  </si>
  <si>
    <t>Dublin Rental Investigator</t>
  </si>
  <si>
    <t>Looks like it's going to get dirty in the run up to the new Short-Term Lettings ( @Airbnb ) regulations. I hope media outlets feature stories from the people who suffer because of short-term lets and that's the neighbours of such. #RaiseTheRoof #airbnb</t>
  </si>
  <si>
    <t>Highlighting #Dublin #RentalCrisis #LeosIreland #RaiseTheRoof #BanBunks #Overcrowding</t>
  </si>
  <si>
    <t>Hospitality Masterclass: 16 Tips to Create an Outstanding Guest Experience  #airbnb @airbnb</t>
  </si>
  <si>
    <t>Today we are welcoming our first post-reno Airbnb guests! Want to be as groovy as they are? Click the link in our bio for more info! #airbnb #soundsgroovyobx #oldnagsheadcove #beachhouse…</t>
  </si>
  <si>
    <t>it-soft GmbH</t>
  </si>
  <si>
    <t>‘Land Lordz’ Service Powers Airbnb Scams — Krebs on Security #airbnb #CyberSecurity #infosec #scammers</t>
  </si>
  <si>
    <t>München, Bayern</t>
  </si>
  <si>
    <t>IT system house with own #datacenter over 20 years. We specialise in #itsecurity #software-development #itconsulting #hosting #housing #domain #outsourcing</t>
  </si>
  <si>
    <t>Coveted #SantaMonica Canyon home just steps from the #beach, this 2-story 3bed/2bath offers rooftop #views and a generous #outdoorliving space! Puppers not included.🐶 $2.18m #dealoftheday #airbnb #investmentproperty #WednesdayMotivation #losangeles #LA #realestate #homesweethome</t>
  </si>
  <si>
    <t>Kip Boyle</t>
  </si>
  <si>
    <t>#Cybercriminals act like our #competitor: #cybercrime is often automated so it can scale and allow anyone to #attack us with great skill...  #ceo #cio #cto #ciso #cyberriskmanagement #airbnb</t>
  </si>
  <si>
    <t>Husband and dad. Cyber Risk Strategist. Former CISO. There is no bad weather; just inappropriate clothing...</t>
  </si>
  <si>
    <t>She 🌸</t>
  </si>
  <si>
    <t>Please recommend good Airbnb’s in Durban.. #GirlTalkZA #airbnb</t>
  </si>
  <si>
    <t>a laugh here and there. possibly meet some cool people. learn some new things. and just - relax •</t>
  </si>
  <si>
    <t>Attending a wedding? Checking out a summer camp for your kids? Visiting Monticello or James Monroes Highland? Taking a trip to see Charlottesville? And the most important question of them all.. Don't know where to stay? #airbnb #bookdirect #booking.com #homeaway #vrbo</t>
  </si>
  <si>
    <t>Alan Day</t>
  </si>
  <si>
    <t>All you #animal lovers, this one's for you. #Airbnb now has rentals on animal #sanctuaries. Get up close to #llamas, #horses, #goats an more.  #travel #vacations</t>
  </si>
  <si>
    <t>Tucson, Arizona</t>
  </si>
  <si>
    <t>Retired AZ rancher, always a cowboy, and steward of the land, horse lover, animal lover, author, lifelong U of A Wildcat</t>
  </si>
  <si>
    <t>Andy Larin</t>
  </si>
  <si>
    <t>Scammers who target #Airbnb users have a new software-as-a-service tool at their disposal: “Land Lordz,” an all-in-one management interface for a network of lodging and vacation rental scams/phishing pages. #cybersecurity</t>
  </si>
  <si>
    <t>Kingston, ON, Canada</t>
  </si>
  <si>
    <t>Co-Founder and Business Technology Consultant at @allCareIT</t>
  </si>
  <si>
    <t>Sophie Sweatman</t>
  </si>
  <si>
    <t>quick access from Cornwall to Faro, lovely #airbnb then short drive to beautiful #Tavira with Portuguese sparkling wine on top beside the river (before lunch). @ The Black…</t>
  </si>
  <si>
    <t>Falmouth, England</t>
  </si>
  <si>
    <t>Self employed at Sweet Sound PR (no sweat), A&amp;R and PR for Aardvark Records and Sophie's Spring Board Show. Likes 2 tweet but not message with strangers</t>
  </si>
  <si>
    <t>Home Sharing Breathes Life into Underdeveloped #Athens Neighborhoods  #Greece #travel #trends #tourism #airbnb #homesharing #ttot</t>
  </si>
  <si>
    <t>Kate Bunker</t>
  </si>
  <si>
    <t>Best. Such a lovely #airbnb #tamworth #holiyay</t>
  </si>
  <si>
    <t>Librarian working for @ALIANational ... worrier. Private account/own views etc</t>
  </si>
  <si>
    <t>First of the bluebells are out too #comfortcottagehealing #visitwales #dogfriendly #TheDogsWithMe #alpacas #ArtsWales #SunDogs #Airbnb #yell RT @ruthwignall: The sights... and smells of #spring! Wonderful wild #garlic! xx</t>
  </si>
  <si>
    <t>GuestBook</t>
  </si>
  <si>
    <t>40 Property Management &amp; Hospitality Companies For 2019  #airbnb #vacationrental #airbnbhost</t>
  </si>
  <si>
    <t>From Host to Hospitality Rockstar in a few easy steps. http://bit.ly/2tLaACP #GUESTSAREGOLD</t>
  </si>
  <si>
    <t>Westoneastkeene</t>
  </si>
  <si>
    <t>Looking forward to spring and summer. The perfect place to be is in the Adirondacks. #westoneastkeene #Adirondacks #airbnb #superhost #ADK RT @WhitefaceNY: Who's ready for sunny days on the river?</t>
  </si>
  <si>
    <t>keene N.Y.</t>
  </si>
  <si>
    <t>Amidst spectacular panoramic mountain views we have 3 homes on 30 secluded acres in the High Peaks region of the Adirondacks</t>
  </si>
  <si>
    <t>Benjamin Carr, Ph.D. 🐟🏞️🧬🌎👨🏻‍💻🌊🐕</t>
  </si>
  <si>
    <t>#InfoSec Handlers Diary Blog - How to Find Hidden #Cameras in your #AirBNB</t>
  </si>
  <si>
    <t>Minnesota, USA</t>
  </si>
  <si>
    <t>Marine #Ecology &amp; #BioInfo #Scientist Frmr @NOAA #SGKnauss @mitseagrant @AAAS @NSFGK12 @BUPardeeCenter @whoi @ael_osu @nyseagrant REU PhD:@BU_GRS UG:@CornellCAL</t>
  </si>
  <si>
    <t>hugoburet</t>
  </si>
  <si>
    <t>#airbnbfail Guest declares that our alarm motion sensor is a camera, alerts Airbnb and our account is suspended. Guest review states (falsely) a camera in the unit and Airbnb refuses to remove it. Airbnb overprotects their guests to the detriment of hosts. #airbnb #airbnbhosting</t>
  </si>
  <si>
    <t>San Francisco</t>
  </si>
  <si>
    <t>Business Development @Flipboard dealmaker and kitesurfer</t>
  </si>
  <si>
    <t>GO-Cottage</t>
  </si>
  <si>
    <t>Excited to be the first #AirbnbPlus in #beautiful #LakePlacid. Book it for your #spring #vacation NOW!   #bookit #vacationrental #pureadk #upstateny #skitrip #cozy #cottage #gocottage #airbnb #wintergetaway #LakePlacidSkiResort</t>
  </si>
  <si>
    <t>Lake Placid, NY</t>
  </si>
  <si>
    <t>Bungalow Vacation Rental in Lake Placid, NY. Featured in Country Living, Domino and HGTV's Small Space Big Style</t>
  </si>
  <si>
    <t>Informed Voting</t>
  </si>
  <si>
    <t>Lawsuit in Brooklyn alleges tenant harassment, illegal #Airbnb rentals</t>
  </si>
  <si>
    <t>Do more than just vote, get involved ! Sharing news about community organising projects and political campaigns in New York. A project of @ProgressNewYork.</t>
  </si>
  <si>
    <t>Green Man Cottage</t>
  </si>
  <si>
    <t>Look what arrived in the post today! An addition to the Green Man Cottage keyring. #airbnb #thanks #holiday #explore #valeofbelvoir #shortbreak #eastofengland</t>
  </si>
  <si>
    <t>Redmile NG13 0GB</t>
  </si>
  <si>
    <t>Beautiful 4* self catering holiday cottage. Sleeps 4. Set in the glorious Vale of Belvoir.</t>
  </si>
  <si>
    <t>Here's a little preview of our second pod, the Wenlock. The perfect hideaway, with a hot tub. Book through Airbnb via our website  #glamping #luxuryglamping #glampingpods #visitshropshire #shropshire #shropshirehills #airbnb #muchwenlock #glampinguk</t>
  </si>
  <si>
    <t>Michael Fung</t>
  </si>
  <si>
    <t>#HongKong #TravelTips: There might be #hostel with fake descriptions, fake reviews &amp; fake reservations. #WanChai #CausewayBay #Jordan #Dorms #Scam #booking #agoda #airbnb #vacation #guesthouse #solotravel #backpacker #holiday #홍콩여행 #skyscanner #reise #香港 #ฮ่องกง #wanderlust</t>
  </si>
  <si>
    <t>Hong Kong</t>
  </si>
  <si>
    <t>A Hong Kong resident shares mainly about HK #hktravel . Actively tweet from Nov 2018. My Instagram: https://www.instagram.com/mfung2019/</t>
  </si>
  <si>
    <t>Bryan David</t>
  </si>
  <si>
    <t>"In order to scale, you have to do things that don’t scale " - @mastersofscale #startups #airbnb #scaling #Entrepreneur @Airbnb</t>
  </si>
  <si>
    <t>I'm a full-stack developer who spends my days listening to DnD podcasts and wishing I were playing.</t>
  </si>
  <si>
    <t>IHG Owners Assn</t>
  </si>
  <si>
    <t>For European hoteliers, GM mentoring and #airbnb are top of mind, according to the new Pres. of the European Hotel Managers Assoc.(EHMA).</t>
  </si>
  <si>
    <t>Association representing owners and operators of more than 3,500 InterContinental Hotels Group branded hotels worldwide</t>
  </si>
  <si>
    <t>Saigon's bustling nightlife in Bui Vien street Just 5 mins by Taxi to get there if you stay in Travelline Vietnam. Booking here  #airbnb #cozystudio #hochiminhcity #buivienwalkingstreet #vietnam #travel #hochiminh #travellinevietnam</t>
  </si>
  <si>
    <t>Modish Living</t>
  </si>
  <si>
    <t>Make your guests with children feel like they are well taken care of in your home with these tips. #modishliving #livingroom #airbnb</t>
  </si>
  <si>
    <t>Hove, England</t>
  </si>
  <si>
    <t>UK's leading Reclaimed &amp; Sustainable furniture boutique, based in Sussex #handcrafted #britishmade #reclaimed 12 months 0% APR interest free credit 01273 49905</t>
  </si>
  <si>
    <t>A Greene Brand</t>
  </si>
  <si>
    <t>Add some life to your home or #airbnb Shop our Kitchen Refresh Sale – 30% Off Tabletop + Bags | 20% Off Wall Art all day today until 11:59PM PT  #agreenebrand #creativityconnects #caribbeaninspired #artprints #society6</t>
  </si>
  <si>
    <t>Trinidad and Tobago</t>
  </si>
  <si>
    <t>Where Creativity Connects. A boutique creative company delivering timeless graphic design &amp; art visuals 🎨🇹🇹#agreenebrand #creativityconnects #art #graphicdesign</t>
  </si>
  <si>
    <t>"We wouldn’t be without our channels now." Read what @EcoChicCottages had to say about their use of #socialmedia in our recent article...  #holidayhome #holidays #holidaylets #airbnb #holidayrental</t>
  </si>
  <si>
    <t>Dr. Stuart Woolley</t>
  </si>
  <si>
    <t>Airbnb is a disease and must be regulated. #Profiteering, #tax evasion, and the decimating of the #rental market are reason enough to legislate against this opportunism. “#Airbnb hosts urged to contact politicians to ask for a 'grace period' in new laws”</t>
  </si>
  <si>
    <t>Software Developer, Occasional Author, and Composer. Personal opinions here only. Likes Maths, Loves .</t>
  </si>
  <si>
    <t>Burt Blackarach</t>
  </si>
  <si>
    <t>Dropping a lil knowledge on a @beadjforaday student. Class is always in session!! #beadjforaday . . . . . . . . . . #djlesson #djclass #djlessons #dj #djs #djtings #realdjs #airbnb #airbnbexperiences #la #losangeles...</t>
  </si>
  <si>
    <t>Beverly Hills, CA</t>
  </si>
  <si>
    <t>Grammy-Winner | Airbnb Entertainer #BeADJForADay #Unshazamble | DJ | Composer | Producer of Public Enemy, Redman, Method Man &amp; more info@quintessentialpr.com</t>
  </si>
  <si>
    <t>Property Investor Today</t>
  </si>
  <si>
    <t>GuestReady acquires #Airbnb management company BnbLord</t>
  </si>
  <si>
    <t>Property Investor Today (PIT) is a leading provider of online news for property investors and landlords. See also http://www.landlordtoday.co.uk / @Landlord_Today</t>
  </si>
  <si>
    <t>Sunrise Villa Guest House of Jamaica</t>
  </si>
  <si>
    <t>We now offer ganja farm tours.  #VisitJamaica #jamaica #TravelTuesday #ochorios #kingson #negril #montegobay #dunnsriverfalls #airbnb #airbnbexperiences #ecotourism #nyc #Paris #travelblogger #Trending #marijuana #Farmers #joysecolodge #germany #berlin</t>
  </si>
  <si>
    <t>Tours https://abnb.me/feRwBOHbYT https://abnb.me/SZsAiHKbYT</t>
  </si>
  <si>
    <t>Richard</t>
  </si>
  <si>
    <t>#Airbnb urged hosts to contact politicians to ask for a 'grace period' in new laws #Dublin #HousingCrisis #InsideAirbnb</t>
  </si>
  <si>
    <t>More of an autumn chicken by now. Head of Search &amp; Display Advertising @Tinderpoint. Lecturer @WeAreTUDublin, @DMacademyIRL &amp; @itimestraining. Views my own</t>
  </si>
  <si>
    <t>Channel View</t>
  </si>
  <si>
    <t>New book deconstructs the ‘sharing’ marketing narratives surrounding Airbnb and similar platforms, furthering the ongoing discussion about the social sustainability of city tourism  #airbnb</t>
  </si>
  <si>
    <t>We publish titles on tourism studies as Channel View Publications. We also like bunnies and cake.</t>
  </si>
  <si>
    <t>Flamingos eat by filtering water through their beaks to get their food. They hold those hooked beaks upside down to do this. But first, they use their feet to stir up the mud, so they're able to filter the muddy water for their food! ✨ #airbnb #propertymanagement #factoftheday</t>
  </si>
  <si>
    <t>:)</t>
  </si>
  <si>
    <t>Don’t book your Airbnb without using this $55 referral coupon code! Click the link down below for your first $55 🗺✈️ Airbnb discount now! Please DM me if you have any issues. #airbnb #airbnbcode #airbnbdiscount #airbnbpromo #airbnbfree</t>
  </si>
  <si>
    <t>LA/ ----Trying to live life with no regrets</t>
  </si>
  <si>
    <t>Cosmetic Bathrooms</t>
  </si>
  <si>
    <t>Does your Bathroom need a facelift ?  . . . . . #cosmeticbathrooms #makeover #afforablebathrooms #hotels #airbnb #shower #dublin #ireland #loveyourbathroom #shampoo…</t>
  </si>
  <si>
    <t>Dublin</t>
  </si>
  <si>
    <t>Affordable Bathroom Renovations.</t>
  </si>
  <si>
    <t>The latest image from the GowerLive #webcam on the roof 730RocksMumbles #AirBnB. Book at  #Mumbles #Swansea #Gower #travel. Watch live at  #756</t>
  </si>
  <si>
    <t>Nikkei Asian Review</t>
  </si>
  <si>
    <t>Airbnb begins to recover in Japan, a year after crackdown. #Airbnb #roomsharing</t>
  </si>
  <si>
    <t>The latest headlines from the Nikkei Asian Review. We tell untold stories about Asia, from Asia.</t>
  </si>
  <si>
    <t>As a brother, making your sister happy is one of the best feeling in the world. So sweet of Mr. Sanny to book our place for his sister as a gift!👨‍👩‍👧‍👦 #AIRBNBsuperhost2x #AIRBNB #bestplaceindxb #dreamdtravels #UAEDUBAI #dubaistay #dubaimarina #dubailuxuryapartment #bestviewindubai</t>
  </si>
  <si>
    <t>Did you kow that we offer #vegan and #glutenfree options for the #health concious crowd? Our aim is to create healthy food habits. Eat #healthy...be healthy👌 #maisonvie #london #kilburn #nw6 #frenchcafe #frenchbakery #frenchrestaurant #ICMP #airbnb #londonfoodie #londonfood</t>
  </si>
  <si>
    <t>HouseboatRotterdam</t>
  </si>
  <si>
    <t>For the 7th time in a row #airbnb #Superhost #ilovemyguests #ThankYou</t>
  </si>
  <si>
    <t>Rotterdam, Nederland</t>
  </si>
  <si>
    <t>Beatiful original ship from 1937 in the center of Rotterdam. Come and stay over! http://abnb.me/EVmg/UUMvWeRV6C</t>
  </si>
  <si>
    <t>Survey: Malaysians want regulations for short-term rental industry #myedgeprop #airbnb</t>
  </si>
  <si>
    <t>Penthouse sea view 144 m2 two bedshttps://www.airbnb.jp/rooms/2999683  via Twitter Web Client #airbnb</t>
  </si>
  <si>
    <t>Sleep with style. Book your city trip holiday in this beautiful city.  #hotel #ljubljanastay #airbnb #filippalace #ljubljanastay #booking #centerstay #ljubljana</t>
  </si>
  <si>
    <t>Credit Card Compare</t>
  </si>
  <si>
    <t>Hack your way to more $$$ and points! We partnered with @Airbnb to take a look at how hosting 🏡can boost your income AND your points balance 💰 👉  #airbnb #airbnbhost</t>
  </si>
  <si>
    <t>We are on a mission to connect you with credit cards that will improve your life. Compare 100's of credit cards in Australia.</t>
  </si>
  <si>
    <t>Julu</t>
  </si>
  <si>
    <t>Already thinking of #SkiSeason2020 Don't forget the Laundry Ladder to #dryyourwetclothes Off the floor and out of the way #skichalet #ski2020 #skiholidays #airbnb #skiing #mountains #accommodation</t>
  </si>
  <si>
    <t>Herefordshire, UK</t>
  </si>
  <si>
    <t>Introducing the Laundry Ladder clothes airer, choose Bunty or Doris. Off the floor and out of the way. A beautiful piece of practical furniture UK designed.</t>
  </si>
  <si>
    <t>Make sure to visit us today to have a look at our new drinks menu.🥃🍹🍸🍷☕🍵 Iced tea Iced coffee Ice cream and coffee Mocktails Fresh juice Hot drinks #maisonvie #london #kilburn #nw6 #frenchcafe #frenchbakery #frenchrestaurant #airbnb #londonfoodie #londonfood #londoncafe</t>
  </si>
  <si>
    <t>Nexcloudz - Airbnb Clone</t>
  </si>
  <si>
    <t>Nexcloudz - Airbnb Clone... Buy Now:  call: 7667298398 For demo Mail: support@nexcloudz.com #airbnb #airbnbclone #airbnbscript #ecommercescript #developmentscript #grouponclone #nexcloudz #aircloudairbnb #usa #carrentalsapp #boatrentalsapp #petrentalsapp</t>
  </si>
  <si>
    <t>We are providing best AirCloud - Airbnb Clone at Cheap Price. Grab it soon.</t>
  </si>
  <si>
    <t>Guests from Hong Kong #airbnb #farmstay #guesthouse #kumamoto</t>
  </si>
  <si>
    <t>Boostly - Mark Simpson</t>
  </si>
  <si>
    <t>"If you take a look at the linked website, they have advertised their superhost status on AirBnB and used similar photos."  #SocialMedia #Scotland #Marketing #Hotels #Airbnb #Edinburgh #Airbnbnews #Hotelmarketing #Boostly #Bedandbreakfast</t>
  </si>
  <si>
    <t>Stockton-on-Tees, England</t>
  </si>
  <si>
    <t>I help hospitality owners get more Heads on Beds, Boost Their Direct Bookings and Get More Time Back In the Day 🚀 #ThinkificAmbassador</t>
  </si>
  <si>
    <t>Running in early morning in my city is so beautiful. #WakeupRoma#wakeupnigeria #airbnb #runningcommunity #wakeup</t>
  </si>
  <si>
    <t>Jean-Pierre PALAZO</t>
  </si>
  <si>
    <t>Where are you #GAFA #Airbnb, #Alibaba, #Amazon, #Apple, #Facebook, #Google, #LinkedIn, #Microsoft, #Netflix, #Twitter, #Uber, #Yahoo. Your donations for rebuilding #NotreDame? "brick and mortar" companies #kering #lvmh #total #loreal are significantly more generous than you!</t>
  </si>
  <si>
    <t>PARIS   FRANCE</t>
  </si>
  <si>
    <t>Cadre Principal à XXXXX Rattaché aux Ressources Humaines du siège social. MBA de Leiceister University UK Diplomé de SUP de CO Poitiers</t>
  </si>
  <si>
    <t>Muse Comunicazione</t>
  </si>
  <si>
    <t>Airbnb officially owns HotelTonight (Approfondisci con #digitalFoodMarketing )  #hotellerie #airbnb ufficialmente owner di @HotelTonight</t>
  </si>
  <si>
    <t>Progettiamo esperienze digitali funzionali: idee in movimento per la tua PMI online. Autore e Curatore Hoepli Editore.</t>
  </si>
  <si>
    <t>Get ready for another fun festival in Tokyo. Book your stay in #Tokyo with us now here #AIRBNB :  #familytravel #travel #japan RT @TimeOutTokyo: Catch the koinobori carp streamers at Tokyo Tower.</t>
  </si>
  <si>
    <t>First Time Airbnb 💲55 coupon promo referral code :) Get your discount credit on your first trip Click the link NOW 💸💸💸—-&gt;✈️ #airbnb #airbnbcode #airbnbdiscount #vacation #trips #travel #getaway</t>
  </si>
  <si>
    <t>Great tips in how to manage your suitcases while checking in or out of your lodging place. Time to book your stay in Tokyo with us here #AIRBNB :  #familytravel #travel #japan RT @LIVEJAPANGuide: Nobody wants to take suitcases through #Tokyo's crowded streets! So how to handle bags while in Japan? 🧳 Here we share pro tips on what to do with your luggage when you're in town!  #traveltips</t>
  </si>
  <si>
    <t>No time to visit other cool places in Japan. Do not worry in Tokyo you can still enjoy regional traditions. Book your stay now with us here #AIRBNB :  #familytravel #travel #japan RT @TimeOutTokyo: Where to experience regional Japanese cultures in Tokyo.</t>
  </si>
  <si>
    <t>Sari Van Tendeloo</t>
  </si>
  <si>
    <t>People of @tomorrowland : Looking for something better than a tent to sleep in? Complete your full madness experience! 👇🏽  #tml #tomorrowland2019 #airbnb #fullmadness #personaldriver #antwerp</t>
  </si>
  <si>
    <t>Belgium, Antwerp</t>
  </si>
  <si>
    <t>"I'm an Antwerp girl, it may take some getting used to." Dream Chaser. Girl Boss. Solo Company Lawyer. Co-founder of AJJA. Traveller. Geek</t>
  </si>
  <si>
    <t>#HappyWednesday! When you stay at Bed&amp;Stay, you can enjoy of a wonderful neighborhood full of restaurants and wonderful cherry trees. Book your stay here: #AIRBNB :  #familytravel #travel #japan</t>
  </si>
  <si>
    <t>What is truly sad about #AirBnb and #uber in SA, is that we in SA are not building our own peer to peer models and apps to support the uprising of the working class, providing 1000's of jobs. RT @DeanMacpherson: Let’s be clear, this is nothing more than the government trying to protect big business (hotels) at the expense of entrepreneurs and small business owners trying to enter into the tourism sector. This crazy legislation will drive up hotel room prices and put off tourists!</t>
  </si>
  <si>
    <t>HiBump</t>
  </si>
  <si>
    <t>Here are 10 travel apps to help you find your way when traveling, get a real-time notification about the weather, traffic and hotel deals  #travelapps #travelerapps #travel #aroundtheworld #googletrips #airbnb #skyscanner #flight #hoteldeals #hibump</t>
  </si>
  <si>
    <t>Shinjuku-ku, Tokyo</t>
  </si>
  <si>
    <t>The coolest way to meet travelers/locals around the world. We are launching in the next few weeks! Yay!</t>
  </si>
  <si>
    <t>Happiness to receive another 5/5 stars review from our last guests, Robert and his wonderful family from UK 😍 Book here:  *** #denmark #ireland #irish #sweden #norway #Bali #holiday #vacation #Norwegian #finland #germany #berlin #Airbnb #Superhost #Travel</t>
  </si>
  <si>
    <t>Patti Alonzo REMAX 200</t>
  </si>
  <si>
    <t>For Sale Beach Condo $172,000 in Cocoa Beach!! #beachlife #surfers #oceanlife #oceanlifestyle #cocoabeach #capecanaveral #nasa #airbnb #canada #brazil #china #uk #spain #summer…</t>
  </si>
  <si>
    <t>Realtor,Buying &amp; Selling</t>
  </si>
  <si>
    <t>El Davies</t>
  </si>
  <si>
    <t>Book this @Airbnb villa in #Thailand:  #airbnb #HolidayRental #VacationRental #rentals</t>
  </si>
  <si>
    <t>ประเทศไทย</t>
  </si>
  <si>
    <t>Business at the front, party at the back! I'm a freelance writer/social media manager &amp; play in the great outdoors. Blog @el_overboard | Instagram @elsterdavies</t>
  </si>
  <si>
    <t>andes_str</t>
  </si>
  <si>
    <t>Professional Airbnb management. For the best, by the best. #airbnb #RealEstate #Toronto</t>
  </si>
  <si>
    <t>Airbnb management company in Toronto! We are a professional management company, founded by Bay Street professionals. Our mission: make you money!</t>
  </si>
  <si>
    <t>In Indiana, a residential home is an illegal hotel on Airbnb which boards up to 62 people, now Hammond city have had enough and filed a lawsuit #airbnb #illegalhotel #unlicencedhotels #indiana #2030Stanton #str #ota #travel #touri…</t>
  </si>
  <si>
    <t>There's rules and then there's freaky, wacky, insane vacation house rules...  #airbnb #rentals</t>
  </si>
  <si>
    <t>OmahaRealEstate .com</t>
  </si>
  <si>
    <t>There's rules and then there's freaky, wacky, insane vacation house rules...  #airbnb #rentals @realtordotcom</t>
  </si>
  <si>
    <t>Nebraska, USA</t>
  </si>
  <si>
    <t>From historic areas to the ultra-hip, Omaha offers homes for sale, entertainment, recreation, and shopping for every taste. Omaha welcomes all. CBSHome</t>
  </si>
  <si>
    <t>MissCrayon 🌊🇺🇸</t>
  </si>
  <si>
    <t>Brooklyn tenants sue landlord, allege harassment, no heat and illegal #Airbnb rentals #housing</t>
  </si>
  <si>
    <t>#Muslim #Jewish #Christian #Black #White #Latino #Asian #LGBT #Climate #Prochoice #SocialSecurity #Disability #Healthcare #MeToo #education #resistance</t>
  </si>
  <si>
    <t>Ranaldo Forbes</t>
  </si>
  <si>
    <t>Planning a #vacation to #Jamaica? I would highly recommend booking with Omar. Spectacular cozy condo located in New Kingstone - Security, gated, pool and gym on property. #Tripadvisor #airbnb #travel</t>
  </si>
  <si>
    <t>Turks and Caicos Islands</t>
  </si>
  <si>
    <t>📍Turks and Caicos Islands | ✈️ #Travel | ☄ Luxury Lifestyle | 💨 Cigars | 😎 Island guy</t>
  </si>
  <si>
    <t>4ELEVEN - ホスエ</t>
  </si>
  <si>
    <t>My #AirBNB has some interesting house rules 🤷🏻‍♂️</t>
  </si>
  <si>
    <t>Austin/Houston, Texas USA</t>
  </si>
  <si>
    <t>Texan. DNB, Grime &amp; KPop Dj. 🐶dad. Photographer. Houston Sports. Once #Twice Texas to Tokyo 🇺🇸⛩🇺🇸</t>
  </si>
  <si>
    <t>In South Africa, unregistered accommodation establishments marketed through Airbnb, should face the same regulation as the official tourism sector. #SA #tourism #airbnb #worldtravel #holidays #travel #ota #booking #vacation #illegalhotels #unlicencedhotel</t>
  </si>
  <si>
    <t>Large 5Star #Florida #vacationhome with prival pool on #Airbnb Tropical #TommyBahama style - #VRBO April 16, 2019 at 10:00PM</t>
  </si>
  <si>
    <t>Kris Happe</t>
  </si>
  <si>
    <t>Not all heroes wear capes. #Superhost!  #Airbnb Come stay with us!</t>
  </si>
  <si>
    <t>Gifted child &amp; family advocate, Presenter, GT Consultant, 30 yr Educator, founder of http://KrisHappe.Com (FB, Twitter, web) &amp; co-founder of Bright Spotting</t>
  </si>
  <si>
    <t>30A HomeAway specializing in Remote Owner  Mgt</t>
  </si>
  <si>
    <t>Getaway to where it feels like home #30ahomeaway #30ahomeawayrentals #vrbo #airbnb #Evolve #noplacelike30a #30agetaway #30atribe #vacationgoals #Vacation #vacationrental #dayson30a #southwaltongetaway #SouthWaltonbeaches #homeawayfromhome #32459</t>
  </si>
  <si>
    <t>South Walton, 30A</t>
  </si>
  <si>
    <t>30A is our home, our company's integrity &amp; attention to details make us who we are and proud to be a part of this beautiful community we called home,30AHomeAway</t>
  </si>
  <si>
    <t>Bethany Khan</t>
  </si>
  <si>
    <t>This is why i don’t F with #AirBnB. // 4 Ways To Tell If There Are Hidden Cameras In Your Airbnb - HuffPost</t>
  </si>
  <si>
    <t>🌵Las Vegas foodie via Minneapolis, MN &amp; NYC. Director of Communications &amp; Digital Strategy / Spox for @Culinary226. ✊🏾Decolonizer.</t>
  </si>
  <si>
    <t>Could this be where my wicked heart sleeps? ◇⠀ #cabin #airbnb #jk #lilshack #hauntedhouse #ghosts #ghoststories #writelife #halloween #vibes</t>
  </si>
  <si>
    <t>Bray Hill House</t>
  </si>
  <si>
    <t>So Happy with our new @eMotorWerks JuiceBox Pro. The OS Functionality is amazing and enables sharing with our guests through @ev_match. #vacationrental #airbnb #vrbo #visitnh #jeffersonnh RT @eMotorWerks: Nice JuiceBox installation, @brayhillhouse. Having #EV charging on site is a great amenity for rental guests. #HappyGuest</t>
  </si>
  <si>
    <t>Jefferson, New Hampshire</t>
  </si>
  <si>
    <t>Private vacation retreat in the heart of New Hampshire, sleeps 6. The perfect family mountain getaway. #NatureLovers #EnjoyTheView #WhiteMountains</t>
  </si>
  <si>
    <t>robert balina</t>
  </si>
  <si>
    <t>JUST RENTED 🏠 3BD 2.5BA #Airbnb House in #Fremont near #DumbartonBridge #Tesla #Facebook Lease Rate @ $210 per Day by #teamsynergize @ Fremont, California</t>
  </si>
  <si>
    <t>silicon valley</t>
  </si>
  <si>
    <t>how do i let 7 billion people know that real estate is fun and easy? http://www.RobertBalina.com</t>
  </si>
  <si>
    <t>DETOX BODY, SKIN AND MIND</t>
  </si>
  <si>
    <t>When you walk into your beautiful #airbnb #bungalow and find this beautiful message from your host! 💕🤗💕🤗💕🤗 . When renting an Airbnb rental, you might have the opportunity to stay in a…</t>
  </si>
  <si>
    <t>Elmont, NY</t>
  </si>
  <si>
    <t>Family comes 1st! Proud Wife, Mother &amp; Grandma! Enjoy Cooking, TV/Movies, Boxing, Music, BeachBody, Yoga &amp; Skincare! Enjoying all of God's blessings💜</t>
  </si>
  <si>
    <t>$55 AIRBNB COUPON CODE 💵❤️✈️❤️💵 Here’s your chance for a free credit coupon discount and codes to travel for FREE. Click the link NOW. Please DM me if you have any issues. #airbnb #airbnbcode #airbnbdiscount #airbnbpromo #airbnbfree</t>
  </si>
  <si>
    <t>That is perfect #comfortcottagehealing #visitwales #dogfriendly #TheDogsWithMe #alpacas #ArtsWales #SunDogs #Airbnb #yell RT @ruthwignall: The end of a beautiful day... #sunset #weather #WeatherForecast</t>
  </si>
  <si>
    <t>Keycafe Italia</t>
  </si>
  <si>
    <t>Keycafe Offers Key Exchange Services in Edinburgh  #keyexchange #airbnb #vacationrental #propertymanagement</t>
  </si>
  <si>
    <t>Rome, Lazio</t>
  </si>
  <si>
    <t>La tua soluzione completa per gestire la tua proprietà e le chiavi Gestisci le tue chiavi in remoto con la funzione opzionale di verifica foto ID in tempo reale</t>
  </si>
  <si>
    <t>Advisr</t>
  </si>
  <si>
    <t>Renting your place on Air BnB? Make sure you're covered.  #airbnb #insurance #holiday</t>
  </si>
  <si>
    <t>Advisr connects people with the right insurance broker. #insurtech #insurance #fintech</t>
  </si>
  <si>
    <t>The master bedroom at Tanglewood Cabin. Perfect for sleeping in or for just relaxing! Picture by: 1:16 Media #boone #airbnb #homeaway</t>
  </si>
  <si>
    <t>Brad Terhune</t>
  </si>
  <si>
    <t>They canceled our #airbnb last minute, and @willemterhune got jabbed in the eye by an elderly woman on plane. Otherwise, LA’s alright. @ Kimpton Hotel Wilshire</t>
  </si>
  <si>
    <t>New Jersey, USA</t>
  </si>
  <si>
    <t>Artist/teacher based in northern NJ. See more on Etsy, Tumblr, Flickr, and the link below. Interested in opportunities to exhibit work &amp; collaborate.</t>
  </si>
  <si>
    <t>AMY</t>
  </si>
  <si>
    <t>💲55 FREE AIRBNB DISCOUNT CODE 💸. Here’s your chance for a free credit coupon and codes to travel for FREE. Click the link NOW. Please DM me if you have any issues. #airbnb #airbnbcode #airbnbdiscount #airbnbpromo #airbnbfree</t>
  </si>
  <si>
    <t>AMY CREDIT GIRL</t>
  </si>
  <si>
    <t>taygo.com</t>
  </si>
  <si>
    <t>Read about the lifestyle advantages of owning a home in our latest blog! #homeloans #mortgages #california #lifestyle #airbnb #sharedownership #losangeles #sanfrancisco #sanjose #oakland #Fremont #stockton #tracy #berkeley #alameda #taygo</t>
  </si>
  <si>
    <t>Shvntiii_👑</t>
  </si>
  <si>
    <t>A group full of tourists just rolled up in my driveway looking for their #airbnb 😂😂😂 they lucky this ain’t the hood.</t>
  </si>
  <si>
    <t>Miami 🌴☀️</t>
  </si>
  <si>
    <t>Memoirs Of An Imperfect Angel</t>
  </si>
  <si>
    <t>Kevin Wang</t>
  </si>
  <si>
    <t>I made significant UI updates to my #blog! Inspired by #airbnb's #design blog #UI. What do you think? #react #reactjs #gatsby #UIUX #selftaught #coding #bouldering #climbing #coffee #webdevelopment</t>
  </si>
  <si>
    <t>Queens, NY</t>
  </si>
  <si>
    <t>Jazz guitarist 🎸, Rock Climber 🧗‍♂️, &amp; Coffee Nerd ☕️🤓 from Palo Alto. I 💙 React ⚛️. 🥜s + ☕️ = my fuel...</t>
  </si>
  <si>
    <t>Michael Kruzil</t>
  </si>
  <si>
    <t>How to Find Hidden Cameras in your AirBNB  #cybersecurity #privacy #airbnb</t>
  </si>
  <si>
    <t>Indiana, USA</t>
  </si>
  <si>
    <t>IT professional, MSCSIA, CEH, CHFI • Interests: cybersecurity, photography, and ice hockey</t>
  </si>
  <si>
    <t>NEW BLOG POST ALERT: Are you a #vacationrental host committed to providing safe &amp; secure stays for your guests? If the answer is yes, shout about it! Some good ways to do so over on our #blog:  #Airbnb</t>
  </si>
  <si>
    <t>First Time Airbnb $55 coupon promo referral code :) Get your discount credit on your first trip Click the link NOW ❤️💲❤️—-&gt;✈️ #airbnb #airbnbcode #airbnbdiscount #vacation #trips #travel #getaway</t>
  </si>
  <si>
    <t>American consumers spent more on #Airbnb #travel than on Hilton #hotels last year</t>
  </si>
  <si>
    <t>Check us out...and then check in!  #networking #ASUITEC #accommodations #tandemjumping #skydiving #SkydivePerris #AdventuresHotAirBalloon #ShortTermRental #hospitality #Airbnb #HomeAway #FabStayz #VRBO...</t>
  </si>
  <si>
    <t>ActionLock&amp;Key</t>
  </si>
  <si>
    <t>Smart Locks for Airbnb Hosts. #airbnb</t>
  </si>
  <si>
    <t>Burlington, Mass</t>
  </si>
  <si>
    <t>Action Lock &amp; Key, Inc. has been providing professional locksmith services to businesses in and around the Boston Metro area for nearly 50 years.</t>
  </si>
  <si>
    <t>The stripes on this #vintagetrailer are so mesmerizing. See them? #spot77 #realestate #airbnb</t>
  </si>
  <si>
    <t>Race Traitor</t>
  </si>
  <si>
    <t>- Builder donations may be banned, Operative word, MAY! If true it will be fantastic. Doubt anything real, whole city of LA and @ericgarcetti owned by Real Estate/Developer interests. They don’t even enforce own established limits on #Airbnb.</t>
  </si>
  <si>
    <t>Treason to Whiteness is loyalty to Humanity' Social justice activist, Outraged by the U.S. and Israel a daily basis. #BDS #HealthcarenotWarfare</t>
  </si>
  <si>
    <t>Don’t do hotels. Have freedom with an Airbnb! Sign up with the coupon link below to receive a $55 💸🗺 discount code with your first Airbnb. Please DM me if you have any issues. #airbnb #airbnbcode #airbnbdiscount #airbnbpromo #airbnbfree</t>
  </si>
  <si>
    <t>lemme drive da boat 🎨</t>
  </si>
  <si>
    <t>#AIRBNB sucksssssss . Worst customer service ever and yes I’m mad @Airbnb @AirbnbHelp</t>
  </si>
  <si>
    <t>Charlotte, NC</t>
  </si>
  <si>
    <t>22 yrs young , somewhere smokin a blunt</t>
  </si>
  <si>
    <t>Opulent Autonomy, LLC</t>
  </si>
  <si>
    <t>Are you attending the #47thAnnualHangGlidingSpectacularandAir Show in the #OBX? Check out #Airbnb for a place to stay while you're there!</t>
  </si>
  <si>
    <t>Creating financial freedom through the love of travel and hosting!</t>
  </si>
  <si>
    <t>Colossal Consulting P/L</t>
  </si>
  <si>
    <t>Airbnb says sorry after man detects hidden camera with network scan #beware #privacy #airbnb #readthefineprint</t>
  </si>
  <si>
    <t>Melbourne, Victoria</t>
  </si>
  <si>
    <t>Colossal Consulting provides specialised IT and internet advice and assistance to local small business</t>
  </si>
  <si>
    <t>dalia</t>
  </si>
  <si>
    <t>San Franciscans: I have few more spots left for my challah baking #Airbnb #experience this Thursday and would love to have you join :)</t>
  </si>
  <si>
    <t>Strategist, designer, writer | @Princeton alum, formerly @DeloitteStrapOp @DoblinGlobal @C4Edge. Tweets on happiness, curiosity, working less, innovation</t>
  </si>
  <si>
    <t>REVIEW TIME! The Boat House is fabulous. Stylish, spacious, clean, well equipped. Lots of white fluffy towels, crisp good quality bedlinen and comfy beds! Wonderful views towards Southwold and the harbour... #Suffolk #holidaycottage #Walberswick #Airbnb</t>
  </si>
  <si>
    <t>Senator Liz Krueger</t>
  </si>
  <si>
    <t>A perfect example of the need for tougher tenant harassment laws, like S.2605 awaiting Gov's signature, as well as ongoing need to crack down on illegal short-term rentals facilitated by platforms like #Airbnb.</t>
  </si>
  <si>
    <t>New York State Senator representing Manhattan's Midtown and East Side communities. Chair, Senate Finance Committee.</t>
  </si>
  <si>
    <t>Condo above the Saigon River puts the city at your feet. 📸 @roselan_c Visit Us at  to learn how to profit from investment properties that you don't even need to own. #airbnb #vacationrental #luxurylisting</t>
  </si>
  <si>
    <t>FREE 💲55 AIRBNB COUPON CODE 💵⚠️. Here’s your chance for a free credit coupon and codes to travel for FREE. Click the link NOW. Please DM me if you have any issues. #airbnb #airbnbcode #airbnbdiscount #airbnbpromo #airbnbfree</t>
  </si>
  <si>
    <t>TheblueheronB4</t>
  </si>
  <si>
    <t>In case you needed a reason to love Pensacola Beach! #backyard #sunset #whitesandybeaches #pensacolabeach #rentme #airbnb #backyard #GulfCoast #florida #TravelTuesday #LinkInBio #waves</t>
  </si>
  <si>
    <t>Pensacola, FL</t>
  </si>
  <si>
    <t>Be our guest on Pensacola Beach! AIRBNB hostess with the mostess! https://abnb.me/wGrRfWhoAV</t>
  </si>
  <si>
    <t>The Sincerest Realist Show</t>
  </si>
  <si>
    <t>Ppl who wait till the last minute 2 book an #AIRBNB, hotel, #rentalcar or #flights.. give me hives. If u don't make arrangements ahead of time, u could not only miss out on a great deal or a room altogether. Most #hotels &amp; rental cars offer pay later &amp;amp; flex #cancellation policies</t>
  </si>
  <si>
    <t>OFFICIAL Twitter of The Sincerest Realist Show also a #1 Best-Selling Author/Show Host/Hungry Actor/Pro Squirrel Chaser</t>
  </si>
  <si>
    <t>Prof Alex Paraskevas</t>
  </si>
  <si>
    <t>After the recent #airbnb revelation, it would be worth being cautious also in #hotels #hospitality #Security #riskmanagement RT @_MikeHurst: Can you detect hidden cameras in hotel rooms? [VIDEO]</t>
  </si>
  <si>
    <t>Professor in Strategic Risk Mgmt at the University of West London. Researching human rights and cybersecurity risks in the hospitality and tourism industry</t>
  </si>
  <si>
    <t>Coffee Cups and Wanderlust</t>
  </si>
  <si>
    <t>We booked an amazing apartment for rent using #Airbnb in the Azores for less than a hotel room! Use this link for $40 off your first trip using   #TravelTuesday</t>
  </si>
  <si>
    <t>Minneapolis, MN, USA</t>
  </si>
  <si>
    <t>Mark &amp; Kris Kuhn. Wanderlusters, photographers and coffee lovers - sharing our unique travels, photography, travel tips, and how we make money online​.</t>
  </si>
  <si>
    <t>Don’t book your Airbnb without using this $55 🗺❤️💵 referral coupon code! Click the link down below for your first $55 Airbnb discount now! Please DM me if you have any issues. #airbnb #airbnbcode #airbnbdiscount #airbnbpromo #airbnbfree</t>
  </si>
  <si>
    <t>Tips for listing on Airbnb. Visit  #bnb #photography #instagram #travelphotography #travelling #hospitality #apartment #tourism #retreat #airbnblife #homeawayfromhome #luxuryhomes #sunset #vacationrentals #beautifuldestinations #explore #ig #airbnb #travel</t>
  </si>
  <si>
    <t>AYP Rentals</t>
  </si>
  <si>
    <t>Ready for a One in a Minion experience? Check out this beautifully appointed themed 2 bedroom near Disney. . . . . #vacationrental #vacation #travel #instatravel #airbnb #travelgram #airbnbexperience #airbnbhost...</t>
  </si>
  <si>
    <t>Miami Beach</t>
  </si>
  <si>
    <t>Experience the freedom of our Vacation Rentals in Miami Beach, Aventura, and Sunny Isles Beach &amp; Orlando, Florida. Book a condo and SAVE!</t>
  </si>
  <si>
    <t>A,D8 Winchester</t>
  </si>
  <si>
    <t>Simple, striking and elegant. No. 20 North View's 1 of 3 bathrooms has this gorgeous bath with retro chequed flooring, a deep window and alternative towel radiator. 😍 #Winchester #AirBnB #Winchesteraccommodation #bookdirect #holidayproperty #uktravelideas #uktravel</t>
  </si>
  <si>
    <t>Winchester, England</t>
  </si>
  <si>
    <t>Furnished Holiday Lets for short breaks and long stays in Winchester.</t>
  </si>
  <si>
    <t>NY Times Travel</t>
  </si>
  <si>
    <t>#airbnb experiences, walking tours and social travel apps like @Tourlina can help you safely meet people while traveling.</t>
  </si>
  <si>
    <t>Travel news and features from around the world.</t>
  </si>
  <si>
    <t>Art House</t>
  </si>
  <si>
    <t>The Art House an #Airbnb in New Orleans, #AlgiersPoint just two blocks from the #Frenchquarter via ferry.  The Algiers ferry is a beautiful way to see #NOLA from the Mississippi River. #visitneworleans #neworleanspictures #traveldeals</t>
  </si>
  <si>
    <t>Art House, full of light, color and art, just two blocks from the beautiful French Quarter via the Algiers ferry in New Orleans. Artist Ginger Joyner Attala Art</t>
  </si>
  <si>
    <t>What even is #Airbnb anymore? As they gear up for their IPO, many are wondering whether the #vacation rental #travel site is becoming something else</t>
  </si>
  <si>
    <t>ᕼEᑕTOᖇ ᒪᑌIᔕ ᗩᒪᗩᗰO</t>
  </si>
  <si>
    <t>still don’t get how a government can pass a law that basically bans boycotting, even boycotting a foreign government #Israel #WestBank #airbnb #BDS</t>
  </si>
  <si>
    <t>Chicago to Vegas</t>
  </si>
  <si>
    <t>Latchkey kid. Ghetto nerd. Host of #RememberTheShow! 🏴✊🏾🇺🇸✊🏻🚩The Gram: HectorLuisAlamo El Face: https://www.facebook.com/hectorluisalamo/ #read #laugh</t>
  </si>
  <si>
    <t>$55 ❤️💚💸💚💸💚❤️ Airbnb code coupon promo discount first. $55 OFF CLICK LINK NOW! Try it. Please DM me if you have any issues. #airbnb #airbnbcode #airbnbdiscount #airbnbpromo #airbnbcoupon</t>
  </si>
  <si>
    <t>#Austin #TX #Airbnb Great location, awesome for families, groups, reunions, business travel, pets! Austin #Travel" @airbnb</t>
  </si>
  <si>
    <t>This Friday catch us at thedentheatre for airbnbconcerts_chi . . . .tix in bio . . . #attackthesound #airbnb #concert #show #band #chipop #conquest #beret #blackjoy #jazz #pop #rnb…</t>
  </si>
  <si>
    <t>#airbnb or #hotelsuite for a family of four four a few nights... #Decisions</t>
  </si>
  <si>
    <t>Our restaurant has daily, local specials and a variety of smoothies.  ☎ 2682 5201 📧livinghotelnosara@gmail.com #Nosara #Guanacaste #CostaRica #Beach #Surf #Vacations #Retreat #Yoga #Hotel #Tourism #LivingHotelNosara #Airbnb #Booking #Expedia</t>
  </si>
  <si>
    <t>💲55 AIRBNB COUPON CODE 💚💵✈️💵💚 Here’s your chance for a free credit coupon discount and codes to travel for FREE. Click the link NOW. Please DM me if you have any issues. #airbnb #airbnbcode #airbnbdiscount #airbnbpromo #airbnbfree</t>
  </si>
  <si>
    <t>We act like this is a joke now but... #airbnb #hipsters #gentrification #sodosopa</t>
  </si>
  <si>
    <t>☘️Dale Thompson☘️</t>
  </si>
  <si>
    <t>Funny how other apps like #Bumble #Uber and #Airbnb has you to verify who you really are by valid photo ID and working phone #’s but Twitter says fuck it because they care more about inflated users with fake profiles than actually running a clean and conscious business 🤔</t>
  </si>
  <si>
    <t>Toronto 🇨🇦</t>
  </si>
  <si>
    <t>Creator of some pretty cool things. Lucid daydreamer and tech geek. My ambitions outweigh my talent, my talent exceeds my conformity. Lover of UX/UI/AI/Branding</t>
  </si>
  <si>
    <t>HeartFuse</t>
  </si>
  <si>
    <t>AirBandMe is a company by us in partnership with photographer @VenicePeach. For the last 6 months, we've been visiting homes around Northern Ireland - helping them get their #Airbnb listings up to scratch. Visit our site &amp; see what we can do for you!</t>
  </si>
  <si>
    <t>We are a Creative Media Network. Some of our companies include : @GlitterSignal | @SugarWires | @ChorusWave and @AirBandMe.</t>
  </si>
  <si>
    <t>Tomorrow's renters may need purpose-built rentals, but today's sure don't. It takes years to build new stock. Today's renters need an #STR crackdown on illegal #AirBNB hotels. Bylaw enforcement is simple, cheap, and effective. #vanre #airbnb .@ptfry .@kennedystewart RT @7leninvan: Doubling down on Vision program = best CoV can do for renters, say @kennedystewart &amp; @sadhuajohnston Billions in unearned income will remain in asset holders' pockets as city endowment funds &amp;amp; progressive property tax tools remain fallow #VanRE #vanpoli</t>
  </si>
  <si>
    <t>Don’t do hotels. Have freedom with an Airbnb! Sign up with the coupon link below to receive a $55 ✈️❤️💵 discount code with your first Airbnb. Please DM me if you have any issues. #airbnb #airbnbcode #airbnbdiscount #airbnbpromo #airbnbfree</t>
  </si>
  <si>
    <t>#Airbnb officially owns HotelTonight #travel #RealEstate</t>
  </si>
  <si>
    <t>Alexander Bagrationi</t>
  </si>
  <si>
    <t>Some days are still available for this spring #airbnb #tbilisi #georgia #art #studio #techno #wine #bidzina</t>
  </si>
  <si>
    <t>Tbilisi, Moscow</t>
  </si>
  <si>
    <t>Communications expert, producer, proud father and architecture junky</t>
  </si>
  <si>
    <t>Dana ♏ Tedesco</t>
  </si>
  <si>
    <t>Yikes @ReedSandraK! #airbnb #homesharing #livestream of your #springbreak!</t>
  </si>
  <si>
    <t>North Center, Chicago</t>
  </si>
  <si>
    <t>Travel Expert; City Dweller; Food Lover; Art Enthusiast; Coupon Clipper; Twoosh Queen; Possessor of Enhanced Senses: High on Life! 💚🌱 Go Green!</t>
  </si>
  <si>
    <t>CapeTalk on 567AM</t>
  </si>
  <si>
    <t>#Airbnb "Competition is only feared by the weak and hotels are showing that instead of adapting, they are supporting draconian regulations that will destroy a lot of jobs in the economy. " - Unathi Henama, Lecturer - TUT department of tourism management</t>
  </si>
  <si>
    <t>We're on the AM band - find us on 567 medium wave, DStv channel 885 or download the APP. Call us now on 021 446 0567 or voice-note us on WhatsApp 072 567 1567.</t>
  </si>
  <si>
    <t>Gauteng, South Africa</t>
  </si>
  <si>
    <t>Join the Conversation... Listen on 92.7FM in Joburg or 106FM in Pretoria</t>
  </si>
  <si>
    <t>Stunningly beautuful part of Wales #comfortcottagehealing #visitwales #dogfriendly #TheDogsWithMe #alpacas #ArtsWales #SunDogs #Airbnb #yell RT @ruthwignall: This part of the world... #snowdonia.. beautiful! Just arrived here.. in the dark.. can’t wait to get out there tomorrow! Xx</t>
  </si>
  <si>
    <t>Would getting rid of Airbnb solve Toronto's housing crisis?  Should investors and rental property pros look more closely at the short term rental market? #airbnb #shorttermrentals #rentals #vrbo #vacation #Toronto #Miami #SanFrancisco #LasVegas #Phoenix</t>
  </si>
  <si>
    <t>CottonwoodCreekCabins</t>
  </si>
  <si>
    <t>Alpine, TX</t>
  </si>
  <si>
    <t>Vacation rentals and wedding venue south of Alpine TX. Find Cottonwood Creek Venues on Facebook.</t>
  </si>
  <si>
    <t>Don’t book your Airbnb without using this 💲55 ✈️💸 referral coupon code! Click the link down below for your first 💲55 Airbnb discount now! Please DM me if you have any issues. #airbnb #airbnbcode #airbnbdiscount #airbnbpromo #airbnbfree</t>
  </si>
  <si>
    <t>Military Crashpad is a military housing company that provides: fully furnished properties, premium amenities, no out of pocket costs for service members on TDY, on call staff, and community events. #crashpad #crashlife #miltwitter #airbnb #airforce #militarylodging #airbnb</t>
  </si>
  <si>
    <t>WegbreekSA - Trots Suid Afrika</t>
  </si>
  <si>
    <t>Consider listing your accommodation also at  it's like an #Airbnb service. Just cheaper.</t>
  </si>
  <si>
    <t>WegBreekSA vir lekke tye op die langpad, oornag akkommodasie, of sommer net selfsorg vakansie verblyf ⛱🏞🏜🏖🏕🗻 http://vakansieakkommodasie.co.za</t>
  </si>
  <si>
    <t>YoungDumbCrypto</t>
  </si>
  <si>
    <t>Bitrefill Now Lets You Pay for Airbnb Rentals With 5 Cryptocurrencies .  . #Airbnb #Crypto #Blockchain</t>
  </si>
  <si>
    <t>Share Crypto Everywhere 💸📈 Youtube - Twitter - Twitch - Steemit - Facebook - Marketing .</t>
  </si>
  <si>
    <t>Card Not Present®</t>
  </si>
  <si>
    <t>Real-Time Risk Mitigation On Airbnb  May 22 at 3PM @Airbnb #CNPExpo #airbnb #RiskManagement</t>
  </si>
  <si>
    <t>Norwalk, CT</t>
  </si>
  <si>
    <t>News, Education and Events Decoding Digital Payments and Fraud #ecommerce #onlinepayments #fraud #digital #cnpexpo #cardnotpresent</t>
  </si>
  <si>
    <t>Still think a host liability policy is enough insurance for your vacation rental? Watch this video and remember free does NOT equal correct 😱 #KnowTheFacts #TuesdayThoughts #airbnb #insurance #vrbo #bookdirect #vacationrental #vacationrentalowner #video</t>
  </si>
  <si>
    <t>Cals-List</t>
  </si>
  <si>
    <t>Alexandria, VA</t>
  </si>
  <si>
    <t>Hey everyone I have open space on both my 12pm and 4pm our Tour this weekend. Were like the post office, come rain, sleet or snow the tour will go on!! . . . . #visitrichmond #RVA #airbnbexperience #airbnb #Scottsaddition #</t>
  </si>
  <si>
    <t>Greek Gov’t Considers Allowing Municipality Say-so in #Airbnb Policies  @VisitGreecegr #travel #Greece #tourism #ttot</t>
  </si>
  <si>
    <t>Ivan Madrigal M</t>
  </si>
  <si>
    <t>Would you like to rent a great AirBnB house in Jaco beach. Contact me now using the info on my profile #traveldeals #airbnbcoupon #costaricaexperts #costaricalife #descubrecr #descubrecostarica #travel #costarican #thisiscostarica #costarica #airbnb #puravida #airbnbexperien…</t>
  </si>
  <si>
    <t>San Jose, Costa Rica</t>
  </si>
  <si>
    <t>ivan Madrigal,in Costa Rica,save money advicer,Contact Skype: Dragontico. A hard worker in #crgurus,survived accidents,new entrepreneur,engineer,likes traveling</t>
  </si>
  <si>
    <t>Would you like to rent a great AirBnB house in Jaco beach. Contact me now using the info on my profile #traveldeals #airbnbcoupon #costaricaexperts #costaricalife #descubrecr #descubrecostarica #travel #costarican #thisiscostarica #costarica #airbnb #pur…</t>
  </si>
  <si>
    <t>anne kosmicki</t>
  </si>
  <si>
    <t>We ran away again this weekend to the best #airbnb ever: @clover_cabin. Seriously, if you are ever near Raleigh, stay here. . . . #clovercabin #pittsboro #keeppittsboroweird #rabbitrun #oddco #vacation</t>
  </si>
  <si>
    <t>atlanta</t>
  </si>
  <si>
    <t>listening, paying attention, learning. always making.</t>
  </si>
  <si>
    <t>WANT YOUR FREE AIRBNB? Here’s your chance for a free credit coupon and codes to travel for FREE. Click the link NOW. Please DM me if you have any issues. #airbnb #airbnbcode #airbnbdiscount #airbnbpromo #airbnbfree #ThursdayMotivation</t>
  </si>
  <si>
    <t>HotelTonight and Airbnb Finalize Acquisition  #airbnb</t>
  </si>
  <si>
    <t>‘Land Lordz’ Service Powers #Airbnb Scams - #Scammers who make a living swindling Airbnb customers have a powerful new tool at their disposal. Read more at  #servicedapartments #servicedapartmentnews</t>
  </si>
  <si>
    <t>BenvAZA</t>
  </si>
  <si>
    <t>Should the likes of #Airbnb be regulated in SA? The public has 60 days to comment #SATourism  via @Fin24</t>
  </si>
  <si>
    <t>ZA</t>
  </si>
  <si>
    <t>Casual Hero, Freelance astronaut, Legend in his own backyard. Tweets on Finance, Business, Startups, Mega Projects / Sports events, other topics.</t>
  </si>
  <si>
    <t>Visio Lending</t>
  </si>
  <si>
    <t>Check out the Top 5 Most Landlord Friendly States on the #VisioBlog:  *Hint: Texas is #1 #interestrates #mortagebrokers #residentialbroker #commercialbroker #mortgage #finance #realestate #investments #investor #landlord #airbnb #rental #propertymanagement</t>
  </si>
  <si>
    <t>Fast. Simple. Dependable. Rental loans for single-family properties. Great thinking!</t>
  </si>
  <si>
    <t>#Airbnb in #Chicago - An Airbnb-addicted operator confesses: the mad profits are just too lucrative to resist.</t>
  </si>
  <si>
    <t>Guardian Security Systems</t>
  </si>
  <si>
    <t>Bit of video action of the Omnitec, working on a retro fit front door of a hotel. @omnitecsystems #hotels #airbnb #holidayrentals #accesscontrol (sorry for the angle…</t>
  </si>
  <si>
    <t>We have a wealth of expertise and experience, a long established company that has proven to deliver. The company is based in Bristol, UK.</t>
  </si>
  <si>
    <t>53% of #Airbnb guests are sensitive to price. Is your #marketing strategy addressing the needs of dynamic pricing? There’s a simpler way to ensure your listing is a favourite among guests. DM or Tweet @MyAngelHost to know more. #vacationrental</t>
  </si>
  <si>
    <t>Fu</t>
  </si>
  <si>
    <t>I've booked a nice hotel in Uluwatu, but unfortunately I ain't going, so I would like to give away hotel voucher for 2 nights on the 19th and 20th, Just hit me up if you are interested. #Giveaways #Bali #vacation #free #airbnb #accommodation</t>
  </si>
  <si>
    <t>Jakarta</t>
  </si>
  <si>
    <t>Miss Amaya Ray</t>
  </si>
  <si>
    <t>Days after filing a formal complaint with #Airbnb, I have just received a response. @Airbnb is a neglectful company. During my stay in Portland, I found a camera in my host loft and @Airbnb seems to think that surveillance cameras are acceptable. Time to hire a lawyer.</t>
  </si>
  <si>
    <t>meetmissamaya@gmail.com #latina #curvy #Nuru #massage #companion #OrangeCounty Curvy companion, bull dog mom, stock market enthusiast, adventurous spirit.</t>
  </si>
  <si>
    <t>Check DC</t>
  </si>
  <si>
    <t>This is a very insightful read on tangible reasons why a company or organization should rebrand. Examples of companies that have rebranded and reasons why are also included.  #United #Huffpost #Instagram #Burberry #Airbnb #Apple #TNT</t>
  </si>
  <si>
    <t>We are a design agency focused on delivering unique brand and digital experiences. Start Something Today</t>
  </si>
  <si>
    <t>"However, what if it was something crafted by a local artist which would be unique and not something found in most gift shops?"  #artist #keepsake #handcrafted #Airbnb</t>
  </si>
  <si>
    <t>Chris Wicker</t>
  </si>
  <si>
    <t>Passionate Servant Leader - Love the Engagement, Motivation, and Drive to Support the #Success of Others.</t>
  </si>
  <si>
    <t>$55 ❤️💚💙💜🧡💵💲💸✈️🗺⚠️ Airbnb code coupon promo discount first. $55 OFF CLICK LINK NOW! Try it. Please DM me if you have any issues. #airbnb #airbnbcode #airbnbdiscount #airbnbpromo #airbnbcoupon #ThursdayMotivation</t>
  </si>
  <si>
    <t>Apartment Budapest</t>
  </si>
  <si>
    <t>Apartment Budapest @starssuite @starssuite #starssuite #tripadvisor #Vacances #airbnbjj #LikeForLikes #airbnb #Booking #homeaway #holidays @TripAdvisorDE @TripAdvisor @airbnb_ru @airbnb_de @themal @sauna BOOK NOW!!!  …</t>
  </si>
  <si>
    <t>Budapest Center Erzsebetvaros</t>
  </si>
  <si>
    <t>Apartment in the center of Budapest for rent one day or more ,info: starssuite@gmail.com</t>
  </si>
  <si>
    <t>More pressure on #CANADIAN #sovereignty! 2 dozen firms based in #Duabai #UAE all with thousands of LIKES are posting every week! Is this #unfair #competition to #candidates who are already CANADIAN #citizens?  #PPC2019 #DollardDesOrmeaux #canpoli #Airbnb</t>
  </si>
  <si>
    <t>Am I doing this right? ◇⠀ ⠀ #selfie #mornings #writersofinstagram #writelife #airbnb #travel #vibes #writing #stories #goingmad with #wonder</t>
  </si>
  <si>
    <t>Aurora Views</t>
  </si>
  <si>
    <t>Book your "Easter Weekend" #GordonsBay #SouthAfrica #airbnb</t>
  </si>
  <si>
    <t>Gordon’s Bay, South Africa</t>
  </si>
  <si>
    <t>A home away from home in the #Helderberg, with stunning views of #FalseBay and the Cape Peninsula. #23auroraviews #GordonsBay #golfsa</t>
  </si>
  <si>
    <t>Manuel Pais</t>
  </si>
  <si>
    <t>My write up of @MelanieCebula's talk at @qconlondon last month: "How #Airbnb Simplified the #Kubernetes Workflow for 1000+ Engineers" @InfoQ @AirbnbEng</t>
  </si>
  <si>
    <t>DevOps and Continuous Delivery consultant focused on teams and flow. Co-author of upcoming @TeamTopologies and @ReleasabilityY books. @DevOpsLisbon co-founder.</t>
  </si>
  <si>
    <t>Be yourself and you will feel at home anywhere. #ThePethouseDumaguete #Superhost #Airbnb #Philippines</t>
  </si>
  <si>
    <t>Check out this awesome Entire condominium on Airbnb: Live Like Royalty On The Las Vegas Strip!, sleeps 5 #Vegas #LasVegas #AirBnB #NFL #NHL #Hockey #Boxing #FootBall</t>
  </si>
  <si>
    <t>First Time Airbnb 💲55 coupon promo referral code :) Get your discount credit on your first trip Click the link NOW 💸💸💸—-&gt;✈️ #airbnb #airbnbcode #airbnbdiscount #vacation #trips #travel #getaway #ThursdayMotivation #ClipperNation</t>
  </si>
  <si>
    <t>Jennifer Lynn Walker</t>
  </si>
  <si>
    <t>"More and more people are turning to Airbnb for rental income."  #montrealhomes #montrealrealestate #Airbnb</t>
  </si>
  <si>
    <t>Real Estate Broker &amp; Educator | Eco-Sensitive Living | Workshops | Published Writer | Speaker</t>
  </si>
  <si>
    <t>Addition Solutions</t>
  </si>
  <si>
    <t>Airbnb officially owns HotelTonight  #AirBnb #HotelTonight</t>
  </si>
  <si>
    <t>We are an IT Recruitment agency who specialise in all aspects of IT. We keep up with all the latest tech news as well. Give us a call on 03300242273! ☎️</t>
  </si>
  <si>
    <t>Tobias Heyer</t>
  </si>
  <si>
    <t>#Airbnb officially owns HotelTonight  via @techcrunch</t>
  </si>
  <si>
    <t>Governmental Relations Professional. @UniFAU Alumni. Passionate about France, the Greens &amp; digital innovation. Airbnb employee.</t>
  </si>
  <si>
    <t>Are you an Airbnb host looking to increase your occupancy and bring your listings to the next level? Workshop #2 of the Short-Term Accommodations Workshop Series is just for you! Visit  for more information and tickets. #Airbnb #wildlywelcoming</t>
  </si>
  <si>
    <t>Albert Bayarcal</t>
  </si>
  <si>
    <t>Check affordable listings in airbnb #Airbnb #AirnbCebu #AirbnbBooking</t>
  </si>
  <si>
    <t>Cebu City, Central Visayas</t>
  </si>
  <si>
    <t>Everything happens for a reason and purpose. Mobile:+639155958784 Viber/Skype/WeChat/Line/WhatsApp abayarcal@beresidences.com</t>
  </si>
  <si>
    <t>Michelle Milton</t>
  </si>
  <si>
    <t>.@Airbnb has had its day, I booked &amp; paid for accommodation in Bryon Bay over Easter &amp;amp; then the property cancelled the booking weeks later. There was no reason &amp;amp; no correspondence. I have a flight but there’s no accommodation available. #airbnb fails to deliver on the promise.</t>
  </si>
  <si>
    <t>Director @HighTeaSociety &amp; Digital Marketing Communications Consultant http://www.highteasociety.com</t>
  </si>
  <si>
    <t>Kieran Brown</t>
  </si>
  <si>
    <t>Anyone worried about #Quasimodo, don’t stress. He’s found himself &amp; Esmeralda some temporary accommodation on #airbnb while Erik &amp;amp; Christine are outta town in Coney Isle... @PhantomOpera #hunchback #operahouse #NotreDameCathedralFire #notredame #Paris #Phantom</t>
  </si>
  <si>
    <t>Scots actor &amp; former occasional #Phantom. Creator of @ScotsInTheCity &amp; @NightSocials #Patron of @BITA_MT &amp; @OB1Theatreco Rep - @FelixDeWolfe. Budding amateur 📸</t>
  </si>
  <si>
    <t>Maria Cox</t>
  </si>
  <si>
    <t>Few weeks ago, musicians from Chicago, last weekend, paintballers from Nebraska. People do like to come to little towns. #airbnb #hunting</t>
  </si>
  <si>
    <t>White Hall, IL</t>
  </si>
  <si>
    <t>6th generation farmer. Corn, beans, hay, cow-calf, feedlot. Illini and Purdue ag grad. @farmfutures blogger.</t>
  </si>
  <si>
    <t>Stay Worcestershire</t>
  </si>
  <si>
    <t>Book The Bewdley direct NOW! Stay at our Cosy, central, courtyard apartment just seconds away from Worcester City Centre. Perfect for a little getaway for 4! #vacation #airbnb</t>
  </si>
  <si>
    <t>Teme Valley UK</t>
  </si>
  <si>
    <t>Quality accommodation chosen for Beauty, Comfort, Style &amp; Service Worcestershire | Proud Member @WorcAmbassadors #podcast host @holidayletpod</t>
  </si>
  <si>
    <t>Peter</t>
  </si>
  <si>
    <t>hey why not get $55 AUD off your first #AirBNB booking - use this link!</t>
  </si>
  <si>
    <t>Teneriffe, Brisbane</t>
  </si>
  <si>
    <t>Passionate about technology changing business outcomes #CX #sales #SPM #CRM #Customer #digital #fintech I also enjoy economics, forex, finance and sport.</t>
  </si>
  <si>
    <t>Another lovely morning walk on the Grantham canal, just a few yards from Green Man Cottage. #holiday #swans #spring #newbeginnings #granthamcanal #shortbreak #staycation #airbnb #theholidaycottages #aroundaboutbritain</t>
  </si>
  <si>
    <t>Paradise Jamaica</t>
  </si>
  <si>
    <t>AFFORDABLE 3 BED BEACHFRONT VILLA IN DISCOVERY BAY JAMAICA office@prmsite.com  #beach #house #familyvilla #Caribbean #travel #family #homeaway #greatvalue #holiday #vacation #offer #airbnb #houserental #Jamaica #holidayhome</t>
  </si>
  <si>
    <t>Tell us about the #experience that you want during your time with us in #Jamaica and we'll work to make it happen - CREATING MORE #MEMORABLE #MOMENTS TODAY!</t>
  </si>
  <si>
    <t>AFFORDABLE 3 BED BEACHFRONT VILLA IN DISCOVERY BAY JAMAICA  #beach #house #familyvilla #Caribbean #travel #family #homeaway #greatvalue #holiday #vacation #offer #airbnb #houserental #Jamaica #holidayhome</t>
  </si>
  <si>
    <t>Kailend</t>
  </si>
  <si>
    <t>Check out our awesome #Farm stay on #Airbnb: Farm Stay at Kailend, 30mins before Kpalimé, sleeps 6 #SocEnt</t>
  </si>
  <si>
    <t>Togo • Ghana • The Gambia</t>
  </si>
  <si>
    <t>A dynamic, forward thinking social enterprise striving to ENGAGE, EMPOWER &amp; EDUCATE impoverished communities in TG•GH•GMB. #Agriculture #TVET IG &amp; FB: @ Kailend</t>
  </si>
  <si>
    <t>GTizz</t>
  </si>
  <si>
    <t>I am so disappointed by #airbnb's decision to renege on their promise to no longer list properties in Israeli settlements. It is truly immoral that they and other online tourist giants are profiting from the illegal occupation of Palestinian territories</t>
  </si>
  <si>
    <t>Nottingham, UK</t>
  </si>
  <si>
    <t>TWITTER is for Twerps</t>
  </si>
  <si>
    <t>Thanks for mentioning Fing app. Don't forget to scan with Fing when you check-in to your #vacationrental! #Airbnb RT @FastCompany: Sharpen your vigilance—or paranoia—with these tricks and tools</t>
  </si>
  <si>
    <t>4 Ways To Tell If There Are #HiddenCameras In Your #Airbnb  #TravelTuesday</t>
  </si>
  <si>
    <t>$55 Airbnb code coupon promo discount first. $55 OFF CLICK LINK NOW! Try it. Please DM me if you have any issues. #airbnb #airbnbcode #airbnbdiscount #airbnbpromo #airbnbcoupon #clippers #LouWilliams #TuesdayThoughts #TuesdayMotivation</t>
  </si>
  <si>
    <t>Josie</t>
  </si>
  <si>
    <t>When will it not be possible for #AirBnB guests to rate a stay “based on location”? You saw on the map where we’re located before opting to book. What would you like us to do, move our property closer to a desired point of interest prior to arrival for a 5th star ⭐️? #Airbnbhost</t>
  </si>
  <si>
    <t>Idaho, USA</t>
  </si>
  <si>
    <t>Born🇬🇧1983..in 2008 ✈️ to Australia 🇦🇺&amp; never went home.2015 lived in Kiribati🇰🇮.Now living in 🇺🇸 Reads books-BookCrosser (j4shaw) Drinks Tea-TeaDrinker</t>
  </si>
  <si>
    <t>Punto Informatico</t>
  </si>
  <si>
    <t>Airbnb-HotelTonight: acquisizione confermata -  #airbnb #hoteltonight</t>
  </si>
  <si>
    <t>Roma</t>
  </si>
  <si>
    <t>Tutto si trasforma: l'innovazione, ogni giorno</t>
  </si>
  <si>
    <t>The reports state that Airbnb is damaging the 'sector'. No, it is not. Visitors using Airbnb eat out, rent cars, go on tours, use transport like the Gautrain, visit attractions, shop. They BOOST the sector. @SATourismCo @Tourism_gov_za #tourism #airbnb RT @MagnusHeystek: NOW ANC WANTS TO CONTROL THE ONLY SUCCESS STORY FOR SA ECONOMY. WON'T END WELL. Government to regulate Airbnb in South Africa  via @businesstechSA</t>
  </si>
  <si>
    <t>SEON</t>
  </si>
  <si>
    <t>Scammers who make a living swindling  customers have a powerful new tool at their disposal: A software-as-a-service offering called “Land Lordz.” #SEON #airbnb #Security</t>
  </si>
  <si>
    <t>Budapest, Hungary</t>
  </si>
  <si>
    <t>At SEON, we strive to help online businesses reduce the costs, time, and challenges faced due to fraud.</t>
  </si>
  <si>
    <t>Anneiscooking/adlf</t>
  </si>
  <si>
    <t>Dear @BrianChesky #Airbnb... all your travellers com with your Company to visit our wonderful city and Notre Dame de Paris. I think you should be one of these generous person who will help us to rebuilt this 850...</t>
  </si>
  <si>
    <t>Journaliste, auteur, cuisinovore et fritologue, devenue cuisinière (http://www.anneiscooking.com)</t>
  </si>
  <si>
    <t>WEXT.in Community</t>
  </si>
  <si>
    <t>#Airbnb has completed its acquisition of the last-minute #Hotel #Booking #Application, #HotelTonight</t>
  </si>
  <si>
    <t>WEXT.in is a community of Blogger’s just started by Team of some Experienced Blogger’s. WEXT means “Walk &amp; Text“</t>
  </si>
  <si>
    <t>Japanese Inspired Concept CAPSULE Private Rooms good for 2 pax at very affordable daily rates. Sa mga nagtipid ug wa pa ka try ani, book this onw with 20% Off for the first guests. #AirbnbHost #Airbnb #AirbnbBooking #AirbnbCebu</t>
  </si>
  <si>
    <t>Family/Barkada room good 4pax In Fuente Circle Cebu at very affordable daily rates #AirbnbHost #Airbnb #AirnbCebu</t>
  </si>
  <si>
    <t>Conmurra Sanctuary and Airbnb</t>
  </si>
  <si>
    <t>Pretty magic view that. From the homestead garden, Conmurra Wildlife Sanctuary and Airbnb. . Reconnecting people with nature. #airbnb #airbnbphoto #landscapes #nature #wild</t>
  </si>
  <si>
    <t>Bathurst, New South Wales</t>
  </si>
  <si>
    <t>Conmurra Sanctuary and Airbnb is a place where you can stop, rest, breathe and recconnect with nature. Walang near Bathurst NSW Australia.</t>
  </si>
  <si>
    <t>The Africa Report</t>
  </si>
  <si>
    <t>"#Airbnb is not a threat to hotel groups" -- Hadi Moussa  @Airbnb</t>
  </si>
  <si>
    <t>The magazine for African politics, business &amp; culture. Subscribe: http://ow.ly/cCBC30eFrlj Newsletter: http://bit.ly/2eU0nsD Podcast:http://apple.co/2r1GR3F</t>
  </si>
  <si>
    <t>"What they'll save on commission may more than pay for a few hours of that personal shopper's time."  #SocialMedia #Marketing #Wine #Blog #Hotels #Airbnb #Bedandbreakfasttours #Boostly #Bedandbreakfastexperiences #Hotelmarketing #Experienceideas #Loire</t>
  </si>
  <si>
    <t>Colombiana Experience</t>
  </si>
  <si>
    <t>The Hidout!.. #ColombianaExperience #Enjoy #Adventure #Vacation #Airbnb</t>
  </si>
  <si>
    <t>Medellín, Colombia</t>
  </si>
  <si>
    <t>Colombiana Experience provides a once in a lifetime travelers experience...</t>
  </si>
  <si>
    <t>Surprising health benefits of drinking hot chocolate☕ #maisonvie #london #kilburn #nw6 #frenchcafe #frenchbakery #frenchrestaurant #ICMP #airbnb #londonfoodie #londonfood #londoncafe #londonbakery #londonrestaurant #delicious #yummy #tasty #thirsty #drink #coffee #momandbaby</t>
  </si>
  <si>
    <t>Love this #comfortcottagehealing #visitwales #dogfriendly #TheDogsWithMe #alpacas #ArtsWales #SunDogs #Airbnb #yell RT @ruthwignall: Perfect.... just perfect. #wildlife #wildlifephotography</t>
  </si>
  <si>
    <t>Kerry Harrison</t>
  </si>
  <si>
    <t>Mountains are fun! 🏔 😃 Out take from the recent Airbnb shoot up a mountain, shortly before @kendabella fell through some ice into a stream - but she kept going like a true professional 👊 . #commissionedwork #adshoot #airbnb #outdooradventure #airbnbe…</t>
  </si>
  <si>
    <t>London based photographer and director represented by @VueRepresents - delightfully northern</t>
  </si>
  <si>
    <t>Realise Live</t>
  </si>
  <si>
    <t>Fancy a sleepover with Mona Lisa? @weareamplify create experiential event at @MuseeLouvre with @Airbnb #experiential #airbnb #thelouvre</t>
  </si>
  <si>
    <t>We are a small, but mighty, award-winning #production company who believe in creating exceptional #brandexperiences for our clients.</t>
  </si>
  <si>
    <t>Mountain Octagon: nature-views-art!  via Twitter Web Client #airbnb</t>
  </si>
  <si>
    <t>Congrats, Ceri Rini! You’ve earned Superhost status four times in a row. Huge thanks to our wonderful #guest around the world 🙏🏽🥰 Book here:  *** Just reached my anniversary as a #Superhost on Airbnb!  #Airbnb #Indonesia Travel</t>
  </si>
  <si>
    <t>Capt. Gus Gustafson</t>
  </si>
  <si>
    <t>The bass are chewing. Book your May trip now while there are good available. #fishingwithgus #lakenorman #northcarolina #usa #fishing #bassfishing #bass #airbnb #picoftheday @ Fishing…</t>
  </si>
  <si>
    <t>Lake Norman, NC</t>
  </si>
  <si>
    <t>Fishing with Gus guided fishing charter trips on Lake Norman, NC. Fish for striper, bass, catfish &amp; more. Book your trip today! Call Capt. Gus at 704-617-6812</t>
  </si>
  <si>
    <t>RED DOT RENT A CAR</t>
  </si>
  <si>
    <t>Flying into Atlanta? Book your #rentalcar #airbnb #bedandbreakfast #model #follow #producers #djs #singer #photography #youtube #music #studio #spotify #businesstravel #atlantahairstylist #worldstar #fitness #like #party repost</t>
  </si>
  <si>
    <t>College Park, GA</t>
  </si>
  <si>
    <t>#Atlanta Airport Car Rental</t>
  </si>
  <si>
    <t>Last daffs standing 💪 . . #daffodils #spring #keepitwild #stmarysspace #argyll #highlands #scotland #recordingstudioscotland #recordingstudio #airbnb #weddingvenueuk #weddingvenuescotland #creativeretreat #relax #scotlandtrip #scottishscenery #scotlandisnow #nature #Travel</t>
  </si>
  <si>
    <t>Venice Condotel</t>
  </si>
  <si>
    <t>Hotel-like condo,resort-type amenities that offers great accommodation while you're in Manila,Phil. #hotels #vacationrentals #airbnb #travel</t>
  </si>
  <si>
    <t>Republic of the Philippines</t>
  </si>
  <si>
    <t>Hostel and accommodation at the Venice Luxury Residences, Manila Philippines 🇵🇭 Travel</t>
  </si>
  <si>
    <t>IoEBusiness™</t>
  </si>
  <si>
    <t>Airbnb officially now owns HotelTonight  #Airbnb #HotelTonight</t>
  </si>
  <si>
    <t>Business Tech News: #ICOs #Bitcoin #Blockchain #CryptoCurrency #Fintech #CyberSecurity #Social #Startups #AI #Gaming #Gadgets #Reviews #PR</t>
  </si>
  <si>
    <t>Giving your hunger a new #delicious option: Ham and asparagus #sandwich. Meet the new #taste today! #maisonvie #london #kilburn #nw6 #frenchcafe #frenchbakery #frenchrestaurant #ICMP #airbnb #londonfoodie #londonfood #londoncafe #londonbakery #londondonrestaurant #yummy #tasty</t>
  </si>
  <si>
    <t>Zoe</t>
  </si>
  <si>
    <t>*Link in bio* Roaming #birdlife #russellnz #marlinmaisonnz #kingimooncottage #newzealand #airbnb #auckland #roadtrip #wildlife #travel #vrbo #homeaway #bookabach</t>
  </si>
  <si>
    <t>This newly renovated apartment comprises a lovely double bed, a fully equipped kitchen and a double sofa bed in the living room, comfortably accommodating up to 4 guests ✨  #airbnb #property #propertymanagement #shortlets</t>
  </si>
  <si>
    <t>Silverpeak</t>
  </si>
  <si>
    <t>#Airbnb has completed its #acquisition of the last-minute hotel booking application, #HotelTonight, its largest #M&amp;A transaction yet. See announcement:</t>
  </si>
  <si>
    <t>Headquarters: London</t>
  </si>
  <si>
    <t>Silverpeak advises outstanding technology companies on M&amp;A and financing transactions</t>
  </si>
  <si>
    <t>techfindr</t>
  </si>
  <si>
    <t>‘Land Lordz’ Service Powers Airbnb Scams. #LandLordz #Airbnb #security #scam</t>
  </si>
  <si>
    <t>Kerry, Ireland</t>
  </si>
  <si>
    <t>Techfindr is an Irish Talent Acquisition firm within Cyber Security Industry . Cyber Security professionals where do you find them? Call us +353 68 58118</t>
  </si>
  <si>
    <t>CoinSwop🌼</t>
  </si>
  <si>
    <t>When Government Regulation kicks in...#SouthAfricanTourism #Airbnb Kwota system could place you the brothel next door🙄.</t>
  </si>
  <si>
    <t>Stand up for the underdog😏I offend, don't follow Buttercup.</t>
  </si>
  <si>
    <t>Regional Studies Association</t>
  </si>
  <si>
    <t>‘Location, location &amp; professionalization: a multilevel hedonic analysis of Airbnb listing prices &amp;amp; revenue’  Deboosere, Kerrigan, @dwachsmuth &amp;amp; @ahmedelgeneidy present the first hedonic regression model of #Airbnb to account for neighbourhood effects</t>
  </si>
  <si>
    <t>Brighton, England</t>
  </si>
  <si>
    <t>Supporting and connecting researchers and policy-makers engaged in regional analysis and research. Follows or RTs ≠ endorsements. Tweets mostly by ^Alex.</t>
  </si>
  <si>
    <t>David Spence</t>
  </si>
  <si>
    <t>Take note if you're using Airbnb !  #airbnb | #tourismlaws | #regulation | #tourism | #laws | #capetownetc | #apps | #growth | #capetown | #joburg | #southafrica | #FHASA |...</t>
  </si>
  <si>
    <t>Looking to buy or sell property in Cape Town? Call me today. Successfully selling residential property for Remax Living in the City Bowl &amp; Atlantic Seaboard.</t>
  </si>
  <si>
    <t>The latest image from the GowerLive #webcam on the roof 730RocksMumbles #AirBnB. Book at  #Mumbles #Swansea #Gower #travel. Watch live at  #159</t>
  </si>
  <si>
    <t>The South African governmet is about to regulate #Airbnb (limiting location, nights stayed, income earned, etc.).  #TheMoneyShow</t>
  </si>
  <si>
    <t>Is a #Share #Economy a fad or real (the Future)? It Depends on #SocialMedia tools - Yes? #Viralchat #Zipcar #AirBnB #Uber</t>
  </si>
  <si>
    <t>Guiding Online</t>
  </si>
  <si>
    <t>World Some Best Online Successful Platforms. #airbnb #Facebook #Uber #Alibaba #Instagram #businessmind #Entrepreneurship #entreprenuer #entrepreneurmindset #motivation #inspiring #DigitalMarketing #socialmediamarketing</t>
  </si>
  <si>
    <t>Sonipat, Haryana, India</t>
  </si>
  <si>
    <t>Expertise In Digital Marketing - SEO | PPC | SMM | SEM. We are always ready to learn. We are always ready to share our knowledge with you. I love to do this.</t>
  </si>
  <si>
    <t>#2xSUPERHOST-We are very much thankful to all our guests who made it possible for us to keep on reaching our goals. The support we are getting from all of you is totally overwhelming and you can expect to receive the best service you deserve. #AIRBNBsuperhost2x #AIRBNB</t>
  </si>
  <si>
    <t>Mpete Matsie</t>
  </si>
  <si>
    <t>Just when my #airbnb is finding its footing then boom government brings in regulations! Govt to regulate Airbnb - limiting location, nights stayed, income earned, etc.  via @Radio702</t>
  </si>
  <si>
    <t>Welkom Free State SA</t>
  </si>
  <si>
    <t>Airbnb host at Bakhuto Crib https://abnb.me/YzFfTh32NP</t>
  </si>
  <si>
    <t>Guests from France #airbnb #guesthouse #farmstay</t>
  </si>
  <si>
    <t>TheMiddleAgeWanderer</t>
  </si>
  <si>
    <t>Heading to the beautiful #GoldCoast in #Australia? We have our apartment available on @Airbnb. #travel #airbnb #thisisqueensland #queensland #accommodation</t>
  </si>
  <si>
    <t>Brisbane, Queensland</t>
  </si>
  <si>
    <t>Step outside your comfort zone✈️ Seize the day🏞️ Explore this amazing world 🌏 Life is an adventure 🌄 🏡@Airbnb Superhost📱Official @travelloapp Ambassador</t>
  </si>
  <si>
    <t>Lifestyle Cornwall</t>
  </si>
  <si>
    <t>Lambing - such a sight of happiness on our hillsides lambing #holidays #lambing #springbreak2019 #cohost #airbnb #Cornwall RT @woolismybread: Good morning from the farm on the hil. Cold winds have eased a little across the lambing fields. A misty haze of a day. Apricot sun struggles to peep through the cloud. All is well in my world. @NFUCountryside @DalesMuseum #shepherdess #lambing #spring</t>
  </si>
  <si>
    <t>South West, England</t>
  </si>
  <si>
    <t>From staffing solutions to property maintenance - we take the pressure out of running your holiday let, second home or B&amp;B</t>
  </si>
  <si>
    <t>To you also #comfortcottagehealing #visitwales #dogfriendly #TheDogsWithMe #alpacas #ArtsWales #SunDogs #Airbnb #yell RT @Theminoltakid: Good morning. Wishing you a happy Monday. Hope you have a wonderful day @ruthwignall @rachaelhxx @kelseyredmore @fiftyminus2 @itsSaraOlsen @Mandtakespics @Bluebird19273 @ColinBell2505 @huwmdavies @Hawkins65S @maria4nature @CathyTa21628333 @AlanaGr38630293 @aliowl78</t>
  </si>
  <si>
    <t>Shelton</t>
  </si>
  <si>
    <t>OMG what a tragedy here’s a pic of me looking good and feeling gorgeous at Notre Dame #dehydration #airbnb #coachellaoutfits</t>
  </si>
  <si>
    <t>that’s how they get you</t>
  </si>
  <si>
    <t>Jamie Hardy</t>
  </si>
  <si>
    <t>Do you or one of your friends need a #room to #stay in #Bristol, the #1 #Airbnb room available in #Clifton, #book now using this link:  . . . . . . . #Accommodation #CityBreak #Vacation #Travel #Trip #BBC #BRI #Triangle #Whiteladies #ParkSt #CliftonVillage</t>
  </si>
  <si>
    <t>Bristol</t>
  </si>
  <si>
    <t>Aspiring property developer &amp; entrepreneur in Clifton, Bristol... Passionate about Music and all things Information Technology... All view's are my own</t>
  </si>
  <si>
    <t>ManofTC</t>
  </si>
  <si>
    <t>I disagree with the argument with the South African tourist operators on regulating #AirBnb when their packages aren't exactly appealing to people whom like a feel of home (and closer to points of attractions) and costs in general. Bull market much?</t>
  </si>
  <si>
    <t>Aspiring Artist. Unconventional. Trying to Discover One's Self.</t>
  </si>
  <si>
    <t>Steve</t>
  </si>
  <si>
    <t>Small Business Sales and Marketing Consultant. Management Development Coach</t>
  </si>
  <si>
    <t>Mr.E</t>
  </si>
  <si>
    <t>So not only did my job fuck me over with my PTO. Now Airbnb isn't going to give me any of my money back. So Fucking sick of big greedy coorporations Fucking over us hard working poor folks. #WalMart #Airbnb — feeling annoyed</t>
  </si>
  <si>
    <t>columbus ohio</t>
  </si>
  <si>
    <t>I have a great wife and 2 great sons. I have 16 tattoos and 14 piercings. Want to know more? Just ask me.</t>
  </si>
  <si>
    <t>Kihei Condo King</t>
  </si>
  <si>
    <t>"#Uber, #Lyft, #Airbnb and #Pinterest plan to go public." “Are we going to see a one-bedroom condo that’s worth less than $1 million in five years?”  Aloha! #KiheiCondoKing #Realtor Special Agent located in #Kihei #Wailea #Maui #Hawaii serving entire Maui</t>
  </si>
  <si>
    <t>Wailea, HI</t>
  </si>
  <si>
    <t>Navy Vet, Retired NYPD Detective, Realtor, on Maui since 1996</t>
  </si>
  <si>
    <t>Misao</t>
  </si>
  <si>
    <t>Hà Nội</t>
  </si>
  <si>
    <t>Web 2.0, Web Hosting Review, SEO, Wordpress Tips and Tricks</t>
  </si>
  <si>
    <t>1001 B&amp;B Management</t>
  </si>
  <si>
    <t>FULL MANAGEMENT WITH 1001 B&amp;B AUTOPILOT ✈️ Generate higher income with 1001 B&amp;amp;B Management as your partner, what you will earn is guaranteed! 🤑 #airbnbpartner #autopilot #airbnb #airbnbmanagement #guaranteedincome</t>
  </si>
  <si>
    <t>Gold Coast, Queensland</t>
  </si>
  <si>
    <t>Short term rental Managers 💰 Earn 30% More Income 🌆 Property owner &amp; developer solutions 🦄Marketing &amp; Creative Team 📊 Price Optimisation http://1001bnb.com.au</t>
  </si>
  <si>
    <t>Airbnb clone script is being developed for searching various rental options... Buy Now:  call: 7667298398 For demo Mail: support@nexcloudz.com #airbnb #airbnbclone #airbnbscript #ecommercescript #developmentscript #grouponclone #nexcloudz #aircloudairbnb</t>
  </si>
  <si>
    <t>Marcin Czyzyk</t>
  </si>
  <si>
    <t>#airbnb acquires #hoteltonight for $400m and plans a strengthening of boutique hotel category  #digital</t>
  </si>
  <si>
    <t>Sydney / London / Warsaw</t>
  </si>
  <si>
    <t>A guy, a product guy = bringing innovative digital ideas to life + politics + sport + everything else</t>
  </si>
  <si>
    <t>Bridges at Harris</t>
  </si>
  <si>
    <t>A days efforts in eliminating the underbrush! #Bridgesatharris #bedandbreakfast #airbnb #bnb #homestead #underbrush #foodforest #permaculture #apiculture #viticulture #woodland #woodlands #forest #woodlot #maple #vinemaple #brush #bonfire</t>
  </si>
  <si>
    <t>Philomath, OR</t>
  </si>
  <si>
    <t>Follow us as we overcome the challenges of creating a Bed and Breakfast from a piece of raw valley land nestled in the beautiful Oregon Coast Range.</t>
  </si>
  <si>
    <t>Teuku Dalin</t>
  </si>
  <si>
    <t>#riversidejogja #airbnb #expedia #traveloka #jogjaistimewarepost @ Riverside Javanese Cottages</t>
  </si>
  <si>
    <t>guitar player and music producer, let's come as assigned bands or artists</t>
  </si>
  <si>
    <t>*Link below/bio* #throwback to this amazing #sunset #russellnz #airbnb #travel #newzealand #bayofislands #marlinmaisonnz</t>
  </si>
  <si>
    <t>What a great place to have fun and enjoy of Mt. Fuji. Come to Tokyo and stay with us here: #AIRBNB :  #familytravel #travel #japan RT @LIVEJAPANGuide: There's a super fun #amusement park right at the foot of Mt. Fuji! It's actually one the best spots to see the mountain up close. They're also home to some of the most thrilling attractions in #Japan.</t>
  </si>
  <si>
    <t>This #Easter #weekend, head out to #BlueMountains for #bushwalking expeditions great for your #body and #mind! In this one bedroom #MadeComfy managed apartment in #Katoomba, cosy up to high-end bedding and a lovely #fireplace. To book:  #sydney #airbnb</t>
  </si>
  <si>
    <t>The Art House an #Airbnb in New Orleans, #AlgiersPoint just two blocks from the #Frenchquarter via ferry.  Owned and hosted by New Orleans #artist #GingerJoyner  #NewOrleansartist #visitneworleans #nola #apartmentideas #artworks</t>
  </si>
  <si>
    <t>Further Africa</t>
  </si>
  <si>
    <t>#SouthAfrica government to regulate #Airbnb - #hospitality #africa</t>
  </si>
  <si>
    <t>Collection of news clipping about #finance and #investment opportunities in subsaharan #africa with particular focus in #Mozambique</t>
  </si>
  <si>
    <t>PRIVATE BEACHFRONT PARADISE!!  via Twitter Web Client #airbnb</t>
  </si>
  <si>
    <t>In the U.S., Airbnb etc. have been making corrupt voluntary tax deals everywhere, with no transparency, oversight or auditing capability for years, it's now time for change #Airbnb #taxavoidance #vrbo #bookingcom #us #travel #tourism #expedia #vacation</t>
  </si>
  <si>
    <t>AirBusyBee 🐝</t>
  </si>
  <si>
    <t>Want to know how to #rent your #Airbnb and never run into problems with your building staff? Guaranteed? Message us, we’ll tell you!</t>
  </si>
  <si>
    <t>We manage your furnished Airbnb condo in an efficient and affordable...we are you AirBusyBees! Toronto . Montreal . Miami</t>
  </si>
  <si>
    <t>Hunter Long</t>
  </si>
  <si>
    <t>#airbnb you ain’t welcome yo. 👍 Welcome. 🐻 #venice #santamonica #tourist #tourism #socal</t>
  </si>
  <si>
    <t>Golang Crypto Developer making fun applications for the people</t>
  </si>
  <si>
    <t>Sammie Saxon Photography</t>
  </si>
  <si>
    <t>This is creepy. 4 Ways To Tell If There Are Hidden Cameras In Your Airbnb. #Travel #travelblogger #airbnb</t>
  </si>
  <si>
    <t>Editorial and Fashion Photographer, Horror Movie Fan &amp; cat dad ATL | MIAMI | NYC</t>
  </si>
  <si>
    <t>Large 5Star #Florida #vacationhome with prival pool on #Airbnb Tropical #TommyBahama style - #VRBO April 15, 2019 at 10:01PM</t>
  </si>
  <si>
    <t>Gotta say the cab service in a major city, like Boston, was probably more convenient and priced the same as taking Uber’s. The issue is places like Indy that have crabby cabs. #ServiceCarChat #CabChat #AirBnb</t>
  </si>
  <si>
    <t>Sign up for Airbnb with my link for $40 off your first trip. Travel &amp; use #Airbnb! @airbnb</t>
  </si>
  <si>
    <t>Just Pinned to PINWORTHY: TRAVEL :  #travel #tlpicks #travelblogger #travelguide Tips for booking your family's first Airbnb + click for FREE Travel Credit on your first stay! #airbnb #traveltips #familytravel #travelwithkids #howtobook #familyhotels // F…</t>
  </si>
  <si>
    <t>Property In A Box</t>
  </si>
  <si>
    <t>Moody, timeless, sophisticated. #Invest #Investment #CapitalGrowth #Canberra #airbnb #ACT #Rent #Rental #SMSF #PropertyPortfolio #Apartment #CBD #Affordable #PropertyInvesting #RealEstate #Australia #CBDlife #CityLiving</t>
  </si>
  <si>
    <t>We offer Australia's largest listing, locations &amp; variety of investment properties: townhouses, apartments, house &amp; land properties, NRAS, SMSF.</t>
  </si>
  <si>
    <t>We have a new blog! No it’s not another boring bland business blog - we show you how to run an #airbnb in #toronto without getting into trouble . (We know a few tricks ;)</t>
  </si>
  <si>
    <t>Live at La Paz Bay Rentals + Real Estate! #airbnb #vacation #vacationrental #rental #myoffice #nofilter #sky #skyporn #sunset #realestate #lapazbayrentals #travel</t>
  </si>
  <si>
    <t>Light at the end of the tunnel then #comfortcottagehealing #visitwales #dogfriendly #TheDogsWithMe #alpacas #ArtsWales #SunDogs #Airbnb #yell RT @ruthwignall: I know it's a bit breezy... and frankly miserable for some today! But let's just skip over the soggy bits - every day this week it gets better and better! And by Friday - it'll be fabulous!  #weather #weatherfortheweekahead</t>
  </si>
  <si>
    <t>ERIKA</t>
  </si>
  <si>
    <t>Cover photo for my new Orlando #Airbnb Experience 🌈✨</t>
  </si>
  <si>
    <t>Swampy Swamp</t>
  </si>
  <si>
    <t>orlando | miami | serving hot tweet tea around here ☕️</t>
  </si>
  <si>
    <t>Wishing you were here! Grab your #vintagetrailer and explore! #spot77 #realestate #flipping #ibuyhouses #cashflow #airbnb #camping #traveltrailer #glamping</t>
  </si>
  <si>
    <t>Crazy Horse Ranch Carriage Househttps://www.airbnb.jp/rooms/767620  via Twitter Web Client #airbnb</t>
  </si>
  <si>
    <t>#Airbnb kills #housing the way #Uber kills #transit. #sharingeconomy #fail RT @Jalopnik: Uber (finally) admits it's directly competing with public transportation</t>
  </si>
  <si>
    <t>lighthouseonthebay</t>
  </si>
  <si>
    <t>We ❤️ what we do, we ❤️ our guests, we ❤️ our lighthouse, we ❤️ Cape Breton. #airbnb #capebreton #VisitCapeBreton #discovercapebreton @Airbnb #Superhost Not all heroes wear capes. #Superhost!</t>
  </si>
  <si>
    <t xml:space="preserve">St. Anns Cape Breton </t>
  </si>
  <si>
    <t>I am a Federal Lighthouse in St. Anns N.S. Built in 1906 and decommissioned in the early 60’s. I have been restored and now an Airbnb property. Support local.</t>
  </si>
  <si>
    <t>LiquidLabs</t>
  </si>
  <si>
    <t>What are your audiences doing? #AirBnB Broadsheet Melbourne #Uber Mecca Cosmetics And others use as many #customer data points as possible to inform their next business and #marketing steps. Read about how #Facebook Analytics can help you:</t>
  </si>
  <si>
    <t>Cremorne, Melbourne</t>
  </si>
  <si>
    <t>We help businesses generate more leads predictably, consistently and profitably.</t>
  </si>
  <si>
    <t>#MusicMonday here at The Elvis House listening to Surrender. #theelvishouse #theelvishousewaco #elvis #elvispresley #surrender #waco #tx #texas #travel #airbnb #comeandstay #getaway #music #song #relax #unwind #monday #goodvibes</t>
  </si>
  <si>
    <t>Reese</t>
  </si>
  <si>
    <t>TRAILBLAZER HAWAII: What Lava? The Big Island's Hamakua Coast is One Big Waterfall.  … #bigislandhawaii #natgeo #tripadvisor #airbnb</t>
  </si>
  <si>
    <t>Planet Kauai</t>
  </si>
  <si>
    <t>All there is to do and see on beautiful KAUA'I. Journalist, travel junkie, brand ambassador, hiker, surfer, photographer📷</t>
  </si>
  <si>
    <t>Penguin Flight</t>
  </si>
  <si>
    <t>When #AirBnB Goes Wrong is always. Where AirBnB Goes Wrong is existing. #BanAirBnB #BanAllShortTermLetsInResidentialBuildings. RT @FlatsRuin: STRESS! When Airbnb goes Wrong- BBC News  via @YouTube</t>
  </si>
  <si>
    <t>Perceived often as clowns. Birds that don't fly. When anyone's looking...</t>
  </si>
  <si>
    <t>Love this! "Majestic Hollywood Hills - Houses for Rent in Los Angeles #Travel" @airbnb  #airbnb #losangeles #travel #vacationhomes</t>
  </si>
  <si>
    <t>Moni Boyce</t>
  </si>
  <si>
    <t>Just checked into my #airbnb for my solo writer's retreat. Locking myself away for 4 days to write uninterrupted. Hoping to make lots of progress on my #paranormalromance series due out later this summer. Fridge is stocked and I'm ready to go. #WritingLife</t>
  </si>
  <si>
    <t>Suffolk, VA</t>
  </si>
  <si>
    <t>#RomanceWriter ✒ #Worldtraveler ✈ 🌍 #blogger, indie #film 🎥 &amp; event producer, #foodie 🍽 &amp; captain of #teamnosleep who loves to laugh 😄</t>
  </si>
  <si>
    <t>Master bath at The Blue Heron 💗#pensacolabeach #rentme #airbnb #airbnbhost #linkinbio #florida #thebeach #newrenovation #bathroom #beourguest</t>
  </si>
  <si>
    <t>AirbnbCairns</t>
  </si>
  <si>
    <t>At @airbnbcairns we 💖 🐠 that’s why you’ll find them everywhere, decorating our home! #bathroomdesign #bathroom #bathroomdecor #white #airbnb #airbnbhomes #cairnsairbnb #airbnbcairns #fish #cairnslocal #cairns #holidayhome #interiordesign</t>
  </si>
  <si>
    <t>Cairns, Queensland</t>
  </si>
  <si>
    <t>Open-plan tropical living in exclusive Edge Hill - your perfect Airbnb touring base to explore the Cairns region.</t>
  </si>
  <si>
    <t>#shepherdstown crab cakes @harlssmarlss and visit to #harpersferry and #antietambattlefield #review of #stoneriverhouse #gotowv #crabcakes #vrbo #homeaway #airbnb #getaway…</t>
  </si>
  <si>
    <t>Vegas BiLL</t>
  </si>
  <si>
    <t>Today @HotelTonight is now officially part of @Airbnb! Together they share a love of design, a passion for travel, and a focus on the positive impact #travel can make on people’s lives.  @HotelTonight #Airbnb #hotels #app</t>
  </si>
  <si>
    <t>Las Vegas, Nevada</t>
  </si>
  <si>
    <t>Travel &amp; Tourism, events, red carpet, celebrities, Las Vegas, convention + foodie. Enjoy technology, social media, #luxury travel and cruising.</t>
  </si>
  <si>
    <t>People are making that money every week renting #Airbnb in #Edinburgh rather than to people who need a home. There is a lot less paperwork, and regulations that you get away with. Great for folk wanting to make wads of cash. Bad for the neighbours and communities. RT @DawnWeinerdogg: @mippy yeah there's a big conversation about airBnB here at the moment, esp in edinburgh. the thing is, as far as i can tell, if you have a flat there you can pretty much pay 6 months rent just by letting it out during the festival.</t>
  </si>
  <si>
    <t>Matthew Eager</t>
  </si>
  <si>
    <t>Yay - my tireless hospitality and housecleaning skills are again being recognised. Yes Kids I do actually do something else besides posting bitchy comments on @Twitter all day. Come stay with me in Katoomba ! #airbnb Not all heroes wear capes. #Superhost!</t>
  </si>
  <si>
    <t>Agencia Telling</t>
  </si>
  <si>
    <t>Spend a night in the Louvre Museum with Airbnb.  #louvre #airbnb #marketing</t>
  </si>
  <si>
    <t>Contamos tu historia. Somos una agencia de #publicidad en Barcelona. Especialistas en #Marketing, #SocialMedia, #Diseño #MarketingDigital y #BrandDesign.</t>
  </si>
  <si>
    <t>NorthPage</t>
  </si>
  <si>
    <t>#Spotify, #AirBnb and many brands in the beauty industry have mastered blending #digital and physical experiences. #digitalmarketing #CX</t>
  </si>
  <si>
    <t>Connecticut, USA</t>
  </si>
  <si>
    <t>Leading #digital #marketing intelligence company that empowers #MarketingLeaders to grow their #DigitalMarketing performance. Visit our website to learn more.</t>
  </si>
  <si>
    <t>Storage West East Mesa</t>
  </si>
  <si>
    <t>The wise unfiltered truth of being a very pleasant Airbnb host. See if it is the right thing for you #HereForYou #General #Business #USA #Jobs #Airbnb #Host</t>
  </si>
  <si>
    <t>Mesa, AZ</t>
  </si>
  <si>
    <t>Storage West East Mesa has many self storage units to offer. Come store with us as soon as we open!</t>
  </si>
  <si>
    <t>Alexander Low</t>
  </si>
  <si>
    <t>Airbnb officially owns HotelTonight | TechCrunch  Via @KateClarkTweets #airbnb #hotels</t>
  </si>
  <si>
    <t>making digital Human | Microsoft Social Selling Partner | AI Enthusiast</t>
  </si>
  <si>
    <t>Storage West Sahara</t>
  </si>
  <si>
    <t>It may be quite crazy out there, but you just might have what you need to dive into becoming a great Airbnb host #HereForYou #General #Business #USA #Jobs #Airbnb #Host</t>
  </si>
  <si>
    <t>Las Vegas, NV 89117</t>
  </si>
  <si>
    <t>Storage West Sahara serves the 89117 zip code and surrounding areas. Office Hours: Mon-Sat, 9am-6pm. Closed on major holidays. Gate hours: 6am to 8pm everyday.</t>
  </si>
  <si>
    <t>Phil Keefe #RevokeTomWatson</t>
  </si>
  <si>
    <t>Airbnb profit from illegal settlements in the occupied Palestinian territories in the West Bank | #airbnb | #Palestine | #BDS</t>
  </si>
  <si>
    <t>Labour Party member, Momentum member, Anti-Racist, Don't put words in my mouth Retweets are Retweets.</t>
  </si>
  <si>
    <t>Caribbean Journal</t>
  </si>
  <si>
    <t>Tracey Rudolph</t>
  </si>
  <si>
    <t>#ForSale: #Lakefront property featuring 2 full living spaces, perfect for: an #inlawsuite, long-term #rentalproperty or a quaint #Airbnb! $552,000!💰 Such an incredible value for this 8 🛌, 4 🛁 🏡 in #LewisLake! Inquire today. #investmentopportunities #traceyrudolphrealtor #rlpa</t>
  </si>
  <si>
    <t>Bedford, Halifax, Sackville NS</t>
  </si>
  <si>
    <t>Real Estate Agent with Royal LePage Atlantic - I can help you buy or sell your home in Halifax, Bedford, Sackville, Dartmouth, Nova Scotia, Canada.</t>
  </si>
  <si>
    <t>SWest West Phoenix</t>
  </si>
  <si>
    <t>It may be a zoo out there, but you might have what you need to dive into the world of becoming a verified Airbnb host #HereForYou #General #Business #USA #Jobs #Airbnb #Host</t>
  </si>
  <si>
    <t>Storage West Self Storage West Phoenix, AZ. Great storage on Lower Buckeye. Come store with us! Mon-Fri, 9am-6pm. Sat, 9am-5pm. We're #HereForYou!</t>
  </si>
  <si>
    <t>Sometimes the best seat in the house is the most needed seat! #coolsigns #lazybearlodge #rusticretreats #rustic #wisconsindells #vacationhome #airbnb #vrbo</t>
  </si>
  <si>
    <t>Sharon E. Powers</t>
  </si>
  <si>
    <t>Super proud to be a #Superhost myself as well. Thank you #Airbnb !! RT @DancingBearLdg: Super proud to be a #Superhost on Airbnb! #DancingBearLodgeAZ</t>
  </si>
  <si>
    <t>Olathe, KS</t>
  </si>
  <si>
    <t>Adjunct Professor @ JCCC</t>
  </si>
  <si>
    <t>Vacation Rentals Blog</t>
  </si>
  <si>
    <t>Vacation Rental Management: Are You Paying Too Much For It?  #airbnb #airbnbtips #vacationrentals #vacationtips #vacation #airbnbhost</t>
  </si>
  <si>
    <t>How To Become A Vacation Rentals Host...</t>
  </si>
  <si>
    <t>Blue Sky Center</t>
  </si>
  <si>
    <t>Stressed out by National Tax Day? Get some headspace and stay in our @sheltonhuts for a spring retreat! ⛺️🌵💡 • • • 📸: @ggersten #spring #bluesky #blueskycenter #hipcamp #airbnb #sheltonhuts #highdesert #taxseason #taxes #headspace</t>
  </si>
  <si>
    <t>New Cuyama, CA</t>
  </si>
  <si>
    <t>We're working to strengthen our rural communities by supporting entrepreneurs and building our regional creative and economic resources.</t>
  </si>
  <si>
    <t>PDX Food Adventures</t>
  </si>
  <si>
    <t>Sunrise in southern Tasmania #tasmania #hobart #airbnb #PFAMelbourne2019 @ Sandy Bay, Tasmania, Australia</t>
  </si>
  <si>
    <t>Portland, OR</t>
  </si>
  <si>
    <t>Incredible interactive dinners -- meet the chefs, and then leave armed with gift certificates to the chef's favorite Portland spots.</t>
  </si>
  <si>
    <t>3840 E Baseline Rd, Mesa AZ</t>
  </si>
  <si>
    <t>Storage West Self Storage Val Vista Lakes, AZ. Storage units available in Mesa. Come store with us!</t>
  </si>
  <si>
    <t>Stressed out by National Tax Day? Get some headspace and stay in our sheltonhuts for a spring retreat! ⛺️🌵💡 • • • 📸: ggersten #spring #bluesky #blueskycenter #hipcamp #airbnb #sheltonhuts…</t>
  </si>
  <si>
    <t>SW Eastern Ave</t>
  </si>
  <si>
    <t>Just the perfect truth of being a great Airbnb host. See if it is the right kind of thing for your life #HereForYou #General #Business #USA #Jobs #Airbnb #Host</t>
  </si>
  <si>
    <t>Las Vegas, NV 89123</t>
  </si>
  <si>
    <t>Storage West Self Storage Las Vegas, NV. RV spaces and storange units available. Come store with us! Hours: 9:00am - 6:00pm. Closed on major holidays.</t>
  </si>
  <si>
    <t>Pandemonium Aviaries</t>
  </si>
  <si>
    <t>Spring showers bring delight to our bathing birds!  #BIRD #birds #spring #airbnb #conservation #Rosella #BirdBath</t>
  </si>
  <si>
    <t>California</t>
  </si>
  <si>
    <t>A registered 501(c)(3) organization whose mission is to save targeted species of birds from extinction through conservation and education.</t>
  </si>
  <si>
    <t>How many friends would you have join you here? Visit Us at  to learn how to profit from investment properties that you don't even need to own. #airbnb #vacationrental #luxurylisting</t>
  </si>
  <si>
    <t>#HappyMonday #happyclient  #rileytours #taxi #vacation #travel #tours #transportation #tourguide #airbnb #Jamaica #fun #island email us at reservations@rileytours.biz</t>
  </si>
  <si>
    <t>SW Buffalo Drive</t>
  </si>
  <si>
    <t>The truth of being a great Airbnb host. See if its right for you #HereForYou #General #Business #USA #Jobs #Airbnb #Host</t>
  </si>
  <si>
    <t>Las Vegas, NV 89128</t>
  </si>
  <si>
    <t>Storage West Self Storage Las Vegas, NV. Storage in the 89128 area. Come store with us! Hours: 9am to 6pm. Closed on major holidays.</t>
  </si>
  <si>
    <t>Efrain Guerrero♉♊️</t>
  </si>
  <si>
    <t>OMGAWD ITS OFFICIAL!!! I just got confirmation on my first #Airbnb !!! 😉😅😁</t>
  </si>
  <si>
    <t>Denver, colorado</t>
  </si>
  <si>
    <t>| Fashion Designer | TaurusGemini | Music is Life |</t>
  </si>
  <si>
    <t>It may be crazy out there lately, but you just might have what it takes to dive into becoming a great Airbnb host #HereForYou #General #Business #USA #Jobs #Airbnb #Host</t>
  </si>
  <si>
    <t>Missy Bass</t>
  </si>
  <si>
    <t>Still looking for a spring break getaway? Why not rent Sharp's Island on the James through Airbnb! YES, you can do this, your own private island in the middle of the city. Check it out here:  #MissyBass #rva #SharpsIsland #AirBNB</t>
  </si>
  <si>
    <t>Kelly Cavanaugh</t>
  </si>
  <si>
    <t>HotelTonight and Airbnb Finalize Acquisition. #Hotel #Airbnb #Travel</t>
  </si>
  <si>
    <t>Lafayette, Louisiana</t>
  </si>
  <si>
    <t>Happy #Elepreneur helping people step into their power &amp; create financial freedom | 💗 meeting new ppl! Let’s connect on LI: http://bit.ly/kellyc9 🙋🏼</t>
  </si>
  <si>
    <t>Annie ✈ ❤ ✈</t>
  </si>
  <si>
    <t>#Airbnb under fire for ‘stealing business’ -  #SouthAfrica</t>
  </si>
  <si>
    <t>#Travel coordinator by day. #History researcher by night. #AvGeek #Aviation #AirForce #Military #FamilyHistory #Genealogy #Heritage #ExPats</t>
  </si>
  <si>
    <t>That’s a wrap for the marathon, folks. Back to being the best #Airbnb content provider around. #RentMyPlace</t>
  </si>
  <si>
    <t>Avent Holiday Lets</t>
  </si>
  <si>
    <t>We did it again #superhost #airbnb</t>
  </si>
  <si>
    <t>Plympton, England</t>
  </si>
  <si>
    <t>Self Contained Holiday Lets</t>
  </si>
  <si>
    <t>Scott Canady</t>
  </si>
  <si>
    <t>Is your short term rental condo unit stopping your neighbors from getting a mortgage? #FHA #condo #str #airbnb</t>
  </si>
  <si>
    <t>Virginia</t>
  </si>
  <si>
    <t>Former Hill staff, detour at HUD, currently a helper for @CAISocial and others.</t>
  </si>
  <si>
    <t>Palestine Chronicle</t>
  </si>
  <si>
    <t>#Airbnb Resumes Listing Illegal Jewish #Settlements in West Bank  via @PalestineChron</t>
  </si>
  <si>
    <t>Washington</t>
  </si>
  <si>
    <t>News and Views from #Palestine and the Middle East region #GreatMarchofReturn</t>
  </si>
  <si>
    <t>Storage West LaJolla</t>
  </si>
  <si>
    <t>Just the unfiltered truth of being a great Airbnb host. See if it is the right thing for your very busy life #HereForYou #General #Business #USA #Jobs #Airbnb #Host</t>
  </si>
  <si>
    <t>San Diego, CA 92121</t>
  </si>
  <si>
    <t>Storage West Self Storage La Jolla, CA. Storage available in La Jolla. Come store with us! Hours: Mon-Sat, 9am - 6pm. Sun, 9am to 5pm. Closed on major holidays.</t>
  </si>
  <si>
    <t>Wow: MAAX just reimbursed me for a broken shower base, cost to remove/replace base/tile AND some missing #Airbnb revenue while bathroom was out of order for more than a month. That’s what I call customer service!!</t>
  </si>
  <si>
    <t>"More regulation is not what small businesses in South Africa needs…" — Rosalind Lake (Director - Norton Rose)  #Airbnb #TheMoneyShow</t>
  </si>
  <si>
    <t>Spire Travel</t>
  </si>
  <si>
    <t>Calling all #GameofThrones fans! @lonelyplanet has put together some #airbnb rentals that'll make you feel like you're in the show 🏰. Time for a trip? #GoT #travelinspiration</t>
  </si>
  <si>
    <t>Salisbury</t>
  </si>
  <si>
    <t>Airport transfer, chauffeur and executive travel services operating in Salisbury, Andover and Winchester.</t>
  </si>
  <si>
    <t>Ocean breeze 🌊⁣⠀ -⁣⠀ Bookings 🔜 Link-In-Bio⁣⠀ ___⁣⠀ #webunkyou • #Tijuana • #airbnb • #QueSeaUnGranDia</t>
  </si>
  <si>
    <t>Suresh Surenthiran</t>
  </si>
  <si>
    <t>#AirBnB made big step #HotelTonight</t>
  </si>
  <si>
    <t>Zurich, Switzerland</t>
  </si>
  <si>
    <t>#Digital,#Architect,#Futurist,#Consultant,#Broadcast,#AI,#Space,#Robotics,#IoT,#Cloud,#Sensors,#Ad,,#CDN,,#Media,#Design,#Blockchain,#SmartBuilding</t>
  </si>
  <si>
    <t>Our #beautiful #suite2 #1bedroom #2bath with #stairs to a #sleeping #loft #sopretty #casadelosviajeros #puertomorelos #stepstothebeach Link in bio #puertomorelos #mexico #youshouldbehere #casadelosviajeros #vacationrental #airbnb #vrbo #homeaway #doy…</t>
  </si>
  <si>
    <t>Jon Daughter 😴✨</t>
  </si>
  <si>
    <t>Anybody need an #airbnb promo code?? Use mine for 40$ off</t>
  </si>
  <si>
    <t>Oakland, CA</t>
  </si>
  <si>
    <t>Nae😘😈 ❗️Susgang ceo🤘🏾💽 #nunlife</t>
  </si>
  <si>
    <t>407 Management Corp</t>
  </si>
  <si>
    <t>Each space has personality and style, our guests feel comfortable during their stay! #houseforrent #homeaway #vacationhome #orlando #407management #propertymanagement #airbnb #themeparks #vacationalrentals #vacations #familyvacation #disney #universalstudiosorlando</t>
  </si>
  <si>
    <t>Professional in #PropertyManagement of #vacational homes. We have a wide selection of houses for your stay in #Orlando, Florida</t>
  </si>
  <si>
    <t>Co-op and Condominium Law #Attorney Mike Reilly participated in the panel discussion "#Homesharing and #Subletting in the #Airbnb Era - New Rules and Best Practices to Protect Your #Investment" at The #Cooperator Expo #NewYork. Read more on our news page!</t>
  </si>
  <si>
    <t>Jacquelinee</t>
  </si>
  <si>
    <t>Bridgewater, NJ</t>
  </si>
  <si>
    <t>Senior Marketing Coordinator at @norris_law, Norris McLaughlin, P.A., Attorneys at Law, with offices in New Jersey, New York, and Pennsylvania.</t>
  </si>
  <si>
    <t>Check out this  | Introductory video, created by @HeartFuse, and discover the stunning work of @VenicePeach and how they both can really make your #airbnb listings get you noticed!!!</t>
  </si>
  <si>
    <t>John Frazier Jr.</t>
  </si>
  <si>
    <t>#RealEstate #Investors with short-term/#AirBnB rentals in the City of #Orlando should be aware of the strict city code requirements! At #WidermanMalek, our #lawyers stay ahead of the curve!</t>
  </si>
  <si>
    <t>Melbourne, Florida</t>
  </si>
  <si>
    <t>Real Estate | Land Use | Development | Commercial | Corporate and Business Attorney (Litigation &amp; Transactions) 👔💼</t>
  </si>
  <si>
    <t>Artiste Del Sol is cosey #airbnb #beautifulguests @ Artista Del Sol at Sunny Mellow</t>
  </si>
  <si>
    <t>Our #beautiful #suite2 #1bedroom #2bath with #stairs to a #sleeping #loft #sopretty #casadelosviajeros #puertomorelos #stepstothebeach Link in bio #puertomorelos #mexico #youshouldbehere #casadelosviajeros #vacationrental #airbnb #vrbo #homeaway #doyoutravel #travelandli…</t>
  </si>
  <si>
    <t>Víctor Kobeh</t>
  </si>
  <si>
    <t>#airbnb + #hoteltonight = Boom!</t>
  </si>
  <si>
    <t>México</t>
  </si>
  <si>
    <t>Travel + Tech</t>
  </si>
  <si>
    <t>Weeks Bay Plantation</t>
  </si>
  <si>
    <t>Stay on the farm with us this weekend! These properties are always booked this time of year and just happened to open up due to a cancellation.  #weeksbayplantation #farmstay #fairhopealabama #harvestnights #airbnb #baldwincounty #harvestnights</t>
  </si>
  <si>
    <t>Fairhope, AL</t>
  </si>
  <si>
    <t>Weeks Bay Plantation is an agricultural reserve and entertainment venue on the Gulf Coast.</t>
  </si>
  <si>
    <t>Prominence Properties</t>
  </si>
  <si>
    <t>The well-equipped apartments, providing all amenities like a hotel and available at either long term or short term duration. #servicedaccommodation #servicedaccommodationuk #ukproperty #airbnb #servicedapartment #propertyinvestor #shortstay #longstay #propertymanagement</t>
  </si>
  <si>
    <t>Northampton, England</t>
  </si>
  <si>
    <t>Letting services and property management for landlords. Provider of luxury accommodation, serviced apartments and short-term rentals. 01604 912332</t>
  </si>
  <si>
    <t>Gaila Curry</t>
  </si>
  <si>
    <t>#landlords #airbnb.. it will take paint and flowers to achieve this look. Give them another reason to stay. #realestate #consultants</t>
  </si>
  <si>
    <t>NY - ATL</t>
  </si>
  <si>
    <t>House flipper, Property Mgmt., RE Agent, RE Consultant and Cert. Interior Designer MLJ.InteriorDesigns@gmail</t>
  </si>
  <si>
    <t>Ben Nemes</t>
  </si>
  <si>
    <t>Cork marks the spot. Missus has aced it once again with the #airbnb #Cornwall</t>
  </si>
  <si>
    <t>Purveyor of creative whizz-bangery. All views personal, sometimes partisan, seldom adequately researched.</t>
  </si>
  <si>
    <t>Solano EDC (Solano Economic Development Corp.)</t>
  </si>
  <si>
    <t>Is the Bay Area housing market ready for the coming #IPO wave? Story in @Forbes #choosesolano #solanocounty #solanomeansbusiness #sfbayarea #housing #residential #realestate #homebuying #Lyft #airbnb #Uber #slack #Pinterest #millionaire #Stock #Millennials</t>
  </si>
  <si>
    <t>Fairfield, CA</t>
  </si>
  <si>
    <t>Solano Economic Development Corporation is a public-private non-profit dedicated to the economic growth of Solano County, California.</t>
  </si>
  <si>
    <t>"We are not being disrupted… they must have rules so we can level the playing field… We are not restricting competition… We do support regulations… " — Tshifhiwa Tshivhengwa (CEO - Tourism Business Council of SA)  #Airbnb #TheMoneyShow</t>
  </si>
  <si>
    <t>Just the unfiltered truth of being a great Airbnb host. See if it is the right thing for your life #HereForYou #General #Business #USA #Jobs #Airbnb #Host</t>
  </si>
  <si>
    <t>Fullerton, CA 92835</t>
  </si>
  <si>
    <t>Storage West Self Storage Fullerton, CA. Excellent self storage offered in Fullerton. Come store with us! Hours: Mon-Sat, 9am to 6pm. Closed on major holidays.</t>
  </si>
  <si>
    <t>Nathali Von Hollstein 🇿🇦</t>
  </si>
  <si>
    <t>How to find #Hidden #cameras in your #airbnb, and anywhere else |</t>
  </si>
  <si>
    <t>Love Technology; Universe; Nature; Life; Science; Arts; Wildlife &amp; Great books. I'm a Christian &amp; Happily Married.✝️- Note: I will unfollow if you unfollow.</t>
  </si>
  <si>
    <t>You obviously needed some you time #comfortcottagehealing #visitwales #dogfriendly #TheDogsWithMe #alpacas #ArtsWales #SunDogs #Airbnb #yell RT @ruthwignall: Morning you lovely lot! Locked out of phone and no laptop all weekend meant an unexpected twitter silence! I'm so sorry! Hope you've all had a lovely weekend... It's Monday and we are back in business! Let's do this!</t>
  </si>
  <si>
    <t>Managing a holiday let: Should you use an agency or DIY?  #holidayhome #holidayrental #holidaylet #propertymanagement #airbnb</t>
  </si>
  <si>
    <t>Ernie Suggs</t>
  </si>
  <si>
    <t>Do you #airbnb? What has been your experience with homesharing? Particularly as a person of color. Share your stories and read mine. #airbnbwhileb</t>
  </si>
  <si>
    <t>Race &amp; Culture Reporter for @ajc Love Alpha, Yankees &amp; Prince. @NCCU &amp; @Harvard trained. Brooklyn Born, Rocky Mount raised, Atlanta living Renaissance Man</t>
  </si>
  <si>
    <t>"These platforms give people a chance to run a small business... The market should adapt and compete…" — Rosalind Lake (Director - Norton Rose)  #Airbnb #TheMoneyShow</t>
  </si>
  <si>
    <t>Havana Music Tours</t>
  </si>
  <si>
    <t>#OldHavana is calling your name!!! . . #havana #cuba #cruiseships #cruiseexcursion #experiences #airbnb #cubatravel #cubatours #tourguide #music #cubanmusic…</t>
  </si>
  <si>
    <t>Music-Themed tours to Havana, Cuba and beyond. The most personalized group-based people to people trips to Cuba. Daily, Multi-day, and Custom tours.</t>
  </si>
  <si>
    <t>Round The World Girl</t>
  </si>
  <si>
    <t>#AirBNB Experiences: Making Tortilla And Other Spanish Dishes In Madrid  #travel #ttot cc: @musatariq</t>
  </si>
  <si>
    <t>San Diego, CA</t>
  </si>
  <si>
    <t>Loves #travel, eating adventures, coconut, coffee &amp; working out Snap: rtwgirl IG: http://bit.ly/rtwgirlinsta</t>
  </si>
  <si>
    <t>#Airbnb says new laws are 'unenforceable' but minister says locals know the short-term let on their street - Neighbours see the wheelie suitcases going in and out of properties at all hours. Read more at  #servicedapartmentnews #servicedapartments</t>
  </si>
  <si>
    <t>🏴󠁧󠁢󠁥󠁮󠁧󠁿 MarkGerardCox 🇩🇰</t>
  </si>
  <si>
    <t>Nice view from the apartment balcony! Got to love a good airbnb place 👍 #lisbon #portugal 🇵🇹 #airbnb</t>
  </si>
  <si>
    <t>Copenhagen, Denmark</t>
  </si>
  <si>
    <t>Adventurous, generous, funny and kind! Made in 🏴󠁧󠁢󠁥󠁮󠁧󠁿 living in 🇩🇰 visited 40 countries and counting 😉</t>
  </si>
  <si>
    <t>al whit</t>
  </si>
  <si>
    <t>#Airbnb May Have Caved to #Israel’s Settler Movement, but Palestinians Aren’t Giving Up -  #Palestine</t>
  </si>
  <si>
    <t>Salford UK</t>
  </si>
  <si>
    <t>“My aim is to agitate and disturb people. I'm not selling bread; I'm selling yeast.” ― Miguel de Unamuno #Palestine #BDSOurWeapon #GroupPalestine</t>
  </si>
  <si>
    <t>Today's featured #shorttermrental industry expert is @EvelynBadiaBk founder of @HostingJourney. Her podcasts offer advice on how to maximize results on #Airbnb, #VRBO, #FlipKey, and #Booking platforms.</t>
  </si>
  <si>
    <t>lasiguaraya</t>
  </si>
  <si>
    <t>Cocotaxi #Lahabana #havana #havanacars #Havanalove #havanastyle #cuba #cubalife #cubalove #bedandbreakfast #CasaParticular #casaparticulares #renthousecuba #airbnbguest #airbnb #casasparticularesinhavana #casasparticularescuba #casaparticularhavana #CubaTravel</t>
  </si>
  <si>
    <t>Havana</t>
  </si>
  <si>
    <t>Bed &amp; Breakfast in Centro Havana</t>
  </si>
  <si>
    <t>CEW</t>
  </si>
  <si>
    <t>GuestReady has acquired France’s BnbLord and now is the largest #Airbnb management company in Europe with more than 2,000 properties. Read more in this @tech_eu article:</t>
  </si>
  <si>
    <t>⚡The communications partner for scaling business.⚡ Specialising in #tech. We offer #startup services and check our newsletter, The Communications Workshop 💝</t>
  </si>
  <si>
    <t>Sunsets at The Blue Heron #Enjoy #sunsets #theblueheron #beachcondo #linkinbio #rentme #airbnb #pensacolabeach #beachlife #vacationgoals #luxe #newrenovation</t>
  </si>
  <si>
    <t>"Give every day the chance to become the most beautiful day of your life." Mark Twain  #vacationinsedona #vrbo #airbnb #experienceparadise #vacation #sedona #getaway #hiking #adventuresinsedona #arizona #instagramaz #travel #home…</t>
  </si>
  <si>
    <t>Another #smarthome project in progress in #Tallinn #Estonia with best view in town. Get Your #airbnb rental here</t>
  </si>
  <si>
    <t>Did you know? A flexible #airbnb cancellation policy isn't a common long-term strategy for higher ADR listings in urban markets. 🤔💡 Read the full analysis:</t>
  </si>
  <si>
    <t>Michael Echols</t>
  </si>
  <si>
    <t>Going on vacation? Trying to save some money on hotels? @Airbnb seems like the obvious choice. BEWARE: Land Lordz, a software-as-a-service platform, helps automate the creation and management of fake #Airbnb sites:  #Cybersecurity #Phishing #MikeEchols #IT</t>
  </si>
  <si>
    <t>Fort Washington, MD</t>
  </si>
  <si>
    <t>A cybersecurity company focused on education and risk reduction. http://www.maxcybersecurity.com</t>
  </si>
  <si>
    <t>LexisNexis</t>
  </si>
  <si>
    <t>Hawaii's House and Senate both passed bills that would require short-term rental platforms like #Airbnb to collect and pay taxes on behalf of their hosts.</t>
  </si>
  <si>
    <t>The official feed of LexisNexis®, a leading global provider of legal research &amp; workflow solutions. We’re here to help you 24/7 at 1-800-543-6862.</t>
  </si>
  <si>
    <t>Infographic: Airbnb Is Making a Dent in Sales for Major Hotel Chains  @StatistaCharts #airbnb</t>
  </si>
  <si>
    <t>Mercedes &amp; Karen</t>
  </si>
  <si>
    <t>Time to get an amenity dispenser if your #Airbnb or vacation rental is in California.</t>
  </si>
  <si>
    <t>We show vacation rental owners and Airbnb hosts how to increase their rates and bookings using interior design strategies to make them stand out from the crowd!</t>
  </si>
  <si>
    <t>Feel reassured that the housekeeping is taken care of for your holiday let:  #airbnb #housekeeping #cleaning #laundry #ironing #cotswolds #gloucestershire #worcestershire</t>
  </si>
  <si>
    <t>Julie</t>
  </si>
  <si>
    <t>Thanks everyone for all your supportive tweets. Just wanted to update you all that #Airbnb took notice and decided to do the right thing by fully refunding us, including hotels, AND suspending the host from their site until they investigate her further.</t>
  </si>
  <si>
    <t>Publicist in the DMV</t>
  </si>
  <si>
    <t>Happy Healthy Over 50 benefits! Get $40 off your next Airbnb - $40 OFF AIRBNB  #Travel #AirBNB #DoMore</t>
  </si>
  <si>
    <t>Decrease Cleaning Services</t>
  </si>
  <si>
    <t>How's that 'to do' list coming along.. the cleaning just doesn't go away does it. Call us and it will all become a lot easier to manage. #office #VisitDevon #Torquay #commercialcleaning #cleaning #airbnb #holidaycottages #holidayapartments #BoostTorbay #paignton #Brixham</t>
  </si>
  <si>
    <t>Torbay</t>
  </si>
  <si>
    <t>Decrease Cleaning Services.. The local service for local people</t>
  </si>
  <si>
    <t>Dynamic Windmill</t>
  </si>
  <si>
    <t>5 Criteria To Make Your Next #Airbnb Stay A Hit, Not A Miss  #Hotel #Travelhacking #Travel</t>
  </si>
  <si>
    <t>Discover our unique ALL INCLUSIVE approach to PUBLISHING YOUR BOOK 📚 What message do you have to share?</t>
  </si>
  <si>
    <t>Jocktoberfest</t>
  </si>
  <si>
    <t>Still deciding where to stay for @jocktober? Our Farmhouse is now available on #Airbnb and still free that weekend! Sleeping up to eight, you'll not be far from the bar or the barns... Find out more here:  #Jocktoberfest RT @BlackIsleBeer: Last week we revealed our incredible Shepherd's Hut right here on the brewery farm - and this week - we've also added our fantastic farmhouse to the mix! Sleeping up to 8 people - you'll be steps away from freshly brewed organic beer and homegrown veg! #organicfarm #blackislelife</t>
  </si>
  <si>
    <t>Black Isle Brewery</t>
  </si>
  <si>
    <t>Our annual celebration of great beer and bands at Black Isle Brewery. Held on out organic farm in the Scottish Highlands.</t>
  </si>
  <si>
    <t>Wine down at Holiday Scottsdale. All the comforts of home, and then some. #Vrbo #airbnb #Winedown #vacationrental</t>
  </si>
  <si>
    <t>Alpine Made</t>
  </si>
  <si>
    <t>Kerry has some news... Pt.1 🐐🐐🐐🐐🐐🐐🐐🐐🐐🐐🐐 #AlpineMade #organicfarm #teachingcenter #vision #Airbnb #EastCreekHomestead #dreamsdocometrue</t>
  </si>
  <si>
    <t>Wales, NY</t>
  </si>
  <si>
    <t>Alpine Made, crafting the finest raw organic goat milk products. We make all of our soaps &amp; skincare products here at our certified organic farm in Wales, NY.</t>
  </si>
  <si>
    <t>Mike Batson</t>
  </si>
  <si>
    <t>Back in #Southend today with #property #photoshoots booked in all week. Help your #home when selling or your #hotel #guesthouse #airbnb stand out from the crowd with #professional #photos #propertyphotography #travelphotography :) have a good day all :)</t>
  </si>
  <si>
    <t>Essex</t>
  </si>
  <si>
    <t>#freelancephotographer #printsales</t>
  </si>
  <si>
    <t>Phil Yacuboski</t>
  </si>
  <si>
    <t>.@BaltCoExec proposes raising hotel tax from 8% to 10% and proposes 'levying a tax on short-term rentals' like #airbnb @wbalradio</t>
  </si>
  <si>
    <t>Baltimore, MD</t>
  </si>
  <si>
    <t>Anchor/Reporter, WBAL NewsRadio 1090 and FM 101.5</t>
  </si>
  <si>
    <t>pie wase woolies</t>
  </si>
  <si>
    <t>We don’t want government intervention when it comes to our Airbnb earnings!! #airbnb</t>
  </si>
  <si>
    <t xml:space="preserve">Johannesburg </t>
  </si>
  <si>
    <t>Head Consultant at South African Aviation consultants | Money is the anthem of success | Photograph my mind and whatever else you'd like to shoot you decide ;-)</t>
  </si>
  <si>
    <t>Ryan</t>
  </si>
  <si>
    <t>An Insider’s Guide to Saving Money on Airbnb Apartments #Airbnb #Coupon #Discount</t>
  </si>
  <si>
    <t>CDMX</t>
  </si>
  <si>
    <t>✈ Blogger, Digital Influencer, and World Traveler with a passion for adventure. Business Inquiries: pausethemoment@gmail.com</t>
  </si>
  <si>
    <t>Vacayo</t>
  </si>
  <si>
    <t>San Francisco hospitality startup opens hotel-Airbnb hybrid in Uptown #Travel #startuplife #hustle #sidehustle #designstudio #gigeconomy #vacayo #startup #startups #superhost #designstudio #airbnb #homeownership #proptech #realestate #fintech #landlord</t>
  </si>
  <si>
    <t>Mountain View, CA</t>
  </si>
  <si>
    <t>#vacationrental tech w full service management to optimize #Airbnb, #VRBO listings. Get it #rented with higher performance, lower fees &amp; better options. #travel</t>
  </si>
  <si>
    <t>Exposed brick walls add so much character to a room  #Airbnb #Accommodation #Liverpool</t>
  </si>
  <si>
    <t>Cold Case SH154/09</t>
  </si>
  <si>
    <t>African South African</t>
  </si>
  <si>
    <t>Agricultural aspirations, FOSS interests, African Religion curious</t>
  </si>
  <si>
    <t>Sign up for AirBnB via our referral &amp; get $40 off your 1st adventure.  #airbnb #travel #touristlife</t>
  </si>
  <si>
    <t>Sign up for AirBnB with our referral and get $40 off your first adventure.  #airbnb #travel #touristlife</t>
  </si>
  <si>
    <t>"Strip resorts may have lost out on as much as $150 million in revenue last year as more visitors to #LasVegas book accommodations through #Airbnb, according to a new report."</t>
  </si>
  <si>
    <t>GreatDealsMadeEasy</t>
  </si>
  <si>
    <t>Who has hosted on Airbnb? Can you recommend any good hosting tips?  #airbnb #hosting #sidehustle #MondayMotivation</t>
  </si>
  <si>
    <t>William Pointing, online cost comparison expert helps you save money online the easy way! “Website of the week” in The Sun newspaper Dec 2018.</t>
  </si>
  <si>
    <t>This week sees the completion of our pods build, so we're giving you a glimpse of what to expect! Today we preview the Ludlow Pod, with a modern industrial design and decor #luxuryglamping #glamping #shropshire #shropshirehills #visitshropshire #airbnb #glampingpods #ludlow</t>
  </si>
  <si>
    <t>Stephen Lesavich PhD, JD</t>
  </si>
  <si>
    <t>How to protect yourself from hidden #cameras in an #Airbnb.  via @slate #cybersecurity #security #privacy #IoT #IoTSecurity</t>
  </si>
  <si>
    <t>Award-winning and best-selling author, CEO, Entrepreneur, Visionary, Attorney, Tech Expert</t>
  </si>
  <si>
    <t>Great Apartment #ATX Austin #TX #Airbnb : BEST Locale, Lovely Home, FAMILIES GROUPS BIZ PETS, sleeps 12</t>
  </si>
  <si>
    <t>VIRA Marketing</t>
  </si>
  <si>
    <t>This is pathetic. Hotel groups would rather involve a corrupt government than innovate. #StaySmallZA #AirBNB - #MoreVIRA</t>
  </si>
  <si>
    <t>Gauteng - Durban - Cape Town</t>
  </si>
  <si>
    <t>More Customers &amp; Clients - Less Effort - Better Bottom line.​ Social Media and Strategic Marketing Consulting Since 2010 - 087 255 6585</t>
  </si>
  <si>
    <t>Amy Rutten</t>
  </si>
  <si>
    <t>When your #airbnb only offers you a square coffee cup, do you drink from the flat edge or the spout?? #FirstWorldQuestions</t>
  </si>
  <si>
    <t xml:space="preserve">Nevada City, CA </t>
  </si>
  <si>
    <t>writer, reader, library nerd, recovering architect, wife, mother, and human to Jake the dog.</t>
  </si>
  <si>
    <t>Eloquent Delinquent</t>
  </si>
  <si>
    <t>Oh please.... these hotel conglomerates need to sit the fuck down. If anything #airbnb is helping our tourism industry because now locals can afford to travel too, we don't need to pay exorbitant hotel costs... RT @mybroadband: Airbnb is killing the tourism industry in South Africa - Hotels</t>
  </si>
  <si>
    <t>When you're accustomed to privilege, equality feels like oppression</t>
  </si>
  <si>
    <t>Keymitt</t>
  </si>
  <si>
    <t>Still exchanging keys with your guests?🔑🔐 With #Keymitt smart Lock you can have 1)Self check-in 24/7 2)Universality 3)Monitoring multiple proprieties 4)Military grade encryption 5)German Engineering We are soon launching discounted pre-orders at  #airbnb</t>
  </si>
  <si>
    <t>Luxembourg</t>
  </si>
  <si>
    <t>We convert your lock into a smart lock! Benefit from self-service check-in for your guests! #bnb #hotel #proptech #traveltech #smarthome #realestate #cretech</t>
  </si>
  <si>
    <t>💲55 💵💲💵 Airbnb code coupon promo discount first. 💲55 OFF CLICK LINK NOW! Try it. Please DM me if you have any issues. #airbnb #airbnbcode #airbnbdiscount #airbnbpromo #airbnbcoupon #BostonMarathon #ARICHELLA #MondayMorning #TaxDay</t>
  </si>
  <si>
    <t>Jason Callina</t>
  </si>
  <si>
    <t>Come stay at our board game themed #AirBnB Lost Marbles. Lots of space for everyone and a stones throw away from North Conway, NH. Reposting for the Monday Morning crowd.</t>
  </si>
  <si>
    <t>Somerset, MA</t>
  </si>
  <si>
    <t>Founder, Mastermind Adventures @mmindadventures Inspiration and community through play</t>
  </si>
  <si>
    <t>LilBlueFiat</t>
  </si>
  <si>
    <t>I love watching the light come in over the mountain! Follow me for more beautiful updates from the #coffeeporch #airbnb #ferngully_cove #weekendgetaway…</t>
  </si>
  <si>
    <t>vanessa ngwenya</t>
  </si>
  <si>
    <t>Our #airbnb is very affordable, if you are looking for accommodation in Durban RT @u_ratoe: Ranges from R350-R380 a night. Parking is free and very secure. It’s called Glenwood Garden Cottage</t>
  </si>
  <si>
    <t>Durban, South Africa</t>
  </si>
  <si>
    <t>positive vibes only! SUBSCRIBE TO MY CHANNEL!</t>
  </si>
  <si>
    <t>Positano AirBnB Tour #airbnb #italy #tour #positano #amalficoast</t>
  </si>
  <si>
    <t>5 jobs for late summer:  #homeinsurance #holidayhome #holidayhomes #airbnb</t>
  </si>
  <si>
    <t>Our hotel-quality toiletries set includes all the essentials your guests will need for their stay at your #airbnb or #servicedapartment. #hospitality #premium</t>
  </si>
  <si>
    <t>Amazing #health benefits of drinking #lemon ginger #tea👌 #maisonvie #london #kilburn #nw6 #frenchcafe #frenchbakery #frenchrestaurant #ICMP #airbnb #londonfoodie #londonfood #londoncafe #londonbakery #londonrestaurant #instagood #instafood #delicious #yummy #tasty #queenspark</t>
  </si>
  <si>
    <t>We totally adore this rustic reclaimed dining table and we think your Airbnb guests will do too. #diningroominspiration #homedecorideas #diningroomdecor #diningtable #diningtabledecor #airbnb #modishliving⠀</t>
  </si>
  <si>
    <t>“Wherever you go becomes a part of you somehow” 🙌🏼💕  Whatsapp: +5219981578529 #travel #travelgram #suitesfenicia #playa #viajar #viajaresvivir #viajeros #viajerosporelmundo #airbnb #playadelcarmen #mexico #rivieramaya #beach #palm #summer</t>
  </si>
  <si>
    <t>Brian Butchart</t>
  </si>
  <si>
    <t>Damaging the sector? Or only accommodation providers? Surely visitors staying in #airbnb options eat out, rent cars, use other modes of transport, visit attractions, go on tours, shop, etc. So saying it is damaging the SECTOR, is not totally true. @GoToSouthAfrica @SATourismCo RT @BusinessTechSA: Government to regulate Airbnb in South Africa</t>
  </si>
  <si>
    <t>Managing Director of Brenthurst Wealth and Certified Financial Planner. +27 21 914 9646</t>
  </si>
  <si>
    <t>Dataiku</t>
  </si>
  <si>
    <t>Housing needs aren't always predictable. That's why @AirbnbEng built a robust forecasting system for uncertainty. Find out how. |  by @oreillymedia #airbnb #uncertainty #predictive #forecasting</t>
  </si>
  <si>
    <t>Dataiku connects people, technologies and processes to pave the fast, stable, sustainable path to enterprise AI.</t>
  </si>
  <si>
    <t>My Beautiful Destination</t>
  </si>
  <si>
    <t>How to find hidden cameras in your #Airbnb  #travel #bookings #holidays #privacy</t>
  </si>
  <si>
    <t>The Netherlands</t>
  </si>
  <si>
    <t>Information about great destinations and #sports, #arts, #science, #nature, #oceans #innovation #climatechange #AI</t>
  </si>
  <si>
    <t>Giovanna Spantigati</t>
  </si>
  <si>
    <t>Arrivato bellissimo regalo da Airbnb!!! Ma grazieeee! 💜🙏 - Thank you, Airbnb! I really appreciated! - #airbnb #airbnbitaly #superhost #gift #bedandbreakfast #iltempodelsogno…</t>
  </si>
  <si>
    <t>Baveno, Vb</t>
  </si>
  <si>
    <t>Giornalista, mi diverto a lavorare nel mio Bed &amp; Breakfast al lago Maggiore. http://www.iltempodelsogno.eu</t>
  </si>
  <si>
    <t>#riversidejogja #jogja #resort #airbnb #expedia #traveloka #travellers #travelgram @ Riverside Javanese Cottages</t>
  </si>
  <si>
    <t>Leli Blagonravova</t>
  </si>
  <si>
    <t>#airbnb Abkhazia is Georgia if you don't know @Airbnb</t>
  </si>
  <si>
    <t>Georgia</t>
  </si>
  <si>
    <t>Photojournalist. Official photographer of the President of Georgia. Administration of the President of Georgia. lecturer at GIPA</t>
  </si>
  <si>
    <t>Ptrace Security GmbH</t>
  </si>
  <si>
    <t>How to Find Hidden Cameras in your AirBNB  #AirBnB #Privacy #Cybersecurity #Infosec</t>
  </si>
  <si>
    <t>Zug, Switzerland</t>
  </si>
  <si>
    <t>Welcome to the official account of Ptrace Security GmbH! Follow us for updates on our ethical hacking courses, certifications, and services.</t>
  </si>
  <si>
    <t>Cristina Magro</t>
  </si>
  <si>
    <t>How to find hidden cameras in your hotel room or #Airbnb</t>
  </si>
  <si>
    <t>Business Development Manager for @SANSEMEA Southern Europe. #InfoSec #sicurezzainformatica #ciberseguridad #Cybersecurity #GIAC</t>
  </si>
  <si>
    <t>📌Online Booking ⬇️⬇️⬇️ 👉 #tbt #galatasarayhamamı #hamam #hammam #istanbul #turkey #turkishbath #taksim #istiklalcaddesi #hamamkeyfi #trip #tripadvisor #booking #airbnb #taksimsquare #gelinhamamıorganizasyonu #beyoğlu</t>
  </si>
  <si>
    <t>Beautiful Studio,BTS Silom and MRThttps://www.airbnb.jp/rooms/1544881  via Twitter Web Client #airbnb</t>
  </si>
  <si>
    <t>The Lancet Oncology</t>
  </si>
  <si>
    <t>News: #Airbnb offers free accommodation for #patients with #cancer</t>
  </si>
  <si>
    <t>London, NYC, Boston, Beijing</t>
  </si>
  <si>
    <t>The Lancet Oncology is the global leader in clinical oncology publishing peer-reviewed research and reviews, comment, news, and Commissions. IF=36.421.</t>
  </si>
  <si>
    <t>Using Machine Learning to Predict Value of Homes On Airbnb  #MachineLearning #DataScience #Airbnb #ArtificialInteligence #technology</t>
  </si>
  <si>
    <t>Dan Mckeown</t>
  </si>
  <si>
    <t>#Airbnb morning view #10yocitybreakcelebration @ Rome, Italy</t>
  </si>
  <si>
    <t>Norfolk</t>
  </si>
  <si>
    <t>I'm Dan, a Acting Head, parent of 3, live Norfolk UK. I'm enthusiastic about, photography, innovative IT, using research in education and allotmenting.</t>
  </si>
  <si>
    <t>Albert Muguia</t>
  </si>
  <si>
    <t>España</t>
  </si>
  <si>
    <t>Markerting y Comunicación</t>
  </si>
  <si>
    <t>Storeys</t>
  </si>
  <si>
    <t>We provide bespoke property management, from #Airbnb stays to long-term lets - at the right price. Find out more:  #Londonrenters #landlords</t>
  </si>
  <si>
    <t>Specialist in all things lettings. Clever technology, exceptional people.</t>
  </si>
  <si>
    <t>Masseria Borgo del Gallo</t>
  </si>
  <si>
    <t>Breakfast is coming... 😍 . . . #masseria #borgodelgallo #accomodation #tricase #salento #apulia #weareinpuglia #homemade #local #organicfood #bookingcom #airbnb #experience #salentogram #holidaysdestination</t>
  </si>
  <si>
    <t>Tricase, Puglia</t>
  </si>
  <si>
    <t>Bed &amp; Breakfast</t>
  </si>
  <si>
    <t>Discover Suffolk - a beautiful coastline, rural villages, and a stunning selection of holiday cottages to stay in! #suffolk #cycling #walking #airbnb #familyholidays #suffolkcoast #norfolk #local #pubs #selfcatering #bespoke #petfriendly #holidaycottages</t>
  </si>
  <si>
    <t>We have achieved Super-host status with Airbnb! 🏚️🌟 See how we can help you:  #london #property #propertymanagement #airbnb</t>
  </si>
  <si>
    <t>The latest image from the GowerLive #webcam on the roof 730RocksMumbles #AirBnB. Book at  #Mumbles #Swansea #Gower #travel. Watch live at  #1450</t>
  </si>
  <si>
    <t>Katie and Dean Do</t>
  </si>
  <si>
    <t>After a few technical issues (Katie needing to update her 💻!) our latest #York visit is live!! Link in bio! #exploringyork #staycation #exploringengland #airbnb</t>
  </si>
  <si>
    <t>🏰 Disney Fans 🏰 🏡 Explorers of places near &amp; far ✈️ 👫 vloggers 📹 see link ⬇️ 🏰WDW May 19🎢 ... find us on Instagram: katieanddeando</t>
  </si>
  <si>
    <t>Villa Clarisse Bali</t>
  </si>
  <si>
    <t>Find us on Airbnb – It’s better to see something once than to hear about it a thousand times 🙂  #travel #holiday #vacation #airbnb #bucketlist</t>
  </si>
  <si>
    <t>Indulge in the magical experience of Villa Clarisse, a truly unique 5-bedroom villa, and allow our top-rated staff to tend to your every need.</t>
  </si>
  <si>
    <t>What is your favourite colour? blue...💙 white...⚪ or both... 🇬🇷 😉 ☀ 😎#white #water #ocean #bluesky #horizon #skylovers #santorini #airbnb #vacationrental #tourist #tourism #greece #visitgreece #sparrow #thesparrow #vacay #vacation #paradise #instalike #holidays #greekislands</t>
  </si>
  <si>
    <t>Lucas von Reuss</t>
  </si>
  <si>
    <t>#Lyft , #Uber, #airbnb - don´t be afraid of all those tech IPOs. They don´t mark the top for tech stocks</t>
  </si>
  <si>
    <t>Founder &amp; CEO @Quant_IP. Tech, Financial Markets, Patents</t>
  </si>
  <si>
    <t>Find out how much your property could be earning you! FREE appraisals being carried out this week in the Hobart area - get in touch today to book in your meeting with us today! . . #labodeaccommodation #hobart #tasmania #luxury #shortstays #airbnb #homehost</t>
  </si>
  <si>
    <t>Dark #chocolate #icecream #coffee. Where the #flavour inebriates you! Don't miss our newest iced coffee menu. Come quick and grab yours😊 #maisonvie #london #kilburn #nw6 #frenchcafe #frenchbakery #frenchrestaurant #ICMP #airbnb #londonfoodie #londonfood #londoncafe #londonbakery</t>
  </si>
  <si>
    <t>Have a great week with us! :) #Travel #SanAndrés #Colombia #Buddhavilla #Caribbean #traveltips #traveltheworld #airbnb #Caribbeanlife #IslaDeSanAndrés #Hostel #rooms #Booking #travelling #poolside #airbnbexperiences #swimmingpool #Colombiana @Airbnb</t>
  </si>
  <si>
    <t>This is why watercolors are the best way to capture mountains in the fog 💕 It's worth the 45 min drive from our #airbnb #vintagesmalltowncharmer up to #crystalmountain to see this! . . .…</t>
  </si>
  <si>
    <t>meetoo / Kate Nelson</t>
  </si>
  <si>
    <t>Hello from the sleepy NSW coastal town of Manyana... been on a cycle of sleep, swim, eat, repeat. 🌊☀️🌴🦜🦘🦈❤️ #schoolholidays #airbnb #mayfinnaccom #manyana #manyanabeach…</t>
  </si>
  <si>
    <t>Prahran</t>
  </si>
  <si>
    <t>personal recommendations about awesome activities for children aged 0-12 around Melbourne and beyond</t>
  </si>
  <si>
    <t>When you host with #Airbnb, you can make thousands per month, with the backing of a $1,000,000 host protection guarantee, should the unexpected occur. See how much you can earn, here:</t>
  </si>
  <si>
    <t>The tremendous growth of an online market leads to an increase in the demand of clone scripts... Buy Now:  call: 7667298398 For demo Mail: support@nexcloudz.com #airbnb #airbnbclone #airbnbscript #ecommercescript #developmentscript #grouponclone #nexcloudz</t>
  </si>
  <si>
    <t>Please take a look to this before coming to Japan. Book your stay in #Tokyo here #AIRBNB :  #familytravel #travel #japan RT @LIVEJAPANGuide: You might be very excited for your dream #vacation to #Japan! But before you go, here are 4 important things #Japanese locals want you to know.</t>
  </si>
  <si>
    <t>Time to enjoy of the wonderful flowers in all Japan. In #Tokyo book your stay here #AIRBNB :  #familytravel #travel #japan RT @japan: The lure of Japanese #spring is about more than cherry blossoms! From tulips to Nemophila &amp; more, enjoy #Japan’s flowery landscape:  #Japan #springtime #flowers</t>
  </si>
  <si>
    <t>#Noh is a show you cannot miss to enjoy when you visit #tokyo. Book us here #AIRBNB :  #familytravel #travel #japan RT @Tokyo_gov: Traditional Japanese #Noh #performances tell many stories, including one focusing on Tokyo. The Noh masterpiece of “SUMIDAGAWA” is set at the city’s #iconic river during a #spring evening. Watch a video of the program organized by Arts Council Tokyo:</t>
  </si>
  <si>
    <t>#HappyMonday This is a great note about how to safe in rides in Tokyo. Book your stay in Tokyo with us here #AIRBNB :  #familytravel #travel #japan RT @LIVEJAPANGuide: #Shinjuku, #Shibuya, Harajuku...so much to see in #Tokyo! Keep buying train tickets, all these rides start adding up. The 1-Day District Pass that lets you ride the JR rails around Tokyo just for 750 yen! Here's how to make the most of this special ticket.</t>
  </si>
  <si>
    <t>Hotel Evaluations</t>
  </si>
  <si>
    <t>Airbnb dominates, but spycams eroding trust  via @accomnews #Airbnb #Hoteliers</t>
  </si>
  <si>
    <t>Sydney Australia</t>
  </si>
  <si>
    <t>Defining The Guest Experience | PRAISE® Hotel/Staff Assessments | Raising the standard of service in Australia's hotel accommodation | Hotel News &amp; Promotions.</t>
  </si>
  <si>
    <t>Bill Akin</t>
  </si>
  <si>
    <t>#airbnb disengaged from explaining to me why I’m disabled, never having had a complaint as a guest. Thanks #airbnb, I’ll be using #vrbo and #tripadvisor. I’ve read of so many other examples of this from you.</t>
  </si>
  <si>
    <t>Austin</t>
  </si>
  <si>
    <t>Married in Austin to Gina</t>
  </si>
  <si>
    <t>For my friends who haven't experienced snow- this SOUND is for you ❄️ We spent the day at #crystalmountain exploring! The slopes are just 45 min from our home and #airbnb…</t>
  </si>
  <si>
    <t>Michalli 💃🏼</t>
  </si>
  <si>
    <t>Sky doesn’t fall after #Bibi re-elected as #PM, #IranianRegime mad as US lists its #RevolutionaryGuard a #terrorgroup, #Airbnb forced back off its anti Israel stand, #BDSFAIL as #Madonna set to sing at #Eurovision in #TelAviv &amp; #Israel lands on the #moon! 🎤#IsraelNewsTalkRadio</t>
  </si>
  <si>
    <t>Jewish Israeli Princess 🇮🇱 Native Texan🌵Trump2020🇺🇸 Politically conservative⚖️ ❤️whiskey 💪🏼ProNRA</t>
  </si>
  <si>
    <t>Large 5Star #Florida #vacationhome with prival pool on #Airbnb Tropical #TommyBahama style - #VRBO April 14, 2019 at 10:01PM</t>
  </si>
  <si>
    <t>tina witherspoon</t>
  </si>
  <si>
    <t>Skylight views... #vacation #birthdaygetaway #airbnb #skylight #evening #shadows #blackandwhite @ Salt Spring Island</t>
  </si>
  <si>
    <t>vashon island</t>
  </si>
  <si>
    <t>fashion designer @boho_republic, portrait photographer, island dweller...</t>
  </si>
  <si>
    <t>If April showers bring May flowers, then this May should be full of flowers! At least we have some early April flowers to get us through the rain storms. I’m not sure of the ID on this one-it was growing wild at the dog park! #sundayquotes #flowers #airbnb #homeaway</t>
  </si>
  <si>
    <t>I loved using Airbnb but out of the blue they disabled me w/o explaining. I have nothing but 5 stars as a guest everywhere. @airbnb sucks for not explaining #airbnb</t>
  </si>
  <si>
    <t>Photography Winnipeg</t>
  </si>
  <si>
    <t>Guestbook. Real Estate photography taken for Meero @Meerophoto and their client Airbnb @Airbnb . . . . . #winnipeg #realestate #airbnb #wpgnow #realtor #vacationrental #manitoba #airbnbphoto #winnipegphotographer #exploremb #wpg #ywg #realestateagent #property #gowpg</t>
  </si>
  <si>
    <t>Winnipeg, Manitoba</t>
  </si>
  <si>
    <t>Photography in Winnipeg. Photography Samples from Mike McComb of Wornstar Media, Winnipeg</t>
  </si>
  <si>
    <t>Icicle Group</t>
  </si>
  <si>
    <t>Quality over quantity is the aim.⁣ .⁣ .⁣ .⁣ .⁣ .⁣ .⁣ .⁣ #iciclegroup #hongkong #hkig #instagram #problemsolver #homekong #instahk #iciclequotes #branding #product #marketing #contentmarketing #brandstrategy #seo #airbnb #brianchesky #qualityoverquantity⁣</t>
  </si>
  <si>
    <t>CREATIVE MAKERS | Connecting brands to markets</t>
  </si>
  <si>
    <t>Hank Kula</t>
  </si>
  <si>
    <t>Wife @NancyDiDo : "I don't think so." Me: "What's wrong with that Airbnb?" Wife: "I see an outhouse." Both: (laughter) #Airbnb #accomodations #plumbing</t>
  </si>
  <si>
    <t>Law Enforcement Support @LTronCorp. Retired / recovering Police Sergeant. Former journalist. Writer/photographer. Husband in development for 22 years.</t>
  </si>
  <si>
    <t>Trip planned to #BentonvilleAR? Need a great place to stay? Check out our Top 10 #Airbnb and #VacationRentals in Bentonville Arkansas.</t>
  </si>
  <si>
    <t>Louis Lafata</t>
  </si>
  <si>
    <t>#savemoney on #airbnb with tips from , home of authentic #gay #travel! Here are 5 easy tips so save cash and get a deal! #traveldeals #savecash #hotels READ HERE🤑🤑 #airbnbexperiences #travelguides #gaytravel #gayman #moneysaving</t>
  </si>
  <si>
    <t>Creator of #wolfyy🐺Here to help you discover the best of #gay culture worldwide. Do as the gay locals do. Travel Authentically. 🌈</t>
  </si>
  <si>
    <t>Michael4Biz  📢</t>
  </si>
  <si>
    <t>Don't forget the #AirBnb but really - if you want to watch me secretly you have bigger problems! RT @StevenElmore: How to Check Your Vacation Rental or Hotel Room for Hidden Cameras (Video)</t>
  </si>
  <si>
    <t>Director #Marketing 📢 Brand Building Revenue Growing #Consultant - Sprinkled with lessons I have *earned* - Wannabe foodie &amp; oenophile.</t>
  </si>
  <si>
    <t>As #SundayFunday winds down, here is our bed of the day! Cheers! #airbnb #phillyairbnb #sandiegoairbnb #chicagoairbnb #atlanticcityairbnb</t>
  </si>
  <si>
    <t>Sign up for Airbnb with my link for $40 off your first trip!! #airbnb @airbnb #travel #discount #promocode</t>
  </si>
  <si>
    <t>Daniel Kearsey</t>
  </si>
  <si>
    <t>I’m a huge Airbnb fan. How about you get money and I get money?! Use my link and get $40 in travel credit!  #airbnb #Travel</t>
  </si>
  <si>
    <t>Ravenna, OH</t>
  </si>
  <si>
    <t>Famous in a past life. Designer. Musician. Defenseman. Kent State ⚡</t>
  </si>
  <si>
    <t>Well done , congratulations #comfortcottagehealing #visitwales #dogfriendly #TheDogsWithMe #alpacas #ArtsWales #SunDogs #Airbnb #yell RT @shellyannmusic: I'm am so overwhelmed &amp; excited about the future! This means so much, thank you all! 💖 Please head over to my website  &amp;amp; sign up to my mailing list to be the first to get all the latest news 😘👊💖 Sx #alltogethernow #shellyannmusic #singer #artist #winner</t>
  </si>
  <si>
    <t>MARITESS VILLATUYA</t>
  </si>
  <si>
    <t>The things you do for love♥️ Desert Moon Ranch reveal this week🤠🌵. . . . #glamping #airbnb #dinnerparty #glampingparty #weddinginspiration #glampinglife #retreats #venue…</t>
  </si>
  <si>
    <t>LOVE FEARLESSLY♥️cREaTiviTY iS EVeryThiNG🎨Traveling is good for the soul✈️ :: IG maritessinc :: Facebook MaritessVillatuya :: 👻TessVillatuya</t>
  </si>
  <si>
    <t>LookUpStrata</t>
  </si>
  <si>
    <t>VIC: Q&amp;A #Airbnb neighbour flooded my #apartment and damaged my goods @WhitbreadInsure #Strata #Insurance</t>
  </si>
  <si>
    <t>Australia Wide</t>
  </si>
  <si>
    <t>Australia's Top Property Blog Dedicated to Strata Living. Providing quality strata information to lot owners, #apartment residents &amp; #strata industry since 2013</t>
  </si>
  <si>
    <t>Got questions? Need help? #Airbnb Customer Support can easily be reached here:</t>
  </si>
  <si>
    <t>Robin P.</t>
  </si>
  <si>
    <t>Remember when that show Thirtysomething was about old people?</t>
  </si>
  <si>
    <t>RudiGourmand</t>
  </si>
  <si>
    <t>An AirBnB with history!  #monet #airbnb #france</t>
  </si>
  <si>
    <t>Purveyors+Explorers / Chicago-based+Internationally-inspired / Join us on the journey! #rudigourmand #gourmand #foodie #import #export http://www.rudigourmand.com</t>
  </si>
  <si>
    <t>"Witch's Hut" Off-Grid Forest Cabinhttps://www.airbnb.jp/rooms/1456518  via Twitter Web Client #airbnb</t>
  </si>
  <si>
    <t>Cre8 Nova Scotia</t>
  </si>
  <si>
    <t>I woke up in love this morning. #NS #lobster #ocean #Eurovision #airbnb #WestPubnico</t>
  </si>
  <si>
    <t>West Pubnico, NS Canada</t>
  </si>
  <si>
    <t>We offer a Stunning View &amp; Luxurious Guest House for both Business and Vacation travelers. Weekly Cafe &amp; Bazaar. Parties, Weddings, Gatherings.</t>
  </si>
  <si>
    <t>Our most popular building. With 4 bedrooms, sleeping 8. Stone fireplace and private deck with a grill. Large picture windows. Come and enjoy the Adirondack Mountains. #Westoneastkeene #adirondacks #airbnb #familyvacation #retreat #getaway #vacation #outdoors</t>
  </si>
  <si>
    <t>Check out this awesome Entire condominium on Airbnb: Live Like Royalty On The Las Vegas Strip!, sleeps 5 #Vegas #LasVegas #VGK #Raiders #Boxing #Poker #VegasRaiders #WSOP #AirBnB</t>
  </si>
  <si>
    <t>Alamo City Stays</t>
  </si>
  <si>
    <t>Bringing our brand to Twitter so we can start Creating Financial Success With Homeowners #airbnb #HomeAwayFromHome #sidehustle</t>
  </si>
  <si>
    <t>Journalism news</t>
  </si>
  <si>
    <t>Why you won't be able to get an @Airbnb in Upper Arlington next year  #Ohio #airbnb</t>
  </si>
  <si>
    <t>Columbus, OH</t>
  </si>
  <si>
    <t>News from the journalism industry</t>
  </si>
  <si>
    <t>Tricks for #RealEstate agents to make a killing off of #Airbnb properties:</t>
  </si>
  <si>
    <t>Tristan McKenna</t>
  </si>
  <si>
    <t>Of all the upcoming tech IPOs to invest in, perhaps best option is #amzn #Lyft, #Airbnb, and #slack (and others) are all AWS users Cloud vendors becoming the 21st century’s utility providers</t>
  </si>
  <si>
    <t>Interested in technology, startups, and product management.</t>
  </si>
  <si>
    <t>Gayatri Sarkar</t>
  </si>
  <si>
    <t>Confession: Never used #Airbnb, still happy to stay in hotel. Never used #uber except once heading towards LA Nobu with hubby. I’m still not convinced about how to let go of my #security and self concern while using those platforms.</t>
  </si>
  <si>
    <t>Boston, NewYork</t>
  </si>
  <si>
    <t>Intersection of VC &amp; Physics. Blogs Game-theory, BigData, AI, Blockchain |GP @SportvestVC 🏈| Ex- @IBM @HP @GoldmanSachs FedReserve | founder of 2startups</t>
  </si>
  <si>
    <t>imogen lassen</t>
  </si>
  <si>
    <t>Get a 10% back reward when you book your next trip using this code: 4B840D6E Or follow this link:  #holiday #travel #airbnb #booking #hotel</t>
  </si>
  <si>
    <t>Head of Delivery at Delete. Accumulating ebay feedback and reading youtube comments on the side.</t>
  </si>
  <si>
    <t>Safety precautions guests should look out for when staying at an #Airbnb, via @rapplerdotcom. #Vacationrental hosts can make their lives easier by having as much as possible of this info readily available  #airbnbsafety #airbnbsecurity</t>
  </si>
  <si>
    <t>Today #welcome #squirrel :) #animals #animales #costarica #ardilla #naturaleza #nature #openyourwindow #protectnature #puravida #love cute #Guanacaste #maryposa #bnb #cabinas #airbnb…</t>
  </si>
  <si>
    <t>Wyrral Wellbeing</t>
  </si>
  <si>
    <t>Our apple tree. A true hollow bones. Hollow for two thirds of the way up. Still allowing life to flow through to blossom and yield fruit. A conduit between Earth and Sky. #Airbnb…</t>
  </si>
  <si>
    <t>Glastonbury, England</t>
  </si>
  <si>
    <t>#Airbnb #Superhosts - Double, Single &amp; Sofa Bed rooms: http://www.airbnb.co.uk/users/53688159/listings + #holistic #therapies #Glastonbury #Somerset #spiritual #lgbt</t>
  </si>
  <si>
    <t>Sharing our home is an amazing experience. We get to meet all kind of people from around the world. There are days I feel so lucky. #westoneastkeene #adirondacks #airbnb #Superhost #vacation RT @LaptopLandlord: When you share your space on #Airbnb, you’re covered by their $1 Million Host Guarantee. Start hosting today to boost your income with ease and security.</t>
  </si>
  <si>
    <t>HardlyGospel</t>
  </si>
  <si>
    <t>Around 30% of all guests leave a review, so this a pretty big milestone for us. It's challenging ensuring hundreds of people with various expectations from a wide array of cultures have a 5-star experience on #airbnb - especially when it's a shared space. So far, so good!</t>
  </si>
  <si>
    <t>Content creator, retired I.T Sys-admin, AirBnB Superhost &amp; recreational barman living 1200 meters above sea level in the land down under. I'm late here!</t>
  </si>
  <si>
    <t>Igor Os</t>
  </si>
  <si>
    <t>“How to Scan Your #Airbnb for Hidden Cameras. It’s not as technically difficult as it might sound.”  #hiddencameras #surveillance #privacy</t>
  </si>
  <si>
    <t>Delaware, USA</t>
  </si>
  <si>
    <t>Experienced #Unix/#Linux System Administrator with 20-year background in Systems Analysis, Problem Resolution, Application Support, and Process #Automation.</t>
  </si>
  <si>
    <t>Skatulica_Zg</t>
  </si>
  <si>
    <t>#arena #zagreb #stadium made for #world #mens #handball #championship #2009 #now it's mainly #used for #events #like #concerts or #performances . . . #airbnb #apartment #superhost #hostagram #picture #pictureoftheday #instatravel #travelgram #traveller #host #guest #Croatia</t>
  </si>
  <si>
    <t>Zagreb, Croatia</t>
  </si>
  <si>
    <t>Apartment Skatulica Zagreb, Croatia https://www.airbnb.com/rooms/22292035</t>
  </si>
  <si>
    <t>#arena #zagreb #stadium made for #world #mens #handball #championship #2009 #now it's mainly #used for #events #like #concerts or #performances . . . #airbnb #apartment #superhost…</t>
  </si>
  <si>
    <t>Christopher Joyce</t>
  </si>
  <si>
    <t>This is a detail picture of a bathroom that I just finished renovating for our airbnb rental which will be online soon. #bathroom #design #renovation #airbnb #vrbo…</t>
  </si>
  <si>
    <t>Halifax, Nova Scotia</t>
  </si>
  <si>
    <t>Passionate about art and design. Driven by style and living to ride.</t>
  </si>
  <si>
    <t>xraytext</t>
  </si>
  <si>
    <t>“Scammers who make a living swindling #Airbnb customers have a powerful new tool at their disposal: A software-as-a-service offering called “Land Lordz,” which helps automate the creation and management… and the sending of messages’ @briankrebs  #REtech</t>
  </si>
  <si>
    <t>Deft #retech advisory from the uncharted tundra. Infinitely curious. Tweets are not endorsements. They're marriage proposals.</t>
  </si>
  <si>
    <t>#Stayhere:  AND #jumpoutofaplane there... #networking #ASUITEC #accommodations #Airbnb #Hospitality #shorttermrental #homeaway #VRBO #SuperHost #HomeSharing #travel #Skydive #skydiving #skydiveperris #tandemjump</t>
  </si>
  <si>
    <t>The Right Way to Get Your First 1,000 Customers #Airbnb #Uber #Etsy #Netflix</t>
  </si>
  <si>
    <t>Dress Queen Nina</t>
  </si>
  <si>
    <t>#Airbnb Has a Hidden-Camera Problem  #Travel #travelblogger #TravelBlog #travelbloggers</t>
  </si>
  <si>
    <t>Passionate about all beautiful and interesting things that make us happy #Fashion🛍️ #Beauty💄#winelover🍷 #Lifestyle ..http://www.kingdomOFdresses.co.uk</t>
  </si>
  <si>
    <t>“This partnership with Airbnb in #Atlanta will help ensure that #AfricanAmericans and #CommunitiesofColor have opportunities to earn valuable extra income,” said Marvin Owens Jr., the #NAACP’s senior director of economic programs. #Airbnb #BlackHosts</t>
  </si>
  <si>
    <t>6-9a ET #GetWoke⏰ #MIP🎙️ #GetWokeAndVote🗳️</t>
  </si>
  <si>
    <t>Hosted by @ministter @SXMProgress 🛰️127 (RTs ≠ endorsements) http://facebook.com/makeitplain #MIP 🎙️#MakeItPlain 📻 #GetWoke ⏰#GetWokeAndVote 🗳️</t>
  </si>
  <si>
    <t>mike garber</t>
  </si>
  <si>
    <t>why do so many #airbnb owners ask you to clean the kitchen and take out the trash, but also charge a $75-$100 cleaning fee? dodgy</t>
  </si>
  <si>
    <t>hollywood</t>
  </si>
  <si>
    <t>i cook. i eat. i listen to music live or recorded. i like my coffee black, my scotch neat and my beer dark.</t>
  </si>
  <si>
    <t>Maximize your profit through #Airbnb’s key feature: #InstantBook.</t>
  </si>
  <si>
    <t>Barbara</t>
  </si>
  <si>
    <t>Me 4 hrs ago: Was stoked about the deal my husband found on #airbnb for an apartment with a parking spot in the heart of the historic old town in #Bratislava, #Slovakia. Now: laying in a repurposed room in a nursing home. #truestory</t>
  </si>
  <si>
    <t>Ontario, Canada</t>
  </si>
  <si>
    <t>Baker like a boss, slow swimmer.</t>
  </si>
  <si>
    <t>Not sure what to do while you are in town? Look no further! We have created a must do list for the city of Temecula! #Temecula #airbnb #propertymanagement #vacationrental #vacation #wine #vrbo #dinner #travel #bookdirect #eatlocal #destination #buylocal #lovetemecula</t>
  </si>
  <si>
    <t>Madero B &amp; B</t>
  </si>
  <si>
    <t>What are you waiting for? @maderobnb Visit Us #Lahabana #havana #havanacars #Havanalove #havanastyle #cuba #cubalife #cubalove #bedandbreakfast #CasaParticular #casaparticulares #renthousecuba #airbnbguest #airbnb #casasparticularescuba #casaparticularhavana #CubaTravel</t>
  </si>
  <si>
    <t>Cuba</t>
  </si>
  <si>
    <t>The best Hotel in the center of old Havana, with 6 rooms. To enjoy your travel to Cuba and feel like home. Great location near San Francisco de Asis church.</t>
  </si>
  <si>
    <t>Nicky Lambert</t>
  </si>
  <si>
    <t>#Airbnb #Bath #TheBothy #Perfect one of those idyllic places that you really want to shout about and keep quiet about in equal measure in case it books up and you have to find somewhere else to stay. Credit where credits due. Superb.</t>
  </si>
  <si>
    <t>human being - wife - mother - fortunate.</t>
  </si>
  <si>
    <t>Marcelo Dotta</t>
  </si>
  <si>
    <t>For the third consecutive time, a #Superhost @Airbnb Not all heroes wear capes.  #airbnb #berlin #staywithus #holiday</t>
  </si>
  <si>
    <t>World Traveller. ❤ Geschichte und Wissenschaft. Zum Schutz und zur Erhaltung der Umwelt. Berliner! Paulistano! 🇧🇷🇩🇪🇬🇧🇮🇹</t>
  </si>
  <si>
    <t>“A shooting on a Saturday morning in January at a home across the street from his — which is operated as an @Airbnb — rattled the family.” #ottcity #affordablehousing #notyourordinaryhost #fairbnb #airbnb</t>
  </si>
  <si>
    <t>Clare Gillbanks</t>
  </si>
  <si>
    <t>Planning the entertaining space for us at the beach after the luxury holiday cabin has gone in #airbnb #luxury #beach #cabin #propertydevelopment #bestbit</t>
  </si>
  <si>
    <t>Property &amp; Finance, Marketing &amp; Events, London &amp; Whitstable 😎</t>
  </si>
  <si>
    <t>Hynek Hampl</t>
  </si>
  <si>
    <t>One of the best airbnb we have ever been 😍💕 #bali #indonesia #whpvibes . . . . . . (this post isn't ad!) #balicili #balilife #travelcouples #airbnb #explorebali #thebalibible #balidaily…</t>
  </si>
  <si>
    <t>Instagram, marketing, focení, Apple a tak dále.</t>
  </si>
  <si>
    <t>Young Footsteps Around the World</t>
  </si>
  <si>
    <t>We had an amazing time in Finland! If you’ve ever wanted to go there or see the Northern Lights, check out our Blog for some travel tips.  #familytravelblog #familytravel #northernlights #familyadventure #airbnb #Wanderlust</t>
  </si>
  <si>
    <t>Colorado Springs, CO</t>
  </si>
  <si>
    <t>👣OUR ADVENTURE C🌍LLECTION👣 Army #family pausing the normal in June ‘20 to #travel the world/collect memories 🙎🏻‍♂️🇺🇸 🙎🏼‍♀️🇩🇪🧑🏼 (8) 👦🏼 (3) 👧🏼(1)</t>
  </si>
  <si>
    <t>Chris Pugh</t>
  </si>
  <si>
    <t>Designer, copy editor, web guy for @ThisWeekNews. Opinions mine. Retweets, links not endorsements. Personal Twitter @chrispugh3</t>
  </si>
  <si>
    <t>Today is #InternationalMomentofLaughterDay ! Plan your next vacation at Holiday Scottsdale so you can create even more happy moments. #LiveLaughLove #Vrbo #Airbnb</t>
  </si>
  <si>
    <t>Constantine Singer Strange Days is out now</t>
  </si>
  <si>
    <t>#Brooklyn left a love note on our #AirBnB before we left this morning. #newyork #newyorkcity #touristing #doors #amwriting #writingcommunity #authorsofinstagram @ New…</t>
  </si>
  <si>
    <t>Echo Park, CA</t>
  </si>
  <si>
    <t>Teacher, Writer, Displaced Seattleite, Angeleno at heart. Author of STRANGE DAYS. #yascifi #writing #strangedays https://amzn.to/2BgFZ0Z</t>
  </si>
  <si>
    <t>Randi Barry</t>
  </si>
  <si>
    <t>Relaxing Tropical Oasis - Entire Home in Safe Area - Houses for Rent in Fort Lauderdale #Travel #airbnb @airbnb</t>
  </si>
  <si>
    <t>@nauticnomad Blogger +🎙️Podcast Host http://bit.ly/Nautic-Nomad</t>
  </si>
  <si>
    <t>JaneRandolph</t>
  </si>
  <si>
    <t>Not all heroes wear capes. #Superhost!  so proud to be a #superhost 13 tines in a row! #airbnb love serving our guests and strive for perfection with every visitor.</t>
  </si>
  <si>
    <t>Karen Heller</t>
  </si>
  <si>
    <t>#Goteam #Airbnb teams with local organization to give place to stay for traveling cancer patients  via @10tv</t>
  </si>
  <si>
    <t>NYC, Westchester, Fairfield.</t>
  </si>
  <si>
    <t>CR/E Broker, author &amp; news expert. Fresh Insight for investor clients. MULTIFAMILY TREND WATCHER. Be in the #KNOW. Be of Service. It takes all of us to thrive.</t>
  </si>
  <si>
    <t>The Coffee and Wine Girl.</t>
  </si>
  <si>
    <t>Remember getting the advice that I don’t have to own anything that I wanna sell #Airbnb</t>
  </si>
  <si>
    <t>A beauty 🌺</t>
  </si>
  <si>
    <t>Three 5 star reviews out of 3, can’t wait to welcome our next guests to the Highlands. #airbnb #airbnbhost @visitnessie @VisitScotland @Airbnb @Airbnb_uk @TouristScottish @HighlandsScot</t>
  </si>
  <si>
    <t>Dara Gault | Edina Realty</t>
  </si>
  <si>
    <t>Planning your next trip at an Airbnb? Make sure your not on ‘Candid Camera’ with these tips. #airbnb #cameras #hiddencameras</t>
  </si>
  <si>
    <t>Chanhassen, MN</t>
  </si>
  <si>
    <t>Delivering a referral worthy real estate transaction experience by eliminating the associated stress.</t>
  </si>
  <si>
    <t>Phillip Roh</t>
  </si>
  <si>
    <t>Toronto has apartment shortage, meanwhile 759 condo units will be going up right at a downtown subway station. #topoli #airbnb  HT @laurenonizzle</t>
  </si>
  <si>
    <t>Personal account. ❤️ paying taxes. #Ready4NomNom</t>
  </si>
  <si>
    <t>s. ross</t>
  </si>
  <si>
    <t>Next stop. #summer2019 #lisbon #portugaltravel #summertrip #portugalbeachholiday #beach #beachholidayplanning #cityholidayplanning #cityholiday #beachvacation #airbnb…</t>
  </si>
  <si>
    <t>theatrejunkie, Outer Critics Circle member, travelaholic, gym trainer, psychotherapist, lucha lover. IG/FB: frontmezzjunkiies frontmezzjunkies@gmail.com</t>
  </si>
  <si>
    <t>Laura pls read White Fragility before u @me Fitton</t>
  </si>
  <si>
    <t>happy #gots8 day everyone! Selkie’s Rest @airbnb got in on the fun with a little meme to celebrate...  #summerfell #winterfell #casterlyrock #jonsnow #airbnb #GOT8 #Gots8finalHBOTV</t>
  </si>
  <si>
    <t>i help out on @INBOUND for @HubSpot. priors include CEO/Founder @oneforty author @Dummies. makes things happen from scratch. homesteady. (she/her)</t>
  </si>
  <si>
    <t>When Justin &amp; Charalaina Heard agreed to lease their Atlanta bungalow on @Airbnb, they faced 1 last decision. Whether or not to put a pic of themselves on the listing. #Airbnb working to increase diversity of hosts after discrimination allegations @ajc</t>
  </si>
  <si>
    <t>SuiteSpotStays</t>
  </si>
  <si>
    <t>So very proud to be a #Superhost through #airbnb</t>
  </si>
  <si>
    <t>We are SuiteSpotStays and have partnered with Airbnb. We are dedicated to making your stay with us as fantastic and as comfortable as possible.</t>
  </si>
  <si>
    <t>SiliconRepublic</t>
  </si>
  <si>
    <t>Aisling Hassell, site lead at the #Airbnb #Dublin office, tells us how people are pulling away from mass-produced tourism packages in favour of experiencing new places ‘like a local’</t>
  </si>
  <si>
    <t>Sci-tech news and views since 2001. Voted Ireland's best science &amp; technology website 7 times. Leading coverage in Fintech, IoT, Blockchain, AI, Future of Work.</t>
  </si>
  <si>
    <t>Some more photos from Lost Marbles, our board game themed retreat near North Conway, NH. #airbnb Come stay with us!</t>
  </si>
  <si>
    <t>18 acre tropical jungle estate!  via Twitter Web Client #airbnb</t>
  </si>
  <si>
    <t>Kacey Close</t>
  </si>
  <si>
    <t>Saying farewell to Freyjahaven once again. We’ll be back. — #austintx #atx #airbnb #freyjahavencottage @ South Congress</t>
  </si>
  <si>
    <t>Denton, TX</t>
  </si>
  <si>
    <t>Computer Support, Photographer, Obsessive Gamer, Miracle Code Worker for GordonandtheWhale.</t>
  </si>
  <si>
    <t>Online Teacher</t>
  </si>
  <si>
    <t>After a series of highly disappointed stays with #Airbnb, we made the decision to change to #Booking.com. Do the same thing and use our link to book your next stay and you'll get AUD 25 back after your stay:</t>
  </si>
  <si>
    <t>Wynnum, QLD</t>
  </si>
  <si>
    <t>Our decision to create a viable online school came about when my wife and I started realising that the online market was dominated by unscrupulous school owners</t>
  </si>
  <si>
    <t>Laura Mihut</t>
  </si>
  <si>
    <t>How to Scan Your Airbnb for Hidden Cameras #airbnb #hiddencamerasairbnb</t>
  </si>
  <si>
    <t>News fanatic, from all Google things, to all Android, Apple, Windows etc techy things, 3D Printing, photography, travelling, cooking,mental health,celebs.</t>
  </si>
  <si>
    <t>Ireland.#Ireland #Kerry #Killarney #dingle #WestCork #RingofKerry #WildAtlanticWay #vacationrentals #Vacations #Easter #Easter2019 #easterholidays #Summer2019 #holidayhome #selfcatering #airbnb #TripAdviser #Brexit #adventuretravel #familytravel #wanderlust #hikingadventures #uk</t>
  </si>
  <si>
    <t>#Airbnb #Superhosts - Double, Single &amp; Sofa Bed rooms:  + #holistic #therapies #Glastonbury #Somerset #lgbtq🌈 #spiritual</t>
  </si>
  <si>
    <t>WOW GREAT PRICE BEACH HARBOR HOUSE!  via Twitter Web Client #airbnb</t>
  </si>
  <si>
    <t>Time for all #Travel Agents and travel companies to advertise #SoloTraveler rates as well as pps rates. Otherwise, quit complaining about #Airbnb. #Travel #tickets #hotels RT @YMSALEJEE: @mybroadband Airbnb has saved us from overpriced and overrated Hotels 🏨.</t>
  </si>
  <si>
    <t>Comparing Exarcheia to the #montmartre is offensive. But either way here is a humble contribution to the creative culture #airbnb #syriza_xeftiles #athens #tourism</t>
  </si>
  <si>
    <t>Oskar Zimmerman ⭐⭐⭐⭐⭐</t>
  </si>
  <si>
    <t>Awesome to see 2 of my #novels in the #airbnb communal #library My last post about The #PortArthurParadox has reached over 18k people, with 2 weeks until the anniversary and media…</t>
  </si>
  <si>
    <t>I just call it as I see it. Australian author of The Kingdom of Saudi Australia and The 2nd Empty Chair: The Port Arthur Paradox</t>
  </si>
  <si>
    <t>Matthew Platt</t>
  </si>
  <si>
    <t>It’s that time again...thanks for the recognition @Airbnb Proud to be a #Superhost for the tenth time in a row 🙌 #Glasgow #Airbnb @peoplemakeGLA #TenInARow #Glasgeeee</t>
  </si>
  <si>
    <t>Glasgow</t>
  </si>
  <si>
    <t>Ex Pro Footballer (Crewe Alex F.C &amp; IBV Iceland). MD of YMBB Limited-'Your Business Is Our Goal'. Love All Sports,the Scottish Outdoors,&amp;most of all, My Family</t>
  </si>
  <si>
    <t>3 Cases 2 Kids 1 Dream</t>
  </si>
  <si>
    <t>After a long day on the road arriving at this family friendly #airbnb in #luxembourg was a welcome surprise! The pics really don't do it justice..... By far the BEST…</t>
  </si>
  <si>
    <t>#FamilyVlogs 👨‍👩‍👧‍👦 #TravelBlog #youtubers ▶️http://goo.gl/cnJVSq #Worldschoolers 🌏 #familytravelblog 🌳 #Travelling with 3 Cases, 2 Kids, 1 Dream #321Dream ☮️</t>
  </si>
  <si>
    <t>What our guest have to say...  #tetbury #tetburylife #cotswolds #luxurytownhouse #cotswoldstyle #interiorinpiration #interiorstyle #interiordecorating #cotswoldslife #airbnb #airbnbhost #holidayhouse #airbnbsuperhost #townhouse #interiordesign</t>
  </si>
  <si>
    <t>Swekik</t>
  </si>
  <si>
    <t>Got a house or a room to rent out over summer? Rent it out and get some cash for it Via Air Bnb. #AirBnb #Travel #Room #Rent #Hotel Click here to get started.</t>
  </si>
  <si>
    <t>Sweden</t>
  </si>
  <si>
    <t>Twitch Affiliate | Sponsered by @TheRogueEnergy | Stream: Mon-Sun 12.00-15.00 CET | Business: Swekik@techie.com</t>
  </si>
  <si>
    <t>karan goenka</t>
  </si>
  <si>
    <t>Booked several Airbnb’s during my 15day #vacation trip. #Airbnb should clearly specify detailed meaning of “cleaning fee” for owners and as well as guests. Couple of owners were expecting me to clean the house and do dishes before leaving. Then whats cleaning fee for?</t>
  </si>
  <si>
    <t>Technologist, security geek, Netflix addict, beer lover, Traveller.</t>
  </si>
  <si>
    <t>Some Guy from Vancouver</t>
  </si>
  <si>
    <t>Check-Out the Pros &amp; Cons of #Airbnb with @PhillyD</t>
  </si>
  <si>
    <t>I'm a human trying to make the world a little less shitty one post at a time. Catch me on Reddit (S-G-F-Vancouver) + YouTube &amp; Patreon</t>
  </si>
  <si>
    <t>A life full of tasty sandwiches🌯🥙🌮 #maisonvie #london #kilburn #nw6 #frenchcafe #frenchbakery #frenchrestaurant #ICMP #airbnb #londonfoodie #londonfood #londoncafe #londonbakery #londonrestaurant #delicious #yummy #tasty #queenspark #southhamstead #westhamstead #food #hungry</t>
  </si>
  <si>
    <t>The latest image from the GowerLive #webcam on the roof 730RocksMumbles #AirBnB. Book at  #Mumbles #Swansea #Gower #travel. Watch live at  #10</t>
  </si>
  <si>
    <t>Another beautiful photo of our #BigBearLake by @bending_energy_photography ! Check out #BearKubKabin for your next visit!  #bigbear #cabin #vacationrental #vacation #california #logcabin #visitbigbear #bigbearvillage #snowsummit #airbnb #vrbo #beautiful</t>
  </si>
  <si>
    <t>One of the best things about having a holiday cottage in the centre of Chester is seeing the town through our guests eyes, and gosh she’s pretty! #ukstay #airbnb #Chester #cheshire #romans #tudors #victorians #hello</t>
  </si>
  <si>
    <t>DoLocal #SEO Liverpool  🇬🇧</t>
  </si>
  <si>
    <t>Using Machine Learning to Predict Value of Homes On Airbnb by _rchang  #MachineLearning #DataScience #Airbnb #ArtificialInteligence #technology</t>
  </si>
  <si>
    <t>Digital Marketing agency helping small businesses in Liverpool thrive online. #GDPR #WebDesign #SEO #SMM #PPC #ecommerce #SocialMedia Founder @nadeemansary</t>
  </si>
  <si>
    <t>Jose Javier Garde</t>
  </si>
  <si>
    <t>Using Machine Learning to Predict Value of Homes On Airbnb by @_rchang  #MachineLearning #DataScience #Airbnb #ArtificialInteligence #technology</t>
  </si>
  <si>
    <t>Pamplona, Spain</t>
  </si>
  <si>
    <t>#DigitalMarketing #Marketing #SocialMedia #Bigdata #Analytics #innovation #BusinessIntelligence #SalesManagement #B2B #IoT #AI #VR #AR #artificialintelligence</t>
  </si>
  <si>
    <t>"Vegan delight" #Beetroot, tahiti sauce, rocket #salad and sun-dried #tomato🌮 If you are transitioning into the #vegan #lifestyle, this is a great start😉 &gt; #maisonvie #london #kilburn #nw6 #frenchcafe #ICMP #airbnb #londonfoodie #londonfood #londoncafe</t>
  </si>
  <si>
    <t>Stunning Seafront Apartments available for short and long term stays in Hastings Book your summer break!. #visithastings #airbnb #bookingcom #coastholidaylets</t>
  </si>
  <si>
    <t>A #juice a day keeps a body in play! Come to the #maisonvie today to discover our newest #mocktail menu with #tasty #flavours🍹 #maisonvie #london #kilburn #nw6 #frenchcafe #frenchbakery #frenchrestaurant #ICMP #airbnb #londonfoodie #londonfood #londoncafe #londonbakery #drinks</t>
  </si>
  <si>
    <t>The Super Dad</t>
  </si>
  <si>
    <t>What would you do if an @Airbnb host tells you to shut up your 2 year old daughter or he will call the police? #airbnb #milspouse #help #FatherAndSon #parenting #Veteran</t>
  </si>
  <si>
    <t>Empowering dads since 2016! Bilingual Community FB: soysuperpapa1 Instagram:@soysuperdad soysuperpapa@gmail.com</t>
  </si>
  <si>
    <t>AirCoHosts</t>
  </si>
  <si>
    <t>Spring is here and seasonal home maintenance is encouraged for your short term rental Let’s handle it for you Link in bio #airbnb #vrbo #hosts #shorttermrentals</t>
  </si>
  <si>
    <t>Home Improvement Loans &amp; Management MINUS out of pocket repayments . Make your Apartment Block #Airbnbfriendly</t>
  </si>
  <si>
    <t>andrebruton</t>
  </si>
  <si>
    <t>It was 50% cheaper booking a place through @Airbnb than using the local tourist office in Prince Albert in the Western Cape. Easy and quick. If you have not used #AirBnB before, try it here...</t>
  </si>
  <si>
    <t>George, South Africa</t>
  </si>
  <si>
    <t>IT Geek, trouble shooter. Husband, father, Internet addict and developer. Loves quality food</t>
  </si>
  <si>
    <t>A Very Sweet Blog</t>
  </si>
  <si>
    <t>The dreamy clouds ☁️ and air balloons 🎈sold me ... This Airbnb in China has an actual ball pit in it #airbnb</t>
  </si>
  <si>
    <t>makeup &amp; skincare | lifestyle | food | fashion youtube: https://bit.ly/2H5g4da insta: averysweetblog</t>
  </si>
  <si>
    <t>Joshua Patrao</t>
  </si>
  <si>
    <t>The nicest (and only, it must be said) #airbnb I’ve stayed at. #Germany #Deutschland</t>
  </si>
  <si>
    <t>Galway, Ireland</t>
  </si>
  <si>
    <t>Voracious reader. Writer-cricketer (amateur). Knopfler/Straits &amp; Dr Who fan. Prone to frequent fanboy fits. (And alliteration apparently.) Humble shoeshine boy.</t>
  </si>
  <si>
    <t>The Convenience Cottage   Airbnb, VRBO, Direct</t>
  </si>
  <si>
    <t>I love my guests! #conveniencecottagejournal #conveniencecottageguests #conveniencecottagebnb #houstontxtravel #vrbo #airbnb #thewoodlandsairbnb #travelinspiration #vacation #travelhouston #traveltexas #travelUSA #vacationrental #houstontravel #texasairbnb</t>
  </si>
  <si>
    <t>Spring, TX</t>
  </si>
  <si>
    <t>Book with us at Convenience Cottage: Beautiful, newer 4BR home located in Spring, Texas. Very safe, family neighborhood near highways &amp; attractions.</t>
  </si>
  <si>
    <t>Darren Jones</t>
  </si>
  <si>
    <t>An #airbnb in Carrollton, Texas</t>
  </si>
  <si>
    <t>San Marcos, Texas</t>
  </si>
  <si>
    <t>Texas State Alumni, applying sociology, married 10/9/17 @lauraj_carr , pioneering #withe, join the guild use the link below</t>
  </si>
  <si>
    <t>What's Up Toronto</t>
  </si>
  <si>
    <t>Men arrested in human trafficking case allegedly used Airbnb rentals to stay off police radar | CBC News  #airbnb</t>
  </si>
  <si>
    <t>Toronto, Ontario, Canada</t>
  </si>
  <si>
    <t>What's Up Toronto is an online rebirth of a 90's Arts and Entertainment Magazine. Featuring news, reviews, concert listings, interviews and more!</t>
  </si>
  <si>
    <t>Kara</t>
  </si>
  <si>
    <t>What are Saturdays for other than relaxing poolside after flying and eating a giant lunch? ___ __ _ #pool #poolside #airbnb #vegas #lasvegas #sunshine #pale #summerishere @ Las Vegas,…</t>
  </si>
  <si>
    <t>MB7Art</t>
  </si>
  <si>
    <t>You don’t need a lot of #technical #knowledge to protect yourself from #hidden #cameras in an #Airbnb.  via @slate</t>
  </si>
  <si>
    <t>All About Art, Freedom &amp; HUMAN RiGHTS</t>
  </si>
  <si>
    <t>Large 5Star #Florida #vacationhome with prival pool on #Airbnb Tropical #TommyBahama style - #VRBO April 13, 2019 at 10:01PM</t>
  </si>
  <si>
    <t>UFA ESCAPE</t>
  </si>
  <si>
    <t>Wanna make memories here? #ufaescape #dhigurah #vacation #clipoftheday #travel #traveljournal #airbnb #guesthouses #Maldives #sun #sea #sand #dive</t>
  </si>
  <si>
    <t>Ufa Escape, Dhigurah</t>
  </si>
  <si>
    <t>Boutique style guesthouse located in the beautiful island of Dhigurah, Ari Atoll Maldives. Consisting of 5 deluxe double rooms with en-suite open air bathroom.</t>
  </si>
  <si>
    <t>Amanda Nowalk</t>
  </si>
  <si>
    <t>We have used #airbnb two times and have had a great time each time. Sign up for Airbnb and get $40 off your first adventure. Here’s my invitation link:</t>
  </si>
  <si>
    <t>Scranton</t>
  </si>
  <si>
    <t>Two children, 3 cats, 2 dogs, 2 Ferrets, a rabbit, an awesome girlfriend and I still don't have my shit together #TheBloggessTribe</t>
  </si>
  <si>
    <t>So many things to find in the woods behind Fernwood Cabin-like these mushrooms, hiding behind ferns. 🌲🌳🌲 #boone #saturdayhiking #airbnb #homeaway</t>
  </si>
  <si>
    <t>Deana7ds</t>
  </si>
  <si>
    <t>How to scan your #airbnb for hidden cameras, via @Pocket @Slate</t>
  </si>
  <si>
    <t>Latitudinarian. Tennis fan. Amused, bemused &amp; dismayed. Hoping for the best, would be thrilled if it happened, not really expecting it. #ISSAcertified</t>
  </si>
  <si>
    <t>Olivier L.</t>
  </si>
  <si>
    <t>Celebrating my #birthday in style in my new #AirBNB above a #Kebab shop... . #watercolor #watercolour #aquarelle #paint #commute #sketch #drawing #croquis #booking #fuckup</t>
  </si>
  <si>
    <t>animator by day / dreamer by night / Primarily posting on Instagram</t>
  </si>
  <si>
    <t>Maine Magic in NYC</t>
  </si>
  <si>
    <t>Oh god. It never occurred to me that we may be watched in an #airbnb. This has opened a huge can of worms. RT @Slate: You don’t need a lot of technical knowledge to protect yourself from hidden cameras in an Airbnb.</t>
  </si>
  <si>
    <t>A passionate advocate for #ORGANIC LOCAL Responsibly Grown Fair Trade #Cannabis ♥ (find out why) Protector of the #QuietCar!</t>
  </si>
  <si>
    <t>A gourmet stone kitchen makes cooking a breeze, with multiple dining settings to suit the occasion. Outside a protected entertainer’s deck is embraced by a private garden.  . . #labodeaccommodation #sunday #airbnb #homehost #shortstay #sydney #luxury</t>
  </si>
  <si>
    <t>Stone &amp; Tiny houses from the MD side of Potomac river on C&amp;amp;O tow path #wishyouwerehere #airbnb #riverlife #vrbo #towpath #gotowv #stoneriverhouse vrbo #homeaway #shepherdstown…</t>
  </si>
  <si>
    <t>Stephanie Davis</t>
  </si>
  <si>
    <t>This review says it all ❤️  #lakewateree #vacay #summer #airbnb #booknow #lakelife #couplesgoals #cabin #cottage #thelakehouse #4thofJuly #america #chs #cola #clt</t>
  </si>
  <si>
    <t>Police wife, mom of 2 teenagers, and real estate professional who also loves playing tennis and living the dream in Charleston, SC 🏡🎾❤️</t>
  </si>
  <si>
    <t>Avinash</t>
  </si>
  <si>
    <t>#Airbnb checks into #Oyo with $75 m in tow The investment brings to an end Oyo’s nearly $1.1-billion Series-E funding round that saw participation from SoftBank Vision Fund, Didi Chuxing and Grab.</t>
  </si>
  <si>
    <t>San Jose</t>
  </si>
  <si>
    <t>love to win in trading #stocks and #cryptos, code for a living and #machinelearning and #AI my interests , track #politics globally #python4life</t>
  </si>
  <si>
    <t>What's your agenda for success? #ibiixo develops #Custom #Airbnb #Clone based on your agenda so that you get what is nothing similar to other and completely unique to your business plan.  #AirbnbCloneApp #Airbnbclone #CustomAirbnbClone</t>
  </si>
  <si>
    <t>Sign up for Airbnb with my link for $40 off your first trip. #airbnb #airbnbcode #travel #trip #vacation</t>
  </si>
  <si>
    <t>Wayne W. Johnson</t>
  </si>
  <si>
    <t>#airbnb #hiddencameras #privacy You don’t need a lot of technical knowledge to protect yourself from hidden cameras in an Airbnb.  via @slate</t>
  </si>
  <si>
    <t>Syracuse,NY</t>
  </si>
  <si>
    <t>Actor #waynewjohnson-best known as #zombie #Cornelius (#NightOfSomethingStrange) &amp; #Dracula (#TalesOfDracula)+ singer / guitarist in #CarolineBlue</t>
  </si>
  <si>
    <t>Looking for your next #airbnb investment? Contact Lailan Bento for all your Hawaii Big Island Real Estate questions here:  #hawaiirealestate #bigislandrealestate #vacationrental</t>
  </si>
  <si>
    <t>Padre Pat</t>
  </si>
  <si>
    <t>Our air bnb for the night is an old plane. It is so cool. #airbnb #arizona #phoenix @ Garfield Historic District, Phoenix</t>
  </si>
  <si>
    <t>San Diego</t>
  </si>
  <si>
    <t>Tips for listing on Airbnb.Visit  #airbnb #airbnbexperience #makemoney #rentalproperty #businesstips #inspire #founder #leader #usa #airbnbfacts #bnbprogram #knowledge #airbnbinfo #airbnbusa #airbnbtoronto #airbnbindia #startuplife #vacationmode #vacation</t>
  </si>
  <si>
    <t>Frances Walker Music</t>
  </si>
  <si>
    <t>#pond is up and running for #springtime! #airbnb #houseonthehill #countryinthecity #retreat #cozy #superhost #water</t>
  </si>
  <si>
    <t>Breslau, Ontario</t>
  </si>
  <si>
    <t>Singer. Songwriter. Musician. Aspiring speaker/faith facilitator. Wanna-be female Jesuit.</t>
  </si>
  <si>
    <t>How exactly does @AirbnbEng get real-time personalization in their platform? |  #airbnb #recommendationengines #NLP #embeddings #listembeddings #naturallanguageprocessing</t>
  </si>
  <si>
    <t>Erika B. 🌻</t>
  </si>
  <si>
    <t>How this #Stock #Trader makes 💵💶💴 from #Webinars &amp; #Airbnb #RealEstate. #apartment #marketplace #debt #equity #traders</t>
  </si>
  <si>
    <t>Miami Beach, FL</t>
  </si>
  <si>
    <t>Executive Assistant for the @MillionairePod.cast | #Entrepreneurship #Podcast</t>
  </si>
  <si>
    <t>Kelly</t>
  </si>
  <si>
    <t>So, I'm staying at an #airbnb and our hosts just got into a MAJOR argument 👀</t>
  </si>
  <si>
    <t>Millionth of her name, Queen of nothing, Mother of NOT ONE OF YA'LL. script reader/ghost blogger/freelancer.</t>
  </si>
  <si>
    <t>AirbnbOxford</t>
  </si>
  <si>
    <t>Beautiful #spring day @BlenheimPalace with giant pots of daffodils looking lovely 🌷🌿 #Oxford #Oxfordshire #airbnb #travel</t>
  </si>
  <si>
    <t>Modern Double Self Catered Annex in the lovely village of Cumnor, Oxford, England 🇬🇧🎓🏡🌍 #superhost #airbnboxford</t>
  </si>
  <si>
    <t>Kona Moana Hale is a successful and profitable rental in all of Kona. Furnished, 900 sq ft. home and private 9,165 sqft. of land, has a great location with panoramic ocean views! See This:  #konacoast #konasunsets #kailuakona #airbnb #vacationrental</t>
  </si>
  <si>
    <t>stacey chais</t>
  </si>
  <si>
    <t>Loving the exterior progress on this one! Was definitely time for a change. #update #tampa #realestate #investment #rental #airbnb #comingsoon @ Southeast Seminole Heights</t>
  </si>
  <si>
    <t>mother of a teenager #realestate broker investor #entrepreneur @chaisrealty #Tampa #BostonGirl #PatriotsGirl Born and raised Boston #glutenfree #dairyfree</t>
  </si>
  <si>
    <t>You can have all the camera equipment in the world but nothing beats the natural illumination of sunshine!! #🌞 #thesunshineshoot #📸 #blessed #naturallight #interiorshoot #photography #photographyshoot #manchester #upnorth #reclaimedwood #openspace #pink #skylights #airbnb #🙌🏻</t>
  </si>
  <si>
    <t>Chris Rodell</t>
  </si>
  <si>
    <t>From '17, "Rent empty White House on weekends to boost revenue,"  #airbnb</t>
  </si>
  <si>
    <t>Latrobe, PA</t>
  </si>
  <si>
    <t>Author, "Arnold Palmer: Homespun Stories," "The Last Baby Boomer," &amp; "Use All The Crayons!" http://www.ChrisRodell.com</t>
  </si>
  <si>
    <t>I'm renting a space- should I have it listed in #Airbnb? Know the answers here:</t>
  </si>
  <si>
    <t>Puneet Yadav</t>
  </si>
  <si>
    <t>We have nothing to loose, and a world to see.. . . . Let’s Explore . . #jaipur #amber #rajasthan #india #incredibleindia #sunset #sunrise #shotoniphone #airbnb #passionpassport…</t>
  </si>
  <si>
    <t>Jaipur</t>
  </si>
  <si>
    <t>IG @ puneetyadav Airbnb superhost https://abnb.me/EVmg/7X9RVxFX0J</t>
  </si>
  <si>
    <t>Sara IsHungry</t>
  </si>
  <si>
    <t>Our Minnesota trip has been put on the back burner so we can bring our daughter to our favorite destination for her very first roadtrip! More photos to come soon. 🏠 #houseguests #airbnb</t>
  </si>
  <si>
    <t xml:space="preserve">Chicago, IL </t>
  </si>
  <si>
    <t>I try to be available for life to happen to me.- Bill Murray</t>
  </si>
  <si>
    <t>#goodmorning #scrab :) #puravida #style #nature #costarica #animals #swimmingpool #bnb #guesthouse #vacation #airbnb #booking airbnb @bookingyeah #love #cute #saveanimals #lovenature…</t>
  </si>
  <si>
    <t>Stay with us and visit the nearby @zipthecanyons! Only a short four mile drive #airbnb #airbnbsuperhost #ocalafl #zipthecanyons</t>
  </si>
  <si>
    <t>Did you know you can book directly with our local management company and save $ #Bookdirect #bookdirectly #Vacationrentals #Airbnb #VRBO #TemeculaVacationRentals #TemeculaVacationRental #str #vacation #vacationrental #staylocal #womanowned #usa #airforce #follow #Temecula</t>
  </si>
  <si>
    <t>#Airbnb Buckles under #Zionist Pressure by Jeremy Salt  via @PalestineChron</t>
  </si>
  <si>
    <t>Susan Rodgers</t>
  </si>
  <si>
    <t>"$85" a night for the cute little #airbnb place is somehow never really $85 but actually $175 and then another $145 for cleaning fee and $64 for service fee and $56 for occupancy taxes and suddenly they want over $300 a night. Yeah I'm looking at you "heart of #NyeBeach"</t>
  </si>
  <si>
    <t>Corvallis, Oregon</t>
  </si>
  <si>
    <t>Author of the novel THIS MUST BE THE PLACE, and the short story collections EX-BOYFRIEND ON AISLE 6 and THE TROUBLE WITH YOU IS.</t>
  </si>
  <si>
    <t>cruise</t>
  </si>
  <si>
    <t>#Nanaimo #Airbnb secret #camera nightmare</t>
  </si>
  <si>
    <t>nanaimo bc</t>
  </si>
  <si>
    <t>No one ever made a difference by being like everyone else- P.T. Barnum</t>
  </si>
  <si>
    <t>MK Haresign</t>
  </si>
  <si>
    <t>At a luxury airbnb #nyc #upstate #getaway #beddingcommercial #castingdirector #talentagent #luxury #アジアンビューティー #日本人俳優 #タレントマネジャー #背中 #photography #photographer #backmodel #partmodel #airbnb #beddingmodel #model #背中モデル #モデル #ディレンクター</t>
  </si>
  <si>
    <t>Pursuing an acting career after having enough of working in a global financial IT firm 大手外資系金融IT企業勤務を辞めてNYで役者になった理由 ❤️Acting, Traveling</t>
  </si>
  <si>
    <t>Co-host split payment functionality is stopped by #Airbnb. Find out what to do next:</t>
  </si>
  <si>
    <t>Littlebridge Farmhouse Annexe</t>
  </si>
  <si>
    <t>📸 Beautiful #Padstow is only 1hr drive 🚙 from our Holiday let. #littlebridgeFA #airbnb #holidaylet #holidaycottage #summeriscoming #halfterm #holiday #cornwall #devon</t>
  </si>
  <si>
    <t>Bridgerule, nr Holsworthy</t>
  </si>
  <si>
    <t>Dog friendly Holiday Annexe link below and book Cabin here ➡️ https://www.airbnb.co.uk/rooms/2932483?s=51</t>
  </si>
  <si>
    <t>Kelowna Virtual Assi</t>
  </si>
  <si>
    <t>#Airbnb in #Kelowna, Canada near hospital &amp; beach. Bright, large, newly renovated basement suite. Go to  and click on dates you are interested in. (Airbnb Smart Pricing makes prices change according to the date.)</t>
  </si>
  <si>
    <t>Kelowna, British Columbia</t>
  </si>
  <si>
    <t>I’m a #SocialMediaMarketing guy &amp; #website designer for small businesses. I think &amp; Tweet about online things. https://kelownavirtualassistant.com/</t>
  </si>
  <si>
    <t>TheBarn@CoombeFarm</t>
  </si>
  <si>
    <t>The beautiful River Dart today. #airbnb #airbnbplus #airbnbsuperhost @VisitEngland @VisitDevon @swtourismawards @DevonTourist</t>
  </si>
  <si>
    <t xml:space="preserve">East Devon </t>
  </si>
  <si>
    <t>Luxury barn conversion &amp; Shepherds hut set in beautiful farmland. Photographic &amp; film location @1stOptionBooker. http://abnb.me/EVmg/lcBYeiAaBA</t>
  </si>
  <si>
    <t>Knowing how much you love flowers, your host surprises you by leaving a branch of cherry blossoms. Cant thank him and #airbnb enough for bringing me to this part of the world.</t>
  </si>
  <si>
    <t>JW Painting</t>
  </si>
  <si>
    <t>We completed Nintendo themed #Airbnb in downtown Ottawa just around the corner from parliament hill &amp; the Byward Market. #calljwpainting #love #airbnb #moderninterrior #style #vacation…</t>
  </si>
  <si>
    <t>Ottawa, Ontario</t>
  </si>
  <si>
    <t>As a premier #paintingcontractor in both the #Ottawa &amp; #Londonont areas, we are committed to delivering customer service that is second to none. #jwpainting</t>
  </si>
  <si>
    <t>aha insurance</t>
  </si>
  <si>
    <t>Don’t rent your home to strangers without understanding the insurance implications first.  #airbnb #rentalproperty #homeinsurance #realestatetips</t>
  </si>
  <si>
    <t>Waterloo, Ontario</t>
  </si>
  <si>
    <t>It’s time to take control. Discover the difference with aha insurance – fully online, fully customizable home, condo, tenant and auto coverage. +1-855-242-2440</t>
  </si>
  <si>
    <t>Owenie McBride</t>
  </si>
  <si>
    <t>When can I move in #movinghouse #movingday #airbnb</t>
  </si>
  <si>
    <t>Doncaster, England</t>
  </si>
  <si>
    <t>aka Randy @clggaothdobhair</t>
  </si>
  <si>
    <t>Check out this awesome Entire condominium on Airbnb: Live Like Royalty On The Las Vegas Strip!, sleeps 5 #AirBnB #Vegas #LasVegas #Raiders #Knights #FootBall #Hockey #Poker #WSOP</t>
  </si>
  <si>
    <t>Comfort &amp; Convenience</t>
  </si>
  <si>
    <t>Almost 5 months in.. and #grateful to have made #Superhost status via #Airbnb.. thank You #LORD!!</t>
  </si>
  <si>
    <t>Greensboro, NC</t>
  </si>
  <si>
    <t>Enjoy a relaxing BnB, located in a quiet community and perfect location in Greensboro, NC; equipped and furnished with all your travel needs.</t>
  </si>
  <si>
    <t>JD</t>
  </si>
  <si>
    <t>About being Super host !!! It’s about new beginnings, new surprises,becoming stronger through new path ! #hotelboutique #follow4follow #antiguaguatemala #chateletdesalps #maisonfrançaise #newdecor #newadministration #exciting #x-mas #christmas #airbnb #superhostairbnb #nofilter</t>
  </si>
  <si>
    <t>Guatemala ciudad, Guartemala</t>
  </si>
  <si>
    <t>A Menudo una figura muy dinamica. Convencidisimo que se gana mas con miel que con hiel. Lucho x lo que quiero. Im a dream-catcher voy detras de ello y Period!!</t>
  </si>
  <si>
    <t>This. #ottcity folks asking why #Airbnb’s ghost hotels are problematic, read this thread. #Affordablehousing impact is one thing, the health &amp; safety of room cleaners &amp;amp; residents another. As # of commercial @airbnb hosts grow, so grows impact @MathieuFleury @cmckenney #onlab RT @beccatronic: Another Saturday in @Airbnb condo hell: couple staying next door were not ready to leave when cleaner arrived. Escalated to domestic violence in hallway. I intervened and was threatened. Now they’re gone. No way to follow up and ensure the woman’s or my safety. /cc @Fairbnbcanada</t>
  </si>
  <si>
    <t>Arch</t>
  </si>
  <si>
    <t>#Airbnb celebrated half a billion guest arrivals in March. All-time, millennials globally have spent over $31 billion on booking travel on Airbnb, with 50% of that traffic coming through #mobile devices.  #digitaldisruption #digital #mobile #technology</t>
  </si>
  <si>
    <t>Gateshead, Edinburgh &amp; London</t>
  </si>
  <si>
    <t>We support startups and brands with Web Design, Web Development, App Development, Business Systems, Better web skills than Spider-man!</t>
  </si>
  <si>
    <t>Vacation Rental Mistakes: Do You Make These Booking Errors?  #airbnb #airbnbtips #vacationrentals #vacationtips #vacation #airbnbhost</t>
  </si>
  <si>
    <t>#Airbnb in #NewYorkCity - "Skoufis, the Senate sponsor of a bill to legalize and regulate home-sharing in the city and across the state, is also taking heat for the nearly $500,000 an Airbnb-run PAC spent in support of his campaign last year."</t>
  </si>
  <si>
    <t>Debbie Gajdosik</t>
  </si>
  <si>
    <t>"Using Airbnb rentals is a trend investigators have observed in human trafficking cases in recent years." #Airbnb</t>
  </si>
  <si>
    <t>Vancouver, BC, Canada</t>
  </si>
  <si>
    <t>Canadian, soapmaker, atheist, editor. Loves history, hockey, &amp; animals. Waiting for drug legalization &amp; VanRE correction. INTJ. Science says smart women swear.</t>
  </si>
  <si>
    <t>CaledonEnterprise</t>
  </si>
  <si>
    <t>Short-term property rentals not permitted in #Caledon, but they're popping up on #Airbnb, Kijiji anyway #shorttermrental</t>
  </si>
  <si>
    <t>Caledon, Ontario</t>
  </si>
  <si>
    <t>Providing news from The Caledon Enterprise, Metroland Media Group Ltd. 12612 Highway 50 S. Bolton, ON L7E 5T1 (905) 857-3433</t>
  </si>
  <si>
    <t>#Airbnb in #Vancouver and #worldwide - They NEVER acknowledge the existence their commercial operators. RT @HousingOpen: Despite Airbnb’s narrative that the platform is only used by empty nesters renting out short term a “spare bedroom” to “make ends” meet, short term rental business in Vancouver is dominated by commercial operators. #vanre #vanpoli</t>
  </si>
  <si>
    <t>#Airbnb in #Toronto - Safe haven for men who abuse women.</t>
  </si>
  <si>
    <t>#Airbnb in #Toronto - Anonymous customers, anonymous housekeepers, zero accountability. #SharingEconomy #fail RT @beccatronic: Another Saturday in @Airbnb condo hell: couple staying next door were not ready to leave when cleaner arrived. Escalated to domestic violence in hallway. I intervened and was threatened. Now they’re gone. No way to follow up and ensure the woman’s or my safety. /cc @Fairbnbcanada</t>
  </si>
  <si>
    <t>Suraj S Chindalkar</t>
  </si>
  <si>
    <t>Not all heroes wear capes. #Superhost! @Airbnb_in @Airbnb @Airbnb #Superhost #Airbnb #hardworkpaysoff #hospitalityindustry #love #care #Locales</t>
  </si>
  <si>
    <t>Goa, India</t>
  </si>
  <si>
    <t>Think less live more and let the life be. Be happy :-) #trekker #Traveller #Indian #lifeenthusiast #optimistic #foodie #Airbnbsuperhost</t>
  </si>
  <si>
    <t>#Airbnb in @cityofsydney #Australia - elected officials are so in bed with Airbnb execs, they allow tampering with #bike racks ⤵ RT @termite_terry: @FlatsRuin @Miteymiss Here, @cityofsydney Council refuses to remove them when attached to Council property. It’s like the want to see our Residential proprietary rights and our homes trashed.</t>
  </si>
  <si>
    <t>Luke Lally</t>
  </si>
  <si>
    <t>The most popular #Airbnb in the world is a “mushroom dome” in California</t>
  </si>
  <si>
    <t>I am a Financial Adviser in Holistic Financial Planning; Investments, Family and Income Protection, Auto Enrolment, Pension and Retirement Planning.</t>
  </si>
  <si>
    <t>Secret access to my Airbnb #rome #italy #travel #airbnb</t>
  </si>
  <si>
    <t>#Private #Airbnb email on how a #VC missed out on a unicorn</t>
  </si>
  <si>
    <t>Not all #luxury comes at a five-star budget! 😯 #airbnb #budgettravel</t>
  </si>
  <si>
    <t>NoiseAware</t>
  </si>
  <si>
    <t>Happy neighbors are an important part of a successful #Airbnb business. 🏠That's why we think it's important to address &amp; anticipate their possible complaints ahead of time. We came up with 6 Airbnb management tips to keep your neighbors happy:</t>
  </si>
  <si>
    <t>Noise monitoring for short term rental properties. Be the first to know of noise issues at your property, not the last.</t>
  </si>
  <si>
    <t>Christian Gannon</t>
  </si>
  <si>
    <t>Rental? Airbnb? First time home buyer leaving the nest? Check out how LITTLE it costs to own a piece of property steps away from Mill Creek Ravine! #airbnb #remax #townhome #openconcept #openhouse #condo #walkability #yeg #investor #edmonton #property #h…</t>
  </si>
  <si>
    <t>Edmonton</t>
  </si>
  <si>
    <t>#Realtor with #ReMax, #entrepeneur &amp; avid #yeg 'er! #RealEstate #Cars #Motorcycles #Scuba #Workout #MountainBiking #yegdt #architecture Insta: @Christian_yeg</t>
  </si>
  <si>
    <t>What are the best Startups Ideas in India to work on and start a company? See:  @isrgrajan #SaturdayMotivation #IsrgRajan #Airbnb #Snapchat #Spotify #Startup #Uber</t>
  </si>
  <si>
    <t>Simon Lewis</t>
  </si>
  <si>
    <t>Looking for an #Airbnb place to rent in #Capetown close to the beach &amp; coffee shops?  My place is available perfect for #digitalnomads complete with home office as fast WIFI!</t>
  </si>
  <si>
    <t>Traveller, #Golfer &amp; #LiverpoolFC Fan. Travel/Tourism Professional, Entrepreneur, Digital Marketer, Business Developer &amp; Events currently in #Barcelona</t>
  </si>
  <si>
    <t>Sign up for AirBnB here and get $40 off your first adventure.  #airbnb #travel #touristlife</t>
  </si>
  <si>
    <t>Sign up for AirBnB via our referral &amp; get $40 off your 1st trip.  #airbnb #travel #touristlife</t>
  </si>
  <si>
    <t>View From the Pugh is a place for deals, contests and things to do in Ohio. Check out my personal Twitter at @chrispugh3 and work Twitter at @CPugh_Gannett</t>
  </si>
  <si>
    <t>Love Jesus, family. Work with @ThisWeekNews. Consult with @OIIOrg. Blog at @viewfromthepugh. Fan of @steelers and @penguins. Work Twitter is at @ThisWeekChris</t>
  </si>
  <si>
    <t>Take a dip in the bubble tub! #eaglesnest #rustic #vacationhome #relax #rusticretreats #airbnb #vrbo #wisconsindells</t>
  </si>
  <si>
    <t>Lorna d'Entremont</t>
  </si>
  <si>
    <t>The morning sun reflecting on the harbour, #AcadianShores #WestPubnico, #NovaScotia..."Why would you want to live/visit anywhere else?" Photo by Rachel Doucette #Lobsters #StarGazing #BlackSkies #VisitNovaScotia #NouvelleÉcosse #visityas #SeaBirds #Golfing #airbnb #Seafood</t>
  </si>
  <si>
    <t>Nova Scotia</t>
  </si>
  <si>
    <t>wife, mother of 3, grandmother of 5, retired teacher in business w daughter's business- Kid Companions Chewelry &amp; SentioCHEWS, write book reviews &amp; blog on SN.</t>
  </si>
  <si>
    <t>Looking to see some waterfall action while staying at our place? There are 2 on this list that within minutes of us. Check them out. #westoneastkeene #waterfall #Airbnb #vacation #Adirondacks #Superhost RT @AdksUSA: Mud Season? Psshhh, #Spring is Waterfall Season in the ADKs  #adksusa #adirondacks #waterfall</t>
  </si>
  <si>
    <t>Luxurious 2 Bedroom mews houseshttps://www.airbnb.jp/rooms/163162  via Twitter Web Client #airbnb</t>
  </si>
  <si>
    <t>Steven Hudson</t>
  </si>
  <si>
    <t>Man: My wife and I were secretly filmed at our #Airbnb rental |</t>
  </si>
  <si>
    <t>Antiquer &amp; Actor. Author of Trump's Cabinet as Steve Dustcircle (pen name). Ohio chair for AUorg Ohio chapter.</t>
  </si>
  <si>
    <t>David Taylor</t>
  </si>
  <si>
    <t>Ready to welcome our first guests of the season from Belgium #holidays #luberon #luberoncoeurdeprovence #provence #france #vaucluse #swimmingpool #villaholiday #selfcatering #airbnb #saintsaturninlesapt...</t>
  </si>
  <si>
    <t>Luberon, Provence, France</t>
  </si>
  <si>
    <t>working with my wife Karen running our holiday rental business in the Luberon,Provence where we offer a range of luxury accommodation for couples and families,</t>
  </si>
  <si>
    <t>We are Superhost Again airbnb .. 10th time in a Row. Really greatful and happy 😇🙏 . . . . . . #airbnbsuperhost #Airbnb #superhost #happyhost #greatful #gratitude #Happy #experience #local…</t>
  </si>
  <si>
    <t>An Englishman's Guide to Athens</t>
  </si>
  <si>
    <t>Seriously though... #airbnb</t>
  </si>
  <si>
    <t>An immigrant living, working, and writing in Athens 🇬🇧🇬🇷 About http://englishmansguidetoathens.blog/about-me/O05P</t>
  </si>
  <si>
    <t>#india has the mindset problem #jobs are no longer 9-5 at boring place called company or a cozy desk job we are in a #gigeconomy #airbnb #lyft #uber #ola #oyo #upwork #wework #LokSabhaEelctions2019</t>
  </si>
  <si>
    <t>Shannon Hazel - Buckingham Realty</t>
  </si>
  <si>
    <t>Amherstburg, Ontario</t>
  </si>
  <si>
    <t>Sales Representative at Buckingham Realty (Windsor) Ltd. Serving Windsor &amp; Essex County.</t>
  </si>
  <si>
    <t>Ryan Malm</t>
  </si>
  <si>
    <t>On the wall in my bedroom. #weird #airbnb</t>
  </si>
  <si>
    <t>Omaha</t>
  </si>
  <si>
    <t>making things fills my bucket.</t>
  </si>
  <si>
    <t>thelouhouse</t>
  </si>
  <si>
    <t>second time, 100 more booking , @Airbnb #superhost #airbnb #thelouhouse</t>
  </si>
  <si>
    <t>Bandung, Jawa Barat</t>
  </si>
  <si>
    <t>Your House, Our Home - airbnb - LINE thelouhouse (use @) I Host : @marine_ramdhani</t>
  </si>
  <si>
    <t>Viewber</t>
  </si>
  <si>
    <t>This 15th century Irish castle is the most popular private room on Airbnb! (It has played host to more than 3,000 guests) Would you stay here?  #AirBnB #Castle #Ireland</t>
  </si>
  <si>
    <t>Book [online] one of over 6,000 vetted, accountable, trained Viewbers, ANYWHERE in the UK. Viewings or viewing assistants to suit you - 24/7. 55k done already</t>
  </si>
  <si>
    <t>Erika Tarlow</t>
  </si>
  <si>
    <t>Boston short-term rental registrations only trickling in #Airbnb #ShortTermRentals #Boston #Rentals #HomeAway</t>
  </si>
  <si>
    <t>GREATER BOSTON REALTOR® ETarlow@BowesRE.com</t>
  </si>
  <si>
    <t>Be assisted by a Superhost!!! For booking: ✔AIRBNB - ⠀ ✔ - ⠀ ✔HOMEAWAY -  #AIRBNBsuperhost #AIRBNB #bestplaceindxb #dreamdtravels #UAEDUBAI #dubaistay #dubaimarina #dubailuxuryapt</t>
  </si>
  <si>
    <t>Maxwell Rabin</t>
  </si>
  <si>
    <t>38.919952,-77.040653</t>
  </si>
  <si>
    <t>Associate Broker with TTR Sotheby's International Realty, in Washington, DC. Real estate and day-to-day musings.</t>
  </si>
  <si>
    <t>The Hungry Hotelier</t>
  </si>
  <si>
    <t>If I must #airbnb #louvre</t>
  </si>
  <si>
    <t>Tales of hospitality, hotel life and much food 🌮🍜🥞🙆</t>
  </si>
  <si>
    <t>LetMoneyWork</t>
  </si>
  <si>
    <t>#Dividend #passiveincome #Aktien #Stocks: March 2019: 162,06 Euro , March 2018: 106,06 Euro #Realestate 33 Euro after mortgage and property management Started to rent our granny room via #Airbnb and #booking. First guests already booked for this month 😀</t>
  </si>
  <si>
    <t>Deutschland</t>
  </si>
  <si>
    <t>#Dividenden #Wachstumsfirmen #Immobilien #Börse| #Dividend #Growth #stocks | #passiveIncome #Realestate📈📊💶💵</t>
  </si>
  <si>
    <t>#paris #sunny day #weekend book one of our apartment #gay #gaytravel #tourisme #tourist #travel #viaje #propertymanagement #propertymanager #airbnb #followme #followers #instagay…</t>
  </si>
  <si>
    <t>The Cabins Trail!.. 👇👇👇👇👇👇👇👇👇  #ColombianaExperience #Aventure #AirBnB #TripAdvisor</t>
  </si>
  <si>
    <t>Travel and Beyond</t>
  </si>
  <si>
    <t>Our #AirBnb at #HCMC has a lovely view of #Saigon river. A week to explore southern #Vietnam including #PhuQuoc #TravelDiary #Holiday #SouthEastAsia #Culture</t>
  </si>
  <si>
    <t>Indian; around tranquil settings; eats cocoa/caffeine; rides express train of thoughts; daydreamer; traveler; believer💞live &amp; let live; craziness rooted; filmy</t>
  </si>
  <si>
    <t>Tipperary Hse Dublin</t>
  </si>
  <si>
    <t>7 Parkgate St , Dublin 8</t>
  </si>
  <si>
    <t>Quality budget accommodation opposite Heuston train station and Airlink bus stop and we also provide luggage storage for the public !</t>
  </si>
  <si>
    <t>Stuart Lewis  ✈️</t>
  </si>
  <si>
    <t>#VicoEquense. Day 1 of a month travelling through #Italy. Had my first gelato 🍦 &amp; saw #MountVesuvius from afar. Lovely #Airbnb hosts who made us marmalade &amp;amp; limoncello with oranges &amp;amp; lemons from their garden 🍊🍋 &amp;amp; gave us home-made wine from their incredible wine cellar 🍷</t>
  </si>
  <si>
    <t>Freelance Writer | Blogger | Adventurer | Nomad | Scribbler | Content Creator | Editor @thetravelscoop</t>
  </si>
  <si>
    <t>Goodnight! From Conmurra Wildlife Sanctuary and Airbnb. Somewhere near Bathurst NSW Australia. . #airbnb #airbnbphoto #visitbathurst #nature</t>
  </si>
  <si>
    <t>Chicken love 🐥day old Chinese Silkie chick #Airbnb #nhill #wimmeramallee @ Nhill, Victoria</t>
  </si>
  <si>
    <t>ClipperHouseLooe</t>
  </si>
  <si>
    <t>We've done it again! Just been given our 9th Superhost award on #Airbnb #9timessuperhost #BeachView #ClipperHouse #Cornwall #Dogfriendly #Familyvacation #Looe #somuchtoseeanddo</t>
  </si>
  <si>
    <t>Looe, England</t>
  </si>
  <si>
    <t>Clipper House is a holiday home separated into 3 properties, snuggled into the hillside above the pretty fishing port of Looe.</t>
  </si>
  <si>
    <t>Maeggor</t>
  </si>
  <si>
    <t>Our little spot to have rest. #airbnb in #budapest.</t>
  </si>
  <si>
    <t>Bilbao (Spain)</t>
  </si>
  <si>
    <t>Mental dump of an engineer, nervous, curious, junkie of music, vg, science, design &amp; all kind of stories. Only english... maybe also spanish, german &amp; basque</t>
  </si>
  <si>
    <t>Jeff Woods</t>
  </si>
  <si>
    <t>We will miss this little #airbnb #florence #travelphotography</t>
  </si>
  <si>
    <t>Building better brands with Photo + Motion + Design with a side hustle wine business. Founder of the APEX a creative entrepreneur event. http://theapex.live/</t>
  </si>
  <si>
    <t>The latest image from the GowerLive #webcam on the roof 730RocksMumbles #AirBnB. Book at  #Mumbles #Swansea #Gower #travel. Watch live at  #545</t>
  </si>
  <si>
    <t>Holiday in Brecon</t>
  </si>
  <si>
    <t>Sign up to host on Airbnb and use the extra income to fund your passions. Here’s my invitation link: #Airbnb</t>
  </si>
  <si>
    <t>Brecon</t>
  </si>
  <si>
    <t>Self catering holiday apartment / cottages Brecon Wales #BreconBeacons DarkSkies GeoPark Ambassador 07860581466 @TheoPaphitis #SBS winner #Queenof #SmartSocial</t>
  </si>
  <si>
    <t>Have a great night #comfortcottagehealing #visitwales #dogfriendly #TheDogsWithMe #alpacas #ArtsWales #SunDogs #Airbnb #yell RT @TheSunDogs1: Live at The Harbwr, Saundersfoot Friday 19th from 9PM @MySaundersfoot @ArtsWales @ItsYourWales @ShoutOutWales @fly2wales @HarbwrAleTenby</t>
  </si>
  <si>
    <t>My #Airbnb entertainment tonight included a 15 vs 15 street fight with rocks, broken concrete, bats, damaged vehicles, and a gun shot. About 10 local security tried unsuccessfully to disperse the gangs for 10 minutes.</t>
  </si>
  <si>
    <t>Gerard J Brandon</t>
  </si>
  <si>
    <t>#SKIN removing the need for expensive microbiology development labs. Remote collaboration and product development with 3rd party innovative service providers means access all areas through Labskin AI platform. It's #Airbnb for Laboratories</t>
  </si>
  <si>
    <t>CEO of Integumen, Cellulac, Author, Speaker on early stage and start-ups. Opinions are entirely my own</t>
  </si>
  <si>
    <t>This is awful, one more case of man against nature! #comfortcottagehealing #VisitWales #Dogfriendly #TheDogsWithMe #alpacas #ArtsWales #SunDogs #Airbnb #yell RT @BellaLack: I’m sorry but I must call on you all again. Despite Norfolk Council promising to remove the nets, they’re still up! Please tell @NorthNorfolkDC that every hour these nets are up means those birds have no where to stay. Please share.</t>
  </si>
  <si>
    <t>Majestic birds #comfortcottagehealing #visitwales #dogfriendly #TheDogsWithMe #alpacas #ArtsWales #SunDogs #Airbnb #yell RT @ruthwignall: Poser! #wildlife #wildlifephotography</t>
  </si>
  <si>
    <t>104.2 Nile FM</t>
  </si>
  <si>
    <t>Make the Louvre's iconic Pyramid your home, for just one night! #AirBNB</t>
  </si>
  <si>
    <t>Cairo, Egypt</t>
  </si>
  <si>
    <t>Egypt's #1 Hit Music Station! Bringing you the world's biggest artists and songs, the hottest DJs, and all the entertainment news since 2003!</t>
  </si>
  <si>
    <t>Come and discover our newest #icecream menu with cool new #flavours🍦🍧🍨 It's time to #treat yourself😉 #maisonvie #london #kilburn #nw6 #frenchcafe #frenchbakery #frenchrestaurant #airbnb #londonfoodie #londonfood #londoncafe #londonbakery #londonrestaurant #delicious #dessert</t>
  </si>
  <si>
    <t>From all corners view on your next stay luxurious apartment. Book your city trip holiday in this beautiful city.  #hotel #ljubljanastay #airbnb #filippalace #ljubljanastay #booking #centerstay</t>
  </si>
  <si>
    <t>Jason Metcalfe</t>
  </si>
  <si>
    <t>Heres the illegal #airbnb airbnb rental that they wont take the listing down for. 33 weeks at least of complaints. Parties. Every weekend. Right next to our kids rooms. Police. Drug overdose. Speeding.…</t>
  </si>
  <si>
    <t>Hollywood North</t>
  </si>
  <si>
    <t>Product Placement Specialist In Hollywood North. Film &amp; TV Marketing Consulting. What is the future of Sponsor Driven Content? RT/Likes are not endorsements.</t>
  </si>
  <si>
    <t>Henry Martinez</t>
  </si>
  <si>
    <t>ParkStash | The Airbnb Of Parking #ParkStash #parking #Airbnb #app #SameerSaran #HoomanBolandi #SiliconValley #sanjose #paloalto #sanfrancisco #bayarea #engineering #parkingapp #airbnbofparking #student #university #privateparkingspace #travel  via @YouTube</t>
  </si>
  <si>
    <t>San Francisco, California</t>
  </si>
  <si>
    <t>I'm a YouTube Content Creator focused on expanding my channel &amp; social media presence</t>
  </si>
  <si>
    <t>Enrico De Luca</t>
  </si>
  <si>
    <t>This Morning with Jeronimo from Mexico 🇲🇽jeromota 12k Early Morning Walk in #Shanghai 👟🇨🇳🚀 👉🏻@Link in the bio. . #airbnbambassador #airbnbexperiences #airbnb #airbnbexperience #fitwalk…</t>
  </si>
  <si>
    <t>Shanghai, People's Republic of China</t>
  </si>
  <si>
    <t>Made in Italy. Now in Shanghai. Instagram: @enricodeluca</t>
  </si>
  <si>
    <t>Todd Prince</t>
  </si>
  <si>
    <t>Further growth in the “sharing economy” sector ... Riders Share, the #Airbnb of motorcycle rentals, has launched in Las Vegas</t>
  </si>
  <si>
    <t>Business reporter in Las Vegas via Moscow, Russia. Send story tips to tprince@reviewjournal.com</t>
  </si>
  <si>
    <t>PalmSpringsHouse.com</t>
  </si>
  <si>
    <t>We’re on a roll!! #Airbnb #Review #PalmSprings #VacationRental @Airbnb</t>
  </si>
  <si>
    <t>Palm Springs, CA</t>
  </si>
  <si>
    <t>Premiere midcentury ranch &amp; vacation rental in central Palm Springs w/ stunning mtn views, 5️⃣minutes from dwntwn, w/ 💯perfect reviews. Book via link! ↘️</t>
  </si>
  <si>
    <t>Let's settle the debate once and for all: Can you or can you not install security cameras in your property that's listed on #Airbnb? Find out the full details here.</t>
  </si>
  <si>
    <t>Robin Holstein</t>
  </si>
  <si>
    <t>Great guests make it easy! #superhost #airbnb</t>
  </si>
  <si>
    <t>Kanawha County West Virginia</t>
  </si>
  <si>
    <t>Upcycled virtual assistant Airbnb Superhost, mobile notary, and former political candidate. I transform junk you don't want into stuff you gotta have!</t>
  </si>
  <si>
    <t>Bradannii</t>
  </si>
  <si>
    <t>Our #Airbnb in #Bowral is just stunning - very good energy and fully #accessible for anyone with needs. Contact us for more information, including how you can utilise our short term accommodation via #NDIS!</t>
  </si>
  <si>
    <t>Central Coast, New South Wales</t>
  </si>
  <si>
    <t>NDIS Support services and more! Where there is love, there is life....where there is life, there is hope!</t>
  </si>
  <si>
    <t>Feel the perks of being a #superhost on #Airbnb with these steps.</t>
  </si>
  <si>
    <t>Luxury Sea view apartmenthttps://www.airbnb.jp/rooms/2999403  via Twitter Web Client #airbnb</t>
  </si>
  <si>
    <t>GryphonDC</t>
  </si>
  <si>
    <t>AirBnB now has a program to connect those needing medical treatment away from home to hosts all over the USA. Pretty amazing way to #payitforward #airbnb #criticalcare</t>
  </si>
  <si>
    <t>Branding, Print &amp; Web Design http://www.gryphondesignstrategy.com</t>
  </si>
  <si>
    <t>Kishi Arora</t>
  </si>
  <si>
    <t>A decent good place to stay in #Amritsar ... ?? #hotel #airbnb</t>
  </si>
  <si>
    <t>👩🏻‍🍳@tedfellow Chef🎓@ciaculinary Alum 🍽@foodaholics Consultancy👩‍👧@mamaktreats Daughter</t>
  </si>
  <si>
    <t>Large 5Star #Florida #vacationhome with prival pool on #Airbnb Tropical #TommyBahama style - #VRBO April 12, 2019 at 10:01PM</t>
  </si>
  <si>
    <t>AahRelax</t>
  </si>
  <si>
    <t>Massages in #hotels, #Airbnb this weekend at #Coachella just $99.00 with tip included. Book #aahrelax instead of other companies and we’ll do 1 hour for just $89 with tip included! #MassageFullBody #relax #cochella2019 , 1st hour $1.00 if you book 2 hours . Yep this is Aahrelax</t>
  </si>
  <si>
    <t>Mobile Massage and Beauty</t>
  </si>
  <si>
    <t>Praias Selvagens RJ-Wild Beaches Rio -Guaratiba</t>
  </si>
  <si>
    <t>Wild Beaches in n Rio. Go beyond Copacabana, Go Wild. Airbnb Experience. #RiodeJaneiro #airbnbexperience #guaratiba #pedradatartaruga #airbnb</t>
  </si>
  <si>
    <t>Barra de Guaratiba, Rio de Jan</t>
  </si>
  <si>
    <t>Praias Selvagens, Pedra do Telégrafo e Tartaruga, vem comigo, caminhe, inpire-se, transpire e expire. #airbnbexperiences</t>
  </si>
  <si>
    <t>Neil Robinson</t>
  </si>
  <si>
    <t>around texas</t>
  </si>
  <si>
    <t>Christian. 1/2 🇺🇸 1/2 🇬🇧. Beatles Historian, Aggie, Sneaker Head, &amp; Bakewell Tart Snob Currently Navigating the Digital Ad World. Husband of @haleygate</t>
  </si>
  <si>
    <t>HC</t>
  </si>
  <si>
    <t>Stark difference in my recent Airbnb host reviews. It’s quite endearing to be accused of making up stories for a discount. #sarcasm #airbnb #airbnbexperience</t>
  </si>
  <si>
    <t>I strive to document ridiculous conversations and random thoughts.</t>
  </si>
  <si>
    <t>Kerrie Gowenlock</t>
  </si>
  <si>
    <t>TAKE A TOUR of the Mud Shack at Mudjimba Beach - would you like to stay here? 🍍Here's our link on #airbnb  Our shack by the sea is ready for your next holiday or romantic...</t>
  </si>
  <si>
    <t>Brisbane Queensland Australia</t>
  </si>
  <si>
    <t>Kerrie: Dougall's Mum, Mag Publisher, Brisbane Bride, OnTrend Bridal &amp; OnTrend Bridal Online @OnTrendBridal Arbonne Consultant http://KerrieGallagher.arbonne.com</t>
  </si>
  <si>
    <t>Vacation Rental Scams: Have You Fell Victim Of Fake Listings?  #airbnb #airbnbtips #vacationrentals #vacationtips #vacation #airbnbhost</t>
  </si>
  <si>
    <t>West Coast Corporate</t>
  </si>
  <si>
    <t>You won't find any hotel like this. This SF #airbnb boasts a newly remodeled gourmet kitchen, perfect for making a home cooked meal to enjoy in the dining room by the open patio. The kitchen is equipped with new state of the art appliances. Book now:</t>
  </si>
  <si>
    <t>Relocating here for a contract assignment or just enjoying an extended stay in the Bay Area... We've got the home for you!</t>
  </si>
  <si>
    <t>HOME INSPO. Via @VogueLiving ..#home #homeinspo #melbourne #design #style #interiors #labode #airbnb #bespoke #luxury</t>
  </si>
  <si>
    <t>Darshan Rauniyar</t>
  </si>
  <si>
    <t>#Airbnb cannot withstand Israel #pressures !- Is Airbnb’s no-profit return to the West Bank ‘whitewashing’ human rights violations? - PRI</t>
  </si>
  <si>
    <t>Seattle, Washington, USA</t>
  </si>
  <si>
    <t>Former Candidate for the US House of Representatives from Washington State. Human Rights Activist. I firmly believe in Freedom, Justice and Equality for all.</t>
  </si>
  <si>
    <t>#Airbnb host Genevieve lists 76 entire homes. Some tell us “she’s just managing others’ properties,” we say “so what” - she’s enabling commercial hosts, some of whom are evicting tenants &amp; turn entire buildings into ghost hotels. #ottcity #affordablehousing #notyourordinaryhost</t>
  </si>
  <si>
    <t>Daffodils and crocus a sure sign spring is in the air. #westoneastkeene #airbnb #Vacations RT @JustinALevine: Signs of #spring in the #Adirondacks as daffodils start to pop up through the snow</t>
  </si>
  <si>
    <t>Our very own local spor the Noonmark Diner made the list. Book your stay and check out this fun place to eat. #westoneastkeene #localbusiness #checkusout #airbnb #vacation RT @AdksUSA: Best Gluten Free Eats in Lake Placid &amp; Beyond  #adksusa #adirondacks #lakeplacid #saranaclake #glutenfree</t>
  </si>
  <si>
    <t>Green Blaster</t>
  </si>
  <si>
    <t>Fight bed bugs, naturally! Our Bed Bug Magic💥 works quickly and effectively to kill bed bugs without harsh chemicals. 🐜 Get yours today! ➡️  #bedbugs #bedbugmagic #allnatural #enzymes #greenblaster #cleaningproducts #hotel #maidservice #airbnb #shop</t>
  </si>
  <si>
    <t>Port Chester, NY</t>
  </si>
  <si>
    <t>Green Blaster, committed to bringing you green products that are effective and safer for people, pets, plants, and the environment.</t>
  </si>
  <si>
    <t>Thomas Skennerton</t>
  </si>
  <si>
    <t>#Howto Scan Your #Airbnb for Hidden Cameras</t>
  </si>
  <si>
    <t>Proud BlackBerry KEY2 user | Dad @Rahi_the_Beagle | Relationship Mgr @HelpEnterprises | Founder @SMHandshake | Mobile/Wearables/IoT | BBM TferTom &amp; C003A9A8B</t>
  </si>
  <si>
    <t>Thin VU</t>
  </si>
  <si>
    <t>5th Bloooming Flower #airbnb</t>
  </si>
  <si>
    <t>Vietnam</t>
  </si>
  <si>
    <t>Da Nang, Vietnam</t>
  </si>
  <si>
    <t>Adirondack are the best place in the world. #Westoneastkeene #vacation #airbnb RT @adk_council: Recent feature in @Newsweek shows why the #Adirondacks are one of the most unique and cherished places in the world. #WildAboutThePark</t>
  </si>
  <si>
    <t>Great food. Located close by our rental. Come and enjoy. Book your stay now. #Westoneastkeene #airbnb #vacationdeals #Superhost #Adirondacks RT @baxtermtntavern: Why cook and wash dishes when you can dine with us?</t>
  </si>
  <si>
    <t>How to Scan Your #Airbnb for Hidden Cameras - Slate  via @GoogleNews</t>
  </si>
  <si>
    <t>Xtian</t>
  </si>
  <si>
    <t>Home for the next few days. Yellow 1974 GMC Motorhome. quirkycanary #quirkycanary #airbnb #leipersfork #tennessee #natcheztrace #towercycling #towercycling #cyclelife @ Leipers Fork,…</t>
  </si>
  <si>
    <t>ontario, canada</t>
  </si>
  <si>
    <t>yeah, i'm a decent person. little aimless. #cycling #towercycling #music #vinyl #art #graffiti #sneakers #tattoos #drinks #yqg #dtw #travel</t>
  </si>
  <si>
    <t>HOME INSPO. Via @VogueLiving . . #home #homeinspo #melbourne #design #style #interiors #labode #airbnb #bespoke #luxury</t>
  </si>
  <si>
    <t>Shasta Logo Going To 3D Printer Let's go minimalist! Restore! #spot77 #realestate #renovations #urbanjungle #tinyhouse #airbnb #camping #midcenturymodern #vintagetrailer #glamping…</t>
  </si>
  <si>
    <t>UltraLuke</t>
  </si>
  <si>
    <t>Flaming fire needed on this chilly April night 😲 #minibreak #isleabbotts #somerset #airbnb #tgif #cosy</t>
  </si>
  <si>
    <t>Brighton, East Sussex</t>
  </si>
  <si>
    <t>Ultra Endurance Runner | #NSNG Athlete | 2:56 Marathoner | 50-100's | Mountains | Trails | Travel | Photography | Live For Now</t>
  </si>
  <si>
    <t>Tony Uribe</t>
  </si>
  <si>
    <t>Water your grass. . . #grassisalwaysgreener #pevz #positiveenergy #airbnb #buildittheywillcome @ Rosarito, Mexico</t>
  </si>
  <si>
    <t>San Diego CA</t>
  </si>
  <si>
    <t>Life learner in pursuit of balance &amp; consistency for más happiness! • Digital Strategy • US-Hispanic • Branding #PochoSocialite</t>
  </si>
  <si>
    <t>Don’t book your Airbnb without using this $55 referral coupon code! Click the link down below for your first $55 ✈️💵 Airbnb discount now! Please DM me if you have any issues. #airbnb #airbnbcode #airbnbdiscount #airbnbpromo #airbnbfree</t>
  </si>
  <si>
    <t>Khaled Zaky</t>
  </si>
  <si>
    <t>Listed by Forbes among the world's 12 most beautiful national parks 🏞and one of the world’s most beautiful beaches 🏝 ... Loving my #AirBnB views . . . #costarica #costarica🇨🇷 #costaricalife #costaricacool #manuelantonio #quepos #junglefever #manuelan…</t>
  </si>
  <si>
    <t>Lead Product Manager, Public Cloud Engineering @RBC☁️...Lead Instructor @BrainStationTO 👨‍🏫...Unapologetic coffee advocate ☕️ ...Opinions are yours 🤘🏽</t>
  </si>
  <si>
    <t>Large Light Filled Lofthttps://www.airbnb.jp/rooms/17891  via Twitter Web Client #airbnb</t>
  </si>
  <si>
    <t>Heimsath Architects</t>
  </si>
  <si>
    <t>View from the porch at the old farm in Fayetteville, Texas. Visiting this weekend as the place is now an AirBnB! Day 151! #fayettevilletx #airbnb #airbnbfarm #farmstay #trinityfarm…</t>
  </si>
  <si>
    <t>Specialists in church and community programs. Innovators in collaborative architectural design. ENVISION - COLLABORATE - DESIGN - DELIVER</t>
  </si>
  <si>
    <t>Carolina Outdoor Adv</t>
  </si>
  <si>
    <t>Carolina Outdoor Adventures in the house! For real. We're in Asheville for a BubbleBall game tomorrow and are staying with justwestofwestasheville airbnb #chickens #airbnb #bubbleup #coa</t>
  </si>
  <si>
    <t>Columbia, SC</t>
  </si>
  <si>
    <t>Offering guided kayaking trips on the Congaree River in Columbia, SC and BubbleBall Soccer all over SC! Visit our webpage for other services we offer as well!</t>
  </si>
  <si>
    <t>Miranda P</t>
  </si>
  <si>
    <t>What happens when you go to an outdoor art exhibit, a disco #Airbnb and become a Junior Ranger? North of Joshua Tree: The Weird, Wild and Wonderful, a travelogue.</t>
  </si>
  <si>
    <t>Haida Gwaii</t>
  </si>
  <si>
    <t>PR gal by day, write at Anchors+Proteas at night. Writer, connector, traveler, maker &amp; mom. Loves local food, beaches &amp; the PNW. All views expressed are my own.</t>
  </si>
  <si>
    <t>I've #decided as I live in such a Large House I'm going to Turn my #groundfloor into an #airbnb and Hopefully not only make some Money but let Visitors to Leicester see her True Urban…</t>
  </si>
  <si>
    <t>Lofty goals💙 . .. . . . . . #loft #beautiful #interiors #interiordesign #decor #airbnb #homeaway #vrbo #industrial #industrialinterior #livework #visit #design #windows #largewindows #drinktraveldine</t>
  </si>
  <si>
    <t>BoundlessHawaii</t>
  </si>
  <si>
    <t>Want to be able to hang out with some of these magnificant creatures?! You still have time. The prime whale-watching months in Hawaii run from mid-December to mid-April. @uheheu #elitepacificvacations #airbnb #whalewatching #whales #luckywelivehawaii #luxuryvacation #paradise</t>
  </si>
  <si>
    <t>Hawaii, USA</t>
  </si>
  <si>
    <t>Purveyors of Oceanfront Opulence! The premium vacation rental and property management company in Kona on the Big Island of Hawaii.</t>
  </si>
  <si>
    <t>Ireland.#Ireland #Killarney #Kerry #dingle #WestCork #familyholiday #familyvacation #easterbreak #Easteready #Easter #Easter2019 #travel #TravelTuesday #holidaycottage #hoildayhome #selfcatering #adventure #airbnb #tripadvisor #reisen #LakeDistrict #Summer2019 #wanderlust #Brexit</t>
  </si>
  <si>
    <t>Instagram Captions To Supercharge Your Hospitality’s Online Engagement  #SocialMedia #Marketing #Dog #Blog #Hotels #Airbnb #Instagram #Hospitalitybusiness #Captions #Hotelmarketing #Boostly #Engagement</t>
  </si>
  <si>
    <t>First Time Airbnb $55 coupon promo referral code :) Get your discount credit on your first trip Click the link NOW 💵💵💵—-&gt;✈️ #airbnb #airbnbcode #airbnbdiscount #vacation #trips #travel #getaway #BTSxSNL #BTS_BoyWithLuvTH #พี่เจย์ขาของหนู</t>
  </si>
  <si>
    <t>Advance Ventures</t>
  </si>
  <si>
    <t>#Banks complacent about #fintech should remember #Airbnb  #Finance #Payments #Mortgage #Venturecapital #Mobile #AI #Startups #Lending #Financialservices #Insutech #Regtech #Blockchain #Bitcoin #Investing #Security #Cybersecurity</t>
  </si>
  <si>
    <t>Silicon Valley</t>
  </si>
  <si>
    <t>#SiliconValley #VC &amp; #Accelerator #Investing in: #IT #FinTech ▪ #DigitalHealth &amp; #mHealth ▪ #Mobile &amp; #IoT ▪ #AgTech #FoodTech &amp; #CleanTech</t>
  </si>
  <si>
    <t>Coming soon to #BearadiseCity Making sure our guests leave with a reminder of their good time. Thanks creategraphix #Airbnb #BookNow #Georgia #Mountains  @ Bearadise City</t>
  </si>
  <si>
    <t>Frost</t>
  </si>
  <si>
    <t>Hey, Have you heard about the #Crypto.com Wallet &amp; Card App with Metal #MCO #Visa Card? Loaded with perks - up to 5% cashback, airport lounge access, #free Spotify &amp;amp; #Netflix, 10% off #Expedia &amp;amp; #Airbnb #BTC #LTC Sign up in the app, use my referral link</t>
  </si>
  <si>
    <t>Russia</t>
  </si>
  <si>
    <t>Don’t miss the new lego movie rides on @legolandflorida Perfect experience to enjoy with your family #legoland #legandflorida #themeparks #family #vacation #vacationalrentals #citybeutiful #houseforrent #rentahouse #vacationmode #airbnb #homeaway #407management #vacationtime</t>
  </si>
  <si>
    <t>Bertrand Boulle</t>
  </si>
  <si>
    <t>#GuestReady, a service for #Airbnb hosts, doubles down on #Europe with another acquisition –</t>
  </si>
  <si>
    <t>Republic of Mauritius</t>
  </si>
  <si>
    <t>Bertrand Boulle at The Investors Europe Online Trading Portal contributes to Humanitarian Causes with Aurelie D'Unienville http://investorseurope.ooo/0cuob</t>
  </si>
  <si>
    <t>Patrick and Shannen McCabe</t>
  </si>
  <si>
    <t>Super proud to be a #Superhost on #Airbnb!</t>
  </si>
  <si>
    <t xml:space="preserve">Blakeslee, PA </t>
  </si>
  <si>
    <t>Staying at our private, family-friendly, open-concept home will give you an experience you will not forget.</t>
  </si>
  <si>
    <t>Unique Places 2 Save</t>
  </si>
  <si>
    <t>#KeithFarmstead offers a breathtaking experience for your next weekend getaway or family vacation. Just imagine falling asleep and waking up within this incredible tree collection, the largest of its kind in the U.S. Now available via #AirBnB!</t>
  </si>
  <si>
    <t>Sanford , NC</t>
  </si>
  <si>
    <t>Unique Places to Save helps protect, enhance and sustain the world's most unique places</t>
  </si>
  <si>
    <t>Walking the streets of Havana #Lahabana #havana #havanacars #Havanalove #havanastyle #cuba #cubalife #cubalove #bedandbreakfast #CasaParticular #casaparticulares #renthousecuba #airbnbguest #airbnb #casasparticularesinhavana #casasparticularescuba #CubaTravel</t>
  </si>
  <si>
    <t>Kimberly Ransom</t>
  </si>
  <si>
    <t>After 1 1/2 years of cleaning my #airbnb, I have finally passed on the torch to the professionals. My schedule just opened wide up. Time to focus on other #projects. #lifeupgrade #lettheproshandleit #airbnbhospitality #pinchmeimdreaming</t>
  </si>
  <si>
    <t>ENTJ, a Rat &amp; a Cancer. That pretty much sums it up.</t>
  </si>
  <si>
    <t>Cloud Forest Retreats</t>
  </si>
  <si>
    <t>Come stay on site with #Airbnb superhosts Fernando and Marjorie :)  #retreat #Ecuador #travel #nature</t>
  </si>
  <si>
    <t>Mindo, Ecuador</t>
  </si>
  <si>
    <t>Host your retreat in the ☁️🌳. Exclusive. Off-grid. Personalized, in rustic🍃elegance. Mindo Cloud Forest, Ecuador🌎 yoga✌🏽 meditation🔆 writers✏️</t>
  </si>
  <si>
    <t>Star Wars: #TheRiseofSkywalker . . #Manchester #performers #LiveMCR #Manc #LiveMusic #poets #singers #BandsManchester #Uber #Airbnb #Instagram #Snapchat #Bitcoin #iPad #Kickstarter…</t>
  </si>
  <si>
    <t>We did it again! #Airbnb #SuperHosts. Check us out at ! #PalmSprings</t>
  </si>
  <si>
    <t>The Wright Get-Away is an intimate cottage for two built to resemble the Wright Brothers' quarters during their historic stay in nearby #KittyHawk. #OBX #Airbnb</t>
  </si>
  <si>
    <t>G ❤ 🇵🇸 🧕</t>
  </si>
  <si>
    <t>#AirBnB bows to #israeli pressure. #BDS RT @theIMEU: Airbnb is backpedaling on its commitment to human rights for everyone. This week, the company announced it will reverse its ban on listings in illegal settlements built on Palestinian land.</t>
  </si>
  <si>
    <t>Portland, Oregon</t>
  </si>
  <si>
    <t>#FreePalestine ❤🇵🇸 🧕 #BDS #DefendAfrin #BlackLivesMatter #ProChoice #NotMyPresident #TheResistance #Muslim #Anti-Racist #Anti-Fascist #Anti-Colonialist</t>
  </si>
  <si>
    <t>#FLHouse &amp; #FLSenate lawmakers need to realize that homeowners across Florida want local control over short-term rentals like #Airbnb. STOP meddling in local issues. #AirbnbWATCHFL</t>
  </si>
  <si>
    <t>The Red Townhouse</t>
  </si>
  <si>
    <t>This week's B&amp;B training course, bespoked for Jo to focus this time on Airbnb and some self catering. Good luck with yours plans and imminent move to the Lake District ! #bandbcourses #airbnb #airbnbsuperhost #airbnbhost #cumbria #penrith #discoverpenrith #edenvalley</t>
  </si>
  <si>
    <t>Penrith</t>
  </si>
  <si>
    <t>Small, smart, cosy and comfortable bed and breakfast, in a traditional Penrith red sandstone townhouse. See our website for details of our B&amp;B training courses.</t>
  </si>
  <si>
    <t>Davidson Home Group</t>
  </si>
  <si>
    <t>The Weirdest Vacation Rental House Rules From Guests Who Experienced Them.  #Airbnb #VRBO #VactionRental #Rules #davidsonhomegroup #portlandhomes #vancouverwahomes #kellerwilliamsrealty #kellerwilliamsluxuryinternational #kellerwilliamsluxury</t>
  </si>
  <si>
    <t>A Better Experience 🏅 Licensed in Oregon &amp; Washington ⭐️ Keller Williams Realty Portland Central #portlandhomes #vancouverhomes</t>
  </si>
  <si>
    <t>#Stayhere:  AND  then... #Jump here... #networking #ASUITEC #accommodations #Airbnb #Hospitality #shorttermrental #homeaway #VRBO #SuperHost #HomeSharing #travel #Skydive #skydiving...</t>
  </si>
  <si>
    <t>Lapacazo Sandoval</t>
  </si>
  <si>
    <t>Best soul #airbnb on #amsterdamavenue #Harlem #Foodie #Cuny #nyc #broadway #musicaltheatre #ainttooproud #hamilton</t>
  </si>
  <si>
    <t>Journalist Amsterdam News, LA Sentinel, http://Essence.com Creator of The SleepyTownCollect ♡ ion---a multicultural, multimedia children series.</t>
  </si>
  <si>
    <t>Best soul #airbnb in #Harlem 141st and Amsterdam! $50 and $40 a night! #nyc #harlem #harlemnights #culture #jazz #africa</t>
  </si>
  <si>
    <t>The Best Sou Airbnb is in #harlem #airbnb West 141 and Amsterdam. $40 and $50 a night!#spring #nyc #foodie #hamiltonmusical #hamiltonhouse</t>
  </si>
  <si>
    <t>CRS Consulting</t>
  </si>
  <si>
    <t>Ahmedabad, India</t>
  </si>
  <si>
    <t>musesondemand</t>
  </si>
  <si>
    <t>Um who else would die to win an overnight stay at the Louvre!?  #Louvre #airbnb #art</t>
  </si>
  <si>
    <t>Art, design, fashion, photography &amp; beyond! We help creatives showcase their work, get inspired, &amp; network - without bias. Create your free portfolio today👇</t>
  </si>
  <si>
    <t>Are you excited to become an official and very prepared Airbnb host? #HereForYou #General #Business #USA #Jobs #Airbnb #Host</t>
  </si>
  <si>
    <t>Lorena Ruíz Mendoza</t>
  </si>
  <si>
    <t>Not all heroes wear capes. #Airbnb #Superhost!</t>
  </si>
  <si>
    <t>Mexico</t>
  </si>
  <si>
    <t>Recetas, noticias, piensos y RTs. no se roban tuits. Junto a @AldoTomis #México #HostYourAirbnb</t>
  </si>
  <si>
    <t>David Hagen</t>
  </si>
  <si>
    <t>Why am I not a Super Host? Is it because I voted for Trump in 2016 and you think I’m a massoginist? Racist? Homophobe? #airbnb</t>
  </si>
  <si>
    <t>Puerto Peñasco, Sonora</t>
  </si>
  <si>
    <t>Don't be Jelly</t>
  </si>
  <si>
    <t>Juliano</t>
  </si>
  <si>
    <t>Here is a list of some top engineering blogs companies in one tweet: #Uber -  #Airbnb -  #Netflix -  #LinkedIn -  #Heroku -  #Slack -</t>
  </si>
  <si>
    <t>Florianópolis, Brasil</t>
  </si>
  <si>
    <t>Não concordo e nem discordo, muito antes pelo contrário. @CornetaFight</t>
  </si>
  <si>
    <t>Matthew Hirtes</t>
  </si>
  <si>
    <t>Take Photos of Your #Airbnb Before Leaving advises @lifehacker's @itsjoshocampo:  @LeeAbbamonte @Airbnb #travel</t>
  </si>
  <si>
    <t>Las Palmas de Gran Canaria</t>
  </si>
  <si>
    <t>Going Local in Gran Canaria author covers Spain+ for the likes of @GuardianTravel, @TelegraphTravel, @travelmail, @timeout, and @weather2travel.</t>
  </si>
  <si>
    <t>Access all areas: Why you should adapt your property for disabled travellers (by @Lodgify):  #rentalowners #holidayhomes #holidaylets #airbnb</t>
  </si>
  <si>
    <t>Denise Boger</t>
  </si>
  <si>
    <t>#superhost #airbnb #myhappyplace #zen #reiki #thebogerbeachhouse Not all heroes wear capes. #Superhost!</t>
  </si>
  <si>
    <t>Newport Beach, CA</t>
  </si>
  <si>
    <t>💡Weekly #Airbnb Tips Keep a small first aid kit in your Airbnb property, so in case of need your guests won't have to rush to the closest pharmacy 🏃‍♀️ Stick to the basics and include band-aids, bandages, and antiseptic wipe packets. Find more tips here:</t>
  </si>
  <si>
    <t>Radiophonic</t>
  </si>
  <si>
    <t>#Airbnb’s big spending on state senator’s campaign draws scrutiny amid brouhaha over home-sharing bill</t>
  </si>
  <si>
    <t>Lowdown</t>
  </si>
  <si>
    <t>A delightfully restored Victorian stable for 2 in a beautiful rural location. Spacious and light, ideally located for visiting the Suffolk Coast #suffolk #holidaycottage #cycling #walking #framlingham #romantic #holiday #airbnb #weekendaway #selfcatering</t>
  </si>
  <si>
    <t>#AIRBNB SHINES IN PLACES WITH BIG EVENTS LIKE THE #kentuckyderby . #LOUISVILLE WANTS TO MAKE IT WORK FOR ALL. Louisville Airbnbs: Proposed rule pushes rentals to be 600 feet apart</t>
  </si>
  <si>
    <t>AS Tech</t>
  </si>
  <si>
    <t>Uber files IPO prospectus, to list on NYSE  $UBER $LYFT #Uber #UberIPO #ridesharing #UberEATS #UberEatsIndia #UberVouchers #Tesla #Waymo #lyftipo #Pinterest #airbnb #slack #yandex #careem #bird #lime #grab #Apple #SelfDrivingCars #AutonomousVehicles #didi</t>
  </si>
  <si>
    <t>Bay Area, California</t>
  </si>
  <si>
    <t>AlphaStreet revolutionizes the way professional investors track companies, analyze data and perform research to gain valuable market insights.</t>
  </si>
  <si>
    <t>Your adventure awaits! #vrbo #airbnb #superhosts #MissouriAdventure</t>
  </si>
  <si>
    <t>Annie Mehl</t>
  </si>
  <si>
    <t>Over a few hills, along a gravel road, hidden away from the hustle and bustle of the world, lies a secret rural getaway. Stay tuned for my Coon Rapids Airbnb story in next Friday's edition of the @carrollspaper. #airbnb #coonrapids #Iowa #Midwest #travel</t>
  </si>
  <si>
    <t>Carroll, IA</t>
  </si>
  <si>
    <t>I am a reporter for the Carroll Times Herald in Iowa. I spend my days with elementary school students that treat me like a celebrity.</t>
  </si>
  <si>
    <t>"The limits of my language are the limits of my world" Ludwig Wittgenstein. With #YattsiApp there is no limit.✨❤️ Happy Friday to everyone! #FridayMotivation #interpreter #lowcost #freenlancer #Spanish #English #travel #airbnb #travelbusiness #communication</t>
  </si>
  <si>
    <t>Up To Boston</t>
  </si>
  <si>
    <t>New regulations by Boston and the state of Massachusetts will cut into Airbnb's profits, but may help preserve neighborhoods. #airbnb #Boston</t>
  </si>
  <si>
    <t>Up To Boston [UTB] - Local News, Sports, Business, Technology, Food &amp; Politics.</t>
  </si>
  <si>
    <t>Alex Melikishvili</t>
  </si>
  <si>
    <t>According to estimate from Galt &amp; Taggart, #Tbilisi made $23 million on #Airbnb rentals in 2018, which is 90% more than in 2017.</t>
  </si>
  <si>
    <t>Country risk analyst with focus on #Armenia, #Azerbaijan, #Georgia, #Kazakhstan, #Kyrgyzstan, #Turkmenistan, #Uzbekistan. All opinions are mine.</t>
  </si>
  <si>
    <t>It's disturbing to see #AirBNB think-alike @SonderStays promoted by sitting city councilor @sarahkirby_yung. Why promote them? They're not even based here... Cities have hotel regulations. This kind of "technology" facilitates breaking them. That's it. #vanre RT @Matt_Jantzi: @sarahkirby_yung @NPAVancouver Sonder is an Airbnb clone that spawned out of their former Airbnb commercial operation. Even a cursory glance at their website by anyone familiar with Vancouver STR bylaws would show their “hotel tech” is illegal almost everywhere here.</t>
  </si>
  <si>
    <t>Chris Arsenault</t>
  </si>
  <si>
    <t>A three-step framework for solving problems – by our friend @lennysan (#Localmind #airbnb #amazinglyniceperson)</t>
  </si>
  <si>
    <t>Montreal</t>
  </si>
  <si>
    <t>Enthusiastic Entrepreneur. General Partner @iNovia VC. A loving dad. Passionate about our ever-changing tech world. Yes, Founders rule!</t>
  </si>
  <si>
    <t>order food via #ubereats #doordash #travel via #uber $LYFT and live via #airbnb and #hoteltonight and tarde with #robinhood and $NFLX $DIS and chill #millenials lifestyle #WallStreet oldies don''t get that</t>
  </si>
  <si>
    <t>Shireen | The Happy Days Travels</t>
  </si>
  <si>
    <t>Description of The Shepherd’s Hut in Taunton, UK. 🍂🔥🐴🍃🌳  #BlogPost #Taunton #Somerset #UKtravel #airbnb #alternativestay #Accommodation #southwestengland #visitengland #exploreUK #welshblogger #travelblogger #somersetstay #uniquestay #quirky #horses</t>
  </si>
  <si>
    <t>Wales, United Kingdom</t>
  </si>
  <si>
    <t>Travel writer and blogger from Wales. 🏴󠁧󠁢󠁷󠁬󠁳󠁿🌏 Learning and writing about the world through travel: food, people, culture, and history! 🌼💛</t>
  </si>
  <si>
    <t>Every Sunday is Dog Day Sunday at Bailey Winery Estate. #temecula #airbnb #propertymanagement #vacationrental #vacation #wine #vrbo #wine #winetasting #travel #bookdirect #wedding #destination #winecountry #temeculavacationrentals #Dog #travelwithyourpet #lovetemecula</t>
  </si>
  <si>
    <t>What does a New Age Brand look like? Ans: #airbnb  #marketing #branding</t>
  </si>
  <si>
    <t>Permafrost</t>
  </si>
  <si>
    <t>Place is nice over here! #airbnb #whathotel #quality</t>
  </si>
  <si>
    <t>Kenai, AK</t>
  </si>
  <si>
    <t>Alaska’s Own Cultivator and Retailer! Insta: http://instagram.com/permafrostak Facebook: http://Facebook.com/akpermafrost YouTube: https://bit.ly/2DNEgBc #smokewell</t>
  </si>
  <si>
    <t>💲55 Airbnb code coupon promo discount first. 💲55 OFF CLICK LINK NOW! Try it. Please DM me if you have any issues. #airbnb #airbnbcode #airbnbdiscount #airbnbpromo #airbnbcoupon #BTS_BoyWithLuvTH #MAP_OF_THE_SOUL_PERSONA #FridayMotivation</t>
  </si>
  <si>
    <t>Tip No 4 - Hire Professional Cleaners:  #airbnb #holidaylets #cleaning #cleaningservice #cotswolds #gloucestershire #worcestershire</t>
  </si>
  <si>
    <t>Three Kids and a Car</t>
  </si>
  <si>
    <t>Thinking of Staying at an Airbnb? Here’s 5 Reasons We Loved It and 5 Reasons We Didn’t #familytravel  #airbnb</t>
  </si>
  <si>
    <t>#Travel loving #mom of 3 blogging abt why #familytravel is so important and how to make it easier. Follow my blog &amp; join me on Facebook for more #tipsandtricks</t>
  </si>
  <si>
    <t>Chris O'Brien</t>
  </si>
  <si>
    <t xml:space="preserve"> Newton on Ouse</t>
  </si>
  <si>
    <t>A happily retired husband, dad and grandad. Wow life is good! 😉</t>
  </si>
  <si>
    <t>Tradicampo</t>
  </si>
  <si>
    <t>We have earned Superhost 5 times in a row! Such achievement wouldn't be possible without our hard work and especially without our hosts. For more information:  #tradicampo #tradicampoecocountryhouses #airbnb #airbnbsuperhost...</t>
  </si>
  <si>
    <t>Nordeste, Azores</t>
  </si>
  <si>
    <t>Unique places, Unique experiences</t>
  </si>
  <si>
    <t>TrailblzrHAWAII</t>
  </si>
  <si>
    <t>TRAILBLAZER HAWAII: What Lava? The Big Island's Hamakua Coast is One Big Waterfall.  #hawaiitravel #airbnb #havealohawilltravel #alohanorth</t>
  </si>
  <si>
    <t>Kilauea, HI</t>
  </si>
  <si>
    <t>Exploring all the free and fun things to do on #Kauai, #Maui, #Oahu and #Hawaii Big Island with bestselling adventure guides, Trailblazer Travel Books</t>
  </si>
  <si>
    <t>R.Whitelaw, Broker</t>
  </si>
  <si>
    <t>How to Calculate #Airbnb Weekly Rent?  #realestate #investing #realestateinvesting #entrepreneur</t>
  </si>
  <si>
    <t>Morgan Hill, CA</t>
  </si>
  <si>
    <t>An expert real estate broker in Morgan Hill, CA. CEO of Whitelaw &amp; Sons Real Estate Services, Inc. Host of Real Estate Realities Podcast [CA. DRE: 984909].</t>
  </si>
  <si>
    <t>#BookMyPlace and forget about everything. #Airbnb #SuperHost  RT @SteveStuWill: The true scale of the universe. Mind-blowing.</t>
  </si>
  <si>
    <t>Hurdlr</t>
  </si>
  <si>
    <t>Vacation bucket list alert: you can now spend a night in the Louvre, courtesy of #Airbnb -</t>
  </si>
  <si>
    <t>Simple financials for solopreneurs, Uber/ Lyft drivers, &amp; Airbnb hosts. | Developers of ProfitDash - The #1 finance app for Keller Williams agents.</t>
  </si>
  <si>
    <t>Tiller</t>
  </si>
  <si>
    <t>"My #Airbnb habit left me sleeping under my desk – but it saved my career"  By @_rebeccaholland for @Narratively</t>
  </si>
  <si>
    <t>Your financial life in a spreadsheet, automatically updated each day. Tiller is the only service that auto-feeds daily finances into #GoogleSheets and #Excel 💵📈</t>
  </si>
  <si>
    <t>"If the host includes a listing guide, they could include a note or picture as to which items are for sale."  #artist #keepsake #handcrafted #Airbnb</t>
  </si>
  <si>
    <t>Tips for listing on Airbnb. Visit  #airbnb #airbnbexperience #makemoney #rentalproperty #businesstips #inspire #founder #leader #usa #airbnbfacts #bnbprogram #knowledge #airbnbinfo #airbnbusa #airbnbtoronto #airbnbindia #startuplife #vacationmode</t>
  </si>
  <si>
    <t>Good morning from Bingo, the Airbnb cat! #airbnb #ferngully_cove #weekendgetaway #campfire #airbnbsuperhost #visitsuches #exploregeorgia #vacationrental #tinycabinrental…</t>
  </si>
  <si>
    <t>Milan Greeters</t>
  </si>
  <si>
    <t>Monster or Lamp? From Holland to Milan Design Week #freetour #breradesigndistrict #milanocity #visitmilano #milano #milanodesignweek2019 #milanodesign #holland #hollanddesign #amsterdam #architecture #milanoeventi #milanonight #milanofood #lonelyplanet #airbnb #airbnbitaly #unimi</t>
  </si>
  <si>
    <t>Milano, Lombardia</t>
  </si>
  <si>
    <t>Milan Greeter are willing to share their time with you, showing their city, not as a person guide but as the friend you didn’t know you had. Absolutely free.</t>
  </si>
  <si>
    <t>Today is #GrilledCheeseSandwichDay ! The perfect sandwich for EVERY meal. #Vrbo #Airbnb #SayCheese #Cheesey</t>
  </si>
  <si>
    <t>Jérémy di Meglio</t>
  </si>
  <si>
    <t>Paris | Bordeaux | Lyon</t>
  </si>
  <si>
    <t>Digital Manager @esd_fr / @espublicite</t>
  </si>
  <si>
    <t>Emma D'Arcey</t>
  </si>
  <si>
    <t>Stylish apartment #Marseille #airbnb #france. Heaps of renovation ideas for moving!</t>
  </si>
  <si>
    <t>Sustainable textile &amp; communications designer/researcher. Co-founder of @aotextiles. Specialise in contemporary marbling. Runner, traveller</t>
  </si>
  <si>
    <t>#FridayFeeling like 💃🕺 What are you and your short-term #vacationrental business looking forward to this weekend?! #insurance #airbnb #vrbo #sharingeconomy #host #PropertyManagement #propertymanager @GIPHY #fridaymood #cbizvri</t>
  </si>
  <si>
    <t>#Airbnb Buckles under #Zionist Pressure  via @PalestineChron</t>
  </si>
  <si>
    <t>$55 💚💵💚💵💚 Airbnb code coupon promo discount first. $55 OFF CLICK LINK NOW! Try it. Please DM me if you have any issues. #airbnb #airbnbcode #airbnbdiscount #airbnbpromo #airbnbcoupon</t>
  </si>
  <si>
    <t>SavageTrader</t>
  </si>
  <si>
    <t>$SHOP_213 as a customer of the company I gotta say its pretty cool even though integration with other sales channels is not smooth and customer service has 30 min wait time. Other than its the #AIRBNB of online retail business and I love it! #shopify</t>
  </si>
  <si>
    <t>~TRADER ~ Calls are personal opinion and NOT investment advice. I follow only active calls w all the respect to followers. $TVIX $UVXY #NaziTrump🖕#FuckFacebook</t>
  </si>
  <si>
    <t>Jack Sparrow House, Cornwallhttps://www.airbnb.jp/rooms/1483869  via Twitter Web Client #airbnb</t>
  </si>
  <si>
    <t>Danny Aston</t>
  </si>
  <si>
    <t>Heritage of course hugely important in World Heritage Site but biggest issues here are impact on housing supply &amp; residents and the hollowing out of communities in our wonderful Old Town. #airbnb RT @edinburghpaper: “I find that the key safe boxes detract from the appearance of this listed building, and fail to preserve its features of architectural or historic interest.”</t>
  </si>
  <si>
    <t>Embra, Scotland</t>
  </si>
  <si>
    <t>Staff to @theSNP MP. @NUJOfficial member. The question doesn't matter, the answer's always Aye. #GGTTH</t>
  </si>
  <si>
    <t>Hostal AndMar Cienfuegos</t>
  </si>
  <si>
    <t>Today our Hostal AndMar Cienfuegos have obtained again the #Superhost category in #Airbnb !, With 0 Cancellations, 4.8 Overall rating and 100% response rate. Thanks Yanelys</t>
  </si>
  <si>
    <t>Hostal AndMar Cienfuegos en Cuba - Casa Particular B&amp;B ubicada en una zona centrica con 2 habitaciones en renta para el hospedaje de 6 personas.</t>
  </si>
  <si>
    <t>Lagganmore House Self Catering</t>
  </si>
  <si>
    <t>Absolutely delight with my first Airbnb feedback #airbnb #fabguests #luxuryselfcatering #visitscotland #backtomycleaning @ Kilninver, Argyll And Bute, United Kingdom</t>
  </si>
  <si>
    <t>Kilninver, Scotland</t>
  </si>
  <si>
    <t>Lagganmore House,luxury self catering property near Oban, for groups up to 14, dog friendly in a beautiful rural location. ideal for families and outdoorsy folk</t>
  </si>
  <si>
    <t>AAATrade</t>
  </si>
  <si>
    <t>What do #SharingEconomy titans @Uber @lyft and @Airbnb have in common apart from their massive valuation? All 3 are soon going to be sailing public waters! Read more: #IPO $LYFT $UBER $AIRBNB #Airbnb #Lyft #Uber #UberIPO #LyftIPO #AirbnbIPO #Uberization</t>
  </si>
  <si>
    <t>Limassol, Cyprus</t>
  </si>
  <si>
    <t>AAATrade is a Licensed EU Investment Firm &amp; Liquidity Provider. #ForexTrading #ForexNews #Forex #FX #CFD #Cryptocurrencies #Bitcoin #Ripple #Investing</t>
  </si>
  <si>
    <t>HHMagazine 👻</t>
  </si>
  <si>
    <t>Staying over night in Salem, MA? Do you have a favorite place to stay? . . . #lodging #hotel #motel #airbnb #inn #bedandbreakfast #salemma365 #sendingsalem #hhmagazine</t>
  </si>
  <si>
    <t>Salem, MA</t>
  </si>
  <si>
    <t>#HHMagazine Everything you need to know about Salem's World Famous Haunted Happenings Festival. Connecting you to Salem 365 #hhmagazine @hhmagazine</t>
  </si>
  <si>
    <t>Places to Stay UK</t>
  </si>
  <si>
    <t>Serviced accommodation in #York, #Goole, #Selby, #Wakefield &amp; #Leeds 🛏️. #Contractors welcome 🤗 #servicedaccommodation #businessaccommodation #contractor #placestostay #yorkshireaccommodation #airbnb</t>
  </si>
  <si>
    <t>York, England</t>
  </si>
  <si>
    <t>Serviced Accommodation in York, Goole and Selby 🏣🇬🇧 Ideal for Business, Corporate and Leisure travellers 🕴Contact us on 📲01904894324</t>
  </si>
  <si>
    <t>Be assisted by a Superhost!!! For booking: ✔AIRBNB - ⠀ ✔ - ⠀ ✔HOMEAWAY -  #AIRBNBsuperhost #AIRBNB #bestplaceindxb #dreamdtravels #UAEDUBAI #dubaistay #dubaimarina</t>
  </si>
  <si>
    <t>Blandlord</t>
  </si>
  <si>
    <t>Had a quote from someone who claimed this shower couldn’t be fixed so £370 for a new one fitted, went on eBay found parts and replaced rollers £22 #property #showerdoor #btl #airbnb #servicedaccomodation #landlord #handyman</t>
  </si>
  <si>
    <t>Uk</t>
  </si>
  <si>
    <t>Dyslexic Property investor &amp; serial Entrepreneur, 1st business at 9 car at 15 house at 19, if I had my time again I would be a plumber or an accountant</t>
  </si>
  <si>
    <t>It’s important to have the right amount of supplies for your guests to make them feel they have everything they need for their stay. #airbnb #tip #hospitality</t>
  </si>
  <si>
    <t>Aaron Johnson</t>
  </si>
  <si>
    <t>This #Airbnb life is getting old y'all #Newark @ Newark, New Jersey</t>
  </si>
  <si>
    <t>Your ad here I suppose</t>
  </si>
  <si>
    <t>NL our Houses in North Devon</t>
  </si>
  <si>
    <t>Woolacombe beach #woolacombe #Beach #devon #airbnb #enjoy</t>
  </si>
  <si>
    <t>Holidays -Explore UK from 17th Century Farm house B&amp;B with his own living are Near Woolacombe- sleep 4 &amp; House at the centre of Braunton- sleep 5 find us airbnb</t>
  </si>
  <si>
    <t>Burning #Limescooter in the key of "a las barricadas." #antireport #airbnb #athens #εξάρχεια #acropolis</t>
  </si>
  <si>
    <t>Blue Flag SA - UK</t>
  </si>
  <si>
    <t>We are happy to share that we earned #Superhost 2x in a row from #Airbnb in less than a year! We also want to thank all our guests for choosing to stay in all our accommodation in Southampton. Cheers!</t>
  </si>
  <si>
    <t>Southampton, England</t>
  </si>
  <si>
    <t>Blue Flag SA is a Short-Stay Accommodation Specialists, offering short term stays in houses and apartments for people who need to stay in Southampton.</t>
  </si>
  <si>
    <t>#FF @VenicePeach a creative and unique #photographer and she is also the co-founder of @airbandme - for all of your #airbnb needs!!!</t>
  </si>
  <si>
    <t>Happy Friday - fresh flowers for new guests 🌷🌿 #airbnb #Oxford #FridayFeeling #FridayMotivation</t>
  </si>
  <si>
    <t>Nice to see some action from #Edinburgh Council on #Airbnb businesses. Get complaining to get rid of keysafes that are for businesses squatting in properties that could be homes. RT @edinburghpaper: “I find that the key safe boxes detract from the appearance of this listed building, and fail to preserve its features of architectural or historic interest.”</t>
  </si>
  <si>
    <t>Newstalk</t>
  </si>
  <si>
    <t>New charges on the way for homeowners that rent out properties on #Airbnb:</t>
  </si>
  <si>
    <t>We aim to engage, challenge, inform, and entertain. Tune in to Newstalk 106-108FM. http://facebook.com/newstalkfm http://instagram.com/newstalkfm</t>
  </si>
  <si>
    <t>Off to a country famous for its flowers, WWII history, a painter, a writer, water bodies. Any guesses. And I booked my first #airbnb as well!! Yippeeee.</t>
  </si>
  <si>
    <t>Crook Hall &amp; Gardens</t>
  </si>
  <si>
    <t>We are extremely pleased to announce we are now Super Hosts on @Airbnb for our two apartments! 🎉 #airbnb #superhosts #apartment #durham</t>
  </si>
  <si>
    <t>Sidegate Durham, Uk</t>
  </si>
  <si>
    <t>6 acres of beautiful gardens, a C13th hall and plenty family events. Homemade scones and spectacular views make us well worth a visit. Wedding bookings welcome.</t>
  </si>
  <si>
    <t>Kinesis 4</t>
  </si>
  <si>
    <t>#airbnb AirBnB not good dudes. #Palestinian #HumanRights</t>
  </si>
  <si>
    <t>Southampton UK</t>
  </si>
  <si>
    <t>Music makers of rock, prog, blues, folk, world and whatever else feels good. https://www.facebook.com/Kinesis4band</t>
  </si>
  <si>
    <t>Hey, Have you heard about the  #Wallet &amp; Card App with Metal MCO #Visa Card? Loaded with perks - up to 5% cashback, airport lounge access, free #Spotify &amp;amp; #Netflix, 10% off #Expedia &amp;amp; #Airbnb Sign up in the app, use my referral link</t>
  </si>
  <si>
    <t>Avi Green</t>
  </si>
  <si>
    <t>#airbnb will not ban #Judea/#Samaria listings  #Antisemitism #islamofascism #stopIslam #Politics #isranews #USA #Israel #business #AntiSemitic #stopislamization #moonbats #CorruptAndDangerous #CorruptionCase #law</t>
  </si>
  <si>
    <t>My sites http://telchaination.blogspot.co.il/ http://fooddiner.tumblr.com/ More can be found through https://about.me/avigreen See also http://gab.ai/avigreen</t>
  </si>
  <si>
    <t>TNTDPC Official</t>
  </si>
  <si>
    <t>Opening Remarks &amp; Context setting by Session Chairman Mr Sunil David Conference Vice Chairman &amp;amp; Head-IOT Business, India and ASEAN (AT&amp;amp;T) #netflix #uber #apple #Amazon #airbnb #IOT #robotics #virtualreality #3dprinting #blockchain #drones #augmented #ai #smarterproducts</t>
  </si>
  <si>
    <t>#TNTDPC, was conceived as a one-stop shop for #Technology #Development &amp; #Promotion, Technology #Upgradation &amp; #Induction of New Technologies in the country.</t>
  </si>
  <si>
    <t>I wonder if the surprisingly low voting turn out reflects the number of homes in the Leith Walk ward that are now full time, entire property #airbnb businesses, creating ghost communities where residents cannot afford to live? #LeithWalk #Edinburgh #HomesFirst @KevinStewartSNP RT @theSpurtle: Rob Munn (SNP) elected. 1st pref votes: Slater (Grn) 2nd, Gardner (Lab) 3rd, McCroskrie (Con) 4th, Caldwell (LibDem) 5th, Illingworth (Ind) 6th, Alexander (UKIP) 7th, Jacobsen (SLP) 8th, Scott (Ind) 9th, Stirling (TFBM) 10th, Laird (ScLP) 11th. Turnout 30.3%. #LeithWalkbyelection</t>
  </si>
  <si>
    <t>Bnb Squared</t>
  </si>
  <si>
    <t>Staging kind of day at @Glasgow's #Dowanhill! It's always a pleasure to set up our client's flat to make it more appealing for #airbnb! #staging #glasgow #westendglasgow #photography #decoration #Hyndland #bnbsquared</t>
  </si>
  <si>
    <t>Bnb Squared is a short let property management company based in Glasgow. Why not let us manage your flat so you can earn extra cash hassle free!</t>
  </si>
  <si>
    <t>The Old Roller Shed</t>
  </si>
  <si>
    <t>***Still available***this weekend available at The Shed £200 (normally £260)!! Check in today at 3pm until Sunday 14th #lastminute #minibreak #weekend #latedeal #shortstay #holiday #airbnb…</t>
  </si>
  <si>
    <t>Cartmel, England</t>
  </si>
  <si>
    <t>Unique 5* self catering accommodation for 2 in The Lake District village of Cartmel. Come and stay!</t>
  </si>
  <si>
    <t>The latest image from the GowerLive #webcam on the roof 730RocksMumbles #AirBnB. Book at  #Mumbles #Swansea #Gower #travel. Watch live at  #1155</t>
  </si>
  <si>
    <t>Bahruz B</t>
  </si>
  <si>
    <t>How to Find Hidden Cameras in your AirBNB - #privacy #DIY #airbnb #cybersecurity</t>
  </si>
  <si>
    <t>New York, NY | Washington, DC</t>
  </si>
  <si>
    <t>Director of Information Technology @IREXintl | #Strategy | #Technology | #Leadership | #Innovation | #TechInspired | #NPTech | #MSIgnite</t>
  </si>
  <si>
    <t>Umm, whomever made this Facebook advertisement really has some bizarre conceptual ideas. It looks like a suicide awareness PSA #airbnb #advertising</t>
  </si>
  <si>
    <t>LaGuinguetteGite</t>
  </si>
  <si>
    <t>Take a seat and just relax . . 🛏 Book on  (link in my bio) . . #laguinguettegite #airbnb #pointofview…</t>
  </si>
  <si>
    <t>La Motte-Saint-Jean, France</t>
  </si>
  <si>
    <t>🇫🇷 Discover Burgundy through its gastronomy, wines and canals while staying in one of the most beautiful riverside cottages. La Motte St Jean. Book via AirBnB</t>
  </si>
  <si>
    <t>When you love what you do, you become the best ⭐ 🙌 💪 🎈 🔥#airbnb #vacationrental #apartment #tourist #tourism #airbnbsuperhost #greece #athens #sparrow #thesparrow #style #surprise #management #lifestyle #property #hospitality #hospitalityservices #propertymanager #superhost</t>
  </si>
  <si>
    <t>angryirish</t>
  </si>
  <si>
    <t>Extra charges set for Airbnb homes in clampdown on regulations |   #Ireland #airbnb #dublin</t>
  </si>
  <si>
    <t>10,000+ people without a home in 2018. Irelands shame. Poverty is a crime and social equality is the solution. For the People, by the People. 11.05.19</t>
  </si>
  <si>
    <t>CommonSpace</t>
  </si>
  <si>
    <t>“When she said that I froze - I didn’t think that could happen" Evicted to make way for an #AirBNB, then taken off ESA and told to re-apply for Universal Credit with no notice, this is Suzy's story of being made homeless in #Edinburgh</t>
  </si>
  <si>
    <t>Scottish News || Politics || Opinion || Broadcast || Got a story? Email us at media@common.scot</t>
  </si>
  <si>
    <t>Ross Quintana</t>
  </si>
  <si>
    <t>Airbnb guest found hidden surveillance camera by scanning Wi-Fi network | Ars Technica  #Privacy #Hospitality #Travel #Airbnb</t>
  </si>
  <si>
    <t>Salt Lake City, UT</t>
  </si>
  <si>
    <t>Mind Hacking #CustomerExperience #CX #Branding #PersonalBranding Expert, Top100 #SocialMedia #Marketing #Influencer #Sales #SocialSelling #Writer #AR #Futurist</t>
  </si>
  <si>
    <t>DilSaay</t>
  </si>
  <si>
    <t>Take Photos of Your #Airbnb Before Leaving #tips #traveller #tourist #safeguard #safety #pracaution</t>
  </si>
  <si>
    <t>Emotional approach to Cars, Travel, Gadgets, Food &amp; everything in between straight from the heart.</t>
  </si>
  <si>
    <t>Early morning gardening with the birds ☀️🐦❤️ #morningmotivation #beautifulmorning #lookatthatview #peaceful #stmarysspace #scotland #recordingstudioscotland #recordingstudio #ukstudios #ukrecordingstudio #ukstudio #airbnb #creativeretreat #studio #studiolocation #intimatevenue</t>
  </si>
  <si>
    <t>SandbanksHoliday</t>
  </si>
  <si>
    <t>We’re proud #Airbnb #Superhosts for the fifth time in a row! 🙌</t>
  </si>
  <si>
    <t>Poole, Dorset</t>
  </si>
  <si>
    <t>A lovely 2 bed apartment available to rent for a min. of 3 nights, in Poole, Dorset. Contact bookings@sandbanksholiday.co.uk or visit http://www.sandbanksholiday.co.uk</t>
  </si>
  <si>
    <t>Threshold</t>
  </si>
  <si>
    <t>This morning our CEO @JMMcCafferty will be discussing new restrictions for #airbnb style short term lets with @morningireland @rtenews @RTERadio1</t>
  </si>
  <si>
    <t>Republic Of Ireland</t>
  </si>
  <si>
    <t>National Charity provides housing advice and prevents homelessness. Freephone Helpline 1800 454 454. Reg. Charity No. 20011031</t>
  </si>
  <si>
    <t>Morning Ireland</t>
  </si>
  <si>
    <t>Good morning! On today's programme with @DrGavinJennings and @BryanMIreland More on the fate of #JulianAssange Pressure mounts on @FAIreland and #JohnDelaney New rules for #airbnb and the final series of #GamesOfThrones gets under way @rtenews @RTERadio1</t>
  </si>
  <si>
    <t>RTÉ Donnybrook Dublin Ireland</t>
  </si>
  <si>
    <t>RTÉ's flagship news and current affairs radio programme on RTÉ Radio One. We're also on @facebook and @instagram</t>
  </si>
  <si>
    <t>Freshen Up! A soft reminder for all the guests. #ThePethouseDumaguete #Superhost #Airbnb #HappyHost</t>
  </si>
  <si>
    <t>Great wave by Tanya SUPER strong surfer really loved having you surf @UP2USurfSchool #surf #surfschoolbali #airbnb #airbnbhost #airbnbexperience #travelairbnb #bestsurfschoolsbali…</t>
  </si>
  <si>
    <t>Amancio Bouza</t>
  </si>
  <si>
    <t>Lessons Learned #Scaling #Airbnb 100X  #oo #Startup #Scale #Growth</t>
  </si>
  <si>
    <t>Dietikon, Schweiz</t>
  </si>
  <si>
    <t>#Intrapreneur #DotConnector #Author - Tweeting about #Entrepreneur, #AI, #API, #FinTech, #Blockchain, #SelfImprovement - Leading #Digital at @ipt_ch</t>
  </si>
  <si>
    <t>#GordonsBay Luxury Family destination - Aurora Views - Houses for Rent in Cape Town  #airbnb #wtma19</t>
  </si>
  <si>
    <t>AirCloud-Airbnb clone at 99$ only for the USA customers. Buy Now:  call: 7667298398 For demo Mail: support@nexcloudz.com #airbnb #airbnbclone #airbnbscript #ecommercescript #developmentscript #grouponclone #nexcloudz #aircloudairbnb #usa #carrentalsapp</t>
  </si>
  <si>
    <t>Naturally Norfolk</t>
  </si>
  <si>
    <t>Thanks airbnb ! ❤️ We use #airbnb to release late booking date for #bluebellcottage I wasn’t sure about it when we first listed with them but love our #airbnb guests and…</t>
  </si>
  <si>
    <t>Docking, Norfolk, England</t>
  </si>
  <si>
    <t>Our three delightful properties are an ideal base for a holiday or short break in North Norfolk. Tailored individual breaks of perfection. 📞✒️⌨️ 🐾</t>
  </si>
  <si>
    <t>Aiyman Hadi</t>
  </si>
  <si>
    <t>Dir. of Demand Gen || Lets talk about creating value from our digital voices.</t>
  </si>
  <si>
    <t>In New York, with a third of all properties on the top 5 rental sites illegal can the city stop them deceiving the public and buying laws #Airbnb #illegalhotel #homeaway #vrbo #agodo #expedia #ota #booking #str #nyc</t>
  </si>
  <si>
    <t>#RebelWilson stayed in this #MadeComfy managed #penthouse in #StKilda, #Melbourne, and we're beaming with excitement and pride!😁💕 To check out the luxurious #apartment which was featured on #TheBlock, check out  #australia #tripadvisor #airbnb #travel</t>
  </si>
  <si>
    <t>Vikram G</t>
  </si>
  <si>
    <t>🤘🏼</t>
  </si>
  <si>
    <t>xander</t>
  </si>
  <si>
    <t>In the midst of all these sharing economy (#Uber, #Lyft, #AirBnB) IPOs with hundreds of billions of market cap dangling in the balance, I've got to wonder: When will #blockchain disrupt all these centralized profit networks? They're basically taxes/overhead for the services, no?</t>
  </si>
  <si>
    <t>pursuer of knowledge; seeker of truth, Integrity @Facebook; alum of @EngineeringAtIL; i write 4 me</t>
  </si>
  <si>
    <t>$55 💲💲💲AIRBNB COUPON CODE 💵✈️💵 Here’s your chance for a free credit coupon discount and codes to travel for FREE. Click the link NOW. Please DM me if you have any issues. #airbnb #airbnbcode #airbnbdiscount #airbnbpromo #airbnbfree</t>
  </si>
  <si>
    <t>HeyStaxe</t>
  </si>
  <si>
    <t>Ring | Best Smart Doorbell #Airbnb #Amazon #Housing #Invest #NewHome #News #Rent #SharkTank #Tech 👉</t>
  </si>
  <si>
    <t>Sunrise, FL</t>
  </si>
  <si>
    <t>News, Entertainment, Sport &amp; More.</t>
  </si>
  <si>
    <t>Aspen Hot Glass</t>
  </si>
  <si>
    <t>Not all heroes wear capes. We have been #Superhost! 10 times in a row  #airbnb #stayhere #vacationrental #Montana</t>
  </si>
  <si>
    <t>Corvallis, Montana</t>
  </si>
  <si>
    <t>Bill and Rae are both artists from Corvallis Montana. We are science geeks to glassblowers. Spreading love and sharing this fantastic journey called life.</t>
  </si>
  <si>
    <t>matrizderisco</t>
  </si>
  <si>
    <t>I uploaded a new episode, "27 - Gig Economy", on #spreaker #airbnb #ao #brasil #de #economy #facebook #gig #humor #inteligente #malta #matriz #noticias #novidades #podcast #portugues #risco #transmissao #viagem #vivo #wikileaks</t>
  </si>
  <si>
    <t>Rio de Janeiro, Brazil</t>
  </si>
  <si>
    <t>Podcast comandado pelos amigos André Braun e André Warwar, 1especializado em variedades. Muito de tudo, e tudo de muito pouco !!!</t>
  </si>
  <si>
    <t>Large 5Star #Florida #vacationhome with prival pool on #Airbnb Tropical #TommyBahama style - #VRBO April 11, 2019 at 10:01PM</t>
  </si>
  <si>
    <t>$55 AIRBNB COUPON CODE ❤️💵✈️💵❤️ Here’s your chance for a free credit coupon discount and codes to travel for FREE. Click the link NOW. Please DM me if you have any issues. #airbnb #airbnbcode #airbnbdiscount #airbnbpromo #airbnbfree</t>
  </si>
  <si>
    <t>CryptoAdvocate 🇦🇺</t>
  </si>
  <si>
    <t>#Quality &amp; #Benefits 💰😁👍 The #PLATINUM #MCO #VISA Card has #loungekey #cashback &amp;amp; #crypto🍾 #spotify #Airbnb #Netflix #expedia discounts. Download the app, Use my referral link  with my referral code: KOT8ML28MF &amp;amp; receive an $80 bonus</t>
  </si>
  <si>
    <t>Canberra</t>
  </si>
  <si>
    <t>https://www.cryptomarketads.com CMA 😎👍 MCO, CRO, POWR, BTC, ETH. In Crypto 2015. Opinions- my own, not investment advice</t>
  </si>
  <si>
    <t>James</t>
  </si>
  <si>
    <t>Why Wild Parties, Housing Shortages &amp; Massive Lawsuits are Leading to Big Questions about Airbnb  #DeFranco #Airbnb #SharingEconomy via @PhillyD</t>
  </si>
  <si>
    <t>Comic book &amp; video game fan. Favorite game Mass Effect. Favorite comic book X-Men.</t>
  </si>
  <si>
    <t>Makes a world of difference #comfortcottagehealing #visitwales #dogfriendly #TheDogsWithMe #alpacas #ArtsWales #SunDogs #Airbnb #yell RT @ruthwignall: Anyone fancy it? #GetOutside... find out how much of a difference being out in the fresh air can make... body and mind xxx</t>
  </si>
  <si>
    <t>Not all heroes wear capes. #Superhost!  #comfortcottagehealing #visitwales #dogfriendly #TheDogsWithMe #alpacas #ArtsWales #SunDogs #Airbnb #yell</t>
  </si>
  <si>
    <t>$55 AIRBNB COUPON CODE 💵✈️💵 Here’s your chance for a free credit coupon discount and codes to travel for FREE. Click the link NOW. Please DM me if you have any issues. #airbnb #airbnbcode #airbnbdiscount #airbnbpromo #airbnbfree</t>
  </si>
  <si>
    <t>Bear Tracts Vacation Cabins</t>
  </si>
  <si>
    <t>The #mountains are calling and you must go... What a beautiful night at “Living the Dream” ♥️  @ Gatlinburg, Tennessee #Vacations #airbnb #vrbo #travel</t>
  </si>
  <si>
    <t>Gatlinburg, TN</t>
  </si>
  <si>
    <t>We specialize in helping our guests feel comfortable with their Smoky Mountain home. We love the daily life and experiences the area has to offer!</t>
  </si>
  <si>
    <t>Save Energy! #energy #gogreen #green #hvac #thermostat #smallbiz #realtor #facilities #realestate #cre #REO #MN #NYC LA #TN #FL #Construction #RealEstate #building #carbon #airbnb #BIM #housing #NetNeutrality #bcpoli</t>
  </si>
  <si>
    <t>Fernwood, nestled in between the trees and rhododendrons. #boone #airbnb #homeaway</t>
  </si>
  <si>
    <t>Josemd</t>
  </si>
  <si>
    <t>As a #Superhost I promise not to crash through the front window while you stay at our cabin. Come visit us at  #Airbnb ——-&gt;Take Photos of Your Airbnb Before Leaving</t>
  </si>
  <si>
    <t>Family Doc practicing in #LA. believing #healthcare is a right not just a privilege for the few. #ACA #TheResistance #tech #photography #CA #EVs #Food</t>
  </si>
  <si>
    <t>Monet’s Former Home Is Now Taking Guests on Airbnb—- we don’t have Monet’s house but it does belong to a guy named ‘Jose’... visit us at  #Airbnb</t>
  </si>
  <si>
    <t>Richard Hardigan</t>
  </si>
  <si>
    <t>ISMPalestine "Home-sharing platform #Airbnb has announced it will back off a plan to remove illegal settler homes in the #occupied #WestBank from its rental listings to end lawsuits brought by the hosts.  #boycott #BDS #EndTheOc… "</t>
  </si>
  <si>
    <t>Activist and Journalist - I write about the plight of the Palestinians, inside and outside of Palestine #FreePalestine #BDS</t>
  </si>
  <si>
    <t>#FreePalestine 🇵🇸</t>
  </si>
  <si>
    <t>Home-sharing platform #Airbnb has announced it will back off a plan to remove illegal settler homes in the #occupied #WestBank from its rental listings to end lawsuits brought by the hosts.  #boycott #BDS #EndTheOccupation</t>
  </si>
  <si>
    <t>Palestine, TX</t>
  </si>
  <si>
    <t>Towards the liberation of #Palestine. #HumanRights #FreePalestine #BDS #قاوم #PFLP #PalHunger #BlackLivesMatter</t>
  </si>
  <si>
    <t>❤️💵💲55 FREE AIRBNB DISCOUNT CODE. Here’s your chance for a free credit coupon and codes to travel for FREE. Click the link NOW. Please DM me if you have any issues. #airbnb #airbnbcode #airbnbdiscount #airbnbpromo #airbnbfree</t>
  </si>
  <si>
    <t>Hannah Billings</t>
  </si>
  <si>
    <t>My fave part was when the host said “you better watch what you’re sending over WiFi” What!? Are you invading my privacy via WiFi too?! #airbnb RT @aubreybillings: @hannahbillings Oh you forgot the fact that the owner never disclosed the cameras. Totally against @Airbnb Standards &amp; Expectations....</t>
  </si>
  <si>
    <t>Virginia Beach, VA</t>
  </si>
  <si>
    <t>Marketing Maven | Hokie Alumna | Classic Rock Aficionado |</t>
  </si>
  <si>
    <t>Start a great weekend in #Shanghai. ☀️ If you are around, join my airbnb Fit Walk tomorrow morning at 6.00 am ⏰💪🏼👟 👉 link in bio.  . #airbnbambassador #airbnb…</t>
  </si>
  <si>
    <t>It’s insane to me that they wanted to just throw some money at us for the inconvenience, not even worried about our safety! @Airbnb #airbnb @seakaysong @juliepeak @aubreybillings RT @seakaysong: lol sounds familiar. Wrote a 30 page pdf with a narrative of events complete with photo evidence. @Airbnb customer service rep AND supervisor replied with the same scripted line “I would request u kindly let us know how you’re looking at this case for now”. Wtf does that mean?</t>
  </si>
  <si>
    <t>Neve A. Hood</t>
  </si>
  <si>
    <t>Just booked my train and #airbnb for my #SAT exams in May. Now just gotta smash the revision 😅</t>
  </si>
  <si>
    <t>Happiness: the only thing in life that's worth fighting for 💛</t>
  </si>
  <si>
    <t>Saya Hillman</t>
  </si>
  <si>
    <t>Take Photos of Your Airbnb Before Leaving  #smatterings #airbnb</t>
  </si>
  <si>
    <t>Head Cheese-It, Mac &amp; Cheese Productions℠: adult summer camp for individuals &amp; groups. Sweaty TEDx speaker: http://tinyurl.com/cggx3fy #LifeOfYes</t>
  </si>
  <si>
    <t>First Time Airbnb $55 coupon promo referral code :) Get your discount credit on your first trip Click the link NOW 💸💲💸💲—-&gt;✈️ #airbnb #airbnbcode #airbnbdiscount #vacation #trips #travel #getaway</t>
  </si>
  <si>
    <t>In Tokyo, Airbnb's office is raided by fair trade regulators, with the company not allowing legal hosts to list their properties on rival sites. #Airbnb #unfairtrade #tokyo #japan #tourism #travel #str #ota #booking</t>
  </si>
  <si>
    <t>Check out this view! Our Sunset Bay Residence is the perfect place to sit back, relax and soak-in every gorgeous sunset. Book your stay today with @elitepacificvacations #elitepacificvacations #airbnb #luxeryrentals #islandlove #luckywelivehawaii #luxuryvacation #mauilife</t>
  </si>
  <si>
    <t>Jeff Dumas</t>
  </si>
  <si>
    <t>Rocking! Just made SuperHost! #airbnb</t>
  </si>
  <si>
    <t>CEO &amp; Founder of http://Bidonwork.com, real estate broker &amp; investor, avid golfer, and enjoys a good game of poker.</t>
  </si>
  <si>
    <t>Don’t book your Airbnb without using this $55 💸❤️💸 referral coupon code! Click the link down below for your first $55 Airbnb discount now! Please DM me if you have any issues. #airbnb #airbnbcode #airbnbdiscount #airbnbpromo #airbnbfree</t>
  </si>
  <si>
    <t>PaulyZ in ATL</t>
  </si>
  <si>
    <t>Who knew there's a #treehouse #airbnb in #Atlanta?? 🤔 #bookit #juststuffikindawannasee</t>
  </si>
  <si>
    <t>Lawrenceville, GA</t>
  </si>
  <si>
    <t>Reigning King of ALL Half-Greeks, tech enthusiast, free-thinking independent, creative humanoid, self-described genius, dog friend- an Entertainment POWERHOUSE.</t>
  </si>
  <si>
    <t>Six hours later. — #motolife #ridetoaustin #airbnb #motofriends #motorcycleride #handbuilt2019 handbuiltshow @ Austin, Texas</t>
  </si>
  <si>
    <t>alittletravel</t>
  </si>
  <si>
    <t>Have drinks with Mona Lisa and dinner with Venus...and sleep under that iconic Pyramid. Yes, you can. But you only have until Friday to enter!  #airbnb</t>
  </si>
  <si>
    <t>Brooklyn is my HQ</t>
  </si>
  <si>
    <t>Founded by Käbi Jørgensen De Geer. Hi!</t>
  </si>
  <si>
    <t>No Pluckin</t>
  </si>
  <si>
    <t>All u people coming to vA for #SITW and plan on getting a #airbnb sign up with my referral link</t>
  </si>
  <si>
    <t>in the bowl, Va Beach</t>
  </si>
  <si>
    <t>#SnapChat @stillpluckin</t>
  </si>
  <si>
    <t>Awesome Dallas Tours-Sam Peebles</t>
  </si>
  <si>
    <t>5 years in the making: Bonnie and Clyde Outlaw Blues premiers April 17, 2019. #Dallas #DeepEllum #Airbnb #USA</t>
  </si>
  <si>
    <t>I offer walking tours of the JFK Assassination and Deep Ellum. E books on Amazon. Video on YouTube. Airbnb Experience.</t>
  </si>
  <si>
    <t>FREE 💲55 AIRBNB COUPON CODE 💸. Here’s your chance for a free credit coupon and codes to travel for FREE. Click the link NOW. Please DM me if you have any issues. #airbnb #airbnbcode #airbnbdiscount #airbnbpromo #airbnbfree</t>
  </si>
  <si>
    <t>Smiles the same though #comfortcottagehealing #visitwales #dogfriendly #TheDogsWithMe #alpacas #ArtsWales #SunDogs #Airbnb #yell RT @ruthwignall: Awww... at least 20 years ago!! A few more lines and wrinkles now tho! 😉😂😘</t>
  </si>
  <si>
    <t>Nita Hong</t>
  </si>
  <si>
    <t>Missing my lil' home away from home. #carpinteria #california #rv #airbnb #android #oneplus3t #shotononeplus</t>
  </si>
  <si>
    <t>São Paulo, Brazil</t>
  </si>
  <si>
    <t>📷 Still Photographer 🎬 🌎 Planet Earth Explorer 🕵🏻‍♀️ 🍕 Professional Food Hopper 🍜</t>
  </si>
  <si>
    <t>SAIA York</t>
  </si>
  <si>
    <t>In a cowardly move, @Airbnb reversed its earlier decision to remove listings in illegal Israeli settlements in the occupied West Bank, caving in to Israeli settlers. #YorkU #airbnb</t>
  </si>
  <si>
    <t>York University</t>
  </si>
  <si>
    <t>We are the Palestine solidarity movement at York University. We are the YU resistance. We are SAIA. http://www.saiayork.org</t>
  </si>
  <si>
    <t>Kinnections Network</t>
  </si>
  <si>
    <t>Super proud to be a #Superhost on Airbnb!  What an amazing adventure the last year has been, opening up my home to #WorldTravelers and their cherished #AnimalCompanions ! Thank you so much #Airbnb for recognizing my hospitality 💜🤸‍♀️🏡🎉 #Kinnections</t>
  </si>
  <si>
    <t>Lifestyle, Story-Branding &amp; Marketing Coach Energetically Kinnecting YOUR Purpose, Passion &amp; Professional Goals. Social Media Design, Facilitator, Interviewer</t>
  </si>
  <si>
    <t>John Castle</t>
  </si>
  <si>
    <t>We need more rental units, but @fairbnb needs to check it's logic on its most recent report (). Read the criticism here . #Ottawa #OttawaRealEstate #AirBNB #AirBB #properties #ottcity</t>
  </si>
  <si>
    <t>John Castle is a REALTOR® with Keller Williams Integrity Realty. He provides smart, strategic, real estate services to his clients in Ottawa, Ontario.</t>
  </si>
  <si>
    <t>SW San Marcos</t>
  </si>
  <si>
    <t>The whole truth of being an Airbnb host. See if it is the right thing for your modern life #HereForYou #General #Business #USA #Jobs #Airbnb #Host</t>
  </si>
  <si>
    <t>San Marcos, CA 92078</t>
  </si>
  <si>
    <t>Storage West Self Storage San Marcos, CA. Storage rentals in the San Diego area. Come store with us! Hours: Mon-Sat, 9.00am to 6.00pm. Closed on major holidays.</t>
  </si>
  <si>
    <t>It may be a zoo out there, but you might have what you need to dive into the exciting world of becoming a verified Airbnb host #HereForYou #General #Business #USA #Jobs #Airbnb #Host</t>
  </si>
  <si>
    <t>SW Cent Hills</t>
  </si>
  <si>
    <t>Just the truth of being a great Airbnb host. See if it is the right kind of thing for you #HereForYou #General #Business #USA #Jobs #Airbnb #Host</t>
  </si>
  <si>
    <t>Las Vegas, NV 89149</t>
  </si>
  <si>
    <t>Storage West Self Storage Las Vegas, NV. Self storage serving 89149 and surrounding area. Come store with us! Hours: Mon-Sat 9am-6pm. Closed on major holidays.</t>
  </si>
  <si>
    <t>YAM</t>
  </si>
  <si>
    <t>Here's what to expect when using @Airbnb for the first time  #Travel #TravelTips #Airbnb @Airbnb</t>
  </si>
  <si>
    <t>A personal finance 💰 and lifestyle ✈ Make More. Save More. Live Better. ||| Our New Book is out! http://YoungAdultMoney.com/SLBook</t>
  </si>
  <si>
    <t>Lisa Sparkle</t>
  </si>
  <si>
    <t>[New York City]</t>
  </si>
  <si>
    <t>✨ New wave vegan law of attraction based EFT practitioner ✨</t>
  </si>
  <si>
    <t>Kyle Fricks</t>
  </si>
  <si>
    <t>Checking out from our first #AirBnB in #Japan and it was AMAZING!!! It had everything I ever wanted to experience in a traditional Japanese home! The surrounding area was a HUGE surprise!…</t>
  </si>
  <si>
    <t>Pelzer, SC</t>
  </si>
  <si>
    <t>Married to Lu ❤. Avid Gamer. PS4 Streamer. #Deadpool #KingdonHearts #ClemsonTigers #HoustonTexans #Playstation #Pokémon PSN: Fricksey28</t>
  </si>
  <si>
    <t>Don’t do hotels. Have freedom with an Airbnb! Sign up with the coupon link below to receive a $55 discount code with your first Airbnb. Please DM me if you have any issues. #airbnb #airbnbcode #airbnbdiscount #airbnbpromo #airbnbfree</t>
  </si>
  <si>
    <t>Summer is coming...summer is coming....we keep repeating to ourselves! #whitetailridge #rusticretreats #rustic #wisconsindells #vacationhome #airbnb #vrbo #cabin</t>
  </si>
  <si>
    <t>Storage West Carmel</t>
  </si>
  <si>
    <t>Is becoming an Airbnb host just the thing for you? #HereForYou #General #Business #USA #Jobs #Airbnb #Host</t>
  </si>
  <si>
    <t>San Diego, CA 92128</t>
  </si>
  <si>
    <t>Storage West Self Storage Carmel Mountain, CA. Excellent Carmel Mountain facility. Come store with us! Hours: Mon - Sat, 9am to 6pm. Closed on most holidays.</t>
  </si>
  <si>
    <t>This is not the first person in #Edinburgh that I have heard of who was given notice on their rented home so it could become an #airbnb . #HomesFirst</t>
  </si>
  <si>
    <t>withlove__kate</t>
  </si>
  <si>
    <t>Bathroom goals! Looking for a place to stay this summer in the county? Love this so so much!!! #princeedwardcounty #airbnb @ Prince Edward County</t>
  </si>
  <si>
    <t>Founder ~ With love Kate. Family of five, high rise tiny condo in the city, spoonie, inspiring people everywhere http://www.withlovekate.ca</t>
  </si>
  <si>
    <t>Do you have questions about becoming an official Airbnb host? #HereForYou #General #Business #USA #Jobs #Airbnb #Host</t>
  </si>
  <si>
    <t>AlooAlisha</t>
  </si>
  <si>
    <t>The first platform for professional services in the UAE</t>
  </si>
  <si>
    <t>CosyDragons</t>
  </si>
  <si>
    <t>Abergavenny</t>
  </si>
  <si>
    <t>Cosy Dragons high quality short term accommodation in Abergavenny,Abertillery, Pembroke &amp; the French Alps home from home for guests, be it business or pleasure.</t>
  </si>
  <si>
    <t>Follow me to Ferngully Cove! See our link in bio and book your weekend getaway for spring and summer now! #airbnb #ferngully_cove #weekendgetaway #relax #airbnbsuperhost…</t>
  </si>
  <si>
    <t>Corporate Travel</t>
  </si>
  <si>
    <t>Take Photos of Your Airbnb Before Leaving #travel #Airbnb</t>
  </si>
  <si>
    <t>Laguna Niguel, California</t>
  </si>
  <si>
    <t>Tweeting Corporate Travel related news, stories and alerts to our customers and friends in the Twitterverse!</t>
  </si>
  <si>
    <t>iman</t>
  </si>
  <si>
    <t>This recently happened to friends of mine as well. @Airbnb @AirbnbHelp please do something about this. You are putting peoples lives in jeopardy. #airbnb #diabetes #safety RT @crayfromthebay: In March, the locks were changed on my @Airbnb and I was unable to access my TYPE 1 DIABETES supplies. I was dealing with hypoglycemia (low blood sugar) and had no access to my supplies. @Airbnb has done NOTHING to resolve this issue.</t>
  </si>
  <si>
    <t>Founder of @AccessEgress | @EmoryUniversity Alumna | she/her iman@accessegress.com</t>
  </si>
  <si>
    <t>Some Hoosiers are developing algorithms to photograph a black hole in space for the first time and some Hoosiers are #Airbnb #SuperHosts with a carriage house to rent in Indy. Hard to say who is better. #BlackHole #EatAtArbys #HoosierHeros #RentMyPlace</t>
  </si>
  <si>
    <t>$55 💜💵💜💵💜Airbnb code coupon promo discount first. $55 OFF CLICK LINK NOW! Try it. Please DM me if you have any issues. #airbnb #airbnbcode #airbnbdiscount #airbnbpromo #airbnbcoupon</t>
  </si>
  <si>
    <t>Kevin Bates</t>
  </si>
  <si>
    <t>Super proud to be a #Superhost on Airbnb!  - #TheNook #sheringham #NorthNorfolk #airbnb</t>
  </si>
  <si>
    <t xml:space="preserve">Norfolk, England </t>
  </si>
  <si>
    <t>LEJOG Cyclist,joint coordinator of the West Norfolk MX5OC #longlivetheroadster #Airbnb Superhost #TheNook Sheringham,early retired Gramps,Husband,Father,Son :)</t>
  </si>
  <si>
    <t>Featuring Dave's Listing! Visit us at➡  to learn how to profit from investment properties that you don't even need to own. #airbnb #vacationrental #luxurylisting</t>
  </si>
  <si>
    <t>Autumn Campbell, CFP®</t>
  </si>
  <si>
    <t>Been hosting for &gt;2 years in our home! Met people from multiple countries, states, and many walks of life. Age 18 to 81 &amp; everything in between. We've made friends &amp;amp; good money too. We look forward to continuing to host for the foreseeable future! #homeshare #sidehustle #airbnb</t>
  </si>
  <si>
    <t>Tulsa, OK</t>
  </si>
  <si>
    <t>Comprehensive Financial Planner &amp; 2019 FPA NexGen President. Former Counselor and Teacher. Obstacle Course Race Enthusiast. Wife, Daughter, Sister.</t>
  </si>
  <si>
    <t>Erik Kennedy</t>
  </si>
  <si>
    <t>#FamilyTime for @edtechbeth's &amp; Scott wedding in #follybeach! It's been almost 2 years since my whole family &amp;amp; I have been together in-person. #FamilyTime #TheKennedys #BeachHouse #airbnb</t>
  </si>
  <si>
    <t>Milwaukee &amp; Shorewood, WI</t>
  </si>
  <si>
    <t>#KoreanAdoptee, luv being a connector, cheerleader, &amp; advocate for the community. Do something that defines you &amp; love. Opinions &amp; tweets are my own.</t>
  </si>
  <si>
    <t>John Clarke</t>
  </si>
  <si>
    <t>Another glaring reason why #housing needs to provided as a social need and not treated as a commodity. #Airbnb #Ottawa</t>
  </si>
  <si>
    <t>Ontario Coalition Against Poverty (OCAP) Organizer, John Clarke. RTs can mean anything from solidarity to hostility. I don't debate racists and bigots.</t>
  </si>
  <si>
    <t>relax....vacation...all we need!! #vacationquotes #vacationalrentals #relaxmode #vacationmode #rentalhouse #rentalhome #houseforrental #vacationalrent #orlando #florida #themeparks #familytime #airbnb #homeaway #championsgate #golf #family #vacation</t>
  </si>
  <si>
    <t>#Airbnb Buckles under Zionist Pressure -  #Palestine #WestBank</t>
  </si>
  <si>
    <t>Happy #NationalPetDay to all the pet lovers out there!! 💚🐶🐱🐹🐰🐦🐢🐟💚⁣ Did you know 53% of people want to travel with their pets? Watch this #video or visit our #blog to learn more!!  #vacationrental #airbnb #insurance #vrbo #bookdirect #cbizvri</t>
  </si>
  <si>
    <t>#JustListed! Incredible ownership opportunity on #PortersLake! 4 🛌, 4 🛁; $599,000💰 💎Carpet-free💎Contemporary kitchen💎Master suite💎2-car garage💎Private dock💎Furnished secondary suite (currently used for #AirBnB guests!)💎 Don't wait! Schedule your private tour today! 📞📧</t>
  </si>
  <si>
    <t>Amy Brattebo: Remax</t>
  </si>
  <si>
    <t>Is Buying an #Airbnb a Good Investment? #realestate</t>
  </si>
  <si>
    <t>Fraser Valley, BC</t>
  </si>
  <si>
    <t>Your key to country living. Equestrian property &amp; #acreage specialist - #Langley and the #FraserValley</t>
  </si>
  <si>
    <t>Learn how we make and distill @GalwaySpirits from a Master Distiller. #temecula #airbnb #propertymanagement #vacationrental #barefootvacationrentals #vacation #wine #wineries #wine #winetasting #travel #wedding #destination #winecountry #whiskey #galawayspirits #lovetemecula</t>
  </si>
  <si>
    <t>Breaking Burgh</t>
  </si>
  <si>
    <t>Ecuadorian Embassy Vows Never To List Room On Airbnb Again  #Assange #EcuadorianEmbassy #Assangearrest #Airbnb #WikiLeaks</t>
  </si>
  <si>
    <t>Pittsburgh PA</t>
  </si>
  <si>
    <t>A satirical blog serving Western Pennsylvania and beyond. Sibling to @BreakingBollox</t>
  </si>
  <si>
    <t>Coupeville Cottage</t>
  </si>
  <si>
    <t>#Airbnb Superhost 18 quarters in a row. #travel #cometocoupeville</t>
  </si>
  <si>
    <t>Whidbey Island, WA</t>
  </si>
  <si>
    <t>#Airbnb Superhost! This #VRBO is located within Ebey Landing National Reserve--2 blocks from historic waterfront, shops, restaurants &amp; the beach in #Coupeville.</t>
  </si>
  <si>
    <t>Tommaso Ricci</t>
  </si>
  <si>
    <t>#LegalDoc of the day: #DigitalTransformation strategy and case studies (#Netflix, #AirBnb, #Facebook, #Domino's, #Nokia,..) This report provides the results of the #digital #transformation exploration by the #World #Economic #Forum (WEF). The WEF is a wo…</t>
  </si>
  <si>
    <t>#Tech addict #PrivacyPro/Founder of http://www.technolawgy.eu/ /Pianist/Founder of http://www.imprenditoriagiovanile.org/ Information is power #IoT is future</t>
  </si>
  <si>
    <t>Brody</t>
  </si>
  <si>
    <t>Just as I’m getting ready to move I get this from @Airbnb . Kinda cool after having had hosted multiple visitors to Vegas &amp; making connections with life lasting advice to go along with it like “just be happy”. #Grateful #airbnb #travel #traveling #brodyradio</t>
  </si>
  <si>
    <t>Travel motivator/sushi, chocolate lover! On-air &amp; Asst. Program Dir at @sunny1065lv / IG/YouTube: Brodyradio. #GoKnightsGo #stayingwithstrangers</t>
  </si>
  <si>
    <t>Check out our listing on Airbnb for a discounted rate April 14th-18th! See link below! **View in picture is from outside guest suite**  #deerhideoutretreat #airbnb #discounts #gooddeal #superhost #airbnbsuperhost #onlyoneroomsohurry #enjoy #getaway #spring</t>
  </si>
  <si>
    <t>Ringo Firefly</t>
  </si>
  <si>
    <t>Suh-weet. Do I get a cape now? @Airbnb #Airbnb #Superhost</t>
  </si>
  <si>
    <t>Writer | Wine Whipcat | Cheese Champ Sour grape blatherings &amp; fromagerotica @winetrackerco</t>
  </si>
  <si>
    <t>Tracey Cass</t>
  </si>
  <si>
    <t>Aberdeen</t>
  </si>
  <si>
    <t>Loving life. Living life. Coaching, motivating and empowering others as well as promoting all round wellbeing.</t>
  </si>
  <si>
    <t>Sunset Paradise Bermuda Vacation Rental</t>
  </si>
  <si>
    <t>#superhost #bermuda #sunsetparadisebermuda #vacationrental #airbnb #bookings #vrbo #tripadvisor Not all heroes wear capes. #Superhost!</t>
  </si>
  <si>
    <t>Sunset Paradise Bermuda Vacation Rental, Fully Furnished, 1 Br Apt-4 Guests, Ocean View, Near Beach, WIFI, Your "Home Away from Home"!</t>
  </si>
  <si>
    <t>House of Mosaic</t>
  </si>
  <si>
    <t>Yaaaaaaaayyyyy! We have made it to #superhost on #airbnb TODAY!!!! We love being part of the @airbnb Hosting Community. Come stay with us... as this eventplanner’s dream will make your stay an utter #fantasy Did you know that we are #petfriendly Bed…</t>
  </si>
  <si>
    <t>LUXURY EVENT, WEDDING VENUE &amp; SHOWROOM Host your next event with us! The House: An incredible ever-changing interior that makes your event or a wedding unique.</t>
  </si>
  <si>
    <t>Lagos/Algarve</t>
  </si>
  <si>
    <t>Thank you to all our guests that made it possible for us to receive this quality award... It is an amazing feeling to be among the best in the world. You are invited to join us on the unforgettable adventure! Why waiting? #Lagos #Superhost #airbnb</t>
  </si>
  <si>
    <t>Lagos, Portugal</t>
  </si>
  <si>
    <t>Airbnb Superhost. Chez Loves seeking and sharing unique experiences and turn them into lifetime memories⏳. Live your Dreams #Lagos #Algarve</t>
  </si>
  <si>
    <t>DON'T BE FIOLED: It is still very cold. It might look like spring, and I might have dressed like spring but believe me it is not. #WhereDidSpringGo #LifeIsABeach #Blessed #EveningWalk #AirBnb #HolidayHomeInteriors #ShowHomes #Develipers</t>
  </si>
  <si>
    <t>C+W O'Brien Architects</t>
  </si>
  <si>
    <t>Great to be at the WPCI Spotlight Networking event! We are so proud of Cybele Fermino, one of our team members that is going to share her personal journey in the industry! #WPCI #Construction #womeninconstruction #airbnb #Dublin</t>
  </si>
  <si>
    <t>Our practice is built on delivering design-driven architectural solutions with a commercial edge that ensures we provide added value for our clients.</t>
  </si>
  <si>
    <t>Don’t book your Airbnb without using this 💲55 referral coupon code! Click the link down below for your first 💲55 Airbnb discount now! Please DM me if you have any issues. #airbnb #airbnbcode #airbnbdiscount #airbnbpromo #airbnbfree</t>
  </si>
  <si>
    <t>Andrew O'Connor</t>
  </si>
  <si>
    <t>Giving #AirBnB a go this weekend!</t>
  </si>
  <si>
    <t xml:space="preserve">Buckinghamshire </t>
  </si>
  <si>
    <t>Often found cooking at The Full Moon, Hawridge, Bucks, and a member of @thechefsforum Views and opinions are my own.</t>
  </si>
  <si>
    <t>This is Venus 🧜‍♀️🧜‍♂️ Centrally located #beachfront #loft with 2 bedrooms ideal for a #family 👨‍👩‍👧‍👦 #holiday ☀️😎🏖🌴🌅☀️😎🏖🌴🌅 #marbella #location #vacation #familyholiday #view #seaview #terracewithaview #vacationrental #holidayrental #best_airbnb #airbnb #bookyourholiday</t>
  </si>
  <si>
    <t>Bashitha Kariyawasam</t>
  </si>
  <si>
    <t>Stunning!!!!!!!!!! #dikwella #Hiriketiya #beach #srilanka #hiriketiyalodge #horseshoebay #beach #surf #sun #fun #narure #accomadation #holidays #vacation🌴 #airbnb #tripadvisorrentals…</t>
  </si>
  <si>
    <t>moscow, russia</t>
  </si>
  <si>
    <t>Cabin Radio</t>
  </si>
  <si>
    <t>I uploaded a new episode, "April 11, 2019: Happy Birthday, Karine!", on #spreaker #airbnb #cabinradio #daysofpink #happybirthday #jeopardy #morning #north #nwt #podcast #rainbowcoalitionyk #yellowknife</t>
  </si>
  <si>
    <t>Yellowknife, NT</t>
  </si>
  <si>
    <t>Life's better at the Cabin - radio for Yellowknife and the NWT. Get the app and listen live! Call the Rant Line any time: 867-675-0100</t>
  </si>
  <si>
    <t>Storage West Scripps</t>
  </si>
  <si>
    <t>The whole truth of being a pleasant Airbnb host. See if it is the right thing for your life #HereForYou #General #Business #USA #Jobs #Airbnb #Host</t>
  </si>
  <si>
    <t>San Diego, CA 92131</t>
  </si>
  <si>
    <t>Storage West Self Storage Scripps Ranch, CA. Excellent self storage near San Diego.Come store with us! Hours: Mon - Sat, 9am to 6pm. Closed on major holidays.</t>
  </si>
  <si>
    <t>#Airbnb Buckles under #Zionist Pressure by Jeremy Salt  @PalestineChron</t>
  </si>
  <si>
    <t>Leading Condominiums</t>
  </si>
  <si>
    <t>Thank you so much for your preference!! Once again we have earned #Superhost in #Airbnb We will keep working to create #unforgettable #moments #Vacationrentals #PropertyConcierge #PropertyManagment</t>
  </si>
  <si>
    <t>Puerto Vallarta, Jalisco</t>
  </si>
  <si>
    <t>Vacation rentals, Property management &amp; Concierge. E-mail : leadingcondominiums@gmail.com http://www.instagram.com/leadingcondominiums/</t>
  </si>
  <si>
    <t>#Airbnb’s #Ottcity business, in a nutshell.</t>
  </si>
  <si>
    <t>Julio Atencio MD</t>
  </si>
  <si>
    <t>Stay at @CTaganga Not all heroes wear capes. #Superhost #airbnb @traslaperla</t>
  </si>
  <si>
    <t>Medellín</t>
  </si>
  <si>
    <t>Oftalmólogo AntiEdad (Catarata, Córnea &amp; Refractiva) en http://clodel.com.co &amp; @OjosElTesoro Citas x WhatsApp 3054752542 #ophthalmology @OftalmoUniv Member</t>
  </si>
  <si>
    <t>#Airbnb Buckles under #Zionist Pressure @PalestineChron</t>
  </si>
  <si>
    <t>Tsitsikamma Gardens</t>
  </si>
  <si>
    <t>YEAH, we were awarded Super Host status on @Airbnb for the 2 time in a row. Thanks to all our guests for supporting us 😘😘 #tsitsikammagaredensselfcateringcottages #airbnb #superhost</t>
  </si>
  <si>
    <t>Tsitsikamma, Garden Route, SA</t>
  </si>
  <si>
    <t>Tsitsikamma Gardens Restaurant &amp; Self-catering Cottages is situated next to the N2 (Garden Route) close to Stormsriver. 2 Cottages: Sleeps total 6 guests. WiFi.</t>
  </si>
  <si>
    <t>The #dutchmansbreeches and #bluebells are covering the hillside behind the tinyhouse and #stoneriverhouse. It is a real #backyardwilderness full of #woodlandflowers #airbnb #gotowv #shepherdstown #harpersferry #wildlife #nature #naturephotography #wildflowerphotography</t>
  </si>
  <si>
    <t>Don’t do hotels. Have freedom with an Airbnb! Sign up with the coupon link below to receive a $55 ✈️💵 discount code with your first Airbnb. Please DM me if you have any issues. #airbnb #airbnbcode #airbnbdiscount #airbnbpromo #airbnbfree</t>
  </si>
  <si>
    <t>Majestic Lake House</t>
  </si>
  <si>
    <t>Spending quality time on the #water #airbnb #homeaway #vrbo #privatedock #boatslip #backyard #igersnola #igersneworleans #followyournola #fishing #🦆 #🐟 #🎣 #🦐 #🦀 #🐬#nola #nolalove…</t>
  </si>
  <si>
    <t>Rent our lake house! It's only a 30 minute drive to the French Quarter of New Orleans! 5 bedrooms, 5.5 baths. Sleeps 14. Also on Facebook and Instagram!</t>
  </si>
  <si>
    <t>Digital BrandLink</t>
  </si>
  <si>
    <t>Chicago-based company specializing in digital media &amp; marketing. graphic &amp; web design, social media management, and digital marketing services</t>
  </si>
  <si>
    <t>Financial Buzz</t>
  </si>
  <si>
    <t>PaperDuty Shares Surge after IPO Debut $PINS, $PD, $GPS, $LYFT, #Airbnb, #AndreessenHorowitz, #gap, #InitialPublicOffering, #IPO, #lyft, #MichaelDearing, #NewYorkStockExchange, #NYSE, #PaperDuty,...</t>
  </si>
  <si>
    <t>Read Articles on the Latest Buzz in Financial News Everyday! We Report LIVE from the NYSE and NASDAQ Exchanges! Our Tweets are our own personal opinions.</t>
  </si>
  <si>
    <t>Splendid Hosts, LLC</t>
  </si>
  <si>
    <t>We have officially earned #Superhost on #Airbnb for the 6th time in a row! Check out our Airbnb listings at the #lakeoftheozarks here  #vacation #hospitality #lakelife #</t>
  </si>
  <si>
    <t>russandcherylAIRBnb</t>
  </si>
  <si>
    <t>Yay! Happy to announce that we are now a superhost! Come and book your stay with us. *************************************** #airbnbhost #airbnb #airbnbexperience #quietplace #niagara…</t>
  </si>
  <si>
    <t>Burlington, Ontario</t>
  </si>
  <si>
    <t>Welcome! We would love to have you as our guests. Please see Airbnb link. Excellent access to Toronto and the beautiful Niagara wine region.</t>
  </si>
  <si>
    <t>Love what you do and it isn’t work! #lovemyguests #airbnb #ferngully_cove #superhost #weekendgetaway #airbnbsuperhost #visitsuches #exploregeorgia #vacationrental…</t>
  </si>
  <si>
    <t>If you are running or renting a full time #Airbnb entire property in places where housing is scarce you are contributing to increased homelessness and child poverty. @KevinStewartSNP #Edinburgh RT @TheCommonSpace: “There is absolutely no question that good quality affordable housing that ensures families are left with adequate incomes to give their children a decent start in life is absolutely crucial to ending child poverty."</t>
  </si>
  <si>
    <t>Have to say, this is the 3rd horrible experience my family and I have had with @Airbnb. I feel a case study on bad #CustomerExperience is coming. #CX #Hospitality #Airbnb</t>
  </si>
  <si>
    <t>Palazzo del Duca ®️ (Rome)</t>
  </si>
  <si>
    <t>🥇 @PalazzoDelDuca is officially a 𝑺𝒖𝒑𝒆𝒓𝒉𝒐𝒔𝒕! Thanks to @Airbnb, thanks to #us, thanks to #you! ✨ Per aspera ad astra! 🗝 Visit our #website &gt;  #PalazzoDelDuca #Roma #PalazzoDelDucaRoma #Airbnb #PalazzoDelDucaRome #Superhost</t>
  </si>
  <si>
    <t>𝑸𝒖𝒊𝒅 𝑴𝒆𝒍𝒊𝒖𝒔 𝑹𝒐𝒎𝒂? 🌍 Rome ☎️ 06/43689935 📲 +39 3927767798 (#whatsapp) ✉ roma@palazzodelduca.com 🤳You’re welcome!</t>
  </si>
  <si>
    <t>And another one. #Superhost #Airbnb</t>
  </si>
  <si>
    <t>Airhost For You</t>
  </si>
  <si>
    <t>Weekend in #Brighton anyone? Book direct with us and get a 10% discount!!!! #airbnb #airhost #holidaylets. Click here to book:</t>
  </si>
  <si>
    <t>Brighton's #Airbnb &amp; short let experts. A full service management company helping property owners double their income with excellent occupancy rates. #brighton</t>
  </si>
  <si>
    <t>Cubamigos</t>
  </si>
  <si>
    <t>Cuban/ cubano Local perspective Friendly rentals and guide #CUBA #HABANA #HAVANA #LOCAL #GUIDE #GUIA #vacation #cuban #cubano #cubana #hotels #melia #cubanacan #sexy #cruises #airbnb…</t>
  </si>
  <si>
    <t>Havana, Cuba</t>
  </si>
  <si>
    <t>Private Vacation Rentals in Cuba. A different way of having vacations: making friends Una forma diferente de vacacionar: haciendo amigo</t>
  </si>
  <si>
    <t>The whole truth of being a pleasant Airbnb host. See if it is the right thing for your quiet life #HereForYou #General #Business #USA #Jobs #Airbnb #Host</t>
  </si>
  <si>
    <t>Scottsdale, AZ 85254</t>
  </si>
  <si>
    <t>Storage West Self Storage Scottsdale, AZ. Great self storage in Scottsdale. Come store with us! Hours: Mon-Fri, 9am-6pm. Sat, 9am-5pm. Closed on major holidays.</t>
  </si>
  <si>
    <t>Denis Vyazovoy</t>
  </si>
  <si>
    <t>Москва, Россия</t>
  </si>
  <si>
    <t>Founder at @snappykit | The hardest thing is to do something simple 😎</t>
  </si>
  <si>
    <t>David Cobb</t>
  </si>
  <si>
    <t>So my #AirBnB has been cancelled at short notice because the hosts think we may not be able to travel to the US because of Brexit! Apparently that's absolutely fine with AirBnB and we just have to suck it up and sleep on the beach.</t>
  </si>
  <si>
    <t>Music, films, TV, gadgets and comics</t>
  </si>
  <si>
    <t>Joel Taubman</t>
  </si>
  <si>
    <t>Thank you @Airbnb for reversing a policy that caused discrimination against Israelis &amp; Jews. I love using #airbnb. I look forward to using it to visit #Israel &amp;amp; specifically the ancient Jewish places in Judea and Samaria. Happy to have played a small role in making this happen.</t>
  </si>
  <si>
    <t>Enthusiast of Israel, Polling Data, American Freedoms, and UVa Basketball. Live and work in AZ.</t>
  </si>
  <si>
    <t>New measures restricting #Airbnb style short-term lettings are welcome. The clamp-down on turning family homes into holiday #accommodation may go some way towards alleviating #homelessness.</t>
  </si>
  <si>
    <t>WANT YOUR FREE AIRBNB! 💸❤️💸 Here’s your chance for a free credit coupon and codes to travel for FREE. Click the link NOW. Please DM me if you have any issues. #airbnb #airbnbcode #airbnbdiscount #airbnbpromo #airbnbfree</t>
  </si>
  <si>
    <t>Check out our 12 recommend books for the #hospitality and #propertymanagement industry. Today's featured read is "Get Paid For Your Pad" by Jasper Ribbers.@GetPaidForUrPad #airbnb #vacationrentals</t>
  </si>
  <si>
    <t>Fernando E. Rodriguez</t>
  </si>
  <si>
    <t>#celebration Feeling grateful! ✌🏻🙏🏻 Thanks to all of those that have trusted their vacations to us! #airbnb #Superhost #DiscoverPuertoRico #PuertoRico #islandlife #Paradise #oldsanjuan #islaverde #luquillo</t>
  </si>
  <si>
    <t>Airbnb Superhost &amp; Tourism Enthusiast!</t>
  </si>
  <si>
    <t>TrisceleHoliday</t>
  </si>
  <si>
    <t>I want to say thank you very much to all my guests to have helped me to reach this goal ⭐️⭐️⭐️⭐️⭐️#superhost #superhostairbnb #airbnb #success #holiday #step #by #step #homeawayfromhome…</t>
  </si>
  <si>
    <t>CEO at Trisceleholiday</t>
  </si>
  <si>
    <t>The Social Home</t>
  </si>
  <si>
    <t>The first thing we do when we get into our #airbnb or #vrbo is to look for the WiFi password. This FREE downloadable WiFi password sign would add a sophisticated touch to any #vacationrental.</t>
  </si>
  <si>
    <t>Helping Investors turn their Short Term rentals into Tiny Boutique Hotels.</t>
  </si>
  <si>
    <t>The Selbu Ski Chalet</t>
  </si>
  <si>
    <t>Not all heroes wear capes. #Superhost!  #airbnb #vacationrental #selbuchalet @Airbnb</t>
  </si>
  <si>
    <t>Granby Colorado</t>
  </si>
  <si>
    <t>The mountains are calling and I must go.. Muir</t>
  </si>
  <si>
    <t>The App Man</t>
  </si>
  <si>
    <t>If anyone fancies a break to sunny Yorkshire... #airbnb #holiday #cottage #holidaycottage #yorkshire #york #leeds #wetherby</t>
  </si>
  <si>
    <t>Leeds, Yorkshire, UK</t>
  </si>
  <si>
    <t>Run @Appware where we build mobile Apps. Award Winner, Speaker, Petrol head &amp; Dad :) Happy to help and advise on tech as I have 30 yrs experience!</t>
  </si>
  <si>
    <t>wethepeeps</t>
  </si>
  <si>
    <t>California should just increase taxes on all of #Hollywood actor and actresses to 70%, reps and senators to 80%, and charge to use the bathroom at any hotel, motel, #Airbnb sports venue (college or professional), college or university.</t>
  </si>
  <si>
    <t>🇺🇸 happily married, saved by faith in Christ✝️ #MAGA #TRUMP2020 #TRUMP #PATRIOT #CONSERVATIVE #FBTS #ISRAEL #CAPITALISM #ProLife #BuildtheWall #OFFTHERAILS</t>
  </si>
  <si>
    <t>AnOnALLREDToDoRoJo</t>
  </si>
  <si>
    <t>#Airbnb caves in to Israeli settlers</t>
  </si>
  <si>
    <t>NY,NY-SF,CA-ALL POINTS BETWEEN</t>
  </si>
  <si>
    <t>#ANONYMOUS #99er #FREEANONS THE FIRST DUTY OF A REVOLUTIONIST IS TO GET AWAY WITH IT #OCCUPY #FREEPALESTINE #OpSafeWinter #FREELEONARDPELTIER #OpIsrael</t>
  </si>
  <si>
    <t>Tips for listing on Airbnb. Visit  #airbnb #airbnbexperience #makemoney #rentalproperty #businesstips #inspire #founder #leader #usa #airbnbfacts #bnbprogram #knowledge #airbnbinfo #airbnbusa #airbnbtoronto #airbnbindia #startuplife #vacationmode #vacation</t>
  </si>
  <si>
    <t>Mitali Chakraborty</t>
  </si>
  <si>
    <t>My mom just asked me for the website to ‘Arabian Bee’ so she could show my Indian uncle. I have now steered them to @Airbnb. Prob best to go ahead &amp; get her a credit #airbnb. Ability to make chai in morn is key. #desi #indianfromindiana</t>
  </si>
  <si>
    <t>Mantra: GO LEFT! Feels right to do the unknown. Event Producer. Community Builder. Former CXO @techjobstour. tennis, dinner party hostess #1 hugger. SF/airport</t>
  </si>
  <si>
    <t>Bret Faszholz</t>
  </si>
  <si>
    <t>“They absolutely don’t want to pay their taxes the way we want to collect them. That’s the bottom line.” #airbnb</t>
  </si>
  <si>
    <t>Miami, FL</t>
  </si>
  <si>
    <t>Ad agency veteran; #digital marketer; New Yorker; fitness enthusiast; globe trotter; real estate investor; entrepreneur; Mexican food lover; native Texan.</t>
  </si>
  <si>
    <t>Refugio de Reyes</t>
  </si>
  <si>
    <t>Not all heroes wear capes. #Superhost!  We're so happy! 🎉🎉🎉Thank to all our guests! You all made this possible too! #cuba #Holguin #airbnb</t>
  </si>
  <si>
    <t>Holguin Cuba</t>
  </si>
  <si>
    <t>Once upon a time two biologists decided to become hosts Used their house to create Refugio de Reyes: a green spot in the middle of the city Here's their journey</t>
  </si>
  <si>
    <t>Adam Greenwald</t>
  </si>
  <si>
    <t>Not all heroes wear capes. #Superhost!  Woohoo! I love this platform. Thank you, @airbnb. #Airbnb</t>
  </si>
  <si>
    <t>Father | Writer | Founder- AGHQ Hospitality</t>
  </si>
  <si>
    <t>SANS ISC</t>
  </si>
  <si>
    <t>How to Find Hidden Cameras in your #AirBNB #spycam #nmap</t>
  </si>
  <si>
    <t>Bethesda, MD</t>
  </si>
  <si>
    <t>A global cooperative cyber threat / internet security information sharing community and alert system. Featuring daily handler diaries/podcast and public API.</t>
  </si>
  <si>
    <t>johullrich</t>
  </si>
  <si>
    <t>How to Find Hidden Cameras in your #AirBNB  via @SANS_ISC #spycam #nmap</t>
  </si>
  <si>
    <t>Jacksonville, FL, USA</t>
  </si>
  <si>
    <t>SANS Internet Storm Center (http://isc.sans.edu), SANS Fellow, Dean of Research SANS Technology Inst. , IPv6, Web App Security</t>
  </si>
  <si>
    <t>PRIME TIME</t>
  </si>
  <si>
    <t>#ThursdayThought goes to the beautiful island of #Santorini #Greece #Travel #Kayak #Booking #Expedia #TravelZoo #Travelocity #travelblogger #Hotels #Airbnb #Greece #Flights #Fly #Greek #Grecia #GreekIslands #Ocean #Views #Goals #Baecation #Vacation #Holiday #VisitGreece #Oia</t>
  </si>
  <si>
    <t>What's your motivation?</t>
  </si>
  <si>
    <t>GuestReady, a service for Airbnb hosts, doubles down on Europe with another acquisition  #TC #Airbnb #Asia</t>
  </si>
  <si>
    <t>💲55 ❤️💸❤️ Airbnb code coupon promo discount first. 💲55 OFF CLICK LINK NOW! Try it. Please DM me if you have any issues. #airbnb #airbnbcode #airbnbdiscount #airbnbpromo #airbnbcoupon #NationalPetDay #Assange</t>
  </si>
  <si>
    <t>Curmudgeon Group</t>
  </si>
  <si>
    <t>There have been tons of standout examples of social media #storytelling that have gone viral, such as #Airbnb’s animated short “Wall and Chain,” Land Rover’s digital adventure story, “The Vanishing Game,” and #Google India's “Reunion” video.</t>
  </si>
  <si>
    <t>Chicago creative agency on a mission to unite audiences and brands through shared purpose. Producing outcomes that compel the world to think, feel and act.</t>
  </si>
  <si>
    <t>#Earnmoney while doing what you love to do! #Airbnbexperiences is an opportunity for anyone to share their #hobbies, #skills, or #expertise without needing an extra room. #Airbnb</t>
  </si>
  <si>
    <t>Verlenda Darsy</t>
  </si>
  <si>
    <t>What does #AirBnB &amp; #Uber have in common with this #Network #Marketing company? Cutting edge vision. 100% direct pay with world-class company  #mlm #fr</t>
  </si>
  <si>
    <t>Berck, France</t>
  </si>
  <si>
    <t>To empower people by enabling opportunity, hope and influence.</t>
  </si>
  <si>
    <t>Jamie Victoria Gosse</t>
  </si>
  <si>
    <t>#Super #proud to be a #Superhost on #Airbnb!  Whoo Hoo!! My #BeachHouse has made a lot of #guests #happy! #princeedwardcounty #lakeontario #Canada #vacation #destination #Brighton #ontario #cottagelife #escapetoronto #GreenBelt #nature #relax #swim</t>
  </si>
  <si>
    <t>Truth sayer, stage player, world prayer.</t>
  </si>
  <si>
    <t>elena gonzález</t>
  </si>
  <si>
    <t>I've signed a petition to boycott #Airbnb until they reverse their ban on listing illegal Israeli settlements in #WestBank. Will you please do the same?  via @UpliftIRL</t>
  </si>
  <si>
    <t>El Pto de Santa María, España</t>
  </si>
  <si>
    <t>trabajo con personas discapacitadas mayores y en sillas de ruedas</t>
  </si>
  <si>
    <t>#Airbnb in #Australia - @CityofVancouver has a lot in common with the #Sydney area, including landlords becoming Airbnb operators and hiking the rates of their apartments. ?</t>
  </si>
  <si>
    <t>Zak[aria] Babutsidzé</t>
  </si>
  <si>
    <t>#Airbnb fights #legal battles on so many fronts  #digitalBusiness #digitalGovernance #MScDB</t>
  </si>
  <si>
    <t>Nice, France | Paris, France</t>
  </si>
  <si>
    <t>a social scientist, an economist, a business school professor. Tweeting about #DigitalBusiness #BigData #AI #Technology and more.</t>
  </si>
  <si>
    <t>Superhosts again! 10 times in a row, that is 40 months. #airbnb #airbnbsuperhost #foxgrovefarm #northernreflections #southernreflections #8listings #5starreviews</t>
  </si>
  <si>
    <t>Marie-Frances Davis</t>
  </si>
  <si>
    <t>Not all heroes wear capes. #Superhost! #airbnb #airbnbsuperhost</t>
  </si>
  <si>
    <t>Manager of all things Palm Partnership Training and @Airbnb superhost with @Lynnspalm and @Cyril_PR @FoxGroveFarm</t>
  </si>
  <si>
    <t>96% #Airbnb users check reviews before booking a property. Which of the following do you think makes your guests leave a bad review?</t>
  </si>
  <si>
    <t>Thank you @Airbnb &amp; all of our wonderful #guests around the world! ❤️ Just reached our anniversary as a #Superhost on Airbnb!  *** #Bali #Indonesia #Indonesian #holiday #vacation #vacances #home #fun #wonderful #Travel #Traveller #Trip #Airbnb</t>
  </si>
  <si>
    <t>Alexander Limpert</t>
  </si>
  <si>
    <t>Big milestone for @GuestReadyNow and @BnbLord #vacationrentals #airbnb #shorttermrentals #PropTech #traveltech startups RT @phocuswire: More expansion for GuestReady with acquisition of competitor BnbLord  via @PhocusWire/@mitrasorrells</t>
  </si>
  <si>
    <t>Co-Founder &amp; CEO of @GuestReadyNow, unlocking the full potential of real estate through tech enabled solutions. Tweeting about #proptech, #traveltech and more</t>
  </si>
  <si>
    <t>Old Harry Camper Co.</t>
  </si>
  <si>
    <t>Who wouldn’t want to explore Dorset in a camper?!? 😍 Hire yours today -  #campervanhire #explore #dorset #purbeck #swanage #holiday #oldharrycamperco #campervan #camper #vw #vacationrentals #vacation #travel #vacationrental #airbnb #beach #holidayrental</t>
  </si>
  <si>
    <t>Swanage, England</t>
  </si>
  <si>
    <t>Specialists in VW Camper van conversions</t>
  </si>
  <si>
    <t>Free $37 Airbnb Coupon Code! #Airbnb #Coupon #Deal #Discount</t>
  </si>
  <si>
    <t>First Time Airbnb $55 coupon promo referral code :) Get your discount credit on your first trip Click the link NOW 💵💲❤️💵💚💲—-&gt;✈️ #airbnb #airbnbcode #airbnbdiscount #vacation #NationalPetDay #trips #travel #getaway</t>
  </si>
  <si>
    <t>IJSTE JOURNAL</t>
  </si>
  <si>
    <t>Ahmedabad, Gujarat, India</t>
  </si>
  <si>
    <t>IJSTE is Peer-Reviewed, Monthly, Online International Research Journal &amp; Thesis Publication Publishes from all areas of Engineering. 📞07048326542</t>
  </si>
  <si>
    <t>Fergus Mitchell</t>
  </si>
  <si>
    <t>Ecuadorian Ambassador "Furious" After #Assange Leaves One-Star #airbnb Review - Evening Standard</t>
  </si>
  <si>
    <t>Glasgow, Scotland</t>
  </si>
  <si>
    <t>Comedy promoter @havinlaffcomedy &amp; host @crossmylaff &amp; @jestbelow. Antibrexit, pro-Indy. Hasn't seen 'The Goonies'.</t>
  </si>
  <si>
    <t>happyguest.co.uk</t>
  </si>
  <si>
    <t>Thank you to #Airbnb for recognizing HappyGuest team as a #Superhost! #airbnb #airbnbexperience #airbnbsuperhost #airbnbguest #airbnbguests #airbnblove #superhost #airbnbhost #airbnbphoto #airbnbhoststories #travellife #vacationlife #wanderer #travel #travelling</t>
  </si>
  <si>
    <t>#London &amp; #Lisbon #Airbnb full management and income maximising services. By Hosts For Hosts. List your #property and accept direct guest bookings at👇</t>
  </si>
  <si>
    <t>Charming 3bed/1bath in Culver City, on a private cul-de-sac yet close to Washington St shops and restaurants, Sony Studios. $1.259m #dealoftheday #culvercity #losangeles #realestate #investmentproperty #homesweethome #househunters #homebuyers #ThursdayMotivation #airbnb #home</t>
  </si>
  <si>
    <t>Luxury, comfort and all the touches from home. What else could you want?  #Airbnb #Liverpool #Accommodation</t>
  </si>
  <si>
    <t>Dario Mazzella</t>
  </si>
  <si>
    <t>"My #Airbnb habit left me sleeping under my desk – but it saved my career"....  via @guardiantech #startups #sharingeconomy</t>
  </si>
  <si>
    <t>Brussels, Belgium</t>
  </si>
  <si>
    <t>#startups &amp; #entrepreneurship @META_Group | #socinn @sochange_eu | CoFounder @StopApp_es | PhD #geopolitics @Unipisa | #innovation @ScuolaSantAnna | #travel</t>
  </si>
  <si>
    <t>Brickley Rise Holiday Let, Norfolk</t>
  </si>
  <si>
    <t>Not all heroes wear capes. We successfully earned #Superhost status for a second time in a row! airbnb @Airbnb_uk @OptimizeAirbnb #airbnb #selfcatering #easy #visitengland #holiday #easter…</t>
  </si>
  <si>
    <t>Ingoldisthorpe, England</t>
  </si>
  <si>
    <t>Self catering holiday accommodation for up to 8 guests in North Norfolk. Set in under 2 acres of private gardens &amp; only 5 miles from the coast of Hunstanton</t>
  </si>
  <si>
    <t>Calling all #investors! Add this #property in #BeverlyHills to your #portfolio. Would make an EXCELLENT #AirBnb, lease or flip. $1.798m. Next to world-class shops and restaurants. Message me for info! #investmentproperty #opportunity #losangeles #realestate #ThursdayThoughts</t>
  </si>
  <si>
    <t>$55 ❤️💚💙🧡💜💵💲✈️ Airbnb code coupon promo discount first. $55 OFF CLICK LINK NOW! Try it. Please DM me if you have any issues. #airbnb #airbnbcode #airbnbdiscount #airbnbpromo #airbnbcoupon #JulianAssange #NationalPetDay #wikileaks #TheMasters</t>
  </si>
  <si>
    <t>Olivier Hoedeman</t>
  </si>
  <si>
    <t>Great investigation (in Dutch) by @HansWetzels about new #EU directive that would force municipalities to ask 'Brussels' for permission for new services regulations (i.e. rules to control #Airbnb) - strong opposition from mayors &amp; civil society  @FTM_nl</t>
  </si>
  <si>
    <t>Corporate Europe Observatory - exposing the power of corporate lobbying in the EU.</t>
  </si>
  <si>
    <t>It all leads to this moment #RolexMonteCarloMasters! For reasonably priced accommodation in Monaco get in touch with us now at  #rolexmcmasters #mccc #tennis #monaco #montecarlo #accommodation #hotel #thegolenmoon_com #thegoldenmoon #airbnb #booking_com</t>
  </si>
  <si>
    <t>Marie Estelle Spike</t>
  </si>
  <si>
    <t>#Airbnb caves in to #Israeli settlers</t>
  </si>
  <si>
    <t>Grand Ledge, MI</t>
  </si>
  <si>
    <t>Psychotherapist and Peace &amp; Justice Activist</t>
  </si>
  <si>
    <t>Chronicles of Shame</t>
  </si>
  <si>
    <t>Home-sharing platform, #Airbnb, reverses earlier decision to remove listings in illegal Israeli settlements in occupied #WestBank.</t>
  </si>
  <si>
    <t>İstanbul, Türkiye</t>
  </si>
  <si>
    <t>An archive of human rights violations, racism and discrimination. Türkçe @UtancGunlugu / A project of @BosphorusGlobal</t>
  </si>
  <si>
    <t>Hello citizens &amp; tourists, welcome to Exarcheia. #airbnb #athens #Εξάρχεια</t>
  </si>
  <si>
    <t>andy moore</t>
  </si>
  <si>
    <t>dalkey</t>
  </si>
  <si>
    <t>please allow me to introduce myself im a man of wealth and taste{not}</t>
  </si>
  <si>
    <t>Zach</t>
  </si>
  <si>
    <t>For every @airbnb experience with a conscientious host with an amazing space there is one with ceiling stains, barely put together Ikea furniture and...an eviction notice mid stay(!!). In my experience this ratio is a perfect 1:1 and there are no in-betweens. #airbnb</t>
  </si>
  <si>
    <t>Montpelier, VT</t>
  </si>
  <si>
    <t>Fish. Music. Beer. Politics. Views are my own.</t>
  </si>
  <si>
    <t>Mohammad Fadel</t>
  </si>
  <si>
    <t>#Airbnb officially reverses decision to pull out of Israeli settlements – Mondoweiss #Israel #Palestine #BDS #boycottAirbnb ⁦@Airbnb⁩</t>
  </si>
  <si>
    <t>وَلَا تَسْتَوِي الْحَسَنَةُ وَلَا السَّيِّئَةُ ۚ ادْفَعْ بِالَّتِي هِيَ أَحْسَنُ فَإِذَا الَّذِي بَيْنَكَ وَبَيْنَهُ عَدَاوَةٌ كَأَنَّهُ وَلِيٌّ حَمِيم</t>
  </si>
  <si>
    <t>Airbnb’s head of #hospitality shares the secrets to being a good host via @BizAdvice_UK #airbnb #airbnbhost #tips</t>
  </si>
  <si>
    <t>Pat Lawson Muse</t>
  </si>
  <si>
    <t>DC Police Looking for Suspects Who Trashed #Airbnb House</t>
  </si>
  <si>
    <t>4pm anchor @NBCWashington. News4 Your Sunday &amp; Reporter's Notebook host. Art, travel, gardening &amp; dog lover. https://www.facebook.com/PatLawsonMuse IG: Pat Muse</t>
  </si>
  <si>
    <t>Rhoda</t>
  </si>
  <si>
    <t>Awesome! I’ve just won #Superhost status from #Airbnb for my apartment in Nice! :)  Check our my pinned post for more details</t>
  </si>
  <si>
    <t>Creative Proposals project manager @PwC_UK, mum of a one year old, lover of films, friends &amp; family time &amp; travelling. All views are mine!</t>
  </si>
  <si>
    <t>Lovers Retreats</t>
  </si>
  <si>
    <t>BOOK WITH CONFIDENCE! 💁🏼‍♀️ airbnb @designairs airbnboftheday best_airbnb #Superhost #AirBnB #booknow #toprated #customerservice #luxuryproperty #topnotch #servicewithasmile #holidayhome…</t>
  </si>
  <si>
    <t>Portreath, England</t>
  </si>
  <si>
    <t>Luxury holiday homes in Cornwall - As seen on George Clarke’s Amazing Spaces</t>
  </si>
  <si>
    <t>Kash</t>
  </si>
  <si>
    <t>State lawmakers to try again with new rules for Airbnb  #airbnb #roomdots #rerented #nation #hometel</t>
  </si>
  <si>
    <t>Founder @RoomDots, Previous founder @WhatsBusy. Crazy enough to believe that I can change the world one day.</t>
  </si>
  <si>
    <t>Not all heroes wear capes. #Superhost!  So pleased to be an Airbnb Super Host for the second time! #airbnb #Superhost #valeofbelvoir #Staycation #holiday</t>
  </si>
  <si>
    <t>Work in progress with out #smarthome project. As a standard You will get heating, ventilation, intercom, curtains and utilities control as standard. Also #airbnb smart solution readiness</t>
  </si>
  <si>
    <t>Travel Law</t>
  </si>
  <si>
    <t>New York proposes new rules for home sharing like Airbnb on rent restricted units.  #travel #airbnb #hotels #NYC #NewYork #Vacations #vacation #holidays</t>
  </si>
  <si>
    <t>Lawyer Representing the Travel Tourism Industry over 20 years - World Traveler, Industry Speaker and Adventurer.</t>
  </si>
  <si>
    <t>Hurrah! We have achieved Superhost status with Airbnb for a whole year now! #superhost #superhostairbnb #airbnb #glamping #kilkenny #ireland #irland #irlande #irlanda…</t>
  </si>
  <si>
    <t>Paul Anderson</t>
  </si>
  <si>
    <t>TWINTOWNS</t>
  </si>
  <si>
    <t>I am I .. Me</t>
  </si>
  <si>
    <t>Cheval Collection the first to partner with #Waitrose Rapid Delivery. Read more at  #servicedapartments #servicedapartmentnews #airbnb</t>
  </si>
  <si>
    <t>Weltgeist on Horseback 🌏👻🏇🏻</t>
  </si>
  <si>
    <t>BREAKING: #Airbnb has agreed to reverse its discriminatory policy to exclude Crusader listings in the Holy Land. Special thanks to @PopeUrbanVII for securing the blood of the covenant with a #DeusVult to achieve this outcome. RT @Jaccuse_org: BREAKING: #Airbnb has agreed to reverse its discriminatory policy to exclude Jewish listings in the West Bank. Special thanks to @ShuratHaDin for securing a legal settlement with the company to achieve this outcome.</t>
  </si>
  <si>
    <t>Salò, Lombardy</t>
  </si>
  <si>
    <t>I am a prelude of better players, O my brothers! A precedent! Follow my precedent! And he whom you cannot teach to fly, teach to fall faster! 🌳⚡️🍀💥🐲</t>
  </si>
  <si>
    <t>thpalazzozelli</t>
  </si>
  <si>
    <t>#superhost again, 13 times in a row! #airbnb #superhostairbnb #airbnbitaly #airbnbhost #homeholiday #viterbo #host #townhouse #palazzozelli @ Town House Palazzo Zelli</t>
  </si>
  <si>
    <t>Viterbo, Lazio</t>
  </si>
  <si>
    <t>Mimmo</t>
  </si>
  <si>
    <t>#airbnb #Superhost! - twice in row! 😊 -</t>
  </si>
  <si>
    <t>Milano</t>
  </si>
  <si>
    <t>Ama e fa ciò che vuoi.</t>
  </si>
  <si>
    <t>HITinPakistan</t>
  </si>
  <si>
    <t>Lets Home – A better version of Airbnb for tourism in Pakistan's northern areas #Airbnb #Chitral #entrepreneurship #GilgitBaltistan #hotel #Hunza #Kashmir #LetsHome #mountains #NorthernPakistan #SeemaAlkarimi #Swat #Technology</t>
  </si>
  <si>
    <t>Karachi, Pakistan</t>
  </si>
  <si>
    <t>Your complete resource for your everyday dose of news, gossips &amp; updates from the world of Entertainment, Music, Fashion, Sports, Food and much much more</t>
  </si>
  <si>
    <t>pmaceamuinn</t>
  </si>
  <si>
    <t>Based in North west Ireland.</t>
  </si>
  <si>
    <t>All kinds of woodturnings/woodart and commissions available.</t>
  </si>
  <si>
    <t>Christina Mercuriadi</t>
  </si>
  <si>
    <t>#proud to be part of this beautiful global community #Airbnb #Superhost!</t>
  </si>
  <si>
    <t>EU enthusiast, copyright obsessed, polyglot. Have spent most of my adult life in the European Parliament and have a background in economics and politics.</t>
  </si>
  <si>
    <t>Uplift</t>
  </si>
  <si>
    <t>We're a people powered campaigning community of 200,000 people committed to social justice, equality &amp; sustainability in Ireland. RTs ≠ endorsement</t>
  </si>
  <si>
    <t>ElmTreeFarmCottages</t>
  </si>
  <si>
    <t>Thank you Air BnB for our retained super host status. Lovely guests and great partners to work with! #airbnb #airbnbhost #airbnbhomes #selfcatering #farmstay #easterholidays…</t>
  </si>
  <si>
    <t>Brackley, Northants</t>
  </si>
  <si>
    <t>Come and stay with us and meet the animals at Elm Tree Farm luxury holiday cottages, close to Silverstone &amp; Oxford!</t>
  </si>
  <si>
    <t>#Airbnb Resumes Listing Illegal Jewish #Settlements in West Bank  @PalestineChron</t>
  </si>
  <si>
    <t>New #job: Customer Experience Specialist - Italian native speaker Location: Barcelona Salary: €15kpa - €15kpa ..  #customerservice #Airbnb #travel</t>
  </si>
  <si>
    <t>Not all heroes wear capes. #Superhost!  . . . #airbnb #masseriaborgodelgallo #satisfaction #puglia</t>
  </si>
  <si>
    <t>#Cashback 💰 will come easily with the daily use of the #PLATINUM #MCO #VISA Card Plus #netflix #expedia #airbnb #spotify benefits, #loungekey &amp; #airdrops Download the app, Use my referral link  with my referral code: KOT8ML28MF &amp;amp; receive an $80 bonus</t>
  </si>
  <si>
    <t>What do #SharingEconomy titans @Uber @lyft and @Airbnb have in common apart from their massive valuation? All 3 are soon going to be sailing public waters! Read more:  #IPO $LYFT $UBER $AIRBNB #Airbnb #Lyft #Uber #UberIPO #LyftIPO #AirbnbIPO #Uberization</t>
  </si>
  <si>
    <t>Grove Farm Holidays</t>
  </si>
  <si>
    <t>Ha ha! I have always thought this about myself, and now I have an e-mail confirming it!! Thank you @Airbnb #Superhost #airbnb #Shropshire #Shrewsbury #modest #holidaycottage #SelfCatering #staycation</t>
  </si>
  <si>
    <t>Condover, Shrewsbury, UK</t>
  </si>
  <si>
    <t>Luxury Self-Catering Accommodation in the Heart of Shropshire. Cosy Cottages, home comforts and great service! Tweets by Liz Farrow</t>
  </si>
  <si>
    <t>MidWalesHolidayLets</t>
  </si>
  <si>
    <t>We do love being a #superhost and our #website prices are cheaper than #airbnb - so we must be super-dooper #hosts 😊 #luxuryapartments #midwales #rhayader #elanvalley #staycation #hottub…</t>
  </si>
  <si>
    <t>Rhayader, Wales</t>
  </si>
  <si>
    <t>Self-catering in the heart of Rhayader. From single occupancy to groups of seventeen. Get in touch.</t>
  </si>
  <si>
    <t>Nant Melyn Cottage</t>
  </si>
  <si>
    <t>Not all heroes wear capes. #Superhost!  #welsh #cottage #Wales #airbnb come and stay today! Book today Nant Melyn Cottage</t>
  </si>
  <si>
    <t>Brynamman, Amman Valley, Wales</t>
  </si>
  <si>
    <t>Welsh holiday cottage within the fringes of the Brecon Beacons National Park. Log burner, exposed beams, enjoyment come as standard, tweeting local events</t>
  </si>
  <si>
    <t>Csaba Pogonyi</t>
  </si>
  <si>
    <t>Do you know which city experienced the highest increase in housing prices last year? No, it's not in the developing world. No, it's not an IT hub. It is Budapest, Hungary! Cheers to #airbnb, rising real wages and stupid government regulation! #knightfrank</t>
  </si>
  <si>
    <t>Economist at Imperial College London - Cities. Transport. Politics. Whatnot.</t>
  </si>
  <si>
    <t>Kiddolettes</t>
  </si>
  <si>
    <t>It’s a bird. It’s a plane. It’s Superhost!#airbnb #airbnbhost #superhost #superhostairbnb</t>
  </si>
  <si>
    <t>Just a regular guy who likes to laugh and keep finding the joys of living every day.</t>
  </si>
  <si>
    <t>The flat has been designed to blend old world charm with modern conveniences. The home showcases period features, like ornate fireplaces and crown modeling.✨ View more of this gorgeous property in London here 👇  #airbnb #propertymanagement #london</t>
  </si>
  <si>
    <t>Robert Moolenaar</t>
  </si>
  <si>
    <t>Super proud to be a #Superhost on Airbnb!  Guesthouse Rijsbergen Zundert #Airbnb</t>
  </si>
  <si>
    <t>Breda, Nederland</t>
  </si>
  <si>
    <t>Customer Centricity | Education | Politics | Skiing | Snowboarding | Beachvolleybal | Travel | News | Wine | Photography | Guesthouse Rijsbergen Zundert | Breda</t>
  </si>
  <si>
    <t>Be assisted by a Superhost!!! For booking: ✔AIRBNB - ⠀ ✔ - ⠀ ✔HOMEAWAY -  #AIRBNBsuperhost #AIRBNB #bestplaceindxb #dreamdtravels #UAEDUBAI #dubaistay #marinaview</t>
  </si>
  <si>
    <t>Our AMAZING #AirBnB host, Hotaka! She was unbelievable!!! The Japanese people as a whole are sooooo polite! Thank you, #Tokyo and surrounding areas! Off to #MtFuji we go tomorrow!…</t>
  </si>
  <si>
    <t>Rony Al Assaad</t>
  </si>
  <si>
    <t>Come give us a visit in our perfectly relaxed, cozy cafe, where you can listen to your favourite music, enjoy the outside view while sipping your coffee.😍☕🍀 #maisonvie #london #kilburn #nw6 #frenchcafe #frenchbakery #frenchrestaurant #ICMP #airbnb #londonfoodie #londonfood</t>
  </si>
  <si>
    <t>Alexander Zonneveld</t>
  </si>
  <si>
    <t>Airbnb's 2008 pitchdeck...which helped them close $600K in seed funding. So beautifully clear and concise!  #funding #vc #venturecapital #airbnb #powerpoint</t>
  </si>
  <si>
    <t>Fintech Product @ PropertyGuru | ex-Philips | Tech-optimist | All things crypto</t>
  </si>
  <si>
    <t>It’s a bird. It’s a plane. It’s Superhost!#airbnb #airbnbhost #superhost #superhostairbnb @ Las Piñas</t>
  </si>
  <si>
    <t>The latest image from the GowerLive #webcam on the roof 730RocksMumbles #AirBnB. Book at  #Mumbles #Swansea #Gower #travel. Watch live at  #245</t>
  </si>
  <si>
    <t>I am guessing that Victor is trying to find out if this is a lawful #Airbnb given that it is highly unlikely in #Edinburgh RT @Mari_Williams: The first, last and only cat video I am ever likely to tweet. Victor is keen to come in. #Edinburgh @Airbnb #Cats #catsontwitter #catvideos</t>
  </si>
  <si>
    <t>Something guests love about booking someone else's home over a traditional hotel room is the 'Home away from Home' feeling. 🏠 #airbnbtips #homeawayfromhome #airbnb #airbnbmanager #1001BNB</t>
  </si>
  <si>
    <t>Gorgeous, light frost as well #comfortcottagehealing #visitwales #dogfriendly #TheDogsWithMe #alpacas #ArtsWales #SunDogs #Airbnb #yell RT @ruthwignall: Good morning... or... If you’ve just come off the night shift... good night!! #sunrise</t>
  </si>
  <si>
    <t>LUXURY AIRBNB in São Paulo/ BRASIL</t>
  </si>
  <si>
    <t>#AIRBNB #1ADDRESS #TOURISM + #BUSINESSTRAVEL to #SaoPaulo #1Wi-Fi #Brazil for #SUPERLUXURY #HITECH #Flat #PAULISTA</t>
  </si>
  <si>
    <t>São Paulo, Brasil</t>
  </si>
  <si>
    <t>Luxury Apartment, located 1 block from Paulista Av/Jardins/2-bed/2-bath/rooftop pool/ gym/internet: http://www.airbnb.com/rooms/732523 or http://www.airbnb.com/rooms/747455</t>
  </si>
  <si>
    <t>Ismail Patel</t>
  </si>
  <si>
    <t>#Airbnb decides to support Israeli colonisation over moral and ethical business #BDS Airbnb reverses decision to remove Israeli West Bank homes from website</t>
  </si>
  <si>
    <t>Chair Friends of Al Aqsa; Author; Palestine; Conflict Resolution; Post/De-colonial, Anti-Racism, Post Grad Researcher and Personal opinions</t>
  </si>
  <si>
    <t>Mega Crypto World</t>
  </si>
  <si>
    <t>#Bitrefill Now Lets You Pay for #Airbnb Rentals With 5 #Cryptocurrencies</t>
  </si>
  <si>
    <t>Your Home to the World of #Cryptocurrency #CryptoNews</t>
  </si>
  <si>
    <t>Our 150th #Airbnb review just came in for !! #palmsprings #vacationrental #Coachella2019</t>
  </si>
  <si>
    <t>👑 The Queen would be quids in if she rented Buckingham Palace on #Airbnb! Check this @GuestReadyNow data on how much she'd make a night!</t>
  </si>
  <si>
    <t>Pick up gluten-free products from Maison Vie. #glutenfree #maisonvie #london #kilburn #nw6 #frenchcafe #frenchbakery #frenchrestaurant #ICMP #airbnb #londonfoodie #londonfood #londoncafe #londonbakery #londonrestaurant #delicious #yummy #tasty #food #pastry #hungry #momandbaby</t>
  </si>
  <si>
    <t>The Bangkok Lawyer</t>
  </si>
  <si>
    <t>#Thailand and it's stance to #airbnb A snapshot by #JustinianLawyers.</t>
  </si>
  <si>
    <t>Bangkok</t>
  </si>
  <si>
    <t>Legal notes from the 42. floor in the city of angels in the land of smile. We tweet what's right, not what's easy.</t>
  </si>
  <si>
    <t>"Booking platform Klook called solo travel a major 2019 trend based on its 2018 data, and it looks like both women and Baby Boomers are opting to go it alone more and more."  #SocialMedia #Marketing #Facebook #Hotels #Blog #Airbnb #Hospitality</t>
  </si>
  <si>
    <t>#ToryPython #FBPE #EU</t>
  </si>
  <si>
    <t>Most Scots back rent caps to tackle soaring costs in hotspots  #rentcap #universalcredit #poverty #Edinburgh #airbnb #accommodation #renting</t>
  </si>
  <si>
    <t>Marek</t>
  </si>
  <si>
    <t>1. Make team member like their job 2. Crystalize the problem 3. AIM highx10 4. Celebrete success 5. Team freedom HOW to achieve goals 6. Think backwards (for ideal user experiance) #airbnb RT @smgrieser: Some good insights here 👇 What seven years at Airbnb taught me about building a company</t>
  </si>
  <si>
    <t>Kraków, Polska</t>
  </si>
  <si>
    <t>Person who likes to automate everything. Most often with Python. Online marketing, landingpage, startup</t>
  </si>
  <si>
    <t>The Venture Company</t>
  </si>
  <si>
    <t>What is the future of the sharing economy? | The so-called sharing-economy is an ingenious ploy to steal the arbitrage of the people's ... |  #AirBnB #Economics #Governance #Government #Marketplaces #RenewableEconomics #SharingEconomy #Uber</t>
  </si>
  <si>
    <t>U.S.A.</t>
  </si>
  <si>
    <t>The Venture Company is the inventor of a new operating-system for humanity.</t>
  </si>
  <si>
    <t>Start your business with Nexcloudz AirCloud - Airbnb Clone. AirCloud-Airbnb clone at 99$ only for the USA customers. Buy Now:  call: 7667298398 For demo Mail: support@nexcloudz.com #airbnb #airbnbclone #airbnbscript #usa #carrentalsapp #boatrentalsapp</t>
  </si>
  <si>
    <t>Mario Gudiel</t>
  </si>
  <si>
    <t>We are proud to announce that we are Superhost 3 times in the row #Airbnb # Willow’s Corner San Juan Bautista CA. #willows Cottage San Juan Bautista CA</t>
  </si>
  <si>
    <t>Bruce Mirken</t>
  </si>
  <si>
    <t>Do not use #Airbnb. Ever. RT @haaretzcom: Saeb Erekat says Airbnb's decision not to de-list Jewish homes in the West Bank 'signals the complicity of the company with the systematic denial of our inalienable right to self-determination'</t>
  </si>
  <si>
    <t>Media Relations Director, @Greenlining. Opinions (generally snarky) are strictly mine. RTs do not equal endorsements. Justice. Fairness. Equity. #ImpeachTheMF</t>
  </si>
  <si>
    <t>Looking for a place to stay with your family or group. We have a 3 story house perfect to host up to 12 people. Each one sleeping comfortably in their own bed after spending a day exploring #Tokyo Book us here #AIRBNB :  #familytravel #travel #japan</t>
  </si>
  <si>
    <t>We cannot get bored in #Tokyo. Enjoy of the different food and drink festivals. Remember to book your stay in our house here: #AIRBNB :  #familytravel #travel #japan RT @TimeOutTokyo: Don't miss the best food and drink festivals in Tokyo.</t>
  </si>
  <si>
    <t>The season to climb #MountFuji will start. Take a look to this place where you can get awesome pictures of Mt Fuji. Book your stay in Tokyo with us here #AIRBNB :  #familytravel #travel #japan RT @LIVEJAPANGuide: Want to go to Mt. Fuji? #Kawaguchiko is your destination! The area is home to one of the gorgeous lakes around Mt. #Fuji - where you can get perfect photos of the #mountain, plus enjoy a variety of activities. Check out our perfect 1-day plan for ideas.</t>
  </si>
  <si>
    <t>#HappyThursday Fans of Anime and Manga cannot miss this exhibition. Time to visit #Tokyo and book your stay in our house here: #AIRBNB :  #familytravel #travel #japan RT @grapejapan: Eshi-100 Exhibition of 100 Leading Anime and Manga Illustrators in Akihabara  #Eshi #JapaneseIllustrators #JapanEshiWorld #Akihabara #絵師100人展 #絵師 #アキバスクエア</t>
  </si>
  <si>
    <t>S Dikankatla</t>
  </si>
  <si>
    <t>Not all heroes wear capes. #Superhost!  #AirBnB @Airbnb</t>
  </si>
  <si>
    <t>Affordable overnight accommodation in Maboneng Precinct, Johannesburg. http://abnb.me/EVmg/U9edWxZTtD</t>
  </si>
  <si>
    <t>Eddie Du</t>
  </si>
  <si>
    <t>» #Airbnb Reverses Plan To Remove Israeli Settlement Listings : NPR</t>
  </si>
  <si>
    <t>Shanghai, China</t>
  </si>
  <si>
    <t>News Junkie; 地命海心; 理中客 (不吹不黑); China's diplomacy; History; Empires and Peoples; Ideology, Religion and Politics; Tech, Gadgets; Memes and viral stuff.</t>
  </si>
  <si>
    <t>Villa ARCANDA</t>
  </si>
  <si>
    <t>#airbnbitaly #airbnb #casadicampagna #casavacanze #vacanze #vacanza #holidayhouse #house #holiday #holidaygardens #relax #Sardegna #house #houseandgarden @ Sardinia</t>
  </si>
  <si>
    <t>Tissi, Sardegna</t>
  </si>
  <si>
    <t>Situata nella Sardegna del nord ovest, è l'oasi del Coros, per le tue vacanze e i tuoi weekend</t>
  </si>
  <si>
    <t>Luis Lopez Realtor</t>
  </si>
  <si>
    <t>FLIP #3 lakeworth #GraciasDios #amomitrabajo #luislopezrealtor #lologramos #inversionistas #flippinghouses #forsale #airbnb #reinvesthomes #JD&amp;LLinvestments @ Lake Worth, Florida</t>
  </si>
  <si>
    <t>west palm beach</t>
  </si>
  <si>
    <t>Work at Century 21 tenace Realty, call me for all your real Estate needs 561-729-7145</t>
  </si>
  <si>
    <t>PUDGi</t>
  </si>
  <si>
    <t>After working tirelessly for a few years the team at PUDGi lead by @loveykatz is now certified @Airbnb SuperHost. It is not easy getting here as we need to maintain at least 4.8 over 5 rating every quarter. #airbnb #homestay #kampunglife #hospitality #resortlife</t>
  </si>
  <si>
    <t>Sepang, Selangor</t>
  </si>
  <si>
    <t>A secret cafe, an event venue esp. for wedding and a writing/reading nook in Kg. Giching, just off KLIA</t>
  </si>
  <si>
    <t>Today we have a furnishing tip for you during this cooler time of the year. Use a throw to keep warm while keeping the space stylish.😉🍁 📷: Spacious 3-bedroom home in Cammeray #Sydney,  #madecomfy #interiordesign #airbnb #australia #melbourne #brisbane</t>
  </si>
  <si>
    <t>K P 🔬🎞</t>
  </si>
  <si>
    <t>Whoa, #Airbnb, what kind of hosts, what new #airbnbhell is this. Old, decrepit washer, that host knew was on its last legs, dies while I'm using it and she claims roommate who just moved out broke it. WTF</t>
  </si>
  <si>
    <t>RT? Made me think. Microscopy 🔬, Geology 🌵, Fine Arts 🎨📷, US Constitution 🇺🇸. she/her</t>
  </si>
  <si>
    <t>Like him he's very serious about his purpose in life #comfortcottagehealing #visitwales #dogfriendly #TheDogsWithMe #alpacas #ArtsWales #SunDogs #Airbnb #yell RT @ruthwignall: Something so chirpy about this! #wildlife #wildlifephotography xx</t>
  </si>
  <si>
    <t>The Cottage at BonTerra Farmhttps://www.airbnb.jp/rooms/1032008  via Twitter Web Client #airbnb</t>
  </si>
  <si>
    <t>In Boston, with Airbnb, HomeAway etc. supposed to take down illegal hotels listings, but not doing this, again its the public being deceived #Airbnb #illegalhotel #unlicencedhotel #str #boston #homeaway #vrbo #OTA's</t>
  </si>
  <si>
    <t>Felix Luigino</t>
  </si>
  <si>
    <t>Interactive #Airbnb Theme Room “Bushwick in Manhattan”  #BushwickInManhattan #Harlem #Manhattan #PrivateRoom</t>
  </si>
  <si>
    <t>IT, 🤓 System Builder, 💻 Tech-Founder, Real 🏡 Estate Investor &amp; Music 🎶 Producer</t>
  </si>
  <si>
    <t>Our #AirBNB is fully #accessible and super #disability friendly. We're accommodating to any special needs you may have. Take a break in the beautiful country town of #Bowral!</t>
  </si>
  <si>
    <t>Large 5Star #Florida #vacationhome with prival pool on #Airbnb Tropical #TommyBahama style - #VRBO April 10, 2019 at 10:00PM</t>
  </si>
  <si>
    <t>BankwestCurtinEC</t>
  </si>
  <si>
    <t>“What happens when your boss is an algorithm?” @MingmingCurtin shares his research into how @airbnb hosts feel about being managed by algorithms #futureofwork #airbnb #WAtourism #gigeconomy @Curtin_FOWI</t>
  </si>
  <si>
    <t>Perth, Australia</t>
  </si>
  <si>
    <t>Bankwest Curtin Economics Centre is an independent economic and social research centre intent on providing the evidence base needed for good public policy.</t>
  </si>
  <si>
    <t>Very dramatic #comfortcottagehealing #visitwales #dogfriendly #TheDogsWithMe #alpacas #ArtsWales #SunDogs #Airbnb #yell RT @ruthwignall: What a fabulous end to the day... #sunset #weather</t>
  </si>
  <si>
    <t>𝗤𝗨𝗜𝗖𝗞 𝗧𝗜𝗣 for #vacationrental owners: install emergency lighting on your property 🔦 #Airbnb #HomeAway #VRBO</t>
  </si>
  <si>
    <t>#Airbnb in #Ottawa and everywhere - Bad for the #environment, in all senses of the word. RT @kellyfritsch1: I live next to one of Genevieve's 76 ghost hotels in centretown. First thing I noticed was the ecological impact: unlike my previous neighbours, the ghosts did not compost or recycle, and began producing 6 bags of garbage a week @cmckenney @Fairbnbcanada</t>
  </si>
  <si>
    <t>Don’t book your Airbnb without using this $55 referral coupon code! Click the link down below for your first $55 Airbnb discount now! Please DM me if you have any issues. #airbnb #airbnbcode #airbnbdiscount #airbnbpromo #airbnbfree</t>
  </si>
  <si>
    <t>Today we received Superhost status on @airbnb ! We have enjoyed all of our past guests and look forward to what the future brings! #deerhideoutretreat #airbnb #superhost #superhostairbnb #superhoststatus #checkusout #followus #wewelcomeyou #thankyouallguests❤️</t>
  </si>
  <si>
    <t>Stay in the most iconic museum in the world -- the Louvre. And have drinks with Mona Lisa. You have until Friday to enter!  #airbnb</t>
  </si>
  <si>
    <t>Olaf Foss</t>
  </si>
  <si>
    <t>#Airbnb is "directly contributing to the maintenance and expansion of illegal settlements, a breach of the Geneva Conventions and a war crime under Rome Statute of the International Criminal Court"  via @commondreams</t>
  </si>
  <si>
    <t>Oslo</t>
  </si>
  <si>
    <t>Old man, sociologist, reader, dedicated introvert</t>
  </si>
  <si>
    <t>Hong Kong Travel Tips: A few very terrible #hostels in #HK will speculate the price of beds when the demand is very high (especially after all good hostels were booked) #Scam #WanChai #booking #agoda #airbnb #DiscoverHongKong #vacation #guesthouse #solotravel #backpacker #holiday</t>
  </si>
  <si>
    <t>Melissa Erial</t>
  </si>
  <si>
    <t>Sign up to host on #Airbnb and use the extra income to fund your passions. #airbnbhost Here’s my invitation link:  Best, Melissa</t>
  </si>
  <si>
    <t>Fort Lauderdale, FL</t>
  </si>
  <si>
    <t>💕I help women with hair growth strategies and protective hairstyling updos for special occasions. Click ⬇️ to grab my FREE Hair Growth Cheat Sheet!💕</t>
  </si>
  <si>
    <t>Manoela Wunder</t>
  </si>
  <si>
    <t>Floor 2 finished just in time!!! #flooring #house #homedecor #homesweethome #airbnb #airbnbhost #airbnbexperience #superhost #superhostairbnb #superhosts @ Gardena, California</t>
  </si>
  <si>
    <t>Violinist/multi-instrumentalist, actress, composer, linguist, foodie, amateur photographer</t>
  </si>
  <si>
    <t>Navaid Iqbal Syed</t>
  </si>
  <si>
    <t>ExcitingAds! New #Airbnb Reverses Policy Banning Listings in Israeli Settlements in West…</t>
  </si>
  <si>
    <t>Woodbridge, VA USA</t>
  </si>
  <si>
    <t>Bring better things to your life!</t>
  </si>
  <si>
    <t>"BALI" LUXURY VILLA SEMINYAK / PETITENGET Sleeps 6 Airbnb link:  To contact me direct email: swpromotions2015@gmail.com #seminyak #petitenget #bali #beach #relax #airbnb #villamadhya #villarental #villa #holidayrental #baliholiday #balilife #holiday</t>
  </si>
  <si>
    <t>💲55 AIRBNB COUPON CODE 💸✈️💸 Here’s your chance for a free credit coupon discount and codes to travel for FREE. Click the link NOW. Please DM me if you have any issues. #airbnb #airbnbcode #airbnbdiscount #airbnbpromo #airbnbfree</t>
  </si>
  <si>
    <t>Alejandro Galindo</t>
  </si>
  <si>
    <t>This is my first blog-post using data-based knowledge to answer questions. Hope you enjoy! #visualization #DataAnalytics #DataScience #airbnb</t>
  </si>
  <si>
    <t>Oaxaca de Juárez, Oaxaca</t>
  </si>
  <si>
    <t>Economist | Passionate for innovation, data science and AI</t>
  </si>
  <si>
    <t>A refreshing getaway that lies right there on your doorstep.  #Invest #CapitalGrowth #Sydney #Ryde #airbnb #PropertyPortfolio #Apartment #CityLiving #WealthCreation #PropertyInvesting #CBDlife #CBD #Luxury</t>
  </si>
  <si>
    <t>#tonight #sunset #casadelosviajeros #puertomorelos #beautiful Link in bio #mexico #youshouldbehere #casadelosviajeros #vacationrental #airbnb #vrbo #homeaway #doyoutravel #travelandlife #traveldeeper #travel #travelphotography #travelblogger #vacationmode #vacation #suitc…</t>
  </si>
  <si>
    <t>Noah Gingell</t>
  </si>
  <si>
    <t>Check out this awesome Apartment on Airbnb: South Howard Modern Gem (SoHo Hyde Park) Brand New, #TampaBayLightning #tampa #TampaBay #NHLPlayoffs #airbnb</t>
  </si>
  <si>
    <t>Tampa, Fl</t>
  </si>
  <si>
    <t>Porsche, Tech, Wrestling, G-IH-N-j-uh-Channels @Nutanix</t>
  </si>
  <si>
    <t>Cat McDonald</t>
  </si>
  <si>
    <t>Not all heroes wear capes. #Superhost! #Airbnb #stay #holiday</t>
  </si>
  <si>
    <t>Queensland</t>
  </si>
  <si>
    <t>Networking, and bush walking are very tempting, so are education, genealogy and of course, realestate.</t>
  </si>
  <si>
    <t>StAugToDo</t>
  </si>
  <si>
    <t>A beach day is always a good day in St. Augustine! #repost yellowhybiscushouse So many beautiful beaches to choose from when you visit St. Augustine. First world problems! . . . . . #airbnb #staug #staugustine #staugairbnb #sta #florida #visitstaug …</t>
  </si>
  <si>
    <t>St Augustine, FL</t>
  </si>
  <si>
    <t>Managed page Digital Revenue Influx 💸Income &amp; 🚴Wellness Automation👌healthy lifestyle 💪physically, 💰financially, ⚖️spiritually, socially⚙️Must👇Click👇Link.</t>
  </si>
  <si>
    <t>FREE AIRBNB DISCOUNT CODE 💸💵💸. Here’s your chance for a free credit coupon and codes to travel for FREE. Click the link NOW. Please DM me if you have any issues. #airbnb #airbnbcode #airbnbdiscount #airbnbpromo #airbnbfree</t>
  </si>
  <si>
    <t>VisitStAugustine</t>
  </si>
  <si>
    <t>A beach day is always a good day in St. Augustine! #repost @yellowhybiscushouse So many beautiful beaches to choose from when you visit St. Augustine. First world problems! . . . . . #airbnb #staug #staugustine #staugairbnb #sta #florida #visitstaug #vi…</t>
  </si>
  <si>
    <t>St. Augustine, Florida</t>
  </si>
  <si>
    <t>St. Augustine's most complete resource: Including ALL area Events, Restaurants, Attractions, Hotels and more.</t>
  </si>
  <si>
    <t>#tonight #sunset #casadelosviajeros #puertomorelos #beautiful Link in bio #mexico #youshouldbehere #casadelosviajeros #vacationrental #airbnb #vrbo #homeaway #doyoutravel #travelandlife #traveldeeper #travel #travelphotography #travelblogger #vacation…</t>
  </si>
  <si>
    <t>Jon R. Roberts</t>
  </si>
  <si>
    <t>#CityPark #Tudor Zoned for #Duplex two units, #AirBnB #ShortTermRental Over 2,000 SF, New built 1/2 duplexes sell for close to $1M</t>
  </si>
  <si>
    <t>DenverHomeDeal scours the market every day seeking value in the Denver Home Market. Call or email today to let us find you your DenverHomeDeal!</t>
  </si>
  <si>
    <t>Michael Letwin</t>
  </si>
  <si>
    <t>#BoycottAirbnb Jonathan Ofir: If #Airbnb was not a major target for popular #boycott, this chain of events now places it front and center as such. No charity actions will whitewash this crime.</t>
  </si>
  <si>
    <t>Public Defender | Fmr. Pres., Assn. of Legal Aid Attys/UAW 2325 | Co-founder, Labor4Palestine and Jews4Palestinian Rt. of Return | #BDS #BLM #M4BL #NoDAPL</t>
  </si>
  <si>
    <t>USACBI</t>
  </si>
  <si>
    <t>Palestine</t>
  </si>
  <si>
    <t>Campaign for the Academic and Cultural Boycott of Israel - Free Palestine!</t>
  </si>
  <si>
    <t>Yasser Said</t>
  </si>
  <si>
    <t>#airbnb listing properties in illegal Israeli settlements. Cowardly decision and I'm done with you. Shutting down my account today.</t>
  </si>
  <si>
    <t>Let's change the world.</t>
  </si>
  <si>
    <t>ЦПIFY</t>
  </si>
  <si>
    <t>No #Airbnb for me! I will not contribute to any company that operates in illegal Israeli settlements because I support human rights... including for the oppressed and occupied Palestinians. Support #BDS and boycott #Israel and @Airbnb. #cdnpoli</t>
  </si>
  <si>
    <t>B.C. Canada</t>
  </si>
  <si>
    <t>Defender of peace, the planet, the underdog and the last slice of strawberry shortcake! Free Cetaceans 🐬 Anti-War ☮ Free Palestine 🇸🇩 Clean Energy 🌎</t>
  </si>
  <si>
    <t>Lannock Strata Finance</t>
  </si>
  <si>
    <t>After looking at some of the best strata laws across Australia, here are some of the worst. #strata #legislation #airbnb #bodycorporate #ownerscorporation #stratacompany</t>
  </si>
  <si>
    <t>A fresh approach to funding for body corporates. We help owners protect and improve their #strata properties with efficient finance. #stratafinance #strataloans</t>
  </si>
  <si>
    <t>urbaneer</t>
  </si>
  <si>
    <t>#Airbnb Regulations And #TorontoRealEstate - @Urbaneer -  #Toronto #CanadianRealEstate</t>
  </si>
  <si>
    <t>Toronto Ontario Canada</t>
  </si>
  <si>
    <t>Engaging Dashing Clever Wordsmith Who Promotes Unique Character Urban Housing In Toronto. Steven Fudge, Sales Representative Bosley Real Estate Ltd. Brokerage</t>
  </si>
  <si>
    <t>#Airbnb ghost hotels keep homes from #Ottawa rental market | @CBCNews  #CanadianRealEstate</t>
  </si>
  <si>
    <t>Our common areas are the ideal place to rest and relax.  ☎ 2682 5201 📧 livinghotelnosara@gmail.com #Nosara #Guanacaste #CostaRica #Beach #Surf #Vacations #Retreat #Yoga #Hotel #Tourism #LivingHotelNosara #Airbnb #Booking #Expedia</t>
  </si>
  <si>
    <t>Left Travel</t>
  </si>
  <si>
    <t>.@Airbnb has expanded their medical stays program through partnerships with the @BoneMarrowFdn in New York and the @CancerSupportHQ in Washington to reach more patients. @AirbnbCitizen #Airbnb #MedicalStays</t>
  </si>
  <si>
    <t>Maple Ridge, British Columbia</t>
  </si>
  <si>
    <t>Established in 2012, Left Travel is an industry leading metasearch travel company.</t>
  </si>
  <si>
    <t>SWest Channelview</t>
  </si>
  <si>
    <t>Need advice about becoming an Airbnb host? #HereForYou #General #Business #USA #Jobs #Airbnb #Host</t>
  </si>
  <si>
    <t>Houston, Tx</t>
  </si>
  <si>
    <t>Storage West Self Storage</t>
  </si>
  <si>
    <t>Don’t do hotels. Have freedom with an Airbnb! Sign up with the coupon link below to receive a $55 💸✈️ discount code with your first Airbnb. Please DM me if you have any issues. #airbnb #airbnbcode #airbnbdiscount #airbnbpromo #airbnbfree</t>
  </si>
  <si>
    <t>CupcakesWithBenefits</t>
  </si>
  <si>
    <t>There could be new regulations in Cincinnati on short term rentals like #airbnb  #Enquirer #Cincinnnati</t>
  </si>
  <si>
    <t>Cincinnati, OH</t>
  </si>
  <si>
    <t>Cupcakes With Benefits is a new start up business that will be specializing in Gluten free custom cupcakes</t>
  </si>
  <si>
    <t>HomeGrown HideAways</t>
  </si>
  <si>
    <t>It's Tipi Season!! This year, we're opening it up with a new floor and a new door from nomadicstipimakers!  #Camping #Glamping #Tipi #Airbnb…</t>
  </si>
  <si>
    <t>Berea, KY</t>
  </si>
  <si>
    <t>Farm - Campground - Events - Airbnb</t>
  </si>
  <si>
    <t>Sky Blacke</t>
  </si>
  <si>
    <t>Had to say goodbye to our Air bnb in Brooklyn #airbnb #Brooklyn @ Gravesend, Brooklyn</t>
  </si>
  <si>
    <t>Sky Blacke CEO of Off Top Records. Pro Wrestler and radio host of D-Bling Radio 88.3 FM where music is the motive http://www.wmts.org</t>
  </si>
  <si>
    <t>BB</t>
  </si>
  <si>
    <t>#Airbnb reverses decision to remove Israeli West Bank homes from website. Good to see #BDS is not succeeding.</t>
  </si>
  <si>
    <t>Proud centrist and Zionist.</t>
  </si>
  <si>
    <t>Maintain your #unique #style the #PLATINUM #MCO #VISA Card 🚀 With #netflix #expedia #airbnb #spotify benefits, #loungekey &amp; #cashback 💰 Download the app, Use my referral link  with my referral code: KOT8ML28MF &amp;amp; receive an $80 bonus</t>
  </si>
  <si>
    <t>The ideal backdrop with a magnificent desert scape. 🏡 By Carla Lindsay Visit Us ➡  ⬅ to learn how to profit from investment properties that you don't even need to own. #airbnb #vacationrental #luxurylisting</t>
  </si>
  <si>
    <t>Have drinks with Mona Lisa and dinner with Venus...and sleep under that iconic Pyramid. Yes, you can. But you only have until Friday to enter.  #airbnb</t>
  </si>
  <si>
    <t>Brian Manning</t>
  </si>
  <si>
    <t>Refinance your primary residence and apply your rental income toward qualification requirements! Give us a call to find out more! #airbnb #househacking #passiveincome #investmentstrategy</t>
  </si>
  <si>
    <t>Boulder, Colorado</t>
  </si>
  <si>
    <t>Mortgage Loan Originator NMLS #324952</t>
  </si>
  <si>
    <t>Please ''RETWEET'' ! #PierrefondsDollard @PPC2019 #BernierNation #canpoli #polcan #polqc #UNexit #GlobalCompactForMigration #UNHCR #OpenSociety #Airbnb #CenturyInitiative #MayorsMigrationCouncil #TrudeauMustGo RT @MaximeBernier: Of course, the Liberals will not withdraw Canada from the UN’s Global Compact for Migrations. A @peoplespca government will. Évidemment, les libéraux ne vont pas retirer le Canada du Pacte mondial pour les migrations de l’ONU. Un gouvernement du @ppopulaireca va le faire.</t>
  </si>
  <si>
    <t>Citizens4STR</t>
  </si>
  <si>
    <t>Closing arguments finished. #tobecontinued #shorttermrentals #airbnb #propertyrights</t>
  </si>
  <si>
    <t>Fairfax, VA</t>
  </si>
  <si>
    <t>Concerned citizens of Virginia that are fighting to protect our rights &amp; are growing state wide to support home sharing, STR's &amp; property rights.</t>
  </si>
  <si>
    <t>OMG Judge just asked if it was the county’s position of zero tolerance on STR’s! #basicallyyes #shorttermrentals There goes 6.6 million in host revenue. #airbnb</t>
  </si>
  <si>
    <t>No commercial uses found. #airbnb #residentialuse #SupremeCourt #reverseBZAfinding #Dietrich doesn’t apply</t>
  </si>
  <si>
    <t>Break. Closing arguments are next. #shorttermrentals #airbnb #trial #propertyrights #localgovernmentgoneawry</t>
  </si>
  <si>
    <t>Another #objection to witness testimony! #nothearsay #objectionoverruled #courtroomdrama #airbnb</t>
  </si>
  <si>
    <t>FREE AIRBNB 💲55 💵 COUPON CODE ⚠️. Here’s your chance for a free credit coupon and codes to travel for FREE. Click the link NOW. #airbnb #airbnbcode #airbnbdiscount #airbnbpromo #airbnbfree #WednesdayWisdom</t>
  </si>
  <si>
    <t>Surprise! #countyobjects to much of the witness testimony. #objectionsustained #airbnb #trial #propertyrights #governmentremovesrights</t>
  </si>
  <si>
    <t>Julia Dent</t>
  </si>
  <si>
    <t>All the pros and cons of staying in an #Airbnb!  #travel #traveltips #travelbloggers #tbloggers @BBlogRT #bloggerstribe</t>
  </si>
  <si>
    <t>Travel photography blogger | Founder of Julia Renee Consulting LLC | Siberian Husky mom | Viking nerd | Spicy food lover #travelphotography</t>
  </si>
  <si>
    <t>Second witness! #countyobjects #shorttermrentals #airbnb #localgovernment #badpolicies</t>
  </si>
  <si>
    <t>Witness testifies that they believe that homes are safer when occupied and better maintained. #airbnb #homestay #sharingeconomy #fightforpropertyrights</t>
  </si>
  <si>
    <t>It may be really crazy out there, but you just might have what you need to dive into becoming a great Airbnb host #HereForYou #General #Business #USA #Jobs #Airbnb #Host</t>
  </si>
  <si>
    <t>That’s ridiculous, Supreme Court is very clear that the courts DO NOT defer to ZA. #shorttermrentals #ridiculous #airbnb</t>
  </si>
  <si>
    <t>Opening remarks by Fairfax County said court should defer to Zoning Administrator. #notbloodylikely #shorttermrentals #airbnb #grassrootsadvocacy</t>
  </si>
  <si>
    <t>What's keeping you from becoming an Airbnb host? #HereForYou #General #Business #USA #Jobs #Airbnb #Host</t>
  </si>
  <si>
    <t>How to summarize the days proceedings in court? #highlight #justthefacts #ShortTermRentals #airbnb #VRBO</t>
  </si>
  <si>
    <t>I got busted trying to tweet from the courtroom, so no live play by play. Get ready. #str #airbnb #propertyrights #ShortTermRentals #playbyplay</t>
  </si>
  <si>
    <t>Settlers get out of Hebron</t>
  </si>
  <si>
    <t>Where I the calls to boycott Airbnb?? The full force of #BDS should be applied to @Airbnb, they were given a chance to right the wrong but they have caved into the demands of #Israeli settlers. Perhaps they are fully prepared 4 the West Bank annexation. #Airbnb #Israel #Palestine</t>
  </si>
  <si>
    <t>Izrael</t>
  </si>
  <si>
    <t>tired</t>
  </si>
  <si>
    <t>So this week marks the first time I have seen a wild Turkey on the property... Saturday I was able to briefly observe one, then today, I was able to get some photos. #bedandbreakfast #airbnb #bnb #hobbyfarm #pacificnorthwest #coastrange #oregon #fauna #spring #wildlifephotography</t>
  </si>
  <si>
    <t>Desert Cabin fresh on the market near #joshuatreenationalpark #dji #drone #realestate #airbnb @ Twentynine Palms, California</t>
  </si>
  <si>
    <t>Michael Carter🌹</t>
  </si>
  <si>
    <t>#airbnb is participating in the gentrification and displacement of our communities! We need to stop letting industries or companies write bespoke laws. RT @LizKrueger: This latest version of #Airbnb's custom-made legislation still blows up our existing housing laws while failing to address the ways short-term rentals threaten the affordability and livability of NYC communities. Yet another bad-faith end-run attempt.</t>
  </si>
  <si>
    <t>Political Mike of All Trades. Comms Director for @JuliaCarmel__ ,formerly Deputy CM with @AOC, also formerly with @CynthiaNixon and @bernie2016.</t>
  </si>
  <si>
    <t>Chef Antonio</t>
  </si>
  <si>
    <t>#Traveling soon? Plain old hotels are an expensive bore. Sign up for #Airbnb instead and get $40 off your first adventure using this invitation link:</t>
  </si>
  <si>
    <t>♎️Br@@klynite living in #Cali as an avid #foodie, #news, #music junkie, and a #gadget tinkerer. Informed #humans are immensely #powerful.👊🏼 Food for thought.</t>
  </si>
  <si>
    <t>First Time Airbnb $55 coupon promo referral code :) Get your discount credit on your first trip Click the link NOW ❤️💵🗺—-&gt;✈️ #airbnb #airbnbcode #airbnbdiscount #vacation #trips #travel #getaway</t>
  </si>
  <si>
    <t>This latest version of #Airbnb's custom-made legislation still blows up our existing housing laws while failing to address the ways short-term rentals threaten the affordability and livability of NYC communities. Yet another bad-faith end-run attempt.</t>
  </si>
  <si>
    <t>SW Rhodes Ranch</t>
  </si>
  <si>
    <t>The whole truth of being a kind Airbnb host. See if it is the right thing for your life #HereForYou #General #Business #USA #Jobs #Airbnb #Host</t>
  </si>
  <si>
    <t>Las Vegas, NV 89113</t>
  </si>
  <si>
    <t>Storage West Self Storage Las Vegas, NV. Excellent self storage rentals available at Rhodes Ranch. Come store with us! Hours: 9am-6pm. Closed on major holidays.</t>
  </si>
  <si>
    <t>Becoming an Airbnb host? #HereForYou #General #Business #USA #Jobs #Airbnb #Host</t>
  </si>
  <si>
    <t>The Gedster</t>
  </si>
  <si>
    <t>😲 This is a bit worrying! #airbnb</t>
  </si>
  <si>
    <t>London 🇬🇧 is my home. Japan 🇯🇵 is my love. LGBTQ 🏳️‍🌈 is my tribe. Keto 🥗 lifestyle follower. Binge watcher of Japanese, Chinese and Korean TV dramas. 📺</t>
  </si>
  <si>
    <t>The Bender-Carey Group</t>
  </si>
  <si>
    <t>Something interesting is happening. Who’s next? #uber #Facebook #alibaba #Airbnb</t>
  </si>
  <si>
    <t>Business Advisory for the Premiere Business Owner. Helping you find your way through the stages of growth &amp; expansion that lead to success.</t>
  </si>
  <si>
    <t>Quiz for #airbnb and #booking hosts. What path do You want for your business?</t>
  </si>
  <si>
    <t>SayF8945</t>
  </si>
  <si>
    <t xml:space="preserve"> Canada</t>
  </si>
  <si>
    <t>Palestinian Canadian. I live in Canada. My heart lives in Palestine.</t>
  </si>
  <si>
    <t>Elkhorn Inn - Elisse</t>
  </si>
  <si>
    <t>YAY: #Airbnb Reverses Decision to Blacklist Jewish Properties in Judea and Samaria</t>
  </si>
  <si>
    <t>Landgraff, WV USA</t>
  </si>
  <si>
    <t>Elkhorn Inn &amp; Theatre: Historic Coal Heritage Trail B&amp;B featured on HGTV #railfans #ATV #foodie #fishing</t>
  </si>
  <si>
    <t>💲55 💚❤️💙💜🧡💵🔥💲⚠️🗺 Airbnb code coupon promo discount first. $55 OFF CLICK LINK NOW! Try it. Please DM me if you have any issues. #airbnb #airbnbcode #airbnbdiscount #airbnbpromo #airbnbcoupon</t>
  </si>
  <si>
    <t>Deutsch in Basel</t>
  </si>
  <si>
    <t>My #AirBnB hosts are asking if I’ll prefer white or red as a welcome drink. I almost wet my pants.</t>
  </si>
  <si>
    <t>Basel, duh</t>
  </si>
  <si>
    <t>Village Dragon</t>
  </si>
  <si>
    <t>Guests with #goals: #villagedragon #dragonsuite #airbnb #hillsborovillage #Nashville #musiccity #Travel #eatlocal @thedonutanddog #nashvillegulch @sambucanashville @lajacksonbar @pinewoodnashville @olerednashville @the_2nd_fiddle #12south @hopdoddy @belcourttaps</t>
  </si>
  <si>
    <t>Aidan Hoyal, Owner 🐲 Private Hillsboro Village-West End Suite 🐲 Photography http://tinyurl.com/dragonsuite</t>
  </si>
  <si>
    <t>Catherine K DeGeer</t>
  </si>
  <si>
    <t>Who wants to sleep with Mona Lisa and have dinner with Venus? You have until Friday!  #Airbnb</t>
  </si>
  <si>
    <t>Media thingy founder. Lover of the free press. Tweets mine.</t>
  </si>
  <si>
    <t>Happy customers in Rio. Airbnb Experience. #airbnb #riodejaneiro #airbnbexperience</t>
  </si>
  <si>
    <t>IM Sirius 🇺🇸</t>
  </si>
  <si>
    <t>#Airbnb will cancel its ban on #WestBank settlement listings  #Israel #BDS #Samaria #Judea</t>
  </si>
  <si>
    <t>Iconoclast, misanthrope, and all around nice guy. #Independent right-leaning #centrist. #Truth #Liberty #MAGA</t>
  </si>
  <si>
    <t>#Palestine | After settling four lawsuits, #Airbnb has decided to keep the listings in the occupied Palestinian territory and donate earnings from those listings to charity. #Israel #WestBank</t>
  </si>
  <si>
    <t>WANT YOUR FREE AIRBNB. Here’s your chance for a free credit coupon and codes to travel for FREE. Click the link NOW. Please DM me if you have any issues. #airbnb #airbnbcode #airbnbdiscount #airbnbpromo #airbnbfree</t>
  </si>
  <si>
    <t>teleSUR English</t>
  </si>
  <si>
    <t>Quito, Ecuador</t>
  </si>
  <si>
    <t>teleSUR English provides the best coverage of Latin America and an alternative perspective on global events. https://www.telesurenglish.net</t>
  </si>
  <si>
    <t>Once again you capture all that Tenby is #comfortcottagehealing #VisitWales #Dogfriendly #TheDogsWithMe #alpacas #ArtsWales #SunDogs #Airbnb #yell RT @GDPTenby: from an old casement window nearby i hear joni singing coyote from the last waltz, beautifully *Quay Hill Tenby @ItsYourWales @TenbyOfficial @ruthwignall @ThePhotoHour @StormHour @visitwales @kelseyredmore @Culture_Wales @JoniMitchellcom @r0bbier0berts0n</t>
  </si>
  <si>
    <t>SWest Baseline</t>
  </si>
  <si>
    <t>Ever wonder what it takes to become an Airbnb host? #HereForYou #General #Business #USA #Jobs #Airbnb #Host</t>
  </si>
  <si>
    <t>Tempe, AZ</t>
  </si>
  <si>
    <t>Storage West Self Storage Tempe, AZ. Excellent storage in Tempe. Come store with us! Hours: Mon-Fri, 9am-6pm. Sat, 9am-5pm. Sun, 9am-5pm. We're #HereForYou!</t>
  </si>
  <si>
    <t>Learn more about at  #airbnb #travel #vacation #airbnbhost #booking #holiday #airbnbexperience #nature #interiordesign #bedandbreakfast #vacationrental #homeaway #airbnbsuperhost #wanderlust #superhost #tripadvisor #travelgram #realestate #unitedstates</t>
  </si>
  <si>
    <t>Do you want a unique stay in Taunton? Read this post 🍂🔥🐴🍃🌳  #BlogPost #Taunton #Somerset #UKtravel #airbnb #alternativestay #Accommodation #southwestengland #visitengland #exploreUK #welshblogger #travelblogger #somersetstay #uniquestay</t>
  </si>
  <si>
    <t>Landwehrkanaltaucher*inin</t>
  </si>
  <si>
    <t>Driving force of #gentrification all the time ,now #Airbnb gives two good reasons to boycott RT @PalestineToday: Yesterday, @Airbnb reversed its policy banning listings in illegal Israeli Settlements in the occupied West Bank. They have proven that they accept profiting off stolen land.</t>
  </si>
  <si>
    <t>berlin</t>
  </si>
  <si>
    <t>beer grows just naturally near the german government of §$§$--- my heart is a bookmark --isms are empty shells of fugitive ideas</t>
  </si>
  <si>
    <t>Are you headed to the #OBX for the ESA Mid-Atlantic Regional Surfing Championship? Check out #Airbnb for a place to stay while you're there!</t>
  </si>
  <si>
    <t>Caroline Solomons</t>
  </si>
  <si>
    <t>Not just any guest beverage cupboard... Gotta love #woolworths 🍵😊#sa #airbnb #excellence @ Somerset West, Western Cape</t>
  </si>
  <si>
    <t>Lover of Jesus, Africa, Zumba, Children &amp; Pugs...</t>
  </si>
  <si>
    <t>Lance Dyer</t>
  </si>
  <si>
    <t>Disgraceful! @Airbnb resumes listing illegal West Bank properties, in 'outrageous' policy reversal. #airbnb</t>
  </si>
  <si>
    <t>Truro, Cornwall</t>
  </si>
  <si>
    <t>Member of Mebyon Kernow, The Party for Cornwall. Interested in politics and Cornwall. Ex Ticket Manager, Hall for Cornwall (RT does not mean I agree)</t>
  </si>
  <si>
    <t>It may be a little unusual, but you just might have what you need to dive into becoming a great Airbnb host #HereForYou #General #Business #USA #Jobs #Airbnb #Host</t>
  </si>
  <si>
    <t>The Lawfare Project</t>
  </si>
  <si>
    <t>Congratulations to @ShuratHaDin for a well earned victory against hate! #Airbnb</t>
  </si>
  <si>
    <t>The legal arm of the international #Jewish community; fighting #lawfare and providing pro bono representation to victims of #discrimination, and terrorism.</t>
  </si>
  <si>
    <t>Homey Hawaii</t>
  </si>
  <si>
    <t>Hawaii gets closer to forcing Airbnb to collect taxes on all rentals in Hawaii.  #airbnb #taxes #vacation #rentals</t>
  </si>
  <si>
    <t>#Hawaii #VacationRentals at best price. No added service fees. Accurate quotes &amp; calendars. Verified owners. @HomeyHawaii #HawaiiBlog</t>
  </si>
  <si>
    <t>Don’t do hotels. Have freedom with an Airbnb! Sign up with the coupon link below to receive a 💵💲55 discount code with your first Airbnb. Please DM me if you have any issues. #airbnb #airbnbcode #airbnbdiscount #airbnbpromo #airbnbfree</t>
  </si>
  <si>
    <t>Asharq Al-Awsat English</t>
  </si>
  <si>
    <t>#Airbnb Settles in Four Lawsuits on Blacklisting Jewish Homes in the #WestBank</t>
  </si>
  <si>
    <t>The English edition of Asharq Al-Awsat, the leading Arab international newspaper @aawsat_news</t>
  </si>
  <si>
    <t>#AirBnB seems to be reluctant to upload my review about bedbugs at a superhost in spite of giving photographic proof. @bchesky @AllAbout_Airbnb @Airbnb</t>
  </si>
  <si>
    <t>Shannon Ostby</t>
  </si>
  <si>
    <t>Ann Arbor, MI</t>
  </si>
  <si>
    <t>I'm a Michigan grad, Oncology specialist and fitness life coach for fun! Come follow me on http://FB.com/sostby0427</t>
  </si>
  <si>
    <t>Have you heard the latest in #vacationrental news? 😱 On @Google mobile #travelers can now search &amp; filter for vacation rental options! Click to learn more  @foodandwine #WednesdayWisdom #Airbnb #VRBO #TravelIndustry #Travel #BookDirect #TheMoreYouKnow</t>
  </si>
  <si>
    <t>Marc Debois</t>
  </si>
  <si>
    <t>Check if your Startup Idea is already taken? #infographic #uber #tinder #birchbox #airbnb #innovation ”</t>
  </si>
  <si>
    <t>European Belgian in Amsterdam</t>
  </si>
  <si>
    <t>#FamilyOffice / #FamCap / #Banker / #Strategy/ #ING/ #Visionary / #BankingRevolution</t>
  </si>
  <si>
    <t>AmarilloB&amp;B</t>
  </si>
  <si>
    <t>The best idea we had while renovating the house was to remove each dividing wall of the common areas. @amarilloBBcuba became a spacious loft where guests interact no matter which country they come from. #visitcuba #holidayincuba #traveltocuba #airbnb</t>
  </si>
  <si>
    <t>Amarillo B&amp;B, Santa Clara, Cuba. Soulful apartment keeps you in the heart of it all... vacational rental designed with so much love...</t>
  </si>
  <si>
    <t>Dirigo Post</t>
  </si>
  <si>
    <t>#Airbnb reverses ban on West Bank settlement listings #cojones or lack thereof</t>
  </si>
  <si>
    <t>Covering pro ISIS and Salafi material in Arab language media of “our allies”, like the Salafis of Saudi Arabia. Also covering moderate voices of Islamic world.</t>
  </si>
  <si>
    <t>Al-Monitor</t>
  </si>
  <si>
    <t>Trending on Al-Monitor: #Netanyahu poised for victory after results come in for #IsraelElections2019; #Airbnb reverses ban on listing West Bank settlements; US postpones #Libya conference amid violence in #Tripoli</t>
  </si>
  <si>
    <t>Follow @AlMonitor, “The Pulse of the Middle East,” for unique insight on the trends &amp; events shaping the region from the top journalists across the Middle East.</t>
  </si>
  <si>
    <t>A little bit of #rain , a little bit of #sun ! At least there is no #snow . 😁 . . #airbnb #looking #apartments #Zagreb #rental #travels #Host #Beautiful #RainyDay #travelgram #travelingram #Croatia #Serbia #Slovenia #uk #Canada #Deutschland #picoftheday #PictureOfTheDay</t>
  </si>
  <si>
    <t>Nicole Marquez</t>
  </si>
  <si>
    <t>Birthday stuffs, a dog reunited with it's human, last night's dinner, and today's breakfast. . #family #birthdays #NM #reunion #airbnb @ Sandia Park,…</t>
  </si>
  <si>
    <t>San Antonio, TX 78247</t>
  </si>
  <si>
    <t>Wife, mother, teacher, minister, singer, crocheter, &amp; music lover. #OC17 #Kidsmin 👻nmarquez817 @marquez817</t>
  </si>
  <si>
    <t>Don’t book your Airbnb without using this $55 💸🔥💸 referral coupon code! Click the link down below for your first $55 Airbnb discount now! Please DM me if you have any issues. #airbnb #airbnbcode #airbnbdiscount #airbnbpromo #WednesdayWisdom</t>
  </si>
  <si>
    <t>Paul Zak</t>
  </si>
  <si>
    <t>Deleting the #airbnb app was very simple. They aren't the only game in town. RT @theCCR: In backing down from its decision not to list properties in occupied Palestinian territory, Airbnb is in breach of its international human rights obligations, and is discriminating against Palestinians. MORE:  #StolenLand</t>
  </si>
  <si>
    <t>Artist of Kouroo</t>
  </si>
  <si>
    <t>Disappointed..so much for the #Corporation and #HumanRights. #Airbnb reverses ban on #WestBank settlement listings undet threat of legal action from hosts and guests.</t>
  </si>
  <si>
    <t>Dusseldorf , Germany</t>
  </si>
  <si>
    <t>A searcher, a planner, a trancendalist thinker. A technologist attempting to understand the influence of his skill and industry on the economic and meta-eco'mic</t>
  </si>
  <si>
    <t>It may be crazy out there, but you just might have what you need to dive into becoming a great Airbnb host #HereForYou #General #Business #USA #Jobs #Airbnb #Host</t>
  </si>
  <si>
    <t>Thorben Wieditz</t>
  </si>
  <si>
    <t>Looking forward to chat about .@Fairbnbcanada’s efforts to rein in tech giants like #Airbnb in #ottcity &amp; elsewhere. Home-sharing is fine, running ghost hotels that drain scarce housing supply, increase rents &amp;amp; tighten housing markets is not. #affordablehousing #onpoli #topoli RT @1310NEWS: The @rick_gibbons Show for Wednesday, April 10th: 1:07: @twieditz 1:17: @astroeducator 1:30: @shaw_sandy 1:45: @Randall_Denley 2:05: @DMennill 2:15: @davekorzinski 2:30: @Reeves_Alex1 2:45: @TransparentOtt 📻: 1310 💻:  📞: 613-750-1310</t>
  </si>
  <si>
    <t>researcher | urban geographer | @fairbnbcanada | @blocksidewalk</t>
  </si>
  <si>
    <t>Amir Tsarfati</t>
  </si>
  <si>
    <t>Airbnb announces it does not support BDS and will reverse prior decision on #Jewish West Bank home ban; #Airbnb: We will not move forward with implementing the removal of listings in the #WestBank from the platform.</t>
  </si>
  <si>
    <t xml:space="preserve">Israel </t>
  </si>
  <si>
    <t>Israeli Born Bible Teacher and Middle East Affairs Expert. Founder of Behold Israel ministry.</t>
  </si>
  <si>
    <t>A little bit of #rain , a little bit of #sun ! At least there is no #snow . 😁 . . #airbnb #looking #apartment #zagreb #sky #rental #rental #travels #trip #airbnbeurope #airbnbexperiences…</t>
  </si>
  <si>
    <t>Adele Amato Tamburo</t>
  </si>
  <si>
    <t>Point Pleasant Beach Approves Airbnb Tax. #PPB #Airbnb #RealEstate #Realtor #CitytoShoreLiving</t>
  </si>
  <si>
    <t>Making home ownership a reality one condo/home at a time! Weichert, Realtors</t>
  </si>
  <si>
    <t>Read this post to learn how to get your #shorttermrental 'guest ready'. @MadeComfyau #airbnb #vacationrentals</t>
  </si>
  <si>
    <t>Dots &amp; Lines🚀</t>
  </si>
  <si>
    <t>#Airbnb Reverses Decision to Boycott West Bank</t>
  </si>
  <si>
    <t>Marketing, public relations, communication &amp; events consulting. Our energetic, creative team helps B2B service providers grow their business.</t>
  </si>
  <si>
    <t>Enjoy a delicious glass of Miramonte's Sangria while relaxing in the beautiful courtyard. #temecula #airbnb #vacationrental #barefootvacationrentals #vrbo #wineries #wine #winetasting #travel #bookdirect #wedding #destination #winecountry #temeculavacationrentals #Miramonte</t>
  </si>
  <si>
    <t>Laurie Hanan</t>
  </si>
  <si>
    <t>Huge Win for #Israel as #Airbnb Cancels its #anti-Israel Policy - @IsraelVideos</t>
  </si>
  <si>
    <t>Hawaii</t>
  </si>
  <si>
    <t>Author of fun Hawaiian mysteries, mom to 3 kids, an overweight Westie and a bipolar cat. I love to follow and RT authors.</t>
  </si>
  <si>
    <t>Fully furnished properties available for both short or long term let. 👌 Follow our page to stay up to date with our listings! #servicedapartment #servicedaccommodation #airbnb #property #ukproperty #propertyinvestor #realestateinvestor #hotel #shortstay #longstay #staywithus</t>
  </si>
  <si>
    <t>$55 AIRBNB COUPON CODE ❤️💵✈️💵❤️ Here’s your chance for a free credit coupon discount and codes to travel for FREE. Click the link NOW. Please DM me if you have any issues. #airbnb #airbnbcode #airbnbdiscount #airbnbpromo #NationalSiblingsDay</t>
  </si>
  <si>
    <t>Julie Babyar</t>
  </si>
  <si>
    <t>In my wildest dreams, I could not love you more than I already do. (even during my perfectly framed #airbnb mattress experience) #citytocity</t>
  </si>
  <si>
    <t>More Than Words. *All views expressed are my own*</t>
  </si>
  <si>
    <t>Last night I finished up writing a piece for @FamilyFunCanada on our recent Joshua Tree adventures including these gems. @JoshuaTreeNPS #NoahPurifoy #Airbnb</t>
  </si>
  <si>
    <t>Intelius</t>
  </si>
  <si>
    <t>Whether you're searching on #Airbnb or #VRBO for your next vacation rental, check out a few tips you'll be happy to know before booking.</t>
  </si>
  <si>
    <t>Bellevue, WA</t>
  </si>
  <si>
    <t>Intelius is the leader in online people data, delivering comprehensive information about individuals, their histories and their connections to others.</t>
  </si>
  <si>
    <t>JC from Holland in Mexico</t>
  </si>
  <si>
    <t>Did you ever stayed in an Airbnb in Italy? #airbnb #Italy #review My review of my Italian Airbnb’s</t>
  </si>
  <si>
    <t>I started a new life at the age of 50 💃 Ik ben opnieuw begonnen na mijn 50ste 🎈 Tweets in English and Dutch #worldtraveller 🌏 #livingabroad 🌍 #expatlife</t>
  </si>
  <si>
    <t>Mak_Canada</t>
  </si>
  <si>
    <t>BBC News - #Airbnb reverses ban on West Bank settlement listings</t>
  </si>
  <si>
    <t>Former journalist, communicator, yogi, and news junkie, NOT a cat ;-) 🇨🇦</t>
  </si>
  <si>
    <t>Atulmaharaj</t>
  </si>
  <si>
    <t>Another most Read post on the blog - #Airbnb vs #oyo All you need to know about the services provided, cancellations and offers offered by both. Before embarking on a trip, do read this: #Travel #TravelBlogger</t>
  </si>
  <si>
    <t>Technology, Travel, Food and Lifestyle Blogger 🌐 Best Blogger Telangana - IBA2017 🏆 Influencer 💡 Collaborations ➡️ atul@socialmaharaj.com</t>
  </si>
  <si>
    <t>Beverly Steele</t>
  </si>
  <si>
    <t>Beautiful project completed by the Marvelous Ms. Mabel Olmo !!! Love it!! #CORT #Vacationrental #airbnb #designinspiration #proptech #cretech</t>
  </si>
  <si>
    <t>I am engaged in the evolution of CREtech and PROPtech and the companies that support them.</t>
  </si>
  <si>
    <t>Old Man Partridge</t>
  </si>
  <si>
    <t>Better file those IPOs quickly! Looks like mainstreet is catching on to the overvalued unicorn frauds! $LYFT $UBER #AirBNB $SPY $SPX $ES_F $NQ_F $DAX $DIA $DJIA $IWM $QQQ $MU $AAPL $TSLAQ $NVDA $TSLA $SHOP $AYX $TWLO $SPOT $DAX $FTSE $XLF $BA $AMZN $NFLX $MDB $TTD $XLE $UVXY $XLF</t>
  </si>
  <si>
    <t>Tweets probably reflect my biases and/or open positions. Often wrong. DM me to discuss all things trading. Selling nothing.</t>
  </si>
  <si>
    <t>Better Business Bureau</t>
  </si>
  <si>
    <t>If you are rebuilding your home🏘, due to the floods, and need a place to stay, checkout Airbnb: !👍 #NebraskaStrong #Flood2019 #ReBuildwithTrust #Airbnb</t>
  </si>
  <si>
    <t>Omaha, NE (Headquarters)</t>
  </si>
  <si>
    <t>BBB's mission is to being the leader in advancing marketplace trust. Before posting, please read our Submission Rules, http://bbb.org/h/jpgs.</t>
  </si>
  <si>
    <t>Scenes like this are around the corner. Come and book your stay with us. ****************************** #airbnbhost #airbnb #airbnbexperience #quietplace #niagara #burlingtonontario…</t>
  </si>
  <si>
    <t>Sibapriya Chaudhuri</t>
  </si>
  <si>
    <t>Visiting #Orlando. My #Airbnb doesn't have a #recyclebin. The State of #florida needs to implement stricter regulations for sorting garbage. #savetheplanet</t>
  </si>
  <si>
    <t>Calgary</t>
  </si>
  <si>
    <t>Protein biochemist and cancer researcher. Loves hiking and cooking. Opinions are my own.</t>
  </si>
  <si>
    <t>NoSee Me</t>
  </si>
  <si>
    <t>Airbnb’s Webcam Problems: Violations of Guest Privacy, State Law #webcam #safety #privacy #airbnb</t>
  </si>
  <si>
    <t>NoSee.Me helps protect your privacy and security by discovering and sharing information about how to secure the webcam on your phone, tablet, and computer.</t>
  </si>
  <si>
    <t>💲55 Airbnb code coupon promo discount first. 💲55 OFF CLICK LINK NOW! Try it. Please DM me if you have any issues. #airbnb #airbnbcode #airbnbdiscount #airbnbpromo #airbnbcoupon #NationalSiblingsDay #WednesdayWisdom #WednesdayMotivation</t>
  </si>
  <si>
    <t>The sun is shining &amp; the studio is waiting for you 😎 #comeandstay #placetostay #holidayinthehills #stmarysspace #studio #ukstudio #recordingstudioscotland #recordingstudio #musicstudio #amazingspaces #peaceful #creativeretreat #creativespaces #workshopvenue #airbnb #weddingvenue</t>
  </si>
  <si>
    <t>Renting out a Primary Residence on Airbnb in Las Vegas  #airbnb @airbnb</t>
  </si>
  <si>
    <t>Finishing up a project #havenkakumäe Again full of our #smarthome solutions and ready for #airbnb or #booking ta make your #investments more profitable</t>
  </si>
  <si>
    <t>Holiday Scottsdale has all the comforts of home. From comfy beds and pillows to fresh coffee and snacks. #Vrbo #Airbnb #VacationRental #BestBeds</t>
  </si>
  <si>
    <t>For anyone interested in how many homes #Airbnb has turned into ghost hotels in #ottcity, please read our report, which can be found here:</t>
  </si>
  <si>
    <t>Ana-Claudia Tapardel</t>
  </si>
  <si>
    <t>Happy to have hosted the event "Boosting female entrepreneurship in Europe" dedicated to #women #entrepreneurship. #Airbnb #experience #tourism @WEP_EU @Airbnb RT @GeorginB: Thanks to @WEP_EU for a great event today, to @ClaudiaTapardel for hosting, and to all our amazing female Airbnb Experiences hosts for sharing their insights as entrepreneurs in Italy, UK, Norway and France. Looking forward to taking this new WEP-Airbnb Partnership forward!</t>
  </si>
  <si>
    <t>Member of the European Parliament for the S&amp;D Group, #Romania, Co-Chair of the Intergroup on European Tourism Development, #transportEU #tourismEU #AFCO</t>
  </si>
  <si>
    <t>Keep this epic #beach pad all to yourself or #Airbnb it for big buck$! This 3b/2b sits just steps from the sand in #Venice, AND includes a 2b/1b guest home! $1.8m #dealoftheday #investmentproperty #losangeles #realestate #beachlife #homesweethome #WednesdayMotivation #homebuyer</t>
  </si>
  <si>
    <t>jasoncenteno</t>
  </si>
  <si>
    <t>#30daychallenge Day 13: Talking 'bout Dads Pads 2 new Center City locations. You can go through #Airbnb or better yet book direct with me at…</t>
  </si>
  <si>
    <t>Philadelphia</t>
  </si>
  <si>
    <t>Better to Live Rich than to Die Rich .</t>
  </si>
  <si>
    <t>Hong Kong #TravelTips: All #dorm beds of good #hostel on #HKisland for this #weekend were booked. Only expensive but terrible ones left. #WanChai #Scam #booking #agoda #airbnb #DiscoverHongKong #vacation #nomad #guesthouse #solotravel #backpacker #holiday #홍콩 #hktravel #香港</t>
  </si>
  <si>
    <t>Wishing our first set of Easter guests from New Zealand a very warm welcome this afternoon! #airbnb #TheHolidayCots #aroundaboutbrit #engineyardbelvoir</t>
  </si>
  <si>
    <t>First Code Airbnb $55 💵❤️💵coupon promo referral code :) Get your discount credit on your first trip Click the link NOW 💚💸💚—-&gt;✈️ #airbnb #airbnbcode #airbnbdiscount #trips #NationalSiblingsDay #WednesdayWisdom #WednesdayMotivation #getaway</t>
  </si>
  <si>
    <t>Jackson Richman</t>
  </si>
  <si>
    <t>.@AlanDersh: “Let’s hope they stick with it. Previously, they said they would do it, and they didn’t.”  Via @JNS_org #airbnb</t>
  </si>
  <si>
    <t>Washington Correspondent @JNS_org | Email: jrichman@jns.org | I don't drown in The Swamp, I float on it | Opinions my own | RT=Interest or Amen</t>
  </si>
  <si>
    <t>Every month since JAN '17, 1500+ #migrants stroll 10M to #ILLEGALLY cross USA/CAN border into QC via #RoxhamRd after 1H taxi ride in very SAFE upstate NY! #PPC2019 #GlobalCompactForMigration #Airbnb #UNHCR #OpenSociety #CenturyInitiative #MayorsMigrationCouncil #canpoli #polcan RT @UNHCRCanada: Every year, refugees travel about 2 billion km to escape conflict, violence or persecution. 🇨🇦 Canada, now you can step in solidarity. #StepWithRefugees:</t>
  </si>
  <si>
    <t>Alana Baker</t>
  </si>
  <si>
    <t>#Airbnb's response continues to focus on "many responsible hosts who share their home a few nights to help make ends meet".That may be true &amp; isn't a concern. The problem is commercial hosts operating under the guise of homesharing!</t>
  </si>
  <si>
    <t>Mother. Wife. Director, Gov't Relations for the Hotel Assoc of Canada. GR &amp; PR professional. Lover of hospitality, music, shoes and wine. Views here are my own.</t>
  </si>
  <si>
    <t>Tell 'em that you think of them as your island buddies! ⠀⠀⠀⠀⠀⠀⠀⠀⠀ #BVAsks #BukitVista #Airbnb #AirbnbBali #AirbnbHost #Bali #AirbnbExperience</t>
  </si>
  <si>
    <t>Airbnb confirms investment in India’s budget hotel chain Oyo #hospitality #airbnb #vacationrental #propertymanagement</t>
  </si>
  <si>
    <t>Francisco Taveira</t>
  </si>
  <si>
    <t>.@MarkDummett: “#Airbnb’s decision to continue to allow accommodation listings in illegal #Israeli settlements in the occupied #WestBank is a reprehensible and cowardly move that will be another devastating blow for the #HumanRights of Palestinians."</t>
  </si>
  <si>
    <t>"The Only Thing Necessary For The Triumph Of Evil Is For Good Men To Do Nothing."</t>
  </si>
  <si>
    <t>Gonna rain for #MarathonMonday? 1) I don’t feel bad for you and 2) you could be here instead next week. Looks how cozy it is. #TopicalContent #Airbnb #SuperHost</t>
  </si>
  <si>
    <t>West Bank: #Airbnb's decision on listings in illegal Israeli settlements is 'deeply shameful' – Amnesty International UK -  #Palestine</t>
  </si>
  <si>
    <t>ARE YOU READY FOR BOATING SEASON? BEE READY 🐝🐝#yachts #yachting #Yachtsman #sailing #USVI #TikiIsland #GreatLakes #PureMichigan #Boston #MarthasVineyard #Wisconsin #Lakeland #Seattle  #Lakelife #Airbnb</t>
  </si>
  <si>
    <t>Check out this awesome Entire condominium on Airbnb: Live Like Royalty On The Las Vegas Strip!, sleeps 5 #LasVegas #Vegas #AirBnB #Raiders #VGK #Hockey #FootBall #BaseBall #Conventions</t>
  </si>
  <si>
    <t>Mahmoud Shabeeb</t>
  </si>
  <si>
    <t>VERY bad indeed. @Airbnb's position is very disappointing and greedy, and worse: It does not respect the #IHL or any humanitarian standards. I am certainly boycotting #AirBnB. #BoycottAirBnB #PalestinianLivesMatter @BDSmovement @jvplive RT @AliDahmash: @ItisMoody @Airbnb @jvplive @BDSmovement That is bad, I was about to use @Airbnb for my next trip</t>
  </si>
  <si>
    <t>Jordan</t>
  </si>
  <si>
    <t>Intellectual, Educated, Muslim, Jordanian, Palestinian, Arab, young man, &amp; proud of each aspect. Die-hard worker &amp; volunteer for a better world. Views my own.</t>
  </si>
  <si>
    <t>UnrulyBritannia</t>
  </si>
  <si>
    <t>Like @Airbnb ? Time to stop using #airbnb : They are re-listing rentals in #Israeli settlements in the occupied West Bank #Palestine. RT @theIMEU: Airbnb is now retracting its decision to delist rentals in Israeli settlements in the occupied West Bank. Settlements are built on stolen Palestinian land and entirely exclude Palestinians.</t>
  </si>
  <si>
    <t>Unruly Britannia: A state at conflict with itself</t>
  </si>
  <si>
    <t>“Shame on #Airbnb for thinking that it could, even for a second, implement a policy that so blatantly discriminated against Jews and still do business in the #UnitedStates.” - @GoldsteinBrooke</t>
  </si>
  <si>
    <t>Marlin | App</t>
  </si>
  <si>
    <t>Great idea and good use of ingenuity!  #news #parkstash #app #technology #airbnb</t>
  </si>
  <si>
    <t>Connecting Employers directly with Job Seekers. No middleman, just direct communication for the best opportunities and staff.</t>
  </si>
  <si>
    <t>Israel Britain 🇮🇱🇬🇧</t>
  </si>
  <si>
    <t>Another defeat for those that support economic sanctions founded in a deep &amp; myopic #Hatred of #Israel 🇮🇱. Common sense has returned to #airbnb.</t>
  </si>
  <si>
    <t>The Israel-Britain Alliance (IBA) is a #UK based organisation that celebrates Britain’s relationship with the State of Israel.</t>
  </si>
  <si>
    <t>Morning lights at #Buddhavilla #Travel #SanAndrés #Colombia #Buddhavilla #Caribbean #traveltips #traveltheworld #airbnb #Caribbeanlife #IslaDeSanAndrés #Hostel #rooms #Booking #travelling #poolside #airbnbexperiences #swimmingpool #Colombiana @Airbnb</t>
  </si>
  <si>
    <t>Big thanks to this lovely family for staying and enjoying our mini farm and the stars at night ✨ 🐑 💕 #wimmeramallee #Nhill #airbnb @ Wendy's Retreat Nhill</t>
  </si>
  <si>
    <t>RealPalestina(א"י)🇮🇱</t>
  </si>
  <si>
    <t>#Airbnb: We Oppose the #BDS Movement (but wont profit from Judea and Samaria listings donating the profits to “organizations dedicated to humanitarian aid that serve people in different parts of the world”).</t>
  </si>
  <si>
    <t>Jerusalem, Israel</t>
  </si>
  <si>
    <t>🇿ionist #Israel #IDF #MAGA #BalestiniansAreNotFromPalestine</t>
  </si>
  <si>
    <t>Marc Christopher</t>
  </si>
  <si>
    <t>Was talking to a former neighbor who now rent her house as #AirBnB instead of a regular rental. Her last tenant caused damage, was rude to everyone. But laws in DC let her sue my neighbor for BS. The court process seemed pretty unfair</t>
  </si>
  <si>
    <t>Cenation, USA</t>
  </si>
  <si>
    <t>Jersey guy in DC. @AmericanU &amp; @UMDPublicPolicy grad. Skeptic. #TrustTheProcess #GOMAB #TwinDad #CatDad #NSNO #TeamStupidMoney</t>
  </si>
  <si>
    <t>Ibrahim Sadiq (ص)</t>
  </si>
  <si>
    <t>#Airbnb to allow listings from illegal Israeli settlements is ridiculous. It is illegal listing which results in illegal trades. Do not help for illegal trading. #illegalTrade #corruption @Airbnb @AJENews</t>
  </si>
  <si>
    <t xml:space="preserve">Kendhoo, Maldives </t>
  </si>
  <si>
    <t>FB, viber, instagram etc. follow me for a follow. #blogger #columnist #student #work #research #dreamer #photographer #peace</t>
  </si>
  <si>
    <t>@HayleyLyla 郭聿婷</t>
  </si>
  <si>
    <t>Mama Hayley best kept secret 🥟🥟🥟 📍: Hong Kong 🌐:  📸 @hayleylyla Become an experience host via  💁🏼‍♀️ #airbnb…</t>
  </si>
  <si>
    <t>Model, Blogger, Trilingual Creative @studio179hk | http://Creativepreneur.me &amp; http://ph.media @thisisfaded @eating_will_travel 🛍@shop179s 微博#Hayleylyla🇨🇳</t>
  </si>
  <si>
    <t>Mike Corbridge MA</t>
  </si>
  <si>
    <t>The increase in new business and project work in Manchester is driving demand for serviced apartments in the city. Airbnb has helped drive this demand by opening travellers’ eyes to alternative ways to stay, particularly to the younger generation. #servicedapartments #airbnb</t>
  </si>
  <si>
    <t>Manchester, England</t>
  </si>
  <si>
    <t>UK-based Property &amp; Serviced Apartment Management Company, providing management solutions, relocation &amp; acquisition services for Investors, Landlords &amp; Agents.</t>
  </si>
  <si>
    <t>Blakeney Cottages</t>
  </si>
  <si>
    <t>Any airbnb hosts having problems with listing visibility?#airbnb.</t>
  </si>
  <si>
    <t>Blakeney, England</t>
  </si>
  <si>
    <t>Luxury self-contained Cider barns on Blakeney Hill. The Tallet and Orchard Cottage have elevated terraces with full size hot tubs overlooking the River Severn.</t>
  </si>
  <si>
    <t>Create a calming retreat in your bedroom with calming colours and natural textures. Loving the Standford bed in this bright bedroom.  #modishliving #bedroom #reclaimedwood #homedecor #airbnb</t>
  </si>
  <si>
    <t>#Booking.com is Beating #Airbnb in Home Stays, Latest Numbers Show - 748 million guests have stayed at homes or unique listings like yurts and igloos listed on . Read more at  #servicedapartments #servicedapartmentnews</t>
  </si>
  <si>
    <t>It's the little things you do for your guests that create a great experience. Whether that's providing a complimentary welcome basket or room amenities likened to a hotel, your guests will surely appreciate it. #hospitality #airbnb #servicedapartment #wednesdaymotivation</t>
  </si>
  <si>
    <t>Aron Roach</t>
  </si>
  <si>
    <t>(p)Earth.. West Australia</t>
  </si>
  <si>
    <t>Truck Driver by Day. Net and Sleep in between! "Saying a big hello to all intelligent lifeforms everywhere and to everyone else.,Bang the rocks together, guys”</t>
  </si>
  <si>
    <t>A 15th century castle in Ireland is the most popular private room in Airbnb history via @LPtravelnews #travel #accommodation #AirBnB @Airbnb</t>
  </si>
  <si>
    <t>#Airbnb reverses on delisting #Israeli settlements</t>
  </si>
  <si>
    <t>Hollie Berries</t>
  </si>
  <si>
    <t>Aberdeenshire, Scotland</t>
  </si>
  <si>
    <t>Making, Baking &amp; Adventures hollie@hollieberries.co.uk</t>
  </si>
  <si>
    <t>Martin Lejeune</t>
  </si>
  <si>
    <t>#A‌i‌r‌b‌n‌b violates international humanitarian law in #Palestine. The platform continues to be available for bookings in ​Israeli ​settlements in East Jerusalem, West Bank and Golan Heights. Illegitimate owners of residential property will take profits.</t>
  </si>
  <si>
    <t>مارتن لوجين</t>
  </si>
  <si>
    <t>Joshua Bloom</t>
  </si>
  <si>
    <t>.⁦@Airbnb reverses policy and re-lists properties in #Israeli #settlements in the #WestBank in response to lawsuit  via ⁦@nytimestravel⁩ @nytimes #Israel #settler #settlement #occupation #BDS #Palestinian #Palestine #travel #tourism #airbnb</t>
  </si>
  <si>
    <t>Berkshires, MA</t>
  </si>
  <si>
    <t>#Tourism/#Travel Planner w/ @MEJDI_Tours (esp. #Israel or Israel/West Bank), papa, #rebbetzin (married to #Rabbi @JodieSays), #peace &amp; #humanrights activist.</t>
  </si>
  <si>
    <t>Foyers Lodge</t>
  </si>
  <si>
    <t>Delighted to be included in this gorgeous directory. Check out our listing: ⁦@visitnessie⁩ ⁦@VisitScotland⁩ ⁦@Airbnb_uk⁩ #FoyersLodge #LochNess #BoutiqueAccommodation #Interiors #Refurb #AirBnb SLEEPS in Loch Ness | Chic Scotland</t>
  </si>
  <si>
    <t>Foyers, Scotland</t>
  </si>
  <si>
    <t>Boutique accommodation overlooking Loch Ness. Five individually styled bedrooms (so far). Website under construction and coming soon. Insta @foyerslodge</t>
  </si>
  <si>
    <t>Jess Bauldry</t>
  </si>
  <si>
    <t>Private home rental platform #airbnb has created a #Luxembourg subsidiary focusing on payments for Europe, our colleagues at Paperjam reported on Wednesday</t>
  </si>
  <si>
    <t xml:space="preserve">Luxembourg </t>
  </si>
  <si>
    <t>English-language journalist for Delano</t>
  </si>
  <si>
    <t>Yvette Cardenas</t>
  </si>
  <si>
    <t>In the midsts of planning my #vacation, I’m trying to figure out if it would be better to stay in a hotel or an #airbnb. I’ll be traveling with two diva like chihuahuas, btw..... #familyvacation #travelingwithpups</t>
  </si>
  <si>
    <t>Actress (Representation: Condra Artista) Currently based in Texas.</t>
  </si>
  <si>
    <t>Waleed 📷 وليد</t>
  </si>
  <si>
    <t>By @asherfergusson : Is Airbnb Safe? We Analyzed 1021 Horror Stories to Find Out. As a result of our study: We’ve discovered multiple dangerous loopholes in the #Airbnb platform URL:  YouTube:</t>
  </si>
  <si>
    <t>Riyadh, Saudi Arabia</t>
  </si>
  <si>
    <t>@fo2oz | @WZ65 | @WITanoia | Waleed Alzuhair | وليد الزهير</t>
  </si>
  <si>
    <t>The New Arab</t>
  </si>
  <si>
    <t>#Airbnb has announced it will backtrack on a plan to remove Jewish settler homes in the occupied West Bank from its rental listings.</t>
  </si>
  <si>
    <t>Bringing you the latest news and current affairs from the Middle East and North Africa region.</t>
  </si>
  <si>
    <t>Martin van Wezel</t>
  </si>
  <si>
    <t>Coming to London this spring and looking for a quiet place to stay? Check out our @airbnb listing:  #airbnb #livinglikealocal #visitlondon #eastbarnet #northlondon</t>
  </si>
  <si>
    <t>hiking, cycling, good ales and craft beers, specialty coffee, design, property development, airbnb host, gardening, co-owner @v_vwcoffeebar</t>
  </si>
  <si>
    <t>📌Online Booking ⬇️⬇️⬇️ 👉 #galatasarayhamamı #hamam #hammam #istanbul #turkey #galatasaray #turkishbath #taksim #istiklalcaddesi #hamamkeyfi #trip #tripadvisor #booking #airbnb #taksimsquare #gelinhamamıorganizasyonu #beyoğlu #man #woman #holiday</t>
  </si>
  <si>
    <t>ON DEMAND BARBERS 💈</t>
  </si>
  <si>
    <t>Are you a busy individual who can't afford to spend hours in a barbershop or a gentlemen who prefer the comfort of his own place for same hair and beard grooming. What is the solution? Introducing: #OnDemandBarbers. We provide haircuts on Demand just like #Uber and #Airbnb.</t>
  </si>
  <si>
    <t>Oslo, Norway</t>
  </si>
  <si>
    <t>Bringing the Barbershop to you!</t>
  </si>
  <si>
    <t>GUARDHOG</t>
  </si>
  <si>
    <t>We're not surprised that this is @airbnb 's #1 rated property in the world... it looks absolutely magical and we want to go! #airbnb #homesharing #no1 #wednesdaywidsom #sharingiscaring #mushroodome #cabininthewoods #superhost</t>
  </si>
  <si>
    <t>Insurance for the #sharingeconomy... Full fat, fuss free cover! #Airbnb #hosting #insurance #insurtech</t>
  </si>
  <si>
    <t>Comfortable political expediency. Airbnb will ban fascists and liberals will cheer. When it comes to uncomfortable political decisions what did anyone expect? #airbnb #thefailureofwesterndemocracy #israel</t>
  </si>
  <si>
    <t>Kathlyn #GTTO #IStandWithJackieWalker</t>
  </si>
  <si>
    <t>So under US law, brutal racial discrimination is ok just so long as you are not white and Jewish. #Airbnb #BDS #USRacism #JimCrowRevived</t>
  </si>
  <si>
    <t>Raised a Zionist....then visited Israel for 1st time in 1987 and a Zionist no more. Lived &amp; worked in Deheishe refugee camp in the West Bank.</t>
  </si>
  <si>
    <t>Bed &amp; Stay is a wonderful 3 story house perfect to house groups up to 12 people. A place with 10 beds, 6 bedrooms, a private elevator and more. We have great prices for April and May. Book us here #AIRBNB :  #familytravel #travel #japan</t>
  </si>
  <si>
    <t>Press TV</t>
  </si>
  <si>
    <t>Tehran, Iran</t>
  </si>
  <si>
    <t>Press TV is the first Iranian international news network, broadcasting in English on a round-the-clock basis.</t>
  </si>
  <si>
    <t>Chantelle Windvogel</t>
  </si>
  <si>
    <t>Sign up for Airbnb and get R600 ZAR off your first adventure. Here’s my invitation link:  #airbnb #vacation #unwind #getaway</t>
  </si>
  <si>
    <t>We are creators</t>
  </si>
  <si>
    <t>Harrogate Lifestyle🛏️</t>
  </si>
  <si>
    <t>Have you thought about listing your #property on #Airbnb? We do! Harrogate Lifestyle #Apartments are already well established in this area, but perhaps you could set up in #Leeds #York or #Manchester etc &amp; target student families visiting Find out more</t>
  </si>
  <si>
    <t>Harrogate, England</t>
  </si>
  <si>
    <t>The hotel alternative! 🛏️ Enjoy the #HarrogateLifestyle in Harrogate Lifestyle Apartments - contemporary, stylish 4⭐️serviced apartments - alternative to #hotel</t>
  </si>
  <si>
    <t>Catriona Archer Interiors Bath</t>
  </si>
  <si>
    <t>Some hump-day inspiration for you this morning 🌿 I love everything about this entrance hall! • • • #catrionaarcher #interiorsinbath #interiorsinbristol #interiorsinwilts #bathstyling #styling #interiorstylist #interiordesigner #interiorinspo #guesthouse #airbnb #holidaylet</t>
  </si>
  <si>
    <t>Bath, Somerset &amp; Wiltshire</t>
  </si>
  <si>
    <t>Interior Styling in Bath, Bristol, Somerset and Wiltshire. Residential | Holiday rental and Guesthouses | Commercial | Property sale | Photo shoots.</t>
  </si>
  <si>
    <t>under the thatch</t>
  </si>
  <si>
    <t>#Airbnb to resume their occupied #WestBank listings - you'd think a multi £billion company could afford some #ethics?  #Palestinian #FreePalestine</t>
  </si>
  <si>
    <t>We believe that great design is good for the soul - follow us for fantastic interiors, wonderful architecture, refreshing landscapes and cool places to stay!</t>
  </si>
  <si>
    <t>deb garrod</t>
  </si>
  <si>
    <t>Thanks #airbnb alarm arrived safely. Much appreciated</t>
  </si>
  <si>
    <t>North Hayling, England</t>
  </si>
  <si>
    <t>Corporate psychologist helping leaders to focus on what is important - the Customer. put the extra into ordinary Flourishing Values</t>
  </si>
  <si>
    <t>Michael Golojuch Jr</t>
  </si>
  <si>
    <t>Why shouldn’t illegal B&amp;B’s pay GET &amp;amp; TAT? #AirBnB</t>
  </si>
  <si>
    <t>Kapolei, Hawaii</t>
  </si>
  <si>
    <t>I am chair of the LGBT Caucus of the Democratic Party of Hawaii! We have to take a stand to make a difference!</t>
  </si>
  <si>
    <t>The best cleaning in London for holiday lets! Top quality cleaning that leads to 5 star reviews, more returning customers, and more profits from your properties. Get in touch today to find out how we can help ✨ #airbnb #propertymanagement #london #londonproperty #holidaylets</t>
  </si>
  <si>
    <t>The latest image from the GowerLive #webcam on the roof 730RocksMumbles #AirBnB. Book at  #Mumbles #Swansea #Gower #travel. Watch live at  #213</t>
  </si>
  <si>
    <t>$55 AIRBNB COUPON CODE 💲✈️💲Here’s your chance for a free credit coupon discount and codes to travel for FREE. Click the link NOW. Please DM me if you have any issues. #airbnb #airbnbcode #airbnbdiscount #airbnbpromo #airbnbfree</t>
  </si>
  <si>
    <t>Cardilogix</t>
  </si>
  <si>
    <t>#Article: 18 controversial moments in logo design and branding. Link:  #Branding #Design #Logo #Advertising #KFC #Marketing #Creative #Slack #Formula1 #YSL #PremierLeague #Uber #Instagram #Airbnb #Starbucks #SocialMedia #Digital #Brands #Art #Rebranding</t>
  </si>
  <si>
    <t>Recruitment specialists in the Advertising, Branding, Design, Digital, PR, Creative, Retail, Financial, Research, Media, Sales &amp; Marketing sectors.</t>
  </si>
  <si>
    <t>Hong Kong Tatler</t>
  </si>
  <si>
    <t>Fancy an apéritif with Mona Lisa, dinner with Venus de Milo and a starry night under the glass Pyramid?🌠⁣ .⁣ Find out how to enter @airbnb's contest for this once-in-a-lifetime experience (link in bio).⁣ .⁣ .⁣ .⁣ .⁣ #louvre #monalisa #airbnb #air…</t>
  </si>
  <si>
    <t>People, parties, champagne and beautiful things.</t>
  </si>
  <si>
    <t>Luxurious bedrooms. Book your city trip holiday in this beautiful city.  #hotel #ljubljanastay #airbnb #filippalace #ljubljanastay #booking #centerstay #ljubljana #slovenia #citytrip</t>
  </si>
  <si>
    <t>Jatin Rathod</t>
  </si>
  <si>
    <t>Get upto Rupees 3025 off on your first home stay or hotel stay on AirBnb Click on the link below:  #airbnb #Airbnbdiscount #discount #homestay #hotelbooking #travel #travelercoupon #travelperk #Travel</t>
  </si>
  <si>
    <t>They cursed the destiny who separated them, the same destiny that made their seldom meetings unforgettable...</t>
  </si>
  <si>
    <t>#Airbnb forced to reverse listings ban on Israeli settlements in the West Bank</t>
  </si>
  <si>
    <t>First Time Airbnb $55 coupon promo referral code :) Get your discount credit on your first trip Click the link NOW ❤️🔥❤️🔥—-&gt;✈️ #airbnb #airbnbcode #airbnbdiscount #vacation #trips #travel #getaway</t>
  </si>
  <si>
    <t>Apollo Wales - Facilties Management</t>
  </si>
  <si>
    <t>Sometimes, it’s the small things that make your #Airbnb property stand out. #hotel #CleaningService #cleaningtips</t>
  </si>
  <si>
    <t>Cardiff, Hereford, London</t>
  </si>
  <si>
    <t>Award Winning Facilities Management Company with a 98% Customer Satisfaction rating and 5* Trustpilot</t>
  </si>
  <si>
    <t>Coming to Japan for the Rugby World Cup. Take a look to these places. Book your stay with us here: #AIRBNB :  #familytravel #travel #japan RT @MATCHA_global: Visiting Tokyo For The Rugby World Cup? A Sightseeing Route For Sports Lovers  #Tokyo</t>
  </si>
  <si>
    <t>One of our most populars: #Egg and #Avocado🥑🍳 #Delicious, #nutritious, #energetic and perfect for anyone eating low carb. The best way to start a new day👌You have to try it😉 #breakfast #maisonvie #london #kilburn #nw6 #frenchcafe #frenchbakery #frenchrestaurant #ICMP #airbnb</t>
  </si>
  <si>
    <t>If you are craving of chicken wings when you are in #Tokyo take a look to these places. Book your stay with us now #AIRBNB :  #familytravel #travel #japan RT @TokyoCheapo: When it comes to chicken wings, Tokyo has a lot to offer:</t>
  </si>
  <si>
    <t>#HappyWednesday Studio Ghibli is back with a new exhibition. Time to book your trip to Japan and stay with us in #Tokyo Book us here: #AIRBNB :  #familytravel #travel #japan RT @TimeOutTokyo: Studio Ghibli to host its first exhibition in three years in Tokyo.</t>
  </si>
  <si>
    <t>Clár Ní Fhearaíl</t>
  </si>
  <si>
    <t>Hi @Airbnb Are your guests going to be cheering this on? #airbnb #occupation #Israel #hebron #westbank #r4today Israeli troops detained a 9-year-old Palestinian at school. It's 'becoming normal', locals say - CNN</t>
  </si>
  <si>
    <t>Migrant living in London. Physiotherapist proudly working in the NHS. Tweets in a personal capacity 🇮🇪🇪🇺</t>
  </si>
  <si>
    <t>Hi @Airbnb what part of illegal don't you understand. #WestBank #occupation #settlers #illegaloccupation #Israel #airbnb</t>
  </si>
  <si>
    <t>Peter Mayson</t>
  </si>
  <si>
    <t>Boycott the SOBs NOW! (#Airbnb to allow listings from illegal Israeli settlements) @AJENews  #CapeTown #SouthAfrica</t>
  </si>
  <si>
    <t>Anti-Zionist Italophile, living in CT, South Africa, main hobby: ancient Rome</t>
  </si>
  <si>
    <t>In Thailand, with Airbnb illegal for daily and weekly rentals without a Hotel Licence, how will the new government react to all these women breaking their laws ? #Airbnb #illegalhotel #unlicencedhotel #thailand #tourism #travel #elections #thai</t>
  </si>
  <si>
    <t>M N A</t>
  </si>
  <si>
    <t>#Airbnb said on #Tuesday it would not implement a planned delisting of settlements in the occupied West Bank and would donate proceeds from any bookings in the territory to #international humanitarian aid #organizations. #MNA_English #MNA</t>
  </si>
  <si>
    <t>Kuwait</t>
  </si>
  <si>
    <t>⭕️ Media News Agency ⭕️ License Number : 157 ⭕️ info@mna.news ⭕️ Arabic @mna ⭕️ Instagram: mnanews ⭕️ whats App : 00965 94077900</t>
  </si>
  <si>
    <t>rajanshandil</t>
  </si>
  <si>
    <t>Looking to travel on AIRBNB:  Use my Airbnb Code to earn credits for your travel.  #airbnb #credit #promocode #code #coupon #Travel</t>
  </si>
  <si>
    <t>Los Angeles California</t>
  </si>
  <si>
    <t>Emmy-Award Winning Producer ** Film, Television, Streaming ** Director, Technologist, future-enthusiast, element-lover &amp; car fanatic</t>
  </si>
  <si>
    <t>$55 💜💸💜💸💜 Airbnb code coupon promo discount first. $55 OFF CLICK LINK NOW! Try it. Please DM me if you have any issues. #airbnb #airbnbcode #airbnbdiscount #airbnbpromo #airbnbcoupon</t>
  </si>
  <si>
    <t>macadamcowboy</t>
  </si>
  <si>
    <t>Boycott #airbnb ! RT @nytimes: Airbnb said that it had reversed its decision to remove listings of properties located in Israeli settlements in the West Bank</t>
  </si>
  <si>
    <t>france</t>
  </si>
  <si>
    <t>français d’origine algérienne et belge,30 ans d’expérience professionnel je suis la petite souris 🐭 qui s’est fait longtemps passer pour un français de souche</t>
  </si>
  <si>
    <t>How to Check Your Vacation Rental or Hotel Room for Hidden Cameras #travel #airbnb</t>
  </si>
  <si>
    <t>Life is better with coffee!☕😊 #maisonvie #london #kilburn #nw6 #frenchcafe #frenchbakery #frenchrestaurant #ICMP #airbnb #londonfoodie #londonfood #londoncafe #londonbakery #londonrestaurant #delicious #yummy #tasty #food #thirsty #drink #coffee #pastry #hungry #momandbaby</t>
  </si>
  <si>
    <t>AirCloud helps travelers to find the best stay using clone application... AirCloud-Airbnb clone at 99$ only for the USA customers. Buy Now:  call: 7667298398 For demo Mail: support@nexcloudz.com #airbnb #airbnbclone #airbnbscript #grouponclone #nexcloudz</t>
  </si>
  <si>
    <t>Stacey</t>
  </si>
  <si>
    <t>#Airbnb will cancel its ban on #Israeli settlement listings: A victory for justice, but there's still no change of heart at the core of this action. @Airbnb, #antisemitism will define you until you take a stand against it, not just defer to legal action.</t>
  </si>
  <si>
    <t>Independent writer-editor, @IDF-trained search-and-rescue specialist, truth advocate.</t>
  </si>
  <si>
    <t>Jinbo</t>
  </si>
  <si>
    <t>Sign up for Airbnb with my link for ฿1,200 off your first trip. #airbnb #travel #Busan #Korea</t>
  </si>
  <si>
    <t>IG : Jinbo13 || 💙 #슈퍼주니어 || @PeckPalit || นูน่าของเด็กๆ #1The9</t>
  </si>
  <si>
    <t>💲55 AIRBNB COUPON CODE 💵✈️💵 Here’s your chance for a free credit coupon discount and codes to travel for FREE. Click the link NOW. Please DM me if you have any issues. #airbnb #airbnbcode #airbnbdiscount #airbnbpromo #airbnbfree</t>
  </si>
  <si>
    <t>#Airbnb reverses ban on West Bank listings  #israel</t>
  </si>
  <si>
    <t>H-TOWN AIRBNB</t>
  </si>
  <si>
    <t>Coming to Houston to see the #Astros ? We’re an 8 minute @Uber to downtown. #Airbnb #MinuteMaidPark #AlexBregman</t>
  </si>
  <si>
    <t>We are a spacious, clean, and comfortable 2 bedroom Airbnb just blocks from Downtown Houston, Buffalo Bayou and Whole Foods. Book a stay today!</t>
  </si>
  <si>
    <t>The last few years we’ve had a @Comicpalooza guest stay at our #Airbnb because we’re 5 min. to downtown Houston. And the place is perfect to share with a friend - there’s 2 HUGE bedrooms. #CP2019  #Comicpalooza #astros RT @Comicpalooza: Book now to receive special #CP2019 rates at @HiltonHouston, @TheMarquisHOU, Westin Houston Downtown and Hampton Inn Houston Downtown which are all conveniently located near @GRBCC. The Omni Houston hotel is just a short ride away. Book today  #Staycation</t>
  </si>
  <si>
    <t>$55 Airbnb code coupon promo discount first. $55 OFF CLICK LINK NOW! Try it. Please DM me if you have any issues. #airbnb #airbnbcode #airbnbdiscount #airbnbpromo #airbnbcoupon</t>
  </si>
  <si>
    <t>#airbnb Reverses Policy Banning Listings in Israeli Settlements in West Bank #nyt</t>
  </si>
  <si>
    <t>Not good, they took a bold decision not to list and violating #international #laws !—#Airbnb to allow listings from illegal Israeli settlements - Aljazeera</t>
  </si>
  <si>
    <t>Chuma Swope Jerome</t>
  </si>
  <si>
    <t>Evening. Pool side. Hearing the waves roll in. 💙 . . #thankyoujesus🙏 #seeyouontheisland #poolside #summerevenings #itfeelsgood #palmtrees #portaransas #vrbo #airbnb #beachhappyporta…</t>
  </si>
  <si>
    <t>Lampasas, TX</t>
  </si>
  <si>
    <t>Realtor® in Austin, TX &amp; surrounding areas! Saving clients time and money by delivering the most innovative/client focused service in the real estate industry.</t>
  </si>
  <si>
    <t>Welcome to the White Mammoth Ranchhttps://www.airbnb.jp/rooms/1154501  via Twitter Web Client #airbnb</t>
  </si>
  <si>
    <t>Large 5Star #Florida #vacationhome with prival pool on #Airbnb Tropical #TommyBahama style - #VRBO April 09, 2019 at 10:00PM</t>
  </si>
  <si>
    <t>Don’t book your Airbnb without using this $55 💵💸💵 referral coupon code! Click the link down below for your first $55 💲❤️💲Airbnb discount now! Please DM me if you have any issues. #airbnb #airbnbcode #airbnbdiscount #airbnbpromo #airbnbfree</t>
  </si>
  <si>
    <t>A little peak into the extra bedroom at Tanglewood Cabin. Tanglewood is unique because, in addition to the main cabin, there is also an attached apartment available with its own bedroom, living room, and kitchenette! Picture by: 1:16 Media #boone #airbnb #homeaway</t>
  </si>
  <si>
    <t>Randa HABIB</t>
  </si>
  <si>
    <t>#Airbnb said it would not implement a planned delisting of Israeli settlements in the occupied West Bank and would donate proceeds from any bookings in the territory to international humanitarian aid organizations.</t>
  </si>
  <si>
    <t>Author, Formerly director AFP news agency Jordan and Amnesty International regional director for MENA. Committed to live fully every day until the "expiry date"</t>
  </si>
  <si>
    <t>KARENA ARROYO</t>
  </si>
  <si>
    <t>My favourite babies of Wave 64 has finally graduated Basecamp 😍😍😍 #airbnb #voxpromanila</t>
  </si>
  <si>
    <t>Taguig City, Philippines</t>
  </si>
  <si>
    <t>Do not be shaken with problems, solve them☺☀</t>
  </si>
  <si>
    <t>First Time Airbnb $55 coupon promo referral code :) Get your discount credit on your first trip Click the link NOW 💵❤️💵❤️—-&gt;✈️ #airbnb #airbnbcode #airbnbdiscount #vacation #trips #travel #getaway</t>
  </si>
  <si>
    <t>CreateGreatArt</t>
  </si>
  <si>
    <t>All the music fans want @Airbnb @Dreamvillefest @JColeNC 6 fans came all the way from NY State to see the show and stay in my #airbnb RT @JamesGBledsoe1: Hey #raleigh, you know what would make the next #DreamvilleFest better? Having a local place for all those out of towners to stay IN THE CITY. Not a hotel, but a legal AirBnB. That's money going back to the locals, not a chain. #VoteBledsoe October 8th!</t>
  </si>
  <si>
    <t>The Official Creative Twitter Home of creategreatart.@southeastraleigh #YIMBY #renters #allarewelcome #LGBTQ, ❤️beagles, 💋low taxes,🍀#reggaemusic @airbnb</t>
  </si>
  <si>
    <t>TripAngle</t>
  </si>
  <si>
    <t>We only grow by creating reservations for your vacation rentals. List with us today at little or no cost.  #propertymanagement #vacationrentals #airbnb #vrbo #forrentbyowner</t>
  </si>
  <si>
    <t>Corpus Christi, TX</t>
  </si>
  <si>
    <t>The most innovative Property Management Software ever invented FREE! Contact us and have your vacation rental run itslef 361-444-3395</t>
  </si>
  <si>
    <t>Aye, Have a Voice</t>
  </si>
  <si>
    <t>This is disgraceful @Airbnb is, de facto, supporting people who are breaking international law Criminally forcing #Palestinians off their land Shame on you, #AirBNB RT @AJEnglish: Airbnb to allow listings from illegal Israeli settlements</t>
  </si>
  <si>
    <t xml:space="preserve">Scotland </t>
  </si>
  <si>
    <t>Married, happy, and fabulous. Working for a better tomorrow today.</t>
  </si>
  <si>
    <t>Marine Ramdhani</t>
  </si>
  <si>
    <t>will published soon in @Airbnb network #Experience #airbnb #network</t>
  </si>
  <si>
    <t>Bandung, Indonesia</t>
  </si>
  <si>
    <t>aireboho</t>
  </si>
  <si>
    <t>Alajuela, Costa Rica</t>
  </si>
  <si>
    <t>Tienda de ropa y artesanía con responsabilidad ambiental. +++++++++ Clothing, Handmade accesories, Recycled outfits, Nature, Art and Bohemian lifestyle</t>
  </si>
  <si>
    <t>Stunning views of Perth northern light! Call us now at 1300 653 795 or enquire at  #Invest #CapitalGrowth #Perth #Oracle #airbnb #PropertyPortfolio #Apartment #CityLiving #WealthCreation #PropertyInvesting #CBDlife #CBD</t>
  </si>
  <si>
    <t>dollars_and_cents</t>
  </si>
  <si>
    <t>New episode from the fastest growing #podcast in #atlanta… Latest #IPO News, Walmart adds #Robots,#Accenture's acquisition, #airbnb bans #racists Group and even more IPO #investingnews #BusinessNews #Stock #wealth</t>
  </si>
  <si>
    <t>Providing up to date information on business,financetech and gaming news. podcast link available below also available on tunein,applepodcast,stitcher,and more</t>
  </si>
  <si>
    <t>Thrifty Nomads</t>
  </si>
  <si>
    <t>How To Become An AIrbnb Superhost:  #airbnb #workandtravel</t>
  </si>
  <si>
    <t>Now exploring: Australia</t>
  </si>
  <si>
    <t>We're Jen &amp; Ted, a thrifty-minded couple with a passion to inspire affordable travel. Follow along and see more of the world, for less!</t>
  </si>
  <si>
    <t>FREE 💲💵55 AIRBNB DISCOUNT CODE. Here’s your chance for a free credit coupon and codes to travel for FREE. Click the link NOW. Please DM me if you have any issues. #airbnb #airbnbcode #airbnbdiscount #airbnbpromo #airbnbfree</t>
  </si>
  <si>
    <t>At night, we call it The Wine Porch. It’s a thing!! Lol! Tag a friend who would sit on the Wine Porch with you here at Ferngully Cove! #airbnb #ferngully_cove #weekendgetaway…</t>
  </si>
  <si>
    <t>Marc Zell</t>
  </si>
  <si>
    <t>MAJOR ANTI-BDS VICTORY: our legal team just settled a landmark discrimination case against #Airbnb achieving a complete cancellation of Airbnb's policy delisting Jewish accommodations in Judea &amp; Samaria (West Bank). Harow et al. v. Airbnb, Inc.,(N.D. Cal. 2019)</t>
  </si>
  <si>
    <t>VP, Republicans Overseas &amp; Co-Chair Republicans Overseas Israel. Chm'n Ariel U. Executive Committee. Father of 8, Grandfather of 17. Int'l lawyer.</t>
  </si>
  <si>
    <t>Stephanie Hughes</t>
  </si>
  <si>
    <t>The housing issue in New York City has never been more dire than it is in 2018 with an average rent rate of $3,653— are short-term rentals making the issue worse? #airbnb #newyorkrealestate</t>
  </si>
  <si>
    <t>Business writer and research for the CMBS team @DBRSRatings. Currently covering research in the commercial real estate market.</t>
  </si>
  <si>
    <t>Alissa Murray</t>
  </si>
  <si>
    <t>"Reports by both Amnesty International and Human Rights Watch outline how tourist businesses enable human rights violations by operating in the settlements." #airbnb #ethicaltravel #humanrights #Palestine RT @jvplive: Announces tepid “We’ll donate profits” rather than own up to failing human rights activists and their own policies of non-discrimination #StolenHomes JVP press release:</t>
  </si>
  <si>
    <t>Travel Blogger | Writings on the intersection of travel with social justice, sustainability, dance, and more | #EthicalTravel | She/her/they/them</t>
  </si>
  <si>
    <t>R E T W E E T ! #PierrefondsDollard #PPC2019 #BernierNation #RoxhamRd #GlobalCompactForMigration #Airbnb #UNHCR #OpenSociety #CenturyInitiative #MayorsMigrationCouncil #canpoli #polcan #UNexit #TrudeauMustGo RT @TomTSEC: Please R/T A number of Canadian politicians should be nervous. The #QatarPapers name the names of party leaders, MPs, MPPs and others. It also shows millions flowed into Canada with letters of recommendation from them.</t>
  </si>
  <si>
    <t>T Photos</t>
  </si>
  <si>
    <t>Getting excited for my 50 mile trek - Thank you to this great host  #Wonderful #airbnb</t>
  </si>
  <si>
    <t>Professional #photographer, Teacher of #SpecialEducation, Master of #Criminology - love #books, #art, #photography https://www.etsy.com/shop/TPhotosBoutique</t>
  </si>
  <si>
    <t>First Time Airbnb $55 coupon promo referral code :) Get your discount credit on your first trip Click the link NOW 💸❤️💸❤️💸—-&gt;✈️ #airbnb #airbnbcode #airbnbdiscount #vacation #trips #travel #getaway</t>
  </si>
  <si>
    <t>David Johnson</t>
  </si>
  <si>
    <t>Airbnb's Open Homes program offers free housing from hosts to patients traveling for treatment of critical medical conditions. Learn more:  #4sightHealth #Health #Healthcare #Airbnb #4Patients #OpenHomes</t>
  </si>
  <si>
    <t>CEO of 4sight Health. Newly published book Market vs. Medicine: America's Epic Fight for Better, Affordable Healthcare available on http://Amazon.com</t>
  </si>
  <si>
    <t>DitisISRAEL</t>
  </si>
  <si>
    <t>Airbnb keert op schreden terug. "#Airbnb has always opposed the BDS movement. Airbnb will not move forward with implementing removal of listings in West Bank from platform." #BDSFAIL</t>
  </si>
  <si>
    <t>Nog nooit een antisemiet gezien die pro-Israel is. Ever seen an antisemite who favours Israel?</t>
  </si>
  <si>
    <t>Team #Philly got some new toys ❤ #airbnb</t>
  </si>
  <si>
    <t>After Airbnb launched, it quickly caught up with the hotel industry — and then it started overtaking the market entirely. #airbnb #hotel</t>
  </si>
  <si>
    <t>Jim</t>
  </si>
  <si>
    <t>#Airbnb reverses on delisting #Israeli settlements, won't profit off #WestBank</t>
  </si>
  <si>
    <t>Command Sergeant Major (retired) #USArmy News politics &amp; humor #DisabledVeteran IAVA, AL, VFW, AMVETS, #DAV #Boston MA #OEF #OIF #Veteran Will Follow back</t>
  </si>
  <si>
    <t>Engin Yenidunya</t>
  </si>
  <si>
    <t>How #Uber, #Airbnb, and #Etsy Attracted Their First 1,000 Customers: the Chicken-and-Egg challenge.  #trntlreads</t>
  </si>
  <si>
    <t>Tokyo (95%) &amp; Istanbul (5%)</t>
  </si>
  <si>
    <t>Music Film Finance. Run Swim CrossFit. @t_r_nt_l_ #selengulunjapan #andirunandirun #andidocrossfit @CUTnaderi @yaleclubofjapan</t>
  </si>
  <si>
    <t>In case you missed it, check out "NSW: Short Term Lettings and Airbnb are hot topics in strata" Adrian Mueller, JS Mueller &amp; Co  #JSMuellerCo #Airbnb #Strata</t>
  </si>
  <si>
    <t>bnbhostguru</t>
  </si>
  <si>
    <t>Winners are there within you and me, we just need to explore those capabilities. #motivationquotes #lifequotes #PositiveVibesOnly #motivational #quote  #Airbnb #airbnbaustralia #airbnbhost #bnbhostguru</t>
  </si>
  <si>
    <t>South Melbourne, Melbourne</t>
  </si>
  <si>
    <t>List your property with us and we’ll open the door to lucrative rental income! #Airbnb #airbnbaustralia #airbnbmelbourne #airbnbhost</t>
  </si>
  <si>
    <t>Marisol Maldonado</t>
  </si>
  <si>
    <t>If you have plans on traveling to Cuba I need you to follow aycworldwidetours #Cuba #Airbnb #tours #travel #travelTuesday</t>
  </si>
  <si>
    <t>Philly born Latina featured in the Huffington Post: Charity &amp; Global Goodwill - http://iFlyForward.com #travel #nonprofits #SocialMediaMarketing</t>
  </si>
  <si>
    <t>Jerry J</t>
  </si>
  <si>
    <t>Thank you @AirBNB for dropping your misguided and racist policy. BDS loses again. #BDSfail #BDS is for #bullies #dummies and #antiSemites #israel #WestBank #AirBNB</t>
  </si>
  <si>
    <t>Born in LA, spent 13 yrs in NYC &amp; now live in Vancouver. There is no such thing as a troll except to people who can't engage with others.</t>
  </si>
  <si>
    <t>Shout-out to #airbnb Product Lead, Zainab Ghadiyali, for proving that a path to tech can be unconventional, creative, and steeped in curiosity! The Secrets to Designing a Curiosity-Driven Career –</t>
  </si>
  <si>
    <t>Avraham Berkowitz</t>
  </si>
  <si>
    <t>Thank you @Airbnb for canceling your ban on Israeli homes in the #WestBank of Israel. Thank you for also announcing that all profits from disputed regions will be donated to humanitarian aid organizations. #Airbnb</t>
  </si>
  <si>
    <t>Social Action to Perfect the World, Scaling Good. Education, Health, Innovative Technology. Follower of the Rebbe, Rabbi Menachem Schneerson of righteous memory</t>
  </si>
  <si>
    <t>#Airbnb claims to have settled all lawsuits brought by hosts and potential hosts and guests vis-à-vis listings in disputed areas.  #WestBank listings will remain on the platform, but the company will take no profits from such activity in the region. #BDS</t>
  </si>
  <si>
    <t>Lyddy Martin Company</t>
  </si>
  <si>
    <t>Do you have a Short Term Rental Property? If so, give us a call at 800-520-1040 and find out how to properly insure it. #ShortTermRental #Insurance #LosAngeles #California #AirBnB #VRBO</t>
  </si>
  <si>
    <t>Woodland Hills, CA</t>
  </si>
  <si>
    <t>Lyddy Martin Company is your dedicated insurance agency, serving the community of Los Angeles.</t>
  </si>
  <si>
    <t>Duke Kelev</t>
  </si>
  <si>
    <t>#Airbnb backs off removing Jewish W. Bank ads after Shurat Hadin lawsuit | The Jerusalem post.</t>
  </si>
  <si>
    <t>Newshound, commentator, watchdog protecting the truth, fighting for the underdog. Supporting Israel's right to exist as a Jewish homeland. RT ≠ endorsement</t>
  </si>
  <si>
    <t>#funding #fashion #lending #marketplace #Airbnb #P2P #fashion Explore startups, investors, funding and contacts all at one place visit</t>
  </si>
  <si>
    <t>Another stellar review! "Everything at Fox’s Den was absolutely perfect. The space is super clean and cozy with everything you could need for a perfect getaway weekend." Check out #Airbnb #OBX</t>
  </si>
  <si>
    <t>💲55 FREE AIRBNB COUPON CODE 💲🔥💲. Here’s your chance for a free credit coupon and codes to travel for FREE. Click the link NOW. Please DM me if you have any issues. #airbnb #airbnbcode #airbnbdiscount #airbnbpromo #airbnbfree</t>
  </si>
  <si>
    <t>Leil-Zahra Mortada</t>
  </si>
  <si>
    <t>So, @Airbnb didn't have enough with gentrifying neighbourhoods, causing soaring rent prices for locals &amp; feeding a massive housing crisis in Europe; they are trading with stolen houses on stolen lands. Shameless to say the least. #AirBnB #AirBnBurn RT @jvplive: This is infuriating. In the upside down world of unlawful settlements, built on stolen Palestinian land, Jewish settlers are claiming discrimination. And @Airbnb is backpedaling on a very important coalition win. SHAME and now we go back to organizing.</t>
  </si>
  <si>
    <t>Barcelona - Cairo - Berlin</t>
  </si>
  <si>
    <t>Allergic to injustices &amp; authority, sometimes I hold a camera, others a keyboard. Immigrant, sometimes legal. Transfeminist queer, I scribble big As in circles.</t>
  </si>
  <si>
    <t>JIJ</t>
  </si>
  <si>
    <t>Look who is coming back to its senses #AirBnb</t>
  </si>
  <si>
    <t>Unveiling hidden #injustices and promoting #humanrights is our driving force and main passion. Follow us. Email: contactus@jij.org.il Phone: +972-2-5375545</t>
  </si>
  <si>
    <t>miklosh van Egan</t>
  </si>
  <si>
    <t>#BDS-#MindControl&amp; Sons Insist Classical Music, Doesn't mean #Train has arrived. In other #PanamaPapers-#News: #AirBnB order to repeal #ObamaCare . #OWS-#TLV-#Unions-#Pensions-#Jerusalem-#Hemp-#Solar</t>
  </si>
  <si>
    <t>New York State</t>
  </si>
  <si>
    <t>Inagine your dream was interrupted by Commercial break</t>
  </si>
  <si>
    <t>More tech? Yes Please!!! 📱 Check out these smart-home tech ideas from CNET  #vacationrental #smarthome #TechTuesday #technology #airbnb #vrbo #bookdirect</t>
  </si>
  <si>
    <t>Hina Alam</t>
  </si>
  <si>
    <t>#Airbnb announced Tuesday that it will no longer block home rentals in Israeli settlements in the West Bank region.</t>
  </si>
  <si>
    <t>Toronto is home</t>
  </si>
  <si>
    <t>Reporter-Editor @CdnPress. Poynter fellow. By way of @TorontoStar, @timesofindia etc. Opinions own, retweets≠endorsements. Mail: hina.alam@thecanadianpress.com</t>
  </si>
  <si>
    <t>#BREAKING: #AirBNB has BACKTRACKED their decision to remove listings in the illegal settlements in the #WestBank, #Palestine. SHAME ON YOU @Airbnb! Never will I ever use your services again, you are unlawful, shameful, and you support terrorism! #StolenHomes @jvplive @BDSmovement</t>
  </si>
  <si>
    <t>#Airbnb backtracks on racist boycott</t>
  </si>
  <si>
    <t>Cambridge</t>
  </si>
  <si>
    <t>hello</t>
  </si>
  <si>
    <t>An entertainer's delight. 🏡 By Neil Sujan Visit Us ➡  ⬅ to learn how to profit from investment properties that you don't even need to own. #airbnb #vacationrental #luxurylisting</t>
  </si>
  <si>
    <t>Melody's Place</t>
  </si>
  <si>
    <t>Happy Easter season #airbnb</t>
  </si>
  <si>
    <t>Charlemont</t>
  </si>
  <si>
    <t>My name is Melody I was born and Raised on the cape. I am the owner of Melodys Place Lodging http://melodysplace.com I have 4 children.</t>
  </si>
  <si>
    <t>ZCC Manchester</t>
  </si>
  <si>
    <t>Huge #BDSFail care of #airbnb who finally had to allow morals to overcome others' #JewHate</t>
  </si>
  <si>
    <t>Trevor Knowles</t>
  </si>
  <si>
    <t>Book now! #airbnb</t>
  </si>
  <si>
    <t>Quintana Roo, México</t>
  </si>
  <si>
    <t>CEO of Hawks Training Academy Instagram: tlknowles Moved to Mexico 🛬 Spring into Summer! Fitness camp in Calgary!!! ↙️</t>
  </si>
  <si>
    <t>STOP BULLYING ISRAEL</t>
  </si>
  <si>
    <t>🔴 BREAKING: Interrupting #IsraelElections2019 with this public service announcement - #Airbnb confirms will not move forward implementing removal of listings in WestBank &amp; reiterates opposition to @BDSmovement. Big win for #Israel.</t>
  </si>
  <si>
    <t xml:space="preserve">Panama </t>
  </si>
  <si>
    <t>We provide evidence for the truth of Israel. Estamos en Facebook. (RT y Seguir No Constituye Promoción) #StopBullyingIsrael</t>
  </si>
  <si>
    <t>New research shows unprecedented levels of commercial #Airbnb activity in #Ottawa. @ottawacity #cdnpoli #ottpoli #FairRules RT @Fairbnbcanada: For immediate release.</t>
  </si>
  <si>
    <t>Rachel Middleton</t>
  </si>
  <si>
    <t>Airbnb reverses on delisting Israeli settlements, but won't profit from them #Israel #Airbnb #Arab #settlements  via @ChannelNewsAsia</t>
  </si>
  <si>
    <t>Canary Wharf, London</t>
  </si>
  <si>
    <t>Stints in international news wires across the globe covering finance,economics, general and politics.With newspaper, magazine and online reporting experience.</t>
  </si>
  <si>
    <t>ファヒム ウディン</t>
  </si>
  <si>
    <t>Hi I'm looking for #Brochure #Poster #Catalog #Magazine Contact me:  #Porto #ManCity #YNWA #Tottenham #Liverpool #COYS #TOTMCI #PortfolioDay #TedLieu #Airbnb #Netanyahu #Arab #ليفربول_بورتو #LIVPOR #China #Jesus #Halsey #Shawn #London #Switzerland #Follow</t>
  </si>
  <si>
    <t>I'm looking for #Flyer #Brochure #Poster #Catalog #Magazine #BusinessProfile #AnnualReport #SalesFlyer #Design #Banner #etc. #Design</t>
  </si>
  <si>
    <t>Don’t do hotels! Have freedom with an Airbnb! Sign up with the coupon link below to receive a $55 ❤️💲❤️ discount code with your first Airbnb. Please DM me if you have any issues. #airbnb #airbnbcode #airbnbdiscount #airbnbpromo #airbnbfree</t>
  </si>
  <si>
    <t>Taking a stroll in the SF shade, thinking about my cozy home. Grateful for the amazing #airbnb team that keeps me safe, comfy, dancing. Loving #SF and you today. That's where I'm at.</t>
  </si>
  <si>
    <t>Erez Neumark 🇮🇱🇧🇪</t>
  </si>
  <si>
    <t>#BREAKING :#airbnb cancels its #boycott of #Israeli settlements in the West Bank #BDS #BDSfail</t>
  </si>
  <si>
    <t xml:space="preserve">Tel Aviv, 🇮🇱 </t>
  </si>
  <si>
    <t>#Israel 🇮🇱 #USA 🇺🇸 Anti #BDS #ANTIZIONISM=#ANTISEMITISM FB @therealroseanne @RyanAFournier BB @georgegalloway</t>
  </si>
  <si>
    <t>ArchitectGuy</t>
  </si>
  <si>
    <t>#Airbnb cancels ban on West Bank Settlement listings; Shurat HaDin Israel Law Center lawsuit won’t go forward</t>
  </si>
  <si>
    <t>Dad/Granddad #Architect #Zionist #Gymrat #Syracuse alum #StandWithIsrael 🇮🇱 Subscribe to my #Israel news blog http://www.ReadArchitectGuy.us</t>
  </si>
  <si>
    <t>Sure, let's do some homework. There are 1,766 #AirBNB listings in YVR with expired 2018 licenses, 240 with dubious "Exempt" licenses, and 140 with clearly bogus IDs. Wait, why are we doing your homework for you? This is precisely why Vancouver's AirBNB MOU is a failure. #vanre RT @AlexDagg: The HAC and @AlanaBaker_HAC need to start doing their homework. Airbnb removed 2,485 of 7,280 listings in August 2018 as part of our agreement with the City of Vancouver. Airbnb remains the only platform to have an agreement with the city on regulations.</t>
  </si>
  <si>
    <t>A big thanks to #ottcity Councillors @MathieuFleury &amp; @cmckenney as well as to Blaine Cameron, city wide chair of @ACORNOttawa for supporting @Fairbnbcanada’s quest to rein in tech giants like #Airbnb. #affordablehousing</t>
  </si>
  <si>
    <t>Mayor Gabe Groisman</t>
  </si>
  <si>
    <t>Airbnb has RESCINDED their decision to delist Jewish/Israeli homes in Judea and Samaria (aka the West Bank)!!! @Airbnb is now open to all!! Congrats to all involved in making this happen!! #airbnb #israel #endhate</t>
  </si>
  <si>
    <t>Bal Harbour, Florida, USA</t>
  </si>
  <si>
    <t>Father. Husband. Mayor of Bal Harbour. Lawyer. Writer. Public Speaker. Patriot. Zionist. USA. Israel. Judaism. Life. Family. Politics. Travel</t>
  </si>
  <si>
    <t>David Ha'ivri 🇮🇱 #Israel on my mind</t>
  </si>
  <si>
    <t>While we are waiting to see if #Netanyahu forms #Israel's next government: #airbnb announces its retraction of plans to ban listing of #Jewish owned listings in Judea and Samaria aka west bank. Huge #BDSFAIL</t>
  </si>
  <si>
    <t>بلاد إسرائيل لبني إسرائيل</t>
  </si>
  <si>
    <t>Indigenous Jew. Salt of the land. Councilman in Shomron, the Heartland of Israel. Blocked by @BarakRavid</t>
  </si>
  <si>
    <t>Gig Wage</t>
  </si>
  <si>
    <t>Gig Wage CEO, Craig Lewis, on the future of Gig Economy IPO's. Read More on @Forbes here:  #gigeconomy #GigWage #Forbes #IPOs #Contractors #Lyft #AirBnB #Uber #Postmates</t>
  </si>
  <si>
    <t>Pay, manage &amp; support contractors and freelancers. Simple. Fast. Easy. #gigeconomy http://gigwage.com</t>
  </si>
  <si>
    <t>#airbnb birthday tour. I'm supposed to be napping. 🤦 #cantsleep @ Sandia Park, New Mexico</t>
  </si>
  <si>
    <t>dreamhostelbelgrade</t>
  </si>
  <si>
    <t>Even dogs know the beautie of Belgrade nites and amazing views from the Kalemegdan fortress. Visit Belgrade and stay with us. #airbnb #airbnbhost #airbnbbelgrade #airbnbserbia #belgrade…</t>
  </si>
  <si>
    <t>Belgrade, Republic of Serbia</t>
  </si>
  <si>
    <t>Feel the magic of Belgrade in amazing Dream hostel!</t>
  </si>
  <si>
    <t>Chris Love</t>
  </si>
  <si>
    <t>Book me in! #airbnb RT @Tash_Salmon: My friend's Airbnb in China is mental 😂</t>
  </si>
  <si>
    <t>Belfast, Northern Ireland</t>
  </si>
  <si>
    <t>CIPR Fellow, Chartered &amp; award winning PR Director. Former @CIPR_NI Chair &amp; @CIPR_UK Council Member. Rt is just that.</t>
  </si>
  <si>
    <t>$55 💸💵💸💵💸 Airbnb code coupon promo discount first. $55 OFF CLICK LINK NOW! Try it. Please DM me if you have any issues. #airbnb #airbnbcode #airbnbdiscount #airbnbpromo #airbnbcoupon</t>
  </si>
  <si>
    <t>Hey #TrudeauMustGo, #AhmedHussen, #IqraKhalid, listen and ... LEARN! #PierrefondsDollard #PPC2019 #RoxhamRd #GlobalCompactForMigration #RoxhamRd #Airbnb #UNHCR #OpenSociety #CenturyInitiative #MayorsMigrationCouncil #canpoli #polcan #UNexit RT @JackPosobiec: Candace Owens just absolutely torched Ted Lieu</t>
  </si>
  <si>
    <t>Tim Klaws 🤙🏼</t>
  </si>
  <si>
    <t>Night@Louvre🤘🏼I #Paris #Louvre #Airbnb #awesome</t>
  </si>
  <si>
    <t>Head of Public Policy DACH &amp; CEE for @Airbnb_de I Views voiced here purely personal. Retweets and Likes ≠ endorsements #endlesstennis #lebenslanggrünweiß</t>
  </si>
  <si>
    <t>Hurry up to see Magnolia in full bloom here in the south of Sweden 😍 . #semester #organic #yoga #kundalini #magnolia #eko #ekologisk #vacation #relax #Airbnb #airbnbsweden…</t>
  </si>
  <si>
    <t>Charlie on Travel</t>
  </si>
  <si>
    <t>Booking your #holiday for 2019? Check out some of our favourite Airbnbs including this bamboo villa in Bali 🌴 Get £34 off #Airbnb here:  #discount #coupon #airbnbcoupon #ttot #bali #traveltuesday #airbnbdiscount</t>
  </si>
  <si>
    <t>Travel Blogger • slow traveller • vegetarian • house sitter • eco tourism • responsible travel | @HuffPostUK contributor | Travelling in UK 🇬🇧</t>
  </si>
  <si>
    <t>“Blossom by blossom the spring begins.” — Algernon Charles Swinburne  #vrbo #airbnb #superhosts #MissouriAdventure</t>
  </si>
  <si>
    <t>Cubebrush</t>
  </si>
  <si>
    <t>Ever wanted to sleep inside a #museum?😄 Now you can sleep IN the #Louvre! *Deadline to enter is 12 April.  #airbnb #paris #france #nightatthemusuem #art #digitalart #artwork #artist</t>
  </si>
  <si>
    <t>Orange County</t>
  </si>
  <si>
    <t>Cubebrush is a platform for tutorials, tools, game &amp; design assets created by artists all over the world and curated by us. Serving the art community since 2016</t>
  </si>
  <si>
    <t>WANT YOUR FREE AIRBNB? 💵💚💵Here’s your chance for a free credit coupon and codes to travel for FREE. Click the link NOW. Please DM me if you have any issues. #airbnb #airbnbcode #airbnbdiscount #airbnbpromo #airbnbfree</t>
  </si>
  <si>
    <t>Alyssa Riches</t>
  </si>
  <si>
    <t>Sometimes I’m witty, sometimes I even think I’m funny. Sometimes I’m just excited to be over the 20 mark on airbnb bookings 🙌🏻 . . 📸: ashton_clow with experience_studios . . #airbnb…</t>
  </si>
  <si>
    <t>Colorado, USA</t>
  </si>
  <si>
    <t>Owner of Alyssa Riches Weddings</t>
  </si>
  <si>
    <t>I put together a sub 1 minute video for our Airbnb cottage in Yorkshire. I reckon it's come out ok :) #airbnb #holiday #cottage #holidaycottage #yorkshire #york #leeds #wetherby</t>
  </si>
  <si>
    <t>Is that classed as a cameo part, or have you been framed? #comfortcottagehealing #visitwales #dogfriendly #TheDogsWithMe #alpacas #ArtsWales #SunDogs #Airbnb #yell RT @ruthwignall: Catch me 9pm tonight.. if you can! 😂 @itv new drama The Widow! I star along side the fabulous @KateBeckinsale !! I’m genuinely a flash frame in the opening shot.. but hey.. it’s a start!! #fame #television #acting</t>
  </si>
  <si>
    <t>Outdoor Waterproof CNC Engraved Custom Residential &amp; Commercial Signs!  … #USVI #NewJersey #Gulfport #NewOrleans #cherryblossom #airbnb #bedandbreakfast #TravelTuesday #SignsofSpringNYC ☀️☀️☀️#NewYorkForever</t>
  </si>
  <si>
    <t>CleanUpWestSOMA</t>
  </si>
  <si>
    <t>This has become painful to watch.</t>
  </si>
  <si>
    <t>Outdoor Waterproof CNC Engraved Custom Residential &amp; Commercial Signs!  #USVI #NewJersey #Gulfport #NewOrleans #cherryblossom #airbnb #bedandbreakfast #TravelTuesday #SignsofSpringNYC ☀️☀️☀️</t>
  </si>
  <si>
    <t>Portland Adventure Tours</t>
  </si>
  <si>
    <t>😍 Thank you, Harry! #airbnb #portland #superguest</t>
  </si>
  <si>
    <t>One of a kind experiences with Portland’s favorite local guide! 🌲🍩 📸 🚕 🚲 🥾</t>
  </si>
  <si>
    <t>Virnalisi Johnson</t>
  </si>
  <si>
    <t>Move to SMYRNA GA today! Private Showings Available. #Braves #Smyrna #Galleria #CobbGalleria #Cumberland #CumberlandMall #STR #AirBNB</t>
  </si>
  <si>
    <t>Atlanta Georgia</t>
  </si>
  <si>
    <t>Anything you need to know about Short Sales and Foreclosures!</t>
  </si>
  <si>
    <t>LatelyShow</t>
  </si>
  <si>
    <t>Heute bei der LATELY SHOW: Airbnb  #lsfs #latelyshow #latelynews #comedy #nachrichten #berlin #politik #satire #deutschland #airbnb #ShareEconomy #Wohnungsmarkt #Paris #Amazon #Registrierungsnummer #Zweckentfremdungsgesetz #Urlaub #Tourist #ArsenalLondon</t>
  </si>
  <si>
    <t>Die #LatelyShow mit Florian Strzeletz | Immer dienstags und freitags | immer besser | um 20h auf @youtube | http://www.youtube.com/LatelyShow</t>
  </si>
  <si>
    <t>AIRBNB COUPON CODES 🔥Sign up with the coupon link below to receive a 💲55 💵✈️ discount code with your first Airbnb. Please DM me if you have any issues. #airbnb #airbnbcode #airbnbdiscount #airbnbpromo #airbnbfree</t>
  </si>
  <si>
    <t>Vinny Dicarlo and Grant Fawcett visiting our partner @airbnb at their global headquarters in #sanfrancisco #whereisciirus #airbnb #partner #bookinghomes #deliveringguests #comingtoatownnearyou #developing #vacationrentals #software #vacationrentalsoftware #propertymanagement #t</t>
  </si>
  <si>
    <t>Steve Swindells</t>
  </si>
  <si>
    <t>#guesttwo #mashup #digitalart #digitalmanipulation #iphonephingerpainting #airbnb #airbnbguests #abstractart #photography #copyrightsteveswindells #april9th2019 @ High Street, Harlesden</t>
  </si>
  <si>
    <t>London NW10</t>
  </si>
  <si>
    <t>Creative Polymath: singer/songwriter/producer/musician/poet/painter/ photographer/blogger &amp; author - amongst other things.</t>
  </si>
  <si>
    <t>Eric Bremer</t>
  </si>
  <si>
    <t>#airbnb Friend gets invite to introduce others to @airbnb: if the introduced person books, he gets €25 discount and introductor €15. I subscribe, but discounts refused: “You registered with Airbnb in 2006 already; is only incentive to register”. I can’t recall and certainly</t>
  </si>
  <si>
    <t>Entrepreneur, consultant in e-commerce, media &amp; publishing. Interimmanager. Voorzitter St. Behoud Synagoge Delft, voorzitter Open Joodse Gemeente Klal Israël</t>
  </si>
  <si>
    <t>veryItchyfeet.com</t>
  </si>
  <si>
    <t>Love, friendship and good coffee ... is all you need!  — A Lifetime of Travel Detours #Ecuador #Quito #travel #travelBlogger #Andes #AndesMountains #Airbnb #veryitchyfeet #viajeros...</t>
  </si>
  <si>
    <t>Worldwide - Now in #Argentina</t>
  </si>
  <si>
    <t>A Lifetime of Travel Detours 👣 Now in: #Quito #Ecuador. https://www.facebook.com/veryitchyfeet #veryitchyfeet #Travel #traveller #viajeros #worldtravel</t>
  </si>
  <si>
    <t>Check out these Airbnb listings from Vacation Inn LA! We have something for every individual or group, whether you are traveling for work or on a vacation #airbnb #vacationrentals #corporatehousing #work #losangeles</t>
  </si>
  <si>
    <t>Jyoti Sarolia</t>
  </si>
  <si>
    <t>Airbnb continues to be a challenge for @AAHOA members. The story at the link below may be of interest to you about a proposed regulation in Cincinnati.  #AAHOA #Airbnb #hotels #hospitality Photo: Jenn Print | COURIER</t>
  </si>
  <si>
    <t>📌 #airbnb #airbnbsuperhosts makes a lot of #happyguests #kortrijk #belgium #UK #review_boulevard 👍🏼</t>
  </si>
  <si>
    <t>Dear @liberal_party of #CANADA, listen to every single word this brilliant #badass lady is saying and ... LEARN! #PPC2019 #RoxhamRd #GlobalCompactForMigration #RoxhamRd #Airbnb #OpenSociety #CenturyInitiative #MayorsMigrationCouncil #canpoli #UNexit</t>
  </si>
  <si>
    <t>B&amp;B_Gemma_Lucca</t>
  </si>
  <si>
    <t>LUCCA CENTRO one free double room tonight in @RoomsLuccaGemma Lucca 49€ with breakfast, parking 10€ book now #BookingNow #Expedia #tripadvisor #airbnb #easyjet #ryanair</t>
  </si>
  <si>
    <t>via della zecca 33, Lucca</t>
  </si>
  <si>
    <t>Dal 2000 il primo Bed &amp; Breakfast a Lucca, grandi stanze con bagno privato, colazione buffet, parcheggio, giardino, biciclette, WiFi, AirportTransfer.</t>
  </si>
  <si>
    <t>Melodie J. Bowler</t>
  </si>
  <si>
    <t>My parents stayed in Durham for my graduation from @UNC. Chapel Hill is a town of ~60,000 that can't support the quantity of large-scale hotels needed for graduation weekend. The neighboring town, Carrboro (~20,000), got it's first hotel just a few years ago. #Airbnb is a godsend RT @dailytarheel: Chapel Hill has over 200 active Airbnbs, and the number is only getting larger.</t>
  </si>
  <si>
    <t>East Bay, CA</t>
  </si>
  <si>
    <t>From the Chesapeake Bay. Living in the East Bay. Public policy professional turned baker. Tweets about cookies @thesbcafe.</t>
  </si>
  <si>
    <t>Pink Mako</t>
  </si>
  <si>
    <t>Anguilla</t>
  </si>
  <si>
    <t>First Time Airbnb $55 coupon promo referral code :) Get your discount credit on your first trip Click the link NOW 💸💸💸—-&gt;✈️ #airbnb #airbnbcode #airbnbdiscount #vacation #trips #travel #getaway</t>
  </si>
  <si>
    <t>DreamToIPO</t>
  </si>
  <si>
    <t>The one good way to build a viable startup and great product is to continue studying about the successful startup. Here is a blog by Growth PM Lead of Airbnb on his Airbnb experience. Worth reading, worth learning.  #Airbnb #startup #tech #product #apps</t>
  </si>
  <si>
    <t>#DreamToIPO helps #Startups turn their #ideas into great #applications &amp; digital #products with agile #web &amp; #mobile solution.</t>
  </si>
  <si>
    <t>A #new #lifeguard #tower has just been finished in front of #lospelicanos #casadelosviajeros #puertomorelos #stepstothebeach Link in bio #mexico #youshouldbehere #casadelosviajeros #vacationrental #airbnb #vrbo #homeaway #doyoutravel #travelandlife …</t>
  </si>
  <si>
    <t>Anand</t>
  </si>
  <si>
    <t>2. ... Influenced..all of these seem arbitrary. I badly want to write a r we review and my host wants me to.. There must be a way. It can be so hard to implement. You stopd references too.. this is very restrictive and is not so complicated for someone with #airbnb 's resources</t>
  </si>
  <si>
    <t>Conwy Property Management</t>
  </si>
  <si>
    <t>Great feedback from a recent guest at Hafan Back 🤩 #airbnb #shortstay #ukholidays #northwales #holidaylets #holidayhomeservices @ Llandudno</t>
  </si>
  <si>
    <t>Llandudno, Wales</t>
  </si>
  <si>
    <t>Holiday Home services for #holidayhome &amp; #secondhome owners in Conwy, North Wales 🏴󠁧󠁢󠁷󠁬󠁳󠁿</t>
  </si>
  <si>
    <t>1. #airbnb I asked your support to help revu aftr 14 days thru a chat with Bryan Y (contracted out support), who was wonderful btw, I learn that the reasons for not allowing this are 1. most revus happen within 14 days 2. Hosts might forget details 3. Others reviewers wil b</t>
  </si>
  <si>
    <t>MOKU</t>
  </si>
  <si>
    <t>Canadian government says it’s considering regulating Facebook and other social media giants | The Star  #airbnb</t>
  </si>
  <si>
    <t>Minimalist in design. Intelligent in function. Quality in build. We provide designer products that you care about, without the high price tag.</t>
  </si>
  <si>
    <t>Oliver P. Timme</t>
  </si>
  <si>
    <t>#airbnb users, be careful! via @snubs RT @Snubs: AirBnB Hidden Cameras, Facebook Still Horrible For Privacy - ThreatWire</t>
  </si>
  <si>
    <t>Interested in Security and Analytics. Flair for new technologies and addicted to techy gadgets</t>
  </si>
  <si>
    <t>Julia Jornsay-Silverberg</t>
  </si>
  <si>
    <t>A little something I wrote recently: How To Find A Great Airbnb: Denver Airbnb Tour  #Denver #Airbnb #AirbnbTour</t>
  </si>
  <si>
    <t>Buffalo, NY</t>
  </si>
  <si>
    <t>enthusiastic #socialmedia strategist; #youtuber; speaker; ruckusmaker; SM Director @telescocreative; #blogger; yogi; authenticity advocate #braverybeats</t>
  </si>
  <si>
    <t>Learn how you can turn your home into an Airbnb with Hastings County’s Short-Term Accommodations Workshop Series. For more information and to purchase tickets visit  #Airbnb #wildlywelcoming</t>
  </si>
  <si>
    <t>Real Property Management Associates</t>
  </si>
  <si>
    <t>#vacationseason in Cape Cod is almost in full bloom. How do you think the taxing of short-term rentals and companies like #Airbnb will affect the market? Leave a comment 👇 #homeaway #vbro #vacationrental #shorttermrentals #Realestate #summerhomes #southshoremass #capehouse</t>
  </si>
  <si>
    <t>Weymouth, MA</t>
  </si>
  <si>
    <t>25+ years of experience. Residential🏡, Vacation🏩 Commercial🏢, Apartment 🌆, Community 🏘️ Property management. Call 508-509-4485 or click the link below.</t>
  </si>
  <si>
    <t>A #new #lifeguard #tower has just been finished in front of #lospelicanos #casadelosviajeros #puertomorelos #stepstothebeach Link in bio #mexico #youshouldbehere #casadelosviajeros #vacationrental #airbnb #vrbo #homeaway #doyoutravel #travelandlife #traveldeeper #travel…</t>
  </si>
  <si>
    <t>Surround yourself with the beauty of Sedona AZ...  #vacationinsedona #vrbo #airbnb #experienceparadise #vacation #sedona #getaway #sedonamountains #adventuresinsedona #arizona #instagramaz #travel #homeaway #vacationtime #journe…</t>
  </si>
  <si>
    <t>Prisca Kumako</t>
  </si>
  <si>
    <t>République du Bénin</t>
  </si>
  <si>
    <t>Project Manager | Digital Marketing &amp; Corporate Communication | @UBABenin | Ex @isocelofficiel @Moov_Benin @CoinAfrique | Food blogger @melimiam_</t>
  </si>
  <si>
    <t>$55 ❤️💙💜💚🧡💵💲💸✈️🗺⚠️ Airbnb code coupon promo discount first. $55 OFF CLICK LINK NOW! Try it. Please DM me if you have any issues. #airbnb #airbnbcode #airbnbdiscount #airbnbpromo #airbnbcoupon #YachtCocaineProstitutes #TuesdayThoughts</t>
  </si>
  <si>
    <t>Mick Rodgers</t>
  </si>
  <si>
    <t>#AirBnB Hidden Cameras, Facebook Still Horrible For Privacy - ThreatWire  via @YouTube #cybersec #infosec</t>
  </si>
  <si>
    <t>Saint Kitts and Nevis</t>
  </si>
  <si>
    <t>Avid Technologist, Marketer, Traveler, Historian... And Sometimes comedian.</t>
  </si>
  <si>
    <t>John Hardy</t>
  </si>
  <si>
    <t>Tau</t>
  </si>
  <si>
    <t>I am a virtual assistant specializing in MSOffice and social media. Die-hard #NEPatriots and #BostonCeltics fan</t>
  </si>
  <si>
    <t>Greek Authorities Pull in #Tax-dodging #Airbnb Proprietors  #Greece #taxation #travel #tourism #ttot</t>
  </si>
  <si>
    <t>Runakay502</t>
  </si>
  <si>
    <t>✨✨✨Peru 🇵🇪 Just the Magic...!✨✨✨ Take a look at all the wonders you can enjoy when visiting Peru. Make Runakay 502 your homemade and do it in comfort and style! #airbnb #vrbo #booking #rentals #superhost #limaperu</t>
  </si>
  <si>
    <t>Miraflores, Peru</t>
  </si>
  <si>
    <t>Ryan Hansen</t>
  </si>
  <si>
    <t>Just had a great vacation in a St. George Utah cabin using #airbnb Way better experience than our hotel stays on the same trip. Want to try it? Get money off your stay using this referral:</t>
  </si>
  <si>
    <t>Utah, USA</t>
  </si>
  <si>
    <t>Want to leave my mark, remembered for good. Family and God first, fun a close second. Friends with people that make the world better simply being themselves</t>
  </si>
  <si>
    <t>JAMAICA DISCOVERY BAY | 3 BED BEACHFRONT VILLA | POOL | BEACH | COOK | HOUSE KEEPING (((CLICK LINK IN BIO TO CONNECT))) #vacationrental #travel #holidayrental #airbnb #like #paradiseJV #airbnbhost #holiday #airbnblife #homeaway #villarental #servicedapartments #Jamaica #house</t>
  </si>
  <si>
    <t>Yaro</t>
  </si>
  <si>
    <t>I'm living the loft lifestyle in #Montreal for a month. #airbnb #canada #travels #digitalnomad #loft @ Island of Montreal</t>
  </si>
  <si>
    <t>Co-founder @ http://InboxDone.com Blog and Podcast @ http://Yaro.blog Angel Investor and Digital Nomad</t>
  </si>
  <si>
    <t>Jacqui Chan</t>
  </si>
  <si>
    <t>Of course. Wait til you see #YYJ condos. Huge bubble burst. I don’t think the @CityOfVictoria zero effort to enforce #AirBnb by-laws will even help. #bubbletrouble RT @mark_van_wasit: I just spoke with someone in the RE industry and he said things look ugly in April and condos are losing value faster than detached did. #vanre</t>
  </si>
  <si>
    <t>Victoria, British Columbia</t>
  </si>
  <si>
    <t>Vancouver Ex Pat</t>
  </si>
  <si>
    <t>MoGo</t>
  </si>
  <si>
    <t>PLEASE PLEASE RETWEET @DailyMail @AirbnbHelp guests damage door frame. All damage documented. #Airbnb refuses all compensation. Offers no explanation. I'm out hundreds. I just don't understand why. #airbnbnightmares #airbnb #HOSTING #DailyMail #austin</t>
  </si>
  <si>
    <t>London / NYC</t>
  </si>
  <si>
    <t>RPCV. Lover of cities, transportation, buildings, farms, fresh food, fitness, all things urban + environmental. Tree hugger. NYC. London. Austin.</t>
  </si>
  <si>
    <t>Check out our new article: How about offering local crafted keepsakes as add on sale during AirBNB stay?  #artist #keepsake #handcrafted #Airbnb</t>
  </si>
  <si>
    <t>Sentieo</t>
  </si>
  <si>
    <t>Utilizing different data sets yields different insights - Long-term search trends for @AirBnB and @SlackHQ are very positive (13-wk moving average shown); notable seasonality for #AirBnB - Twitter "spikes" are useful for benchmarking buzz/mentions against prior discrete events</t>
  </si>
  <si>
    <t>Sentieo is an equity research platform built for today's analyst. Tweets are not investment advice and are provided for information purposes only.</t>
  </si>
  <si>
    <t>My newest listing in Crescant Park is now ready. #airbnb #vacationrental #vrbo #homeaway #newlisting @ Fort Lauderdale, Florida</t>
  </si>
  <si>
    <t>Is there anything in this that refers to effective enforcement of #Airbnb by-law? #YYJpoli RT @CityOfVictoria: We're working on several new actions to improve housing affordability &amp; support for renters. Join us Apr 15 and 16 to learn more  #yyj #housing</t>
  </si>
  <si>
    <t>Mike Bellafiore</t>
  </si>
  <si>
    <t>Step-by-step in detail explanation in this video of: How to trade the Lyft IPO $LYFT  $UBER $LYFT #airbnb #pininterest #slack #postmates all coming in 2019</t>
  </si>
  <si>
    <t>Author of The PlayBook and One Good Trade. Co-Founder of SMB Capital, a prop trading firm, and http://SMBU.com, our trader education arm. New Dad.</t>
  </si>
  <si>
    <t>ReBOTL for Milan Design week #recycle #recycling #robot #cartoon #milandesignweek #milandesignweek2019 #freetour #freewalkingtour #lonelyplanet #inlombardia #milanofood #milano_bestphoto #milanocity #breramilano #breradesigndistrict #hostelworld #ostellobellomilano #airbnb</t>
  </si>
  <si>
    <t>ForShow Staging</t>
  </si>
  <si>
    <t>Ancaster, Ontario</t>
  </si>
  <si>
    <t>ForShow Staging and Design, Certified UltimateStager™, Ultimate Decorator &amp; ReDesigner, Certified Feng Shui &amp; Professional Organizing Specialist</t>
  </si>
  <si>
    <t>Chris Rosprim</t>
  </si>
  <si>
    <t>Insuring your belongings is a good idea when renting your home out on #Airbnb. #REinvesting</t>
  </si>
  <si>
    <t>47 years experience in all phases of commercial real estate....buy, sell, lease, manage.....commercial, residential, industrial, office, multi-family, land.</t>
  </si>
  <si>
    <t>Feds "actively considering" regulating social media giants &amp; believes that self-regulation of the platforms has failed. @karinagould says they see themselves as operating on a diff level &amp;amp; that isn't fair to Cdns. #Airbnb must also be taken into account!</t>
  </si>
  <si>
    <t>“We recognize that self-regulation is not yielding the results that societies are expecting these companies to deliver” - via Democratic Institutions Minister ⁦@karinagould⁩ #Airbnb</t>
  </si>
  <si>
    <t>$55 ❤️💵❤️💵❤️💵 Airbnb code coupon promo discount first. $55 OFF CLICK LINK NOW! Try it. Please DM me if you have any issues. #airbnb #airbnbcode #airbnbdiscount #airbnbpromo #airbnbcoupon #YachtCocaineProstitutes #TuesdayThoughts #TuesdayMotivation</t>
  </si>
  <si>
    <t>KODA houses for rental business. Fixed 7% yield in a heart of #Tallinn All houses equipped with our #smarthome solutions and property management for #airbnb and #booking customers. #koda</t>
  </si>
  <si>
    <t>FantAflat</t>
  </si>
  <si>
    <t>Trova le differenze... Waiting for our guests😎😎. #work #waitingfor #guest #booking #airbnb #vacation #trip #good #day #vacanzeromane #roma #vatican</t>
  </si>
  <si>
    <t>Regulate Airbnb-style lets or risk hurting long term market - warning  #Property #Rentals #Shortlets #Airbnb</t>
  </si>
  <si>
    <t>Rise and rise of #Airbnb shows we haven't changed much since 7:84 - looking at the precarious gig economy and measures of poverty and inequality that foreshadow and underlie the #Brexit delirium. Read more at  #servicedapartments #servicedapartmentnews</t>
  </si>
  <si>
    <t>#airbnb #nhill #wimmeramallee @ Wendy's Retreat Nhill</t>
  </si>
  <si>
    <t>Greg Collier</t>
  </si>
  <si>
    <t>#Teststrips, #videodoorbells, and #Airbnb fights hate</t>
  </si>
  <si>
    <t>McLean, VA</t>
  </si>
  <si>
    <t>Founder of https://geebo.com</t>
  </si>
  <si>
    <t>Geebo</t>
  </si>
  <si>
    <t>fairbnbclaim</t>
  </si>
  <si>
    <t>A great investigation by @cbcmarketplace @CBCharlsie on what happens when #Airbnb goes wrong #Airbnbad #CLAIM your compensation with us!</t>
  </si>
  <si>
    <t>Do you have a problem, dispute, legal matter or lawsuit with #Airbnb or any other #shortterm #homestay or #rental company? Get legal advice. No cure no pay 🦉</t>
  </si>
  <si>
    <t>Why do people like Airbnb? Learn more about at  #airbnb #travel #vacation #airbnbhost #booking #holiday #airbnbexperience #nature #interiordesign #bedandbreakfast #vacationrental #homeaway #airbnbsuperhost #wanderlust #superhost #tripadvisor #travelgram</t>
  </si>
  <si>
    <t>#nhill #hindmarsh #wimmeramallee #grampians #victoria #Australia #Airbnb @ Wendy's Retreat Nhill</t>
  </si>
  <si>
    <t>Its not unusual to be watched at any time....#Airbnb</t>
  </si>
  <si>
    <t>LIVE IN HEARTLAND? CUSTOM ADDRESS SIGNS FOR RURAL LARGE ESTATES BY GREEN COTTAGE DESIGN  #Nebraska #LakeChelan #Portland #PugetSound #NewHampshire #Airbnb #bedandbreakfast #flyfishing #SmokyMountains #BlueRidgeParkway #Yellowstone</t>
  </si>
  <si>
    <t>Hillside behind the tiny house is starting to bloom again #bluebells #flowers #backyardwilderness #airbnb #hipcamp #glampinghub #glamping #nature #naturefotography #gotowv #shepherdstown #dutchmansbreeches #stoneriverhouse</t>
  </si>
  <si>
    <t>CUSTOM BEACH COASTAL LAKE FARM SIGNS-ADDRESS-CURB APPEAL-RECREATIONAL POOLSIDE SIGNS-GIFTS   #PoolParty #beachbody #SummerHouse #RealEstate #Gulf #Wilmington #SurfCity #OakIsland #TybeeIsland #homedecorideas #Vacations #airbnb 🦀☀️</t>
  </si>
  <si>
    <t>i2m</t>
  </si>
  <si>
    <t>Driving in my #Tesla on my #iPhone to get to #Starbucks so I can #Google #airbnb &amp; book a trip. BUT, i HATE #capitalism The #delusional view of MANY #Democratis &amp;amp; #media</t>
  </si>
  <si>
    <t>Christian. Hubby. Dad of Modern Day Knight. Logical Conservative. Gun Owner. Reading Geek. Guitarist. Entrepreneurial Stuff @ CCP, Fone Zone, CDN</t>
  </si>
  <si>
    <t>King Edward House</t>
  </si>
  <si>
    <t>Springtime... looking forward to this new season - let the adventures begin here at KEH - if you're looking for a place to stay on the river check us out over on Airbnb... #KEH #kingedwardhousewindsor #kingedwardhouse #airbnblife #airbnbhost #airbnb #windsor</t>
  </si>
  <si>
    <t>Windsor, UK</t>
  </si>
  <si>
    <t>Stunning private riverside retreat in #Windsor, King Edward House sleeps up to 8 people &amp; Willow Lodge which is a separate Lodge sleeps upto 4. #Riverviews</t>
  </si>
  <si>
    <t>Rachana racchu</t>
  </si>
  <si>
    <t>Want to develop a #travelling_app like #Airbnb?? Check out the below link to know how much does an app like Airbnb cost.</t>
  </si>
  <si>
    <t>I am Rachana, working as a Business Development Executive at FuGenX technology. FuGenX is a CMMi Level 3 company in India.</t>
  </si>
  <si>
    <t>Samsara Online</t>
  </si>
  <si>
    <t>Check out these Airbnb listings in Hobart  #hobart #tasmania #airbnb #visithobart</t>
  </si>
  <si>
    <t>Hobart, Tasmania</t>
  </si>
  <si>
    <t>Beautiful fair trade handmade products from around the world, by people such as landmine victims in Cambodia. Check us out at http://samsaraonline.etsy.com</t>
  </si>
  <si>
    <t>Supercords</t>
  </si>
  <si>
    <t>I'm staying at an #AirBnB this week in #NYC. I just assume there are hidden cameras live streaming to a paying audience, so I'm trying to put on a good show. @Airbnb</t>
  </si>
  <si>
    <t>International Affairs &amp; Politics. Worked abroad 5 years in Brazil, Japan, China, &amp; Thailand. People over party. Words matter. #ImpeachTrump</t>
  </si>
  <si>
    <t>Be assisted by a Superhost!!! For booking: ✔AIRBNB- ⠀ ✔⠀ ✔HOMEAWAYhttps://buff.ly/2DpFuDU #AIRBNBsuperhostT #AIRBNB #bestplaceindxb #dreamdtravels #UAEDUBAI #dubaistay #dubaimarina #dubailuxuryapartment #bestviewindubai #marina</t>
  </si>
  <si>
    <t>Carolina Quackenbush</t>
  </si>
  <si>
    <t>When your #airbnb doesn't have a corkscrew, you got to do what you got to do... I &amp; D wine opener #thestruggleisreal #jesusfixedit #14hands #wheninwellington #AllOutOfDucks…</t>
  </si>
  <si>
    <t>South Florida</t>
  </si>
  <si>
    <t>Birth Doula - Massage Therapist</t>
  </si>
  <si>
    <t>Robert Scanlan</t>
  </si>
  <si>
    <t>You could stay here...  #airbnb</t>
  </si>
  <si>
    <t>Halifax N.S</t>
  </si>
  <si>
    <t>An always on the go native Nova Scotian, #Realtor with #royallepage, #realestate investor, handyman, #zombie lover and dad to a 12 year old Jack.</t>
  </si>
  <si>
    <t>#creative #popup #concept set up a large table at the Kallidromiou Saturday market handing out anti airbnb / gentrification fliers and materials. Take donations from rich tourists by making them feel bad. #airbnb #art #exarcheia #athens</t>
  </si>
  <si>
    <t>Experiential culture with @Airbnb and a night at The Louvre, Paris. #experiential #airbnb #thelouvre</t>
  </si>
  <si>
    <t>PHILLY HOME ADVISORS</t>
  </si>
  <si>
    <t>Renting Out: #Airbnb Shows Pro And Con For Homeowners  #RealEstate</t>
  </si>
  <si>
    <t>Real estate agents located in Philadelphia working with buyers, sellers and investors. 484.816.6130 jason@phillyhomeadvisors.com</t>
  </si>
  <si>
    <t>Rima Berns-McGown</t>
  </si>
  <si>
    <t>We’re faced with an #affordablehousing crisis in Ontario &amp; we need to understand the #Airbnb effect. Join @ACORNOttawa today! #ONpoli RT @Fairbnbcanada: Friends, our coalition releases new research on #ottcity. Interested what #Airbnb does to #Ottawa's housing market? Come &amp;amp; join @ACORNOttawa's city wide rep Blaine Cameron, Councillors @MathieuFleury &amp;amp; @cmckenney, &amp;amp; @Fairbnbcanada's @twieditz in Ottawa. #onpoli #affordablehousing</t>
  </si>
  <si>
    <t>Turtle Island</t>
  </si>
  <si>
    <t>MPP, Beaches-East York; Official Opposition Critic for Poverty &amp; Homelessness</t>
  </si>
  <si>
    <t>Rosie Windsor</t>
  </si>
  <si>
    <t>Do you love my very beautiful new cushions? Got them in Braidwood. So appropriate (the jewels) and beautifully made. Bling cushions are still there too... . #attheloft #airbnb #braidwood…</t>
  </si>
  <si>
    <t>Bungendore, Australia</t>
  </si>
  <si>
    <t>Jewellery maker to the people that appreciate style, originality and quality... with a dash of chilli!</t>
  </si>
  <si>
    <t>Daniel Damilola Nejo</t>
  </si>
  <si>
    <t>With the recent media frenzy about hidden cameras in hotel rooms and AirBnb, this post comes in handy. Enjoy #airbnb #hiddencamera</t>
  </si>
  <si>
    <t>On a path to being the strongest version of myself • Musician • Creative Designer • #EkoToLondon 🇳🇬🇬🇧</t>
  </si>
  <si>
    <t>Pieces of heaven...because you deserve it😊 #maisonvie #london #kilburn #nw6 #frenchcafe #frenchbakery #frenchrestaurant #ICMP #airbnb #londonfoodie #londonfood #londoncafe #londonbakery #londonrestaurant #instagood #instafood #delicious #yummy #tasty #queenspark #southhamstead</t>
  </si>
  <si>
    <t>#airbnb owners. increase occupancy, reduce time consuming questions by supplying floorplan with your property details</t>
  </si>
  <si>
    <t>AudioVisual Material</t>
  </si>
  <si>
    <t>#Surveillance cameras are now readily available offering the opportunity for some #unethical practices as this family enjoying an #AirBnB holiday found out  #AV</t>
  </si>
  <si>
    <t>Camberley</t>
  </si>
  <si>
    <t>Helping #ProAV integrators profit through our specialist #displays #signalmanagement #traderental and #projection divisions. Expert in-house technical support.</t>
  </si>
  <si>
    <t>Bambi Boulangerie</t>
  </si>
  <si>
    <t>Does the B&amp;B in AirBnB stand for Bunions &amp;amp; Braces?! 😁 I know; it don't make no sense. It's nearly 3:00 a.m. &amp;amp; obviously past my bedtime. #airbnb #bunions #braces #dontmindme #bedtime</t>
  </si>
  <si>
    <t>San Francisco, Cali</t>
  </si>
  <si>
    <t>Francophile &amp; Italophile who's also obsessed with Hawaii, New Orleans and Bali. Wants to move to Bali!!! Follow me on Instagram (@bambibellina).</t>
  </si>
  <si>
    <t>Six questions that will change the way you hosting your AirB&amp;B  #newhosting #localhost #thegoldenmoon #airbnb #airbnbeurope #airbnbhost #airbnbhosting #airbnbhosttips #airbnblisting #getairbnbbookings #rentonairbnb #spareroom #superhost #thegoldenmoon_com</t>
  </si>
  <si>
    <t>Cath</t>
  </si>
  <si>
    <t>#airbnb seriously need to make their website more user friendly!</t>
  </si>
  <si>
    <t>Vegetarian, Graphic Designer, Web Designer huge David Tennant &amp; Doctor Who Fan, Sherlockian. TIME IS SHORT, MAKE IT COUNT!</t>
  </si>
  <si>
    <t>Running over this concrete jungle 🏃🏻‍♂️ Shot by ins: arnaudbalo Selected by ins:wellcee_china #shanghai #shanghaiist #shanghailife #shanghainese #skyscraper #china #chinese #asia #galaxy #bigcity #expatlife #thatsshanghai #vibes #asian #expat #lifeinchina #explorechina #airbnb</t>
  </si>
  <si>
    <t>3rd floor penthouse @ heart of TKOhttps://www.airbnb.jp/rooms/1306664?guests=2&amp;amp;s=SjOp  via Twitter W #airbnb</t>
  </si>
  <si>
    <t>Another nail in the coffins of Airbnb etc. with new EU and UK regulations coming soon #Airbnb #illegalhotel #unlicencedhotel #str #ota #homeaway #vrbo #cda230 #laws</t>
  </si>
  <si>
    <t>The Bougie Chronicles💕</t>
  </si>
  <si>
    <t>Have other people just randomly had their #airbnb accounts suspended?</t>
  </si>
  <si>
    <t>Youtube.MUA. Instagram @OfficialAishh_♑️ Law Undergrad #LABOUR #JC4PM #BlackLivesMatter</t>
  </si>
  <si>
    <t>Alison Mannas</t>
  </si>
  <si>
    <t>Another good airbnb find #Nottingham #robinhoodcountry #airbnb</t>
  </si>
  <si>
    <t>Saint Neots, England</t>
  </si>
  <si>
    <t>😀Busy Mum of 2 boys. Licensed Conveyancer. Age UK Befriending Volunteer. Great sense of adventure. Love cocktails.🍹Enjoy fishing 🐟</t>
  </si>
  <si>
    <t>Thank you Didi for your lovely review. We are so happy when we know our guests enjoyed their stay in our house. You too, come to Tokyo and have a great stay in our house. Book us here Book your stay with us here: #AIRBNB :  #familytravel #travel #japan</t>
  </si>
  <si>
    <t>Believe it or not, when flamingos are born they have grey eyes. This does not change until they become adults, and then they have yellow eyes! #airbnb #propertymanagers #propertymanagement #propertymanager #FactOfTheDay #FactOfTheWeek</t>
  </si>
  <si>
    <t>Dr. Paul J. Maginn</t>
  </si>
  <si>
    <t>Constructive and thoughful supervision session with my #MURP student @bec_did on her research project on #airbnb. Think we have a gr8 primary title for her project - all 2 be revealed in due course. #academictwitter @GeoPlan_UWA</t>
  </si>
  <si>
    <t>#Geography #Planning | #Belfast #London #Perth | #SexWork #SexToys #Porn | #Suburbs #Urbanism | @UPRJournal | @SubUrbanistaPod | @SHealthQuarters | #SOAC2019</t>
  </si>
  <si>
    <t>Coffee and friends, the perfect blend🙆‍♂️ #maisonvie #london #kilburn #nw6 #frenchcafe #frenchbakery #frenchrestaurant #ICMP #airbnb #londonfoodie #londonfood #londoncafe #londonbakery #londonrestaurant #delicious #yummy #food #thirsty #drink #coffee #pastry #hungry #momandbaby</t>
  </si>
  <si>
    <t>LettingAgentToday</t>
  </si>
  <si>
    <t>Regulate #Airbnb-style lets or risk hurting long term market - warning</t>
  </si>
  <si>
    <t>Letting Agent Today (LAT) is a leading supplier of online news content for letting agents and property managers. See also: http://www.estateagenttoday.co.uk / @EAToday</t>
  </si>
  <si>
    <t>Condonians</t>
  </si>
  <si>
    <t>Stay with your elegant furnish studio room at Solinea right across Ayala Mall. For details please refer here,  #cebubusinesspark #cebu #mactaninternationalairport #airbnb #airasia #pal #accenture #teleperformance</t>
  </si>
  <si>
    <t>Looking for Condo for Sale or Rent here in Metro Cebu is now Easy! Visit Us Now at, http://www.condonians.com #condonians</t>
  </si>
  <si>
    <t>Jane Scanlan</t>
  </si>
  <si>
    <t>TRAVELING LIGHT WITH MY GIRL! . We are off to France #lotetgarrone Our house is ready for #airbnb . WE ARE READY!!! And I have packed really lightly This is the first time I feel like I'm…</t>
  </si>
  <si>
    <t>London, and the world!</t>
  </si>
  <si>
    <t>The latest image from the GowerLive #webcam on the roof 730RocksMumbles #AirBnB. Book at  #Mumbles #Swansea #Gower #travel. Watch live at  #511</t>
  </si>
  <si>
    <t>Francesca</t>
  </si>
  <si>
    <t>📷Once upon a time, the founders of #Airbnb were wondering why Airbnb was not taking off. They quickly figured out that one of the major problems was that people had very bad pictures of their listings. By bad pictures, I mean these amateur pictures...</t>
  </si>
  <si>
    <t>Florence, Italy</t>
  </si>
  <si>
    <t>Lavoro nel web dal '95 e amo la birra. I work "on the web" since '95 and I love beer🦔 Scrivo su/#beerwriter on http://www.pintamedicea.com</t>
  </si>
  <si>
    <t>#HongKong #TravelTips: All #dorm beds of good #hostels in #HK for this weekend have been booked. Only expensive but terrible ones left. (#WanChai #CausewayBay #Jordan #Scam) #booking #agoda #airbnb #DiscoverHongKong #vacation #guesthouse #solotravel #backpacker #holiday #홍콩여행</t>
  </si>
  <si>
    <t>Oued Laou</t>
  </si>
  <si>
    <t>Looking for a comfortable stay with attractive views over the #Mediterranean in #ouedlaou please check us out on #airbnb or contact us directly for more info.</t>
  </si>
  <si>
    <t>Oued Laou, Royaume du Maroc</t>
  </si>
  <si>
    <t>Bringing more info and publicity of Tétouan and its regional towns</t>
  </si>
  <si>
    <t>Ulli Travel</t>
  </si>
  <si>
    <t>Glorious view from the apartment just 200 meters from the beach! 😎 #nofilter #viewforview #seaview #croatia #instaview #kroatien #airbnb #homeaway #holidayhome #crikvenica #photography #enjoy #summer2019 #nature #landscape #destination #tourist #wohnung #viaggio</t>
  </si>
  <si>
    <t>Republic of Croatia</t>
  </si>
  <si>
    <t>Travel agency in Crikvenica,Croatia #Croatia #travel #agency Instagram: ulli_travel Facebook: ULLI Travel Crikvenica</t>
  </si>
  <si>
    <t>Quai Bellevue</t>
  </si>
  <si>
    <t>#Easter2019 in #Carcassonne? We still have a romantic #holiday #apartment for you ...  #France #Airbnb #Occitanie #SudDeFrance</t>
  </si>
  <si>
    <t>Carcassonne</t>
  </si>
  <si>
    <t>Your 2nd home in #Carcassonne. Book now under https://www.airbnb.de/rooms/21763484?s=51</t>
  </si>
  <si>
    <t>Things moving, tower 3 works beginning for us. Stay tuned for our rental solutions #smarthome #airbnb</t>
  </si>
  <si>
    <t>"Most of the usual advice still applies."  #SocialMedia #Scotland #Marketing #Hotels #Airbnb #Edinburgh #Airbnbnews #Hotelmarketing #Boostly #Bedandbreakfast</t>
  </si>
  <si>
    <t>Add a touch of #autumn to your #home with a vase of dried flowers. It's easy to implement and to remove when the season is over. Let us know if you're taking us up on the idea!😊🍂🏡 #madecomfy #interiordesign #airbnb #shorttermrental #australia #sydney #melbourne #brisbane</t>
  </si>
  <si>
    <t>🌟Which of the two themes - Arty or Nature - would you stay in? To book the arty 2BR house in #Darlinghurst:  To book the nature-themed 2BR apartment in #MillersPoint:  #madecomfy #sydney #australia #shorttermrental #airbnb</t>
  </si>
  <si>
    <t>Honey Bunny</t>
  </si>
  <si>
    <t>8 Useful #Apps for #VacationRental Cleaning Services -  via @Lodgify #airbnb #superHost</t>
  </si>
  <si>
    <t>Le Suite 491 Studio, Tenerife</t>
  </si>
  <si>
    <t>https://www.lesuite491.com 🏠. Me gusta la tecnología, el marketing, los road trip, la gente emprendedora, dar mi opinión y escuchar la de los demas.</t>
  </si>
  <si>
    <t>UK Housing Review 2019 looks at impact of short-term lets on private rented sector:  #shorttermlets #privaterent #renting #airbnb</t>
  </si>
  <si>
    <t>Caritas</t>
  </si>
  <si>
    <t>Our team of experts recover substantial refunds on Business Rates liabilities. Caritas are rates recovery specialists. Contact us on 0800 151 3361</t>
  </si>
  <si>
    <t>Planning to buy a rental app....? AirCloud - Airbnb Clone helps you to customize the best rent app... AirCloud-Airbnb clone at 99$ only for the USA customers. Buy Now:  call: 7667298398 For demo Mail: support@nexcloudz.com #airbnb #airbnbclone #airbnbscript</t>
  </si>
  <si>
    <t>AIR B'N'FEAST EP.6 is out now, and it's in #vietnam! I go on the hunt for #vietnamese produce and #cook up a #feast in a beautiful #airbnb in #cantho! #Travel #traveller #cooking</t>
  </si>
  <si>
    <t>Enjoy a cuppa on the verandah overlooking the beautiful gardens or challenge your companions to a hit on the tennis courts. Come evening stay cosy by the fireplace with a good book and a glass of Tassie red. . . #labodeaccommodation #tasmania #luxury #homehost #airbnb</t>
  </si>
  <si>
    <t>Michelle Twin Mum</t>
  </si>
  <si>
    <t>Booking a Cottage via Airbnb: The White House, Fakenham, Norfolk  #visitnorfolk #Airbnb</t>
  </si>
  <si>
    <t>East Sussex, UK</t>
  </si>
  <si>
    <t>Wife to one, mummy to three, imperfect Christian on life's journey! Blogger, Activist, Volunteer,</t>
  </si>
  <si>
    <t>"Instead, I'm going to showcase a few blogging rockstars who you probably haven't heard of yet."  #SocialMedia #Marketing #Hotel #Blogs #Blog #Hotels #Airbnb #Boostly #Vikram #Hospitalityexperts #Hotelmarketing #HospitalityMarketing</t>
  </si>
  <si>
    <t>R O W E L L A | T A S M A N I A Enjoy a cuppa on the verandah overlooking the beautiful gardens. Come evening stay cosy by the fireplace with a good book and a glass of Tassie red. . . #labodeaccommodation #tasmania #relax #airbnb #luxury #shortstay</t>
  </si>
  <si>
    <t>Sndp</t>
  </si>
  <si>
    <t>A night at the museum: #Airbnb &amp; Musée du #Louvre are making the art lover’s dream come true |  | via @htTweets</t>
  </si>
  <si>
    <t>Vadodara</t>
  </si>
  <si>
    <t>Ambivert | Geek | Technology | Innovation | Travel | Music | Movies | Food | Cricket | Tennis</t>
  </si>
  <si>
    <t>ResOnline</t>
  </si>
  <si>
    <t>Great to catch up with the @Airbnb team today. Thank you so much for the goodies 😍 Siouxsie, our office puppy, is really happy with her new toy 😊 #resonline #airbnb</t>
  </si>
  <si>
    <t>ResOnline provides a total solution that allows you to expand your online distribution, and manage your rooms &amp; rates with ease.</t>
  </si>
  <si>
    <t>A unique museum in Yokohama. Do not miss to visit it! Book your stay with us here: #AIRBNB :  #familytravel #travel #japan RT @GaijinPot: Unko Museum Yokohama: Welcome to Japan’s first poop museum.</t>
  </si>
  <si>
    <t>You still have time to enjoy of these delicious sakura-themed food. Book your stay with us here: #AIRBNB :  #familytravel #travel #japan RT @itsjapanforward: Bookmark this now 🌸 ✅ Resourceful ✅ Best Food &amp; Drinks ✅ Sweetest Deserts ✅ Traditional Japanese Sweets ✅ Limited Edition Sakura-themed beverages (via @grapejapan)</t>
  </si>
  <si>
    <t>For limited time! enjoy of this wonderful sakura-inspired aquarium! Book your stay with us here: #AIRBNB :  #familytravel #travel #japan RT @TimeOutTokyo: Visit a sakura-inspired aquarium.</t>
  </si>
  <si>
    <t>#HappyTuesday do not forget the great museums that Tokyo offers. Book your stay with us here: #AIRBNB :  #familytravel #travel #japan RT @Tokyo_gov: Interested in Japanese #architecture? Tokyo’s Edo-Tokyo Open Air Architectural #Museum exhibits historical buildings that are relocated or reconstructed including traditional houses and a public bathhouse. Enjoy 360-degree photos of the buildings here:</t>
  </si>
  <si>
    <t>With so little regulations &amp; legislations on Airbnb etc, hosts are making security measures of their own and this is frequently disturbing and disrupting for guests #airbnb #hiddencams #illegalhotels #travel #tourism</t>
  </si>
  <si>
    <t>$55 AIRBNB DISCOUNT CODE 💵✈️💵 Here’s your chance for a free credit coupon discount and codes to travel for FREE. Click the link NOW. Please DM me if you have any issues. #airbnb #airbnbcode #airbnbdiscount #airbnbpromo #airbnbfree</t>
  </si>
  <si>
    <t>Debbie B. Dyna</t>
  </si>
  <si>
    <t>How to find hidden spy cameras in your #Airbnb</t>
  </si>
  <si>
    <t>Sunshine State</t>
  </si>
  <si>
    <t>Mom, Grandma and Harley rider. #StopTheStigma Caregiver to the Elderly &amp; disabled Vets, American Girl, #MAGA @NRA Trump-et of God #StandYourGround #Kindness</t>
  </si>
  <si>
    <t>Legislative Assembly</t>
  </si>
  <si>
    <t>Public hearings for EISC Short-stay accomm inquiry Wed 10/4/19 @ 945am Tourism WA, 1045am ECU &amp; Curtin Uni. Public welcome @ 1/11 Harvest Tce West Perth. Live broadcast available at  #wapol #Airbnb #shortstayaccommodation</t>
  </si>
  <si>
    <t>Perth, WA</t>
  </si>
  <si>
    <t>The Legislative Assembly of Western Australia</t>
  </si>
  <si>
    <t>Large 5Star #Florida #vacationhome with prival pool on #Airbnb Tropical #TommyBahama style - #VRBO April 08, 2019 at 10:00PM</t>
  </si>
  <si>
    <t>Cheeky little swan at the lake. Anyone who has ever been near a swan understands why this sign is necessary! Check out our latest blog to read about some of the best spots around Boone to enjoy some fishing or rest by the water. #boone #homeaway #airbnb</t>
  </si>
  <si>
    <t>Airbnb guest finds hidden cameras in rented house.  #Travel #airbnb #perv #hotels #Vacations #vacation</t>
  </si>
  <si>
    <t>In Greece, with foreign nationals who purchased properties hiding income from Airbnb style rentals, the tax authority is now after them #airbnb #taxevasion #greece #holidays #taxcompliance</t>
  </si>
  <si>
    <t>Don’t book your Airbnb without using this 💲55 💸✈️💸 referral coupon code! Click the link down below for your first 💲55 Airbnb discount now! Please DM me if you have any issues. #airbnb #airbnbcode #airbnbdiscount #airbnbpromo #airbnbfree</t>
  </si>
  <si>
    <t>More #Airbnb in #California RT @airbnbwatch: .@Airbnb is fighting a losing battle against residents of communities and the U.S. Court of Appeals. People prefer safety over short-term rentals.</t>
  </si>
  <si>
    <t>John Schmoll</t>
  </si>
  <si>
    <t>Airbnb Host Checklist: 15 Simple Ways to Get More Bookings @FrugalRules  #airbnb #makeextramoney #makebookings #makechanges</t>
  </si>
  <si>
    <t>Nebraska</t>
  </si>
  <si>
    <t>I blog about #PersonalFinance and seek to improve financial literacy. Head over to @JSchmoll74 if you need a #finance writer.</t>
  </si>
  <si>
    <t>Our House Rules -  #VacationRental #airbnb</t>
  </si>
  <si>
    <t>Sua Truong Financier</t>
  </si>
  <si>
    <t>My thoughts on Airbnb's vs hotel in Philippines, Malaysia and Singapore. . . . #airbnb #airbnbvshotel #infinitypool #rooftoppool #Entrepreneur #entrepreneurship #Entrepreneurs…</t>
  </si>
  <si>
    <t>Greater Vancouver</t>
  </si>
  <si>
    <t>Author |Trainer | #1 Mortgage Broker in the Vietnamese community, creating ambassadors, solving financing challenges &amp; teaching others https://soundcloud.com/ilmb/ilmb-ep89</t>
  </si>
  <si>
    <t>Mallard</t>
  </si>
  <si>
    <t>So I’m staying at an Airbnb in the Philippines and just looked at the listing “House Rules”... Picture of slippers in comments #airbnb #houserules #slippers</t>
  </si>
  <si>
    <t>Milwaukee, WI</t>
  </si>
  <si>
    <t>Don’t do hotels. Have freedom with an Airbnb! Sign up with the coupon link below to receive a 💲55 💵❤️💵 discount code with your first Airbnb. Please DM me if you have any issues. #airbnb #airbnbcode #airbnbdiscount #airbnbpromo #airbnbfree</t>
  </si>
  <si>
    <t>Dan James</t>
  </si>
  <si>
    <t>#Airbnb reluctance to act on hosts spying on guests with hidden cameras seems commonplace  #f2b</t>
  </si>
  <si>
    <t>UFOs, Paranormal, Conspiracy in all is forms . Looking past the Veil draped over the mind of humanity.</t>
  </si>
  <si>
    <t>Tom Craig</t>
  </si>
  <si>
    <t>I'm thinking of doing a remake of the 1980s #JamesBrolin drama, #Hotel. Working title is #Airbnb.</t>
  </si>
  <si>
    <t>#Writer, Bon Vivant, Man About Town. Braving the wilds of #Hollywood so you don't have to. Originally from #Chicago. Lived in #London. Live in #LosAngeles.</t>
  </si>
  <si>
    <t>Letty's Cuba Travel</t>
  </si>
  <si>
    <t>Need a B&amp; B in Havana? Oceanfront Bexy’s Vista Mar is the place to stay! 954-36-0546. #bedandbreakfasts #airbnb #casaparticular</t>
  </si>
  <si>
    <t>Weston, FL</t>
  </si>
  <si>
    <t>Expert in individualized, #Cuba #travel! #Airfares, #lodging, transportation &amp; #tours. Culture, sports events, nature, music and more! letty@lettycuba.com</t>
  </si>
  <si>
    <t>Anthony Kirlew</t>
  </si>
  <si>
    <t>If you are an #airbnb user, this is a good read. It is interesting to note that @Airbnb allows renters to use hidden cameras (as long as they are disclosed). This stuff fuels my privacy concerns. RT @sidneyfussell: Read the wild story of a Florida man who 1 found hidden cameras disguised as phone chargers in his Airbnb 2 realized the man filming him is *in the next room* 3 leaves, but is told to return to the apt by Airbnb (?) 4 confused, police sided *with the host*</t>
  </si>
  <si>
    <t>Believer. Husband. Marketer. Blogger. Speaker. Dad to @Calicakers. Passionate about people, personal finance, travel, &amp; NHRA drag racing.</t>
  </si>
  <si>
    <t>💡What is included in your services? ✅Professional photography and copy writing ✅Listing on multiple booking portals ✅Kitchen bath and laundry amenities ✅Home safety kit provision ✅Emergency management #madecomfy #shorttermrental #airbnb #australia</t>
  </si>
  <si>
    <t>CMHaugheySolicitors</t>
  </si>
  <si>
    <t>#GDPR #Airbnb - privacy breaches should be reported to DPC ‘We knew we needed to get out' - Irish family find eight hidden cameras in their holiday Airbnb</t>
  </si>
  <si>
    <t>Dublin 8, Ireland</t>
  </si>
  <si>
    <t>Personal Injury and Clinical Negligence Practitioners</t>
  </si>
  <si>
    <t>Michael Kelly</t>
  </si>
  <si>
    <t>Another report of hidden cameras in a @Airbnb , #travel #Airbnb</t>
  </si>
  <si>
    <t>Independent supplier of Aviation / Transport / Travel images., Oh yes, and travel writing also. Interested in the #PaxEx &amp; Irish aviation. RT's ≠ endorsements.</t>
  </si>
  <si>
    <t>Scott &amp; Mary Freeth</t>
  </si>
  <si>
    <t>Looking for a spectacular vacation spot this summer? We still have a few weeks left...  #vacationrentals #airbnb</t>
  </si>
  <si>
    <t>Meditate into your Desired Life! Get 3 Free Awakening Meditations Now: http://metime.scottandmaryfreeth.com/gift P.S. You are a Beautiful Soul... ❤️🧘‍♀️❤️</t>
  </si>
  <si>
    <t>💲55 Airbnb code coupon promo discount first. 💲55 💚💵💚 OFF CLICK LINK NOW! Try it. Please DM me if you have any issues. #airbnb #airbnbcode #airbnbdiscount #airbnbpromo #airbnbcoupon</t>
  </si>
  <si>
    <t>Angie Kritenbrink</t>
  </si>
  <si>
    <t>Hello from our cute airbnb in Vancouver, BC! #airbnb #travel #canada #🇨🇦 #vancity @ Vancouver, British Columbia</t>
  </si>
  <si>
    <t>I'm just here for the lulz</t>
  </si>
  <si>
    <t>Will Nelson</t>
  </si>
  <si>
    <t>Investors should beware the behemoths rushing to market | Financial Times: #IPO #IPOs $LYFT #Uber #Airbnb</t>
  </si>
  <si>
    <t>Milwaukee, WI USA</t>
  </si>
  <si>
    <t>Author of A New Paradigm for Investing Series| Investor since Nov 1987| Interests: global financial markets, macroeconomics, &amp; disparate subjects | #erudition</t>
  </si>
  <si>
    <t>First Time Airbnb 💲55 coupon promo referral code :) Get your discount credit on your first trip Click the link NOW 💸❤️💸—-&gt;✈️ #airbnb #airbnbcode #airbnbdiscount #vacation #trips #travel #getaway</t>
  </si>
  <si>
    <t>Great place to stay for Business travelers and couples. NoHo Charmer - Guesthouses for Rent in Los Angeles #Travel" @airbnb  #airbnb #travel #vacations</t>
  </si>
  <si>
    <t>Our lovely guests Robyn and Trev pulled the sheets off plus! left us an extra cheery message! . #airbnb #happyguests #bling #canberraregion #bungendore # @ Bungendore, New South Wales</t>
  </si>
  <si>
    <t>Vivian Kelly</t>
  </si>
  <si>
    <t>#makeupfree &amp; sweaty but very happy after a long day is travel to our adorable white and glass #airbnb in #nuevovallarta. Toasted the occasion w/ a sip of #absolutevodka, our fave! 🍸🏝@absolutevodka #travel #travelgram</t>
  </si>
  <si>
    <t>Loudoun County, VA</t>
  </si>
  <si>
    <t>Fashion instructor, writer and historian &amp; Boots Beauty Advisor. Check in for beauty tips &amp; fashion &amp; travel.</t>
  </si>
  <si>
    <t>$55 ❤️🧡💙💜💚💵💸💲✈️ Airbnb code coupon promo discount first. $55 OFF CLICK LINK NOW! Try it. Please DM me if you have any issues. #airbnb #airbnbcode #airbnbdiscount #airbnbpromo #airbnbcoupon #secretservice #antoniobrown #CHEWHU</t>
  </si>
  <si>
    <t>The perfect way to vacation is to feel like home. Find your dream vacation with  #twentyfourseven #visitquintanaroo #airbnb #vacation #bluesky #cancun @ Kin-Ha Cancun</t>
  </si>
  <si>
    <t>Lar Meyler</t>
  </si>
  <si>
    <t>Use @Airbnb at your own risk... #airbnb</t>
  </si>
  <si>
    <t>South Dublin, Ireland</t>
  </si>
  <si>
    <t>Wexford man marooned in South Dublin. Likes Tech, Politics, Social topics, Great Food &amp; Wine. Rides an Iron Horse.</t>
  </si>
  <si>
    <t>We just added a #popofcolor to #suite3 #yellow #sopretty #casadelosviajeros #puertomorelos #1bedroom #1bathroom #stepstothebeach Link in bio #puertomorelos #mexico #youshouldbehere #casadelosviajeros #vacationrental #airbnb #vrbo #homeaway #doyoutrave…</t>
  </si>
  <si>
    <t>La Jungla Experience</t>
  </si>
  <si>
    <t>They say #Boquete is the land of #rainbows (and #coffee)... But did you know this mystical town is also home to the reclusive #unicorn? Come visit La Jungla Experience #airbnb to encounter your #spiritanimal! (but don't come hoping to eat it, it's not yet unicorn season)</t>
  </si>
  <si>
    <t>Boquete, Panama</t>
  </si>
  <si>
    <t>An AirBnB experience like no other. Awesome and affordable accommodations - your home away from home!</t>
  </si>
  <si>
    <t>We just added a #popofcolor to #suite3 #yellow #sopretty #casadelosviajeros #puertomorelos #1bedroom #1bathroom #stepstothebeach Link in bio #puertomorelos #mexico #youshouldbehere #casadelosviajeros #vacationrental #airbnb #vrbo #homeaway #doyoutravel #travelandlife #tra…</t>
  </si>
  <si>
    <t>Dave Kohl</t>
  </si>
  <si>
    <t>One more thing for travelers to worry about:  #AirBNB #travel #wrong</t>
  </si>
  <si>
    <t>Chicago area</t>
  </si>
  <si>
    <t>Real estate marketing and advertising specialist. Marketing Director - First In Promotions since 1992.</t>
  </si>
  <si>
    <t>Aaron Perez</t>
  </si>
  <si>
    <t>Booked my #AirBnB for my #PuntFactory trip to NorCal in 2 weekends! Will be up for sessions Friday night the 19- Sunday morning the 21! Message me If you want to train! 🏈👌🏻</t>
  </si>
  <si>
    <t>Montclair, CA</t>
  </si>
  <si>
    <t>The #PuntFactory = the TOP Punt Coaching in 🇺🇸- @Chris_Sailer Lead National Punt Coach - Former UCLA Bruin Punter and Charter Oak Alum - @Arsenal❤️</t>
  </si>
  <si>
    <t>Julia Baillie</t>
  </si>
  <si>
    <t>#Airbnb guest found hidden #SurveillanceCamera by scanning Wi-Fi network  #privacy #security</t>
  </si>
  <si>
    <t>North Vancouver</t>
  </si>
  <si>
    <t>President at CommuniQuest Consulting, keto enthusiast and gardener who tweets about #proAV #DigitalMarketing #ContentMarketing #SEO</t>
  </si>
  <si>
    <t>Privacy Pellicaan</t>
  </si>
  <si>
    <t>Amsterdam-Rotterdam-Utrecht</t>
  </si>
  <si>
    <t>@pellicaan adviseert ondernemers + organisaties over privacy/databescherming, ook over de Algemene Verordening Gegevensbescherming (AVG) die per 25-5-'18 geldt</t>
  </si>
  <si>
    <t>Taleof2Treaties</t>
  </si>
  <si>
    <t>Problem with secret cameras in #Airbnb properties spreading</t>
  </si>
  <si>
    <t>Twitter account inspired by 2012 Citizen's Guide to the ESM Treaty and the Fiscal Treaty. Being curious.</t>
  </si>
  <si>
    <t>Heidy Hurst &amp; The Hurst Team</t>
  </si>
  <si>
    <t>Bay Area IPOs will add fuel to the HOT housing market!  #TheHurstTeam #HeidyHurst #AlexHurst #REALTORS® #brentwood #DudumRealEstateGroup #SellYourHome #RealEstateMarketing #IPOs #Lyft #Uber #Airbnb #Pinterest #HotHousing #BayAreaHousingMarket</t>
  </si>
  <si>
    <t>Brentwood, CA</t>
  </si>
  <si>
    <t>Five Star Real Estate professional, S.F Bay Area 2012/13 voted best realtor, by readers of bentwood. Press remix accord 100% sales award 2012 CAL BRE# 01280003</t>
  </si>
  <si>
    <t>“I learned to intern publicly and mentor privately.” Lessons from @ChipConley for #WisdomAtWork this afternoon @TorontoRBOT #Airbnb #hospitality #travel #learning</t>
  </si>
  <si>
    <t>Book your stay #airbnb #lodging #westernmass #springbreak #superhostairbnb @ Melodys place lodging</t>
  </si>
  <si>
    <t>Politcalcupcake</t>
  </si>
  <si>
    <t>#Airbnb Has a Hidden-Camera Problem  #tech #travel @Airbnb</t>
  </si>
  <si>
    <t>us</t>
  </si>
  <si>
    <t>We the People …Have Had ENOUGH! ,Pro-Israel. WAKE UP AMERICA! This is happening in your own backyard. Articles I put up u should care about</t>
  </si>
  <si>
    <t>ktenkely</t>
  </si>
  <si>
    <t>Poblano steak over polenta with goat cheese and tomato. #dinner #food #foodie #thehappynow #foodphotography #springbreak #airbnb #vacation #plated #platedpics @ Palm Springs, California</t>
  </si>
  <si>
    <t>Colorado</t>
  </si>
  <si>
    <t>Founder of Anastasis Academy, founder of Learning Genome , tech integration specialist, instructional coach, writer, dreamer.</t>
  </si>
  <si>
    <t>HEY friends - let's stop calling #Airbnb-type customers 'short-term renters.' IMO it dilutes legitimate #renters' situation. I suggest instead &gt; 'temporary occupation by non-residents.' #ParadigmShift #wordgeek</t>
  </si>
  <si>
    <t>Warp One Travel</t>
  </si>
  <si>
    <t>WHAT? You want to book an AirBnB? Read this then call Warp One Travel #Travel #TravelWarning #AirBnB</t>
  </si>
  <si>
    <t>Dallas, Texas</t>
  </si>
  <si>
    <t>This is the official Twitter feed for Warp One Travel. Warp One is ready to plan your next business trip, cruise, vacation and other travel! Call 940-489-2771</t>
  </si>
  <si>
    <t>Tiny Kingdom at Ferngully Cove #airbnb #ferngully_cove #vacationrental #nature #hiking #hikinggoals #wanderlust #travelgram #instatravel #instagood #outdoor…</t>
  </si>
  <si>
    <t>$55 🧡💚💙💜❤️💲💵✈️ Airbnb code coupon promo discount first. $55 OFF CLICK LINK NOW! Try it. Please DM me if you have any issues. #airbnb #airbnbcode #airbnbdiscount #airbnbpromo #airbnbcoupon #JaneTheVirgin #DONDsweepstakes</t>
  </si>
  <si>
    <t>Susan Ito 👋🏼 AWP19</t>
  </si>
  <si>
    <t>Anyone at #AWP2019 need a place to stay? Extra room in our #airbnb 15 minutes away.</t>
  </si>
  <si>
    <t>biracial. Writer. Memoirist. Adjunct prof. Physical Therapist. Bullet Journaler. Adoptee. Member of The Writers' Grotto. #writersresist</t>
  </si>
  <si>
    <t>Hiroyuki Onishi</t>
  </si>
  <si>
    <t>#Airbnb Is Making a Dent in #Sales for Major #Hotel Chains @StatistaCharts #biz #management #Leadership #SharingEconomy #gigeconomy #ecommerce #CX #DigitalEconomy #disruption #Entrepreneur #OnlinPlatforms #homeshare #startup #lodging #hotelnews #Booking #travelling #BusinessModel</t>
  </si>
  <si>
    <t>Kitano, Kobe, Japan</t>
  </si>
  <si>
    <t>SocialEntrepreneur #socialimpact #SocialInnovation #impactinvesting #GlobalGoals #DonateLife #equality #philanthropy #diversity #inclusion #PressforProgress</t>
  </si>
  <si>
    <t>In Madrid, new rules and regulations will make 95% of Airbnb's etc Illegal #Airbnb #illegalhotel #unlicencedhotel #Madrid #spain #VRBO</t>
  </si>
  <si>
    <t>First Time Airbnb $55 coupon promo referral code :) Get your discount credit on your first trip Click the link NOW 💸💸💸 —-&gt;✈️ #airbnb #airbnbcode #airbnbdiscount #vacation #trips #travel #getaway #JaneTheVirgin #DONDsweepstakes #STAR #Survivor</t>
  </si>
  <si>
    <t>Celebrate #Autumn with these soothing bedroom #decor ideas! Start by going for soft colour schemes. Next, aim for a lack of fuss or clutter. Lastly, add an easy feel to the furnishings by having nothing too edgy, ornate, or attention-grabbing. 🏡 #madecomfy #airbnb #decor #sydney</t>
  </si>
  <si>
    <t>Large 5Star #Florida #vacationhome with prival pool on #Airbnb Tropical #TommyBahama style - #VRBO March 27, 2019 at 10:00PM</t>
  </si>
  <si>
    <t>There’s a home for everyone at Ferngully Cove! #airbnb #ferngully_cove #vacationrental #nature #hiking #hikinggoals #wanderlust #travelgram #instatravel #instagood…</t>
  </si>
  <si>
    <t>Iga🍓Berry</t>
  </si>
  <si>
    <t>Every Airbnb I stayed in is unique. It was the same case with this glamorous studio flat in #Krakow  #Airbnb #Poland #lbloggers #TravelBloggersClub #ukbloggers #bloggerstribe #travelbloggers #lifestylebloggers #travelbloghub #travel #travelling</t>
  </si>
  <si>
    <t>Birmingham, England</t>
  </si>
  <si>
    <t>Travel • Style • Happy Moments 🇬🇧UK Gal #TraveliciousLife 🔜 #Portugal 📩iga@igaberry.com Insta: Igaberry</t>
  </si>
  <si>
    <t>#Airbnb Has a Hidden-Camera Problem - The home-rental start-up says it’s cracking down on hosts who record guests. Is it doing enough?</t>
  </si>
  <si>
    <t>Roy Grimm</t>
  </si>
  <si>
    <t>#airbnb down?</t>
  </si>
  <si>
    <t>American Christian conservative, I love to paint tropical scenes and run a missionary Sunday School in the Philippines..</t>
  </si>
  <si>
    <t>Carly</t>
  </si>
  <si>
    <t>Hey @Airbnb get it together I need to book this place 😐 #airbnb #websitedown</t>
  </si>
  <si>
    <t>Wake Forest, NC</t>
  </si>
  <si>
    <t>✌🏻</t>
  </si>
  <si>
    <t>Trout Lake is right by Laurelwood and Tanglewood cabins and offers wonderful fishing spots as well as hiking trails. Can you guess what kind of fish you can catch here??? 🐟🐟🐟 #boone #fishing #airbnb #homeaway</t>
  </si>
  <si>
    <t>Wouldn't you love to see this view on your next vacation? We're here to welcome you in #Bowral! Fully #accessible and available! #airbnb #australia</t>
  </si>
  <si>
    <t>Luxury Surf View Flat 150m to Beachhttps://www.airbnb.jp/rooms/152910  via Twitter Web Client #airbnb</t>
  </si>
  <si>
    <t>iFixit Handyman Svcs</t>
  </si>
  <si>
    <t>#airbnb property maintenance cleaning and lawn care airbnb we do it all @ Bucks County, Pennsylvania</t>
  </si>
  <si>
    <t>PA &amp; NJ</t>
  </si>
  <si>
    <t>Licensed and insured, serving Bucks, Montgomery, Mercer, Burlington counties. (215) 715-3415</t>
  </si>
  <si>
    <t>Miltonsouthcoast</t>
  </si>
  <si>
    <t>Our cosy dining room nook 🙌 . . . #miltonbnb #apartment #homeawayfromhome #airbnb #accommodation #miltonnsw #miltonsouthcoast #lightandspace #welcome @ Miltonbnb Apartment — at Miltonbnb Apartment</t>
  </si>
  <si>
    <t>Milton, New South Wales</t>
  </si>
  <si>
    <t>Live on the south coast of NSW surrounded by beautiful landscapes and beaches #miltonbnb</t>
  </si>
  <si>
    <t>Oliver Scott Snure</t>
  </si>
  <si>
    <t>A-frame A-game. . Thank you hudsonvalleyaframe! #aframe #agame #light #airbnb #willowglenaframe #hudsonvalley #threedayweekend</t>
  </si>
  <si>
    <t>Northampton MA, Brooklyn NY</t>
  </si>
  <si>
    <t>I live, I think about stuff, I listen to music, but mostly I'm a photographer.</t>
  </si>
  <si>
    <t>#Airbnb must ban #settlement #properties from #renting!—Opinion: My Palestinian Family's Land Was Stolen. Then It Showed Up On Airbnb.</t>
  </si>
  <si>
    <t>MelanieVotaw</t>
  </si>
  <si>
    <t>Airbnb has a hidden camera problem!!!! Yikes!  #travel #airbnb</t>
  </si>
  <si>
    <t>Founder of Finish Your Book Coaching Program for self-help authors. Author or ghostwriter of 33 nonfiction books for Hay House, Macmillan &amp; more. BWWorld critic</t>
  </si>
  <si>
    <t>Feliz B-day Joe! 🎂⁣ -⁣ Photo Credit: @coco_sandiego⁣ ___⁣ #WeBunkYou• #Tijuana • #airbnb • #QueSeaUnGranDia ⁣• #StayWhereTheresAStory ⁣</t>
  </si>
  <si>
    <t>M&amp;R's Nightly Rentals</t>
  </si>
  <si>
    <t>New games in each unit! Let us be your home away from home! #mandrnightlyrentals #homeawayfromhome #airbnb</t>
  </si>
  <si>
    <t>Tekamah, NE's newest "hotel". Featuring newly renovated apartments for short or long-term stays. Close to many downtown amenities!</t>
  </si>
  <si>
    <t>Maribeth Doran</t>
  </si>
  <si>
    <t>Airbnb says it’s cracking down on hosts who video guests. But are they? ⁦#Airbnb⁩ #privacy #travel</t>
  </si>
  <si>
    <t>Proud to be Irish American. Passionate about Wine, Food, Music, Friends, Tech, Green Bay Packers &amp; SF Giants. Formerly tweeted as @ClineCellars.</t>
  </si>
  <si>
    <t>Megan Corse</t>
  </si>
  <si>
    <t>The spring weather today reminded me of Cali... . . . #californiadreaming #losangeles #sunsetblvd #mountolympus #canyonroads #willsmith #actinginla #airbnb #airbnbexperience #santamonica…</t>
  </si>
  <si>
    <t>Actor.Model.Singer.Writer.</t>
  </si>
  <si>
    <t>🌴posting constantly to help the climate crisis🌴</t>
  </si>
  <si>
    <t>tHe sHaRiNg eCoNoMy #airbnb</t>
  </si>
  <si>
    <t>Medford, MA</t>
  </si>
  <si>
    <t>fully committed, self-actualized individual with a taste for all things practical and unoffensive. #poetry #boston #books🌹🗳️🌴</t>
  </si>
  <si>
    <t>IntentionalTravelers</t>
  </si>
  <si>
    <t>Why use Airbnb? Peek inside our #Airbnb rentals (plus $40 #couponcode)! #ttot #budgettravel #travel</t>
  </si>
  <si>
    <t>Oregon // Everywhere</t>
  </si>
  <si>
    <t>Michelle + Jedd. Transformational travel. Life-changing experiences around the world. #DigitalNomads #RPCV ✝</t>
  </si>
  <si>
    <t>vitariztegui</t>
  </si>
  <si>
    <t>madrid, CURTITE! #airbnb</t>
  </si>
  <si>
    <t>buenos aires, argentina</t>
  </si>
  <si>
    <t>artista en formacion clown palermo-UADE (C) urbana maestra docente// buffoon naptivist comedian #APPL #Dakar2014 #sientrabaeragol</t>
  </si>
  <si>
    <t>Peter Troy</t>
  </si>
  <si>
    <t>#IMO #Forget #Airbnb - It has a hidden-camera problem - The Atlantic</t>
  </si>
  <si>
    <t>Jersey Channel Islands</t>
  </si>
  <si>
    <t>#Politician 1999-2008 Gov #Jersey. #Property #LifeCoach, #NLP #NLPPractitioner, #Worldpatents #IP #Patents #PublicSpeaker #Entrepreneur http://www.OneGodFaith.Org</t>
  </si>
  <si>
    <t>Brilliant music is everything! ... Daveit Ferris ~ Promoter Poet Vegan #QueensOfIreland #PromotionQueen 👑🐝 #Music #Ireland #Beards #Kilts</t>
  </si>
  <si>
    <t>MaryAnnPack</t>
  </si>
  <si>
    <t>Our new friend, Archer!! He was adopted by our hosts in Santa Fe after he retired from racing! 💜 #sweetretirement #greyhoundsofinstagram #retiredgreyhound #airbnb @ Santa Fe, New Mexico</t>
  </si>
  <si>
    <t>Gober, TX</t>
  </si>
  <si>
    <t>Holistic Life Coach</t>
  </si>
  <si>
    <t>I’m gonna get me a hotel room. #Airbnb #notforme</t>
  </si>
  <si>
    <t>Cowboys, Knicks, Yankees! If you don't stand for something you will fall for anything.</t>
  </si>
  <si>
    <t>Urs Bolt | bolt.now 🇨🇭</t>
  </si>
  <si>
    <t>#Airbnb is making a dent in sales for major hotel chains. Nearly a fifth of consumer bookings going through the @Airbnb service in the United States in 2018. @second_measure via @StatistaCharts:  #hotels #platform #economy #OnlineBusiness</t>
  </si>
  <si>
    <t>Switzerland</t>
  </si>
  <si>
    <t>Advisor | #WealthTech #RegTech #Blockchain #China | @Forctis_io @ImmoYou_ch @WealthNSociety @TheAsianBanker | #F10 Mentor @BlockState_com | @Phonak Ambassador</t>
  </si>
  <si>
    <t>30 People Share Their Worst Airbnb Experiences #Airbnb #experience</t>
  </si>
  <si>
    <t>An exclusive opportunity with the Airbnb client program is currently available. Help Airbnb hosts and guests have unforgettable trip experiences! Enroll today  . #Opportunity #Airbnb #WorkFromHome</t>
  </si>
  <si>
    <t>Our inspections aren't 6-monthly, they're weekly. ✅ #airbnb #manager #airbnbmanagement #propertycare #propertymanagement #1001BNB</t>
  </si>
  <si>
    <t>keep your electric eye on me</t>
  </si>
  <si>
    <t>It ain't just South Korea - or for that matter, just #Airbnb - this is what a global #surveillance culture looks like. RT @CityLab: Airbnb has a hidden-camera problem</t>
  </si>
  <si>
    <t>Queen's University, Ontario</t>
  </si>
  <si>
    <t>Canada Research Chair in Surveillance Studies. Science fiction fan. European, with Japanese connections. Slow professor and lethargic revolutionary.</t>
  </si>
  <si>
    <t>B.D. French</t>
  </si>
  <si>
    <t>#Georgia House Goes a Step Further to Collect Sales Taxes  #commentary #salestaxnews #airbnb</t>
  </si>
  <si>
    <t>Cheyenne, WY</t>
  </si>
  <si>
    <t>Sales and use tax rates for business</t>
  </si>
  <si>
    <t>It was a sunny day here at the Deer Hideout Retreat 🌝 Check out our website and book early!  #DeerHideoutRetreat #booknow #airbnb #booking.com #sunndays #springsunshine #book #getaways #vacations #cozyinsideandout #listentoallthebirds #explorepalmyra</t>
  </si>
  <si>
    <t>#2019April7thOKINAWA skipmartin 🎤 Jazz,Funk,Soul,Ｒ＆Ｂ,Legend✨ live in kenhatchy OPEN 19:00 START 20:00 #okinawa #japan #travel #airbnb #yomitan #Tourism #bar #kenhatchy #Night #livemusic🎺#skipmartin</t>
  </si>
  <si>
    <t>#2019April6thOKINAWA skipmartin 🎤 New Release Party in eilly OPEN 21:00 LIVE 00:00 #okinawa #japan #travel #airbnb #naha #Tourism #disco #eilly💃 #Night #livemusic🎺#skipmartin</t>
  </si>
  <si>
    <t>#2019April5thOKINAWA skipmartin🎤 special live show at.rockers cafe OPEN 21:00 #okinawa #japan #travel #airbnb #Chatan #Tourism #rockerscafe #Night #livemusic🎺#skipmartin</t>
  </si>
  <si>
    <t>Entertainment to the world from Yomitan！ 「Ryukyu Ninja🗡」  #okinawa #japan #travel #airbnb #yomitan #Tourism #Entertainment #Ryukyu #Ninja👨🏿‍🎤</t>
  </si>
  <si>
    <t>#2019March29thOKINAWA 「RYUKYU AMAZING NIGHT✨」 PM20:00 〜 21:00 （Doors Open 19:00） Fusion of Japanese culture and subculture  #okinawa #japan #travel #airbnb #naha #Tourism #Night #Entertainment #epica</t>
  </si>
  <si>
    <t>#2019年March29thOKINAWA 「Comic Dojo TEE🥋Family」 PM17:00〜 PM20:00〜 Experience the weightlessness performance at close range  #okinawa #japan #travel #airbnb #naha #Tourism #Night #nonverbal #Entertainment #TEEFamily #THEKINGOFFIGHTERS🔥</t>
  </si>
  <si>
    <t>Certainly did thank you Ruth #comfortcottagehealing #visitwales #dogfriendly #TheDogsWithMe #alpacas #ArtsWales #SunDogs #Airbnb RT @ruthwignall: I think ewe’ll love the show tonight! #lambs.... #spring</t>
  </si>
  <si>
    <t>More ''internationally trained professionals'' in the mining industry? What's wrong with the LOCALLY trained? #PierrefondsDollard #PPC2019 #BernierNation #canpoli #polcan #RoxhamRd #UNHCR #Airbnb #OpenSociety #GlobalCompactForMigration #CenturyInitiative #MayorsMigrationCouncil RT @MiHRCouncil: We hope you will take part in our free HR training for Ontario #mining employers looking to recognize potential employment barriers for internationally trained professionals. Our Sudbury session begins tomorrow!</t>
  </si>
  <si>
    <t>'Cross-Cultural Competency'' ??? How did #CANADA get here? Does anyone even know what that means? #PierrefondsDollard #PPC2019 #BernierNation #canpoli #polcan #RoxhamRd #UNHCR #Airbnb #OpenSociety #GlobalCompactForMigration #CenturyInitiative #MayorsMigrationCouncil RT @HireImmOttawa: We are delighted to be offering the Cross-Cultural Competency training in Kanata this afternoon! Employers engaged &amp; learning about creating inclusive workplaces. Thank you @KanataNorthBA for your collaboration &amp;amp; @uOttawa for offering a fantastic venue #HIOCCC #diversity #Kanata</t>
  </si>
  <si>
    <t>Storage West Russell</t>
  </si>
  <si>
    <t>The whole truth of being a kind Airbnb host. See if it is the right thing for your modern life #HereForYou #General #Business #USA #Jobs #Airbnb #Host</t>
  </si>
  <si>
    <t>Las Vegas, NV 89148</t>
  </si>
  <si>
    <t>Storage West Self Storage Las Vegas, NV. Household, boat, and RV storage offered. Come store with us! Hours: Mon - Sat, 9:00am-6:00pm. Closed on major holidays</t>
  </si>
  <si>
    <t>Joaquin Salamanca</t>
  </si>
  <si>
    <t>Sleepovers Have Become Part of the Fine Dining Experience  via @Eater #bnb #bedandbreakfast #airbnb #housing #dining #travel</t>
  </si>
  <si>
    <t>-- ¯\_(ツ)_/¯--- #DigitalTransfomation #CXTransformation #AI #INNOVATION #CX #Customerexperience #CustomerJourney #biohack #fasting #MINDFULNESS #autophagy</t>
  </si>
  <si>
    <t>Perfection redesigned. 🖤 Via @mckarchitects Visit ➡  ⬅ to learn how to profit from investment properties that you don't even need to own. #airbnb #vacationrental</t>
  </si>
  <si>
    <t>Jiri Saidl</t>
  </si>
  <si>
    <t>#airbnb is shitty, this application just stole my 75 euros without any explanation #shit #donotrecommend</t>
  </si>
  <si>
    <t>Czech Republic</t>
  </si>
  <si>
    <t>Masáž Studio Žižkov Vlkova 38, P3 tel: 739 700 280 online rezervace #masaže #massage #masseur #runner #nike #nrc</t>
  </si>
  <si>
    <t>زرین خان</t>
  </si>
  <si>
    <t>Pay a little more for the sake of privacy #Airbnb RT @hammadsarfraz: #Airbnb has a hidden-camera problem - ⁦@TheAtlantic⁩</t>
  </si>
  <si>
    <t>Sindh, Pakistan</t>
  </si>
  <si>
    <t>Journalism Grad 🎓|Communication Officer| 👩‍🍳Chef soon| ✌🏼</t>
  </si>
  <si>
    <t>HP&amp;G Homes</t>
  </si>
  <si>
    <t>Botany Bay, Margate. Great to have this on our doorstep! #beachlife #margate #kent #accommodation #blueflag #seaside #airbnb #bookingcom #tripadvisor #holiday #staycation #whitecliffs #holidayrental #holidayhome #sand #weekend #break #relax</t>
  </si>
  <si>
    <t>Proud owners of Wolverdene &amp; Saint Paul's Pad in Cliftonville, Margate 'Home away from Home' Holiday lets! - AIRBNB Link: https://abnb.me/L8w6DHEtdN</t>
  </si>
  <si>
    <t>Karl Wabst</t>
  </si>
  <si>
    <t>#Airbnb Has a Hidden-#Camera Problem. Buyers should be aware in a marketplace where a #disruptive #business model meets disruptive #surveillance #technology. #Privacy #Trust #Consumer #Contract #SharingEconomy</t>
  </si>
  <si>
    <t>#Corporate #Strategy Aspire to Be Different, Bigger, Better #Business #Vision #Mission #Values #Engage #Customers #Shareholders #Sales #Marketing</t>
  </si>
  <si>
    <t>Check out this  | Introductory video, created by @HeartFuse, and discover the stunning work of @VenicePeach and how they can really make your #airbnb listings get you noticed!!!</t>
  </si>
  <si>
    <t>Earn money leading people on activities you love. Host an #Airbnb experience. #AirbnbExperiences are activities designed and led by inspiring locals that go beyond typical tours or classes by immersing guests in each host’s unique world.</t>
  </si>
  <si>
    <t>The cozy Lazy Bear Lodge. Grab a coffee and a book. #unwind #relax #lazybearlodge #cabininthewoods #loghome #vacationhome #wisconsindells #rusticretreats #vrbo #airbnb #rusticretreats</t>
  </si>
  <si>
    <t>Jessy Ferguson</t>
  </si>
  <si>
    <t>Gettting screwed over by air bnb as a host over and over again. Shocked that a guest can get away with damaging my home and upsetting the neighbors and air bnb wont do anything about it due to their impossible terms and conditions! #airbnb #host #trustpilot</t>
  </si>
  <si>
    <t>Cardiff\London</t>
  </si>
  <si>
    <t>Aspiring green living and lifestyle blogger. Enjoy Learning, Travel, Gardening, interiour design, events Management, Food, comedy, seasons and supporting Local!</t>
  </si>
  <si>
    <t>Andrea Ferrante</t>
  </si>
  <si>
    <t>Non avevo dubbi... American consumers spent more on Airbnb than on Hilton last year.  #futuro #airbnb #hilton #hotel</t>
  </si>
  <si>
    <t>Milan</t>
  </si>
  <si>
    <t>#Startup CFO and #Futurist. The Future Of is my podcast. http://the-future-of.it Ho un bellissimo canale Telegram. https://t.me/thefutureof</t>
  </si>
  <si>
    <t>Zack Williams(Ackza)</t>
  </si>
  <si>
    <t>#share2steem you can now use #airbnb with #bitcoin using @bitrefill bitcoin refillable #giftcards which are digitally delivered instantly. So as long as you have your Airbnb account, you…</t>
  </si>
  <si>
    <t>Hillcrest, San Diego, Ca</t>
  </si>
  <si>
    <t>Make money instead of likes, http://steemit.com signup free, post upvote comment and get free bitcoin! http://steemit.com/@ackza and instagram:ackza770</t>
  </si>
  <si>
    <t>Alarm Guard Security</t>
  </si>
  <si>
    <t>#QuestionOfTheDay - Are vacation rentals safe? 🤔Tell us what you think in the comments below or continue reading our #newblog -  #vacationrentals #airbnb #medium #security #safety</t>
  </si>
  <si>
    <t>ADT Authorized Home Security System experts. Securing Families Across Canada. If you’re a realtor, message us to join our referral program.</t>
  </si>
  <si>
    <t>Daksh Goyal</t>
  </si>
  <si>
    <t>Smile, you're on camera! #airbnb #travelsolo</t>
  </si>
  <si>
    <t>Noida, India</t>
  </si>
  <si>
    <t>Our rooms are clean, comfortable &amp; elegant.  ☎ 2682 5201 📧 livinghotelnosara@gmail.com #Nosara #Guanacaste #CostaRica #Beach #Surf #Vacations #Retreat #Yoga #Hotel #Tourism #LivingHotelNosara #Airbnb #Booking #Expedia</t>
  </si>
  <si>
    <t>Keyzapp</t>
  </si>
  <si>
    <t>Who in your office is really responsible for keys? Check out our blog to find out the one BIG mistake you should really avoid with your keys...  #keymanagement #lettings #property #airbnb #shortstay #security #facman</t>
  </si>
  <si>
    <t>The Fastest, Simplest, Most Effective way to manage your keys and assets</t>
  </si>
  <si>
    <t>Digital Journal</t>
  </si>
  <si>
    <t>#Madrid's city hall adopted a plan Wednesday to limit to 90 days per year the unlicensed leasing of homes to tourists, potentially rendering thousands of holiday rentals illegal  #housing #Airbnb</t>
  </si>
  <si>
    <t>Taking a digital-first approach to new media journalism, Digital Journal reports on the major news you need to know about now. On FB: https://www.facebook.com/digitaljournal</t>
  </si>
  <si>
    <t>Niggeratti</t>
  </si>
  <si>
    <t>Fuck #Airbnb #Fuckairbnb Fuck @airbnb and all of the people who say #airbnb does not impact the housing crisis in urban environments especially in New Orleans RT @fictionalbeck: “Housing” should be about people having places to live. Instead it is about the acquisition &amp; protection of financial investments for the wealthy. And that is the crisis. The crisis will not be over until we end the commodification of housing. Full stop. That’s all. Fuck @Airbnb</t>
  </si>
  <si>
    <t>New Orleans</t>
  </si>
  <si>
    <t>creator and in love with all things New Orleans</t>
  </si>
  <si>
    <t>Donata</t>
  </si>
  <si>
    <t>Between 15 and 18 May, during the #exhibition in #Milan called #Lamiera my sweet home is free. Have a look here! :-) #Italy #business #hospitality #airbnb</t>
  </si>
  <si>
    <t>Mamma felice di M11 e C8 e di @ItalyForKids</t>
  </si>
  <si>
    <t>Providers of quality linen and toiletries to the #shortstay industry, thanks for the follow @Nestangel_UK #shortlets #airbnb</t>
  </si>
  <si>
    <t>Botany Bay, Margate. Great to have this on our doorstep! #beachlife #margate #kent #accommodation #blueflag #seaside #airbnb #bookingcom #tripadvisor #holiday #staycation @ Margate, Kent</t>
  </si>
  <si>
    <t>Storage West Irvine</t>
  </si>
  <si>
    <t>Wondering what it takes to become an official and very prepared Airbnb host? #HereForYou #General #Business #USA #Jobs #Airbnb #Host</t>
  </si>
  <si>
    <t>Irvine, CA 92614</t>
  </si>
  <si>
    <t>Storage West Self Storage Irvine, CA. Self storage available in Irvine. Come store with us! Hours: Mon - Sat, 9am to 6pm. Closed on major holidays</t>
  </si>
  <si>
    <t>M-Angel</t>
  </si>
  <si>
    <t>NEW VLOG! Watch NOW ▶︎ Marseille Tour Buses and Beaches - Day 21 | 31 July 2018 | France Vlog | Travel Diary S01 🔗  – #marseille #travelfrance #travelvlog #iphone7 #airbnb</t>
  </si>
  <si>
    <t>I am potential, and a Skinny Caramel Macchiato 😂</t>
  </si>
  <si>
    <t>#Airbnb's Longest-Serving Hosts on the First Decade of Home-Sharing  via @CNTraveler</t>
  </si>
  <si>
    <t>VallartaStays</t>
  </si>
  <si>
    <t>😎 Grand Paramar Hotel 🏖 VallartaStays - Hotels &amp; Condos Vacation Rentals Dream Team  #VallartaStays #PuertoVallarta #airbnb #Expedia #Hotel #SemanaSanta #VallartaPride #27Mar #gaypride</t>
  </si>
  <si>
    <t>Vacation Rentals Dream Team</t>
  </si>
  <si>
    <t>La Florida</t>
  </si>
  <si>
    <t>Great review from a guest that just left , next #Airbnb moves in tomorrow #scuba #puertodelcarmenbynight #scubadive #lanzarote #puertodelcarmenlanzarote #lanzarotemarathon #scubalife #holidayblues #scubadiving #holiday #lanzarote🌵 #puertodelcarmenol…</t>
  </si>
  <si>
    <t>Tías, España</t>
  </si>
  <si>
    <t>fantastic 1 bedroom poolside apartment in the old town of Puerto del Carmen , Lanzarote. Book direct with us the owners.</t>
  </si>
  <si>
    <t>Get your @NoiseAware indoor &amp; outdoor sensor NOW so that your property won't get destroyed by "nightmare guests" that throw a party in in your #shorttermrental, leaving you with thousand of dollars in damage!doesn't #vacationrental #airbnb</t>
  </si>
  <si>
    <t>Travel Grants Pass</t>
  </si>
  <si>
    <t>Beautiful! Reposting @kathymontoya8856: ... "#Spring2019 #Cynefinonriverbanks #LiveRogue #Summer2019 #HalfwaytoSF #HalfwaytoSeattle #HalfwaytoPortland #Airbnb #GrantsPass"</t>
  </si>
  <si>
    <t>Grants Pass, OR</t>
  </si>
  <si>
    <t>Grants Pass is a beautiful river town with much to explore! We are located in the Downtown Welcome Center. Let us help you find your next Grants Pass adventure!</t>
  </si>
  <si>
    <t>Lawyers Title NV</t>
  </si>
  <si>
    <t>Where Airbnb Profits Are Soaring … #airbnb #homeowners #property #profit #extraincome #rental #California</t>
  </si>
  <si>
    <t>Unforgettable trip starts with Airbnb. Learn more and Visit  #airbnb #airbnbhost #airbnbexperience #airbnbcoupon #airbnbexperiences #airbnbhomes #airbnbguest #bnb #bnbreadathon #moneygram #moneymotivated #entrepreneurship #unitedstates #businesstips</t>
  </si>
  <si>
    <t>José Luis Briones</t>
  </si>
  <si>
    <t>What a day.... today we announce that since launching in 2008, @Airbnb hosts have welcomed more than half a billion guests! #airbnb #roadto1billionguests</t>
  </si>
  <si>
    <t>Economist // Public Policy Manager for Latin America and Caribbean @Airbnb. Former @BGTX and @OAS_official. Tweets are most definitely my own.</t>
  </si>
  <si>
    <t>✈️Every Airbnb I stayed in is unique. It was the same case with this glamorous studio flat in #Krakow  #Airbnb #Poland #lbloggers #TravelBloggersClub #ukbloggers #bloggerstribe #travelbloggers #lifestylebloggers #travelbloghub #travel #travelling</t>
  </si>
  <si>
    <t>TheMadridExperience</t>
  </si>
  <si>
    <t>#Airbnb: #Madrid adopts rules that will shut down over 10,000 holiday apartments</t>
  </si>
  <si>
    <t>Madrid</t>
  </si>
  <si>
    <t>Tours &amp; Experiences in Madrid with a local guide.</t>
  </si>
  <si>
    <t>ADMIR Kurman</t>
  </si>
  <si>
    <t>How #AIRBNB started or how 3 guys went from renting air mattresses to 10 billion dollar company. #SEO #DigitalMarketing #Communication #Marketing #IoT #GrowthHacking #SocialMedia #DeepLearning #Infographic #Business #Brand #Innovation #Design</t>
  </si>
  <si>
    <t>Writer, passionate about #innovations, using #creativity &amp; #tech with #genderequality towards #SmartFuture</t>
  </si>
  <si>
    <t>Senthera</t>
  </si>
  <si>
    <t>#Disruption is defined as changing rules of the game. #Healthcare is in the midst of it. Customer centric #innovation leads to new offerings and expanded services: #Airbnb markets Medical Stays, #UPS launches healthcare delivery service.</t>
  </si>
  <si>
    <t>#CAPITAL and #ADVICE in #digital + #Healthcare [#digitalHealth • #healthTech • #Healthcare • #VentureCapital • #PrivateEquity • #Startup ...]</t>
  </si>
  <si>
    <t>Dr Kris Naudts</t>
  </si>
  <si>
    <t>New data proving #Airbnb is truly changing the #travel industry and rivalling large hotel companies such as #Hilton and #Marriott</t>
  </si>
  <si>
    <t>Founder &amp; CEO of @CultureTrip. Passionate about culture and creativity and how they interact. Qualified Psychiatrist. Avid Reader.</t>
  </si>
  <si>
    <t>GCFLearnFree</t>
  </si>
  <si>
    <t>Learn all about the #sharingeconomy in our short but sweet lessons.  #Uber #Lyft #airbnb</t>
  </si>
  <si>
    <t>From Microsoft Office &amp; email to reading, math, &amp; more, GCFLearnFree offers more than 1,000 lessons, videos, &amp; interactives, completely free. #elearning #edtech</t>
  </si>
  <si>
    <t>Nitrozac</t>
  </si>
  <si>
    <t>Won't you be my stranger? 🤪  #Airbnb #airbnburn @bchesky @Airbnb</t>
  </si>
  <si>
    <t>West Coast</t>
  </si>
  <si>
    <t>Web comic artist, Portrait/Av-artist &amp; illustrator, @snaggy I create The Joy of Tech comic.</t>
  </si>
  <si>
    <t>Tales of a Backpacker, aka Claire Sturzaker. 1 woman. 1 backpack. A whole world to explore #Travel #Food As an Amazon Associate I earn from qualifying purchases</t>
  </si>
  <si>
    <t>aBundle</t>
  </si>
  <si>
    <t>Business travelers are a booming market segment. Are you ready to welcome them? Check out our blog for a breakdown of how the top platforms are reaching business travelers—and how to make sure those travelers find you. 💼 #businesstravel #vrbo #airbnb</t>
  </si>
  <si>
    <t>Vernon Hills, IL</t>
  </si>
  <si>
    <t>aBundle is a smart online source that helps owners and hosts of vacation rental properties, B&amp;Bs and timeshares save aBundle of time, effort and money.</t>
  </si>
  <si>
    <t>No. 79 Tower Street is a beautiful #Winchester city centre property with 2 large bedrooms ready to host you and your family. Book direct and save up to 30%! #Bookdirect #Holiday #airbnb…</t>
  </si>
  <si>
    <t>Always ready to listen #comfortcottagehealing #visitwales #dogfriendly #TheDogsWithMe #alpacas #ArtsWales #SunDogs #Airbnb RT @ruthwignall: It’s good to talk guys.... xx</t>
  </si>
  <si>
    <t>Here we'll explore the realities of becoming an Airbnb host so you can decide if its right for you #HereForYou #General #Business #USA #Jobs #Airbnb #Host</t>
  </si>
  <si>
    <t>Phoenix, AZ 85017</t>
  </si>
  <si>
    <t>Storage West Self Storage Glendale, AZ. Self storage in Glendale. Come store with us! Hours: Mon - Fri, 9am to 6pm. Sat, 9am to 5pm. Closed on major holidays.</t>
  </si>
  <si>
    <t>Monte Thakkar</t>
  </si>
  <si>
    <t>What's your go-to app for vacation rentals? #vrbo #airbnb #homeaway</t>
  </si>
  <si>
    <t>founder http://www.mobilespace.xyz | creator https://www.instagram.com/i_think_igbook &amp; http://dear.earth &amp; @TimeMartian &amp; http://chantal.app</t>
  </si>
  <si>
    <t>Kamran Munshi</t>
  </si>
  <si>
    <t>Sp00ky. This always has concerned me despite it probably affecting a super small number of listings. #AirBnB</t>
  </si>
  <si>
    <t>Software @TwitterEng | #BayArea Native | Go @Warriors | @Cornell CS alum</t>
  </si>
  <si>
    <t>Luis A. Ponce</t>
  </si>
  <si>
    <t>Add extra caution when dealing with @Airbnb . They have no control on their hosts and you can find some “surprises” on their listings. #airbnb #traveladvise #travelscam</t>
  </si>
  <si>
    <t>100% Canadian: 3/4 Mexican, 1/4 European and a pinch of Malian || Breakfast / Coffee Enthusiast || Toronto, ON</t>
  </si>
  <si>
    <t>Yes, #Ryerson University doing ''research'' on #DIVERSITY in the workplace ... funded by tax payer money! How did #CANADA get here? #PPC2019 #BernierNation #canpoli #RoxhamRd #UNHCR #Airbnb #OpenSociety #GlobalCompactForMigration #CenturyInitiative #MayorsMigrationCouncil RT @HireImmOttawa: Via @CukierWendy⁩ ⁦@RyersonDI #diversity #innovation #inclusion ⁩</t>
  </si>
  <si>
    <t>😎 Grand Paramar Hotel 🏖 VallartaStays - Hotels &amp; Condos Vacation Rentals Dream Team  #VallartaStays #PuertoVallarta #airbnb #Expedia #Hotel #SemanaSanta #VallartaPride #26Mar #gaypride  via @YouTube</t>
  </si>
  <si>
    <t>Bruno</t>
  </si>
  <si>
    <t>Best place to stay in #Williamsburg #nyc #airbnb #vacation #travel #brooklyn ?</t>
  </si>
  <si>
    <t>I make videos. Some are good. FCPX editor. http://www.youtube.com/user/bruncyr</t>
  </si>
  <si>
    <t>#Airbnb is on track to hit $3B by 2020. Here’s how to win at that game.  #passiveincome #opportunity #realestate #tips #LifeHacks #WednesdayWisdom #vrbo #investmentproperty #MakeMorePossible #topdollar #interiordesignideas #details #NeedToKnow #design</t>
  </si>
  <si>
    <t>OlenForCityCouncil</t>
  </si>
  <si>
    <t>Hey, I'm famous! I'm not asking for change so much a reasonable response to the changes that are already here. It takes all ages and experiences. #voteOlen #Ralpol #sharingeconomy #airbnb @limebike #Raleigh RT @PropRightsPod: HOT OFF THE PRESS...COMPUTER!💻 Olen Watson discusses how the sharing economy is going to radically transform a city near you! 🌇 Be sure to check us out on iTunes/Spotify or over at  now!</t>
  </si>
  <si>
    <t>Husband, dad, carpenter, US Marine, former special ed teacher. Raleigh has been my family's home for 68 years. Enloe, Campbell, went to NCCU.</t>
  </si>
  <si>
    <t>Did you hear?!? It's time to celebrate! It's Wine Wednesday!!! #temecula #airbnb #vacationrental #airbnbhost #followme #vacation #wine #vrbo #wineries #wine #winetasting #travel #bookdirect #wedding #destination #winecountry #temeculavacationrental #lovetemecula #robertrenzoni</t>
  </si>
  <si>
    <t>Artemisia Net-Zero</t>
  </si>
  <si>
    <t>Ready for some winter romping! . . . #methowlife #winthropwa #methowvalley #zeroenergyhome #vacationrental #airbnb</t>
  </si>
  <si>
    <t>Winthrop, WA</t>
  </si>
  <si>
    <t>Home of the first shared-ownership zero-energy rental cabin &amp; the first net-zero house in Seattle.</t>
  </si>
  <si>
    <t>Latticework Wlth Mng</t>
  </si>
  <si>
    <t>Wall Street readies for IPO boom as ‘unicorns’ stampede to market | Financial Times: #IPO #IPOs #unicorns #Lyft #Uber #Airbnb #Pinterest</t>
  </si>
  <si>
    <t>Investment consulting firm partnering with financial planners, #CFPs and independent #RIAs. Challenging the status quo in the industry. #latticeworkwealth</t>
  </si>
  <si>
    <t>BiotechGo Consulting</t>
  </si>
  <si>
    <t>An #Airbnb host in #SanDiego advertises his apartment using material from a nearby $20,000 / month high-end penthouse. The reality, a $3,500 rental, is much more modest. Airbnb does not want to remove the listing and I am puzzled! @AirbnbHelp</t>
  </si>
  <si>
    <t>Biotech Entrepreneur, Chief Operating Officer at DrugCendR Inc.</t>
  </si>
  <si>
    <t>Major #AirBnb #opportunity! This 2 bed/2 bath in #Venice sits just 6 houses from the sand and boardwalk. Be booked 24/7 for top dollar! $1.849m #dealoftheday #investmentproperty #california #losangeles #beachlife #passiveincome #realestate #WednesdayWisdom #sunandsand #portfolio</t>
  </si>
  <si>
    <t>#RNation Rich</t>
  </si>
  <si>
    <t>No results from #airbnb though. Boo. RT @MobileSyrup: Google Search for hotels now includes vacation rental properties</t>
  </si>
  <si>
    <t>• #REDBLACKS #RNation • #Habs #GoHabsGo • #FuckCancer #MissYouPapa</t>
  </si>
  <si>
    <t>Airbnb has reported that #hosts have earned over $65 billion through the platform and that it now offers more than 6 million places to stay worldwide, inching just ahead of @bookingcom’s reported 5.7 million listings  @phocuswire #Airbnb</t>
  </si>
  <si>
    <t>The world's leading provider of vacation rental data &amp; analytics. Offices in Denver and Barcelona. Contact us at: hello@airdna.co #AirDNA #WhatsYourAirDNA</t>
  </si>
  <si>
    <t>Kerianne Mellott</t>
  </si>
  <si>
    <t>Turning to Twitter...will a supervisor at @Airbnb PLZ help me?! Over 10 case managers and nothing! Multiple issues: cockroaches for dinner anyone?, electricity shut off, sink broken for 5 days, wifi shut off and bill past due 3 TIMES...😖 #customerservice #airbnb</t>
  </si>
  <si>
    <t>Author. Marketing Coach. Social Media Expert. Former Director, #SocialMedia, @eharmony. Mom to the best teen. I help biz owners learn to go Live on camera. 🎬</t>
  </si>
  <si>
    <t>Jim Slaven</t>
  </si>
  <si>
    <t>I know anti-#AirBnB campaigners in #Edinburgh with AirBnBs! So yes, councillors, MSPs, cops, lawyers they’re all in on it. Social cleansing isn’t an accident. It’s policy. A profitable policy in the interest of the dominant classes, at the expense of the rest of us. RT @kwr66: You’ve got to wonder just how many Councillors, family members and friends have AirB&amp;B’s its like an untaxed Klondike out there.</t>
  </si>
  <si>
    <t>Cowgate Republic, Edinburgh</t>
  </si>
  <si>
    <t>noun, verb, noun, verb. “That preposterous biography” - James Connolly</t>
  </si>
  <si>
    <t>Boudoir Photographer</t>
  </si>
  <si>
    <t>My favorite way to travel &amp; the cheapest! 😜 #Airbnb #deals #discount #couponcodes</t>
  </si>
  <si>
    <t>Orange County-Los Angeles</t>
  </si>
  <si>
    <t>International Award Winning Photographer Specializing In Sexy Boudoir, Glamour &amp; Fashion Photography Since 1997. Owner of 1st Boudoir Studio in the country!</t>
  </si>
  <si>
    <t>Nicole LaBarbera</t>
  </si>
  <si>
    <t>Exciting milestone for one of my favorite brands, congrats @airbnb on 500M guest arrivals!  #airbnb</t>
  </si>
  <si>
    <t>Sales at @Medallia, Pilates &amp; Spin Instructor at @BodyRokStudio. SF sports fan &amp; concertgoer. #travel #tech #CX</t>
  </si>
  <si>
    <t>Enable Magazine</t>
  </si>
  <si>
    <t>There's still time to visit stands at #Naidex45 🙌 We had a walk around and it all looks great! 👀 Looking at the @Airbnb_uk stand reminds us of our #interview with @SrinMadipalli 🌍✈ Check it out 👉 #travel #accessible #adventure #Airbnb</t>
  </si>
  <si>
    <t>Enable is the UK's leading disability lifestyle magazine, filled with news, opinions and real life. Nominated for Specialist Magazine of the Year 2018 🏆</t>
  </si>
  <si>
    <t>Andrew McConnell</t>
  </si>
  <si>
    <t>"I'm like really half a billi" says @Airbnb (and yes, they 'bout to go H.A.M.). #airbnb ballin like @kanyewest &amp; @S_C_. @deannating digs into the latest #Statistics on the #sharingeconomy darling. #Travel #vacationrental RT @skift: Airbnb Says It Has Hosted More Than Half a Billion Travelers Since Its Launch</t>
  </si>
  <si>
    <t>CEO &amp; Co-Founder, @rentedcom #sharingeconomy #vacationrentals #startups #innovation #travel #tech #RealEstate #RealEstateTrends #parenthood #parenting</t>
  </si>
  <si>
    <t>Bart Vrolijk 🇳🇱</t>
  </si>
  <si>
    <t>🇪🇸 MADRID “City officials say regulation is required to stop the center from becoming a tourist theme park” #airbnb RT @elpaisinenglish: Madrid adopts rules that will shut down over 10,000 holiday apartments</t>
  </si>
  <si>
    <t>Netherlands Embassy Madrid | Spain | Economy &amp; Trade | Agriculture &amp; Food | Latin America | Soccer | Travel | Groningen</t>
  </si>
  <si>
    <t>360modern</t>
  </si>
  <si>
    <t>Ever wanted to stay in a #midcentury modern home? #Airbnb has some fantastic #modern homes available for rent across the country. Airbnb just checked in its 500 millionth guest  via @techcrunch</t>
  </si>
  <si>
    <t>360°modern is the premier Pacific Northwest real estate consortium specializing in modern homes. Have a blog post idea? Send a note to tips@360modern.com!</t>
  </si>
  <si>
    <t>Ginny Daker</t>
  </si>
  <si>
    <t>So lucky to be invited in to service homes like this #propertymanagement #cleaning #airbnb #holidaylet #shropshire #shropshirehills @ Montgomery, Powys</t>
  </si>
  <si>
    <t>Shrewsbury, shropshire</t>
  </si>
  <si>
    <t>Girl friday/mary poppins - practically perfect in every way! I can help with your horses, children, pets, house, farm or office/business. Excellents refs</t>
  </si>
  <si>
    <t>FixItPhinney</t>
  </si>
  <si>
    <t>Storage Shed or AIRBNB, you choose. (: #storage #shed #airbnb #fixitphinney #fix8marketing #ballard #ballardseattle #ballarddesigns #phinneyridge #phinneyridgeseattle #phinney #seattle #seattleconstruction #seattlecontractor #seattlehomes #seattlerealestate</t>
  </si>
  <si>
    <t>Phinney Ridge, Seattle</t>
  </si>
  <si>
    <t>We sweat the small stuff so you don’t have to. HardScapes, Household Renovations &amp; Repairs. Serving Phinney Ridge &amp; BALLARD 206-274-9399</t>
  </si>
  <si>
    <t>Tips &amp; Tricks for Property Managers by GuestBook  #airbnb @airbnb</t>
  </si>
  <si>
    <t>Find out what how to spruce up your vacation #rental or #airbnb with these Affordable Beach Vacation Rental Essentials from #Amazon  #landlord #realestate #vacationhome #rentalhome #rental #investment #investors #investor #realestatebroker #brokers</t>
  </si>
  <si>
    <t>One of our rooms at La Siguaraya @lasiguaraya #Lahabana #havana #Havanalove #havanastyle #cuba #cubalife #cubalove #bedandbreakfast #CasaParticular #casaparticulares #renthousecuba #airbnb #casasparticularescuba #casaparticularhavana #bedroom</t>
  </si>
  <si>
    <t>The Goat Cottage</t>
  </si>
  <si>
    <t>Roast Marshmellows . The Goat Cottage FB. @thedancingspiri IG. #Airbnb #Homeaway  New!  @thedancingspiri @thedancingspiri alignable airbnb…</t>
  </si>
  <si>
    <t>Rhode Island, USA</t>
  </si>
  <si>
    <t>#Goats #Vrbo #airbnb #homeaway #Follow #Insta @thegoatcottage #FBpage The Goat Cottage #hostagram</t>
  </si>
  <si>
    <t>Nacho Villa Foto</t>
  </si>
  <si>
    <t>Details make the difference🌿 $ $ $ #fotografo #arquitectura #architecture #inmobiliaria #airbnb #hotel #villas #architecturephotography #archilovers #arquitecto #realestate #realtor #granada #malaga #marbella #spain #luxuryhomes</t>
  </si>
  <si>
    <t>Granada, España</t>
  </si>
  <si>
    <t>🏅Real Estate &amp; Hotel Photographer. 📍Based on Granada | Spain info@nachovillafoto.com</t>
  </si>
  <si>
    <t>Oldfarm</t>
  </si>
  <si>
    <t>Makeover of twin room complete....just in time for #mothersday ...and we still have room too. #airbnb #Tipperary #ireland #oldfarm @ Lorrha, Tipperary, Ireland</t>
  </si>
  <si>
    <t>Redwood, Co Tipperary, Ireland</t>
  </si>
  <si>
    <t>We provide B&amp;B here on our Nth. Tipperary smallholding. Come stay with us, and enjoy our homegrown pork, lamb, chicken, eggs and veg. http://oldfarm.ie</t>
  </si>
  <si>
    <t>CryptoFood</t>
  </si>
  <si>
    <t>Buy Airbnb with Bitcoin or altcoins  #Bitcoin #AirBnB</t>
  </si>
  <si>
    <t>🚨 24 Hours Crypto, Tech &amp; Food News from across the web, saving you much time of visiting each website yourself. #crypto #btc #blockchain #iot #ai #tech #food</t>
  </si>
  <si>
    <t>Lenia Marques</t>
  </si>
  <si>
    <t>Curious about #network #relationality? Check out our article on #airbnb #sharingeconomy with a case in #Brasil #olinda</t>
  </si>
  <si>
    <t>Rotterdam, The Netherlands</t>
  </si>
  <si>
    <t>Assistant Professor, Erasmus University Rotterdam / Interests: Creative Industries; Arts &amp; Culture; Innovation and Creativity in Events, Tourism, Leisure</t>
  </si>
  <si>
    <t>💗 this shot I took a couple of weeks ago in Riverside #indio #bermudadunes #suncity #indianwells #laquinta #cathedralcity #cathedralcitycove #palmdesert #ranchomirage #palmsprings #yuccavalley #morongovalley #joshuatree #jtnp #airbnb #stagecoach #coachella #vaca #pioneertown</t>
  </si>
  <si>
    <t>Barbara Thau</t>
  </si>
  <si>
    <t>How @Airbnb is Monetizing the Future of #Work in the Sharing Economy| CO #travel #airbnb #sharingeconomy #hospitality @growwithco</t>
  </si>
  <si>
    <t>Senior features editor, CO— @growwithco by @uschamber Business reporter/editor specializing in retail, consumer trends. Tweets are my own.</t>
  </si>
  <si>
    <t>#DidYouKnow with our vacation (short-term) rental program, we utilize the actual rent value whether it be from your property management or #airbnb - resulting in, our investors being able to achieve the 70% LTV they're looking for 🏠🌴 #mortgagebrokers #broker #investor #nonqm</t>
  </si>
  <si>
    <t>moorefeakins</t>
  </si>
  <si>
    <t>A Gov minister has said that the Scottish Gov will bring forward proposals that will impose a new "tourist tax" charged onto short-term hotel and #Airbnb stays. Councillors in #Edinburgh have already voted in favour of the levy, despite not being able to put the charge in place.</t>
  </si>
  <si>
    <t>Milton Keynes, England</t>
  </si>
  <si>
    <t>SPECIALIST SME accountants helping to build on your existing successes and realise even more sustainable growth that benefits you, your people &amp; your customers.</t>
  </si>
  <si>
    <t>Bitrefill</t>
  </si>
  <si>
    <t>Finally, our most-requested product is here! Rent your next #AirBnB with crypto!!!  #Bitcoin #Ethereum #Dash #Litecoin #Dogecoin</t>
  </si>
  <si>
    <t>Stockholm</t>
  </si>
  <si>
    <t>Live on crypto. Buy gift cards and refill phones with Bitcoin all over the world ⚡️</t>
  </si>
  <si>
    <t>Expats Paris</t>
  </si>
  <si>
    <t>#Airbnb Has a Hidden-Camera Problem: The home-rental start-up says it’s cracking down on hosts who record guests. Is it doing enough?  via @TheAtlantic</t>
  </si>
  <si>
    <t>The Leading #Paris #Expats #Community. We're also hosting @ParisTalks</t>
  </si>
  <si>
    <t>getbookfull</t>
  </si>
  <si>
    <t>#Airbnb says it has hosted more than half a billion travelers since its launch  #getbookfull #vacationtravel #vacationrental</t>
  </si>
  <si>
    <t>Our short term rental management software is the ultimate solution to every property managers problems. And, it’s free.</t>
  </si>
  <si>
    <t>Ash Tanasiychuk 🏳️‍🌈</t>
  </si>
  <si>
    <t>A critical look at the gig economy: Your "independence" is not empowering, it's the opposite. Workers aren't protected. Conditions are going backwards. ⏪ @AJRavenelleNYC #uber #airbnb RT @PressShopPR: "We're constantly seeing worker protections being rolled back, and workers are essentially in the same types of situations as their great-grandparents were." -- @AJRavenelleNYC, author of HUSTLE AND GIG (@ucpress), in @outline today!</t>
  </si>
  <si>
    <t>Building &amp; nurturing creative, inclusive communities. #Art #Music #Love #Respect</t>
  </si>
  <si>
    <t>Daily News Hungary</t>
  </si>
  <si>
    <t>In November 2016, #Airbnb offered 6,300 flats but this March this number increased to 10,000 which means a 67%... -</t>
  </si>
  <si>
    <t>Hungary</t>
  </si>
  <si>
    <t>Hungarian News in English for everyone to understand Hungary, to know more about Hungarian people</t>
  </si>
  <si>
    <t>Skyetrip</t>
  </si>
  <si>
    <t>So what's the difference between #OYO and #Airbnb? #BudgetTravel #Skyetrip</t>
  </si>
  <si>
    <t>#Skyetrip is your place for finding the accommodation you need hassle-free! Pre-register Today! #Founders #Freelancers #DigitalNomads</t>
  </si>
  <si>
    <t>#Airbnb in #NewYorkCity - THIS is what regulation looks like, @CityofVancouver ⤵ RT @NYPDMTN: After receiving complaints from @HellsKitchenNYC residents at Sector David’s @buildtheblockny meeting, we confiscated 14 lock boxes attached to public pay phones being used to store 🔑s for illegal apartment rentals, and the possible storage of narcotics along 9th Avenue.</t>
  </si>
  <si>
    <t>Sumith Maniath</t>
  </si>
  <si>
    <t>Make sure you are not recorded next time you book an Airbnb:  #airbnb</t>
  </si>
  <si>
    <t>Security Research Scientist @Fireeye</t>
  </si>
  <si>
    <t>Holiday Scottsdale is a great vacation spot! Wonderful inside amenities, and outdoor fun. Complete with pool, hot tub, fitness room and even a pool able! Book your stay today:  #VRBO #Airbnb #Pooltable #Swim #ScottsdaleVacation</t>
  </si>
  <si>
    <t>Daniel Monteiro</t>
  </si>
  <si>
    <t>#Airbnb &amp; it's hidden-camera problems</t>
  </si>
  <si>
    <t>#SEO at @WeAreCollider; #Growthhacker &amp; Digital Strategist :)</t>
  </si>
  <si>
    <t>Maggi</t>
  </si>
  <si>
    <t>#bath time at our Holmes House #airbnb in #seattle! I can get use to this! #magmeitravels #homedecor #design #spa #relax #bathroomdesign @ Kirkland, Washington</t>
  </si>
  <si>
    <t>Vancouver BC</t>
  </si>
  <si>
    <t>What goes in to, on to, and around me. This is me and what I see, all my photos in Vancouver BC! A big mouthed food blogger capturing life with an iphone6.</t>
  </si>
  <si>
    <t>🇨🇦 Deanna Cheng</t>
  </si>
  <si>
    <t>Inside the Rise and Fall of a Multimillion-Dollar #Airbnb Scheme  / #NewYork #economy #realestate #housing #vanRE #Vancouver #Toronto #cdnpoli #BChousing #tourism #cdnecon</t>
  </si>
  <si>
    <t>Vancouver, B.C. (Canada)</t>
  </si>
  <si>
    <t>Independent journalist, copyeditor + researcher. @LJ50th grad. Letter writing hobbyist. Shito-ryu karate practitioner. http://SeeDisclaimer.com</t>
  </si>
  <si>
    <t>Patrick Shannahan</t>
  </si>
  <si>
    <t>One last shot from Esparto Eva, Jock, Lena and Briggs #teamredtop #bordercollie #workingdog #sheepdog #esparto #airbnb #sheepdogtrial @ Esparto, California</t>
  </si>
  <si>
    <t>Caldwell, ID USA</t>
  </si>
  <si>
    <t>Living the good life as a sheepdog trainer and enthusiast.</t>
  </si>
  <si>
    <t>Martin Schultz</t>
  </si>
  <si>
    <t>"Out of all US consumer lodging spending last year, Airbnb made up nearly 20 percent, according to Second Measure data... That’s impressive considering the US hotel industry brings in more than $200 billion in revenue a year." via @Recode #airbnb</t>
  </si>
  <si>
    <t>Copenhagen</t>
  </si>
  <si>
    <t>Technology-driven entrepreneur, business developer and digital marketing strategist. Consultant for hire. Managing Partner, UX Systems.</t>
  </si>
  <si>
    <t>Ches Mangibin</t>
  </si>
  <si>
    <t>House hunting! #Singaporetrip #airbnb @ Mangibin Residence</t>
  </si>
  <si>
    <t>Manila, Philippines</t>
  </si>
  <si>
    <t>son. brother. educator. boyfriend. puppy father. just gathering all the pieces of my existence</t>
  </si>
  <si>
    <t>Ludo ㄥ</t>
  </si>
  <si>
    <t>What Happens If You Find Cameras in Your #Airbnb #Privacy</t>
  </si>
  <si>
    <t>CISO • DPO #CyberSecurity #Privacy #eHealth #ConnectedWorld #EBIOSlover #ponyangel #Esport #Japan ⛩🎌</t>
  </si>
  <si>
    <t>Emi Moriuchi🛫🗺️🍣</t>
  </si>
  <si>
    <t>The Atlantic: Airbnb Has a Hidden-Camera Problem #airbnb do we have to worry about privacy invasion?</t>
  </si>
  <si>
    <t>Researcher, Marketing Professor, traveller, Author of social media marketing book: http://amzn.to/2j14Mut</t>
  </si>
  <si>
    <t>David G Zeiler ⚡️</t>
  </si>
  <si>
    <t>I've always thought #AirBnB was a bad idea. I don't want strangers in my house.  #TechNews #hiddencamera</t>
  </si>
  <si>
    <t>Staff #cryptocurrency expert @MoneyMorning, a financial news website. OG: Mined #Bitcoin in 2011. Tech junkie. Appleholic. Political malcontent.</t>
  </si>
  <si>
    <t>Eduardo Ruales</t>
  </si>
  <si>
    <t>In Home 😎 @VOATLANTA #hapeville #atlanta #georgia #voatlanta #voiceactor #audiobooknarrator #acting #dubbing #doblaje #nonstop #thinkbig #networking #hardwork #airbnb</t>
  </si>
  <si>
    <t>UIO</t>
  </si>
  <si>
    <t>Voice Actor. Creative Director. AudioBook Narrator. Producer. E-Learning &amp; Training Narration. En Español. Runner. Swimmer. Biker. http://www.eduardoruales.com</t>
  </si>
  <si>
    <t>Indigo Square</t>
  </si>
  <si>
    <t>Ahead of my usual Kaye Adams slot next Tuesday, I was on today discussing #Edinburgh's increasing #rental costs and the impact of short-term rentals like #AirBnB on the sector. Listen from the 3 hour point (don't worry - it's just 10 mins long)</t>
  </si>
  <si>
    <t>Letting Agents &amp; Factor</t>
  </si>
  <si>
    <t>Martin Brindley</t>
  </si>
  <si>
    <t>Anyone else have an issue with Airbnb site being down or am I the lucky one? #airbnb</t>
  </si>
  <si>
    <t>Reading, Berkshire</t>
  </si>
  <si>
    <t>Experienced pan-European technology PR and marketing communications consultant. Founder of @albacomms http://www.albacomms.com</t>
  </si>
  <si>
    <t>Oakland A'sian ™️</t>
  </si>
  <si>
    <t>#WrongPlacesToFindLove At an #Airbnb with a hostile living situation with shared space....</t>
  </si>
  <si>
    <t>Daughter, Auntie, Friend, Lover, Sister, Mother/Ex-Wife #Caregiver #Gemini #AmerAsian #WarBaby #ReppinTheBay</t>
  </si>
  <si>
    <t>Southpace Properties</t>
  </si>
  <si>
    <t>A service that we can liken to #Airbnb for #farmland is making renting land easier for owners... Intrigued? Click the link below and we'll tell you more! Contact Southpace today if you or your are interested in investing in land- 205-326-2222.</t>
  </si>
  <si>
    <t>Birmingham, AL</t>
  </si>
  <si>
    <t>Alabama's largest independent commercial real estate firm.</t>
  </si>
  <si>
    <t>Dontee Wrenn</t>
  </si>
  <si>
    <t>#Airbnb has a hidden-camera problem - The Atlantic</t>
  </si>
  <si>
    <t>God First,Spiritual Fly Nubian King, Blind but Full of Ability, Aquarius, Go-Go Music.</t>
  </si>
  <si>
    <t>Visit Okinawa Japan -Four Seasons  #okinawa #japan #Tourism #travel #airbnb</t>
  </si>
  <si>
    <t>Kawakami</t>
  </si>
  <si>
    <t>#Airbnb has a hidden-camera problem - That’s just to freaky! 😦 You wouldn’t find them renting a hotel suit. #travel #safety Sounds like #locallaw supersedes company policy, and may not protect you! Nil! #personalsafety</t>
  </si>
  <si>
    <t>California Republic</t>
  </si>
  <si>
    <t>Grew up farming; Marine veteran, liberal. Enjoy: DIY; handmade projects, cooking; plant-based meals, health, history, nature, photography, veg &amp; grain farming..</t>
  </si>
  <si>
    <t>Gustavo Estrella</t>
  </si>
  <si>
    <t>American consumers spent more on #Airbnb than on Hilton last year. When yo u have an innovative/transformative product, it is amazing how quickly they scale !</t>
  </si>
  <si>
    <t>Metro Boston, Massachuset</t>
  </si>
  <si>
    <t>CTO, SVP of Technology @OnProcess #DevOps|#AI|#ML|#Cloud|#Automation|#ManagedServices|#SupplyChain|#ITO|#Outsourcing|#IT|#CIO Tweets my own.</t>
  </si>
  <si>
    <t>Home Secure</t>
  </si>
  <si>
    <t>Best Smart Locks for Airbnbs in 2019:  #SmartCities #airbnb #homesecurity #smartlocks #connected #smarthome</t>
  </si>
  <si>
    <t>The Security Specialists</t>
  </si>
  <si>
    <t>SECoast_Social-</t>
  </si>
  <si>
    <t>The 10 Unique #Airbnb Rentals Around the World by @studiotmd  #theconnectorint #travel</t>
  </si>
  <si>
    <t>South of England</t>
  </si>
  <si>
    <t>Creative Online Marketing Campaigns available for Creative People - in the #Arts #Music, #Writers #Film #Photography #Actors with @Stella_Holman</t>
  </si>
  <si>
    <t>#London local authority set to lease Aldgate #aparthotel - London will enter an innovative intermediate lease deal for a property currently under construction in east London. Read more at  #servicedapartments #servicedapartmentnews #airbnb</t>
  </si>
  <si>
    <t>Add an extra touch of luxury to your bathroom with our super absorbent bath mats. #hospitality #airbnb #servicedapartments #comfort #quality</t>
  </si>
  <si>
    <t>Suppliying hotel-quality bed linens, towels and toiletries to #airbnbs, #shortlets and #servicedapartments in #London.</t>
  </si>
  <si>
    <t>Able Magazine</t>
  </si>
  <si>
    <t>We chat to @Airbnb_uk to see what their up to in the world of accessible travel 🌍 at @NaidexShow #AbleMagazine #Naidex45 #Disabilityevent #airbnb #accesstravel</t>
  </si>
  <si>
    <t>Bringing you #disability news and features. We're about what people can do, not what they can't! Visit our website for more information.</t>
  </si>
  <si>
    <t>Dina Hussain</t>
  </si>
  <si>
    <t>Great article from Harsahib (Sahib) Singh Chadha #cloudcomputing #stadia #appletv #netflix #airbnb #innovationstrategy #WWT_UK #wwt #dinahussain</t>
  </si>
  <si>
    <t>Senior Resource Manager supporting the Consulting Services and Asynchrony Labs division at World Wide Technology. #dinahussain #dinamistry</t>
  </si>
  <si>
    <t>Great piece by the guys at Your AirHost. If you're thinking about sharing your home on Airbnb you should give it a read! #sharinginsurance #insurtech #airbnb #wednesdaywidsom #sharingiscaring #homeinsurance</t>
  </si>
  <si>
    <t>Maritza + Mendoza</t>
  </si>
  <si>
    <t>Chile Vs. #Airbnb</t>
  </si>
  <si>
    <t>Rosario, Argentina</t>
  </si>
  <si>
    <t>Ecuador - Colombia - Argentina - Ciencia Política - BSC - #GoPats</t>
  </si>
  <si>
    <t>Mohamed Alami</t>
  </si>
  <si>
    <t>How #IPOs from #Uber, #Pinterest, #Airbnb, #Lyft and others could create a $230 Billion windfall and 6,000 new Millionaires</t>
  </si>
  <si>
    <t>🌍 property, tech, f&amp;b investor, AUS alum</t>
  </si>
  <si>
    <t>#Apartment #for_rent in Kolonaki Athens. This apartment is for four persons. For more information, send us an email to info@firstclassproperties.gr #firstclasscompany #firstclassinvest #luxuryapartment #kolonaki #airbnb #luxurylifestyle #luxury</t>
  </si>
  <si>
    <t>#airbnb listings increased 154% in #Hackney last year - if you're looking to make ££ from short term lets, this is what you need to know</t>
  </si>
  <si>
    <t>AC Banchory</t>
  </si>
  <si>
    <t>8 Dee Street, Banchory</t>
  </si>
  <si>
    <t>Tamara Kent</t>
  </si>
  <si>
    <t>Adelaide, Australia</t>
  </si>
  <si>
    <t>Big time tequila lover, passionate about discovering the best tequilas in Aust and sharing tequila tips. LOVE to travel, take photos, learn Spanish, meet people</t>
  </si>
  <si>
    <t>Byte Funding</t>
  </si>
  <si>
    <t>#airbnb just checked in its 500 millionth guest</t>
  </si>
  <si>
    <t>A #technology #investment deal platform providing all the resources #investors in this sector need; news, education, investment offerings. #fintech #finance</t>
  </si>
  <si>
    <t>Friends #Mobile #MobilePhones #Manchester #performers #LiveMCR #Manc #LiveMusic #poets #singers #BandsManchester #Uber #Airbnb #Instagram #Snapchat #Bitcoin #iPad #Kickstarter #Pinterest…</t>
  </si>
  <si>
    <t>Amy Duthie</t>
  </si>
  <si>
    <t>@Airbnb has just recorded its 500 millionth guest arrival across one of its 6 million homes, yurts, tree houses, boats and more' ✈️ #travel #hospitality #airbnb RT @TechCrunch: Airbnb just checked in its 500 millionth guest  by @kateclarktweets</t>
  </si>
  <si>
    <t>Croydon, UK</t>
  </si>
  <si>
    <t>Freelance strategic #socialmedia manager focused on creating impactful content and advertising strategies. Can often be found in coffee shops.</t>
  </si>
  <si>
    <t>ClaudeBenard</t>
  </si>
  <si>
    <t>Why has Airbnb agreed to train 15,000 female hospitality entrepreneurs in India?  #airbnb #india</t>
  </si>
  <si>
    <t>Marseille, France</t>
  </si>
  <si>
    <t>Tourism, Strategy, Marketing, Sales ► eTourism training &amp; consulting ► Representation &amp; Marketing for the INDIA Outbound Travel Market #Business #Sales #Results</t>
  </si>
  <si>
    <t>In 2007, three travelers arrived for a design conference in San Francisco and checked in at the home of Airbnb co-founders Brian Chesky and Joe Gebbia. Today, guests can now choose from 6 million homes, yurts, treehouses, boats &amp; more. #airbnb</t>
  </si>
  <si>
    <t>Wendi Cong</t>
  </si>
  <si>
    <t>#Airbnb just checked in its 500 millionth guest  via @techcrunch</t>
  </si>
  <si>
    <t>2 things matter// tech + cinema</t>
  </si>
  <si>
    <t>Karan</t>
  </si>
  <si>
    <t>Airbnb has just recorded its 500 millionth #guest arrival across one of its 6 million homes, yurts, tree houses, boats and more. via @TechCrunch  #airbnb #Travel #travellers</t>
  </si>
  <si>
    <t>Gujarat, India</t>
  </si>
  <si>
    <t>I am #DigitalMarketer, a dreamer, a movie lover, a travel lover, moody #photographer....</t>
  </si>
  <si>
    <t>I AM OLIVER DARRIUS MERRICK KING</t>
  </si>
  <si>
    <t>A thrill a minute to see a Las Vegas police chase. • • • • • • #iamodmk #blogger #socialmedia #filmmaker #travel #lasvegas #adventure #airbnb #filter #ios #gingham #gay #lgbt…</t>
  </si>
  <si>
    <t>Avid gnome collector. Pastafarian zealot. Misanthropic sociopath. Two-spirit rockstar. The artist formally known as Ken Burns. Don’t tempt me.</t>
  </si>
  <si>
    <t>Our #Soup of the day menu🍲 #maisonvie #london #kilburn #nw6 #frenchcafe #frenchbakery #frenchrestaurant #ICMP #airbnb #londonfoodie #londonfood #londoncafe #londonbakery #londonrestaurant #instagood #instafood #delicious #yummy #tasty #queenspark #southhamstead #westhamstead</t>
  </si>
  <si>
    <t>Gurvinder Singh</t>
  </si>
  <si>
    <t>Tech companies will continue to disrupt old school Industries. #airbnb should have been invented by either #Hilton or #Hyatt. They had all the resources to do it. RT @JonErlichman: Valuations in 2019: Airbnb: $35 billion Hilton Hotels: $24 billion Hyatt Hotels: $7.5 billion Valuations in 2008: Hilton Hotels: $26 billion Hyatt Hotels: $6 billion Airbnb: (launch year)</t>
  </si>
  <si>
    <t>Vienna, Austria</t>
  </si>
  <si>
    <t>CEO: Yeshello Apartments 🏪 Yeshello Voice, learning 🔊 Instagram: @Govithinks Facebook: Govithinks</t>
  </si>
  <si>
    <t>The latest image from the GowerLive #webcam on the roof 730RocksMumbles #AirBnB. Book at  #Mumbles #Swansea #Gower #travel. Watch live at  #627</t>
  </si>
  <si>
    <t>Beautifully designed house, with the kitchen and living area open-plan looking onto a private garden ✨ Read more here:  #airbnb #property #propertymanagement #propertymanagers #propertymanager #london</t>
  </si>
  <si>
    <t>Hoosier Survivalist</t>
  </si>
  <si>
    <t>#Hipcamp moves towards reservation ability for #campsites in US  #camping #outdoors #airbnb #recreation @hipcampers</t>
  </si>
  <si>
    <t>Preparing Today for an Uncertain Tomorrow - #preppertalk #preppers #shtf #survival</t>
  </si>
  <si>
    <t>Ankita &amp; Mohit</t>
  </si>
  <si>
    <t>Are you new to #AirBnb, the no.1 resource for budget-friendly stays all over the world? Sign up with this code &amp; get $55 credit for your first trip:  . Share it with your friends! #travel #traveldeals #dealsdealsdeals #dealsoftheday #discountcode #discounts</t>
  </si>
  <si>
    <t>Bonn, Germany</t>
  </si>
  <si>
    <t>An ex-journalist &amp; a software engineer: Europe-based #travel, #food &amp; #lifestyle #bloggers ✈🛄 Get FREE $40 Airbnb credit: https://www.airbnb.com/c/ashreeramH</t>
  </si>
  <si>
    <t>If that's half way up...... #comfortcottagehealing #visitwales #dogfriendly #TheDogsWithMe #alpacas #ArtsWales #SunDogs #Airbnb RT @ruthwignall: I was still smiling at this point! Xx #Newport</t>
  </si>
  <si>
    <t>Welcome to The Surveyor's House - a stylish townhouse, sleeps 4 to 6 people. Suitable for families, and couples looking for a romantic retreat. Visit  #tetbury #tetburylife #cotswoldslife #homeaway #airbnboftheday #airbnbsuperhost #holidayhouse #airbnb</t>
  </si>
  <si>
    <t>Have a beautiful day with us! :) #Travel #SanAndrés #Colombia #Buddhavilla #Caribbean #traveltips #traveltheworld #airbnb #Caribbeanlife #IslaDeSanAndrés #Hostel #rooms #Booking #travelling #poolside #airbnbexperiences #swimmingpool #Colombian @Airbnb</t>
  </si>
  <si>
    <t>Delicious cocktail just front of our apartment. Book your luxurious stay with discount:  #airbnb #luxury #luxurious #ljubljana #visitljubljana #apartment #travelljubljana #toljubljana #atljubljana #mansion #cocktail</t>
  </si>
  <si>
    <t>📌Online Booking ⬇️⬇️⬇️⬇️ 👉 #galatasarayhamamı #hamam #hammam #istanbul #turkey #galatasaray #turkishbath #taksim #istiklalcaddesi #hamamkeyfi #trip #tripadvisor #booking #airbnb #taksimsquare #gelinhamamıorganizasyonu #beyoğlu #man #woman</t>
  </si>
  <si>
    <t>Time to book your vacations for May 2019. We have great prices for that month. A beautiful 3 story house ready to host up to 12 people. Book us here #Airbnb  #familytravel #travel #japan #airbnbjapan #airbnbtokyo #travel #traveling</t>
  </si>
  <si>
    <t>The IoT Warehouse</t>
  </si>
  <si>
    <t>#Airbnb Has a Hidden-Camera Problem</t>
  </si>
  <si>
    <t>Rome, NY</t>
  </si>
  <si>
    <t>The official account of The IoT Warehouse. The premier global #Hub for all things #IoT! We specialize in #SmartHome, #AI, #HiTech #gadgets. #website live soon!</t>
  </si>
  <si>
    <t>AirBnB Commission Changes: How They Will Affect You  #SocialMedia #Scotland #Marketing #Hotels #Airbnb #Edinburgh #Airbnbnews #Hotelmarketing #Boostly #Bedandbreakfast</t>
  </si>
  <si>
    <t>✈️I can go back to this #Airbnb anytime! Perfect for taking interior photos too!  #BloggingGals #thegirlgang #bloggerstribe #interior @FemaleBloggerRT #ukbloggers #thegirlgang #lbloggers</t>
  </si>
  <si>
    <t>Cascadia Vacation Home Services</t>
  </si>
  <si>
    <t>Keeping your cabin stocked &amp; organized! vrbo #airbnb #lakecleelum #roslyn #basecamp #pnw #vacationhomes #vacation #suncadia #travel #travelwithkids #snoqualmie #wildlife #familyreunion #stuartmountains #hiking #escape #cascadiavacationhomeservices #swiftwater #vrma #nwvrp</t>
  </si>
  <si>
    <t>Cle Elum, WA</t>
  </si>
  <si>
    <t>Vacation Rental Service Company</t>
  </si>
  <si>
    <t>Vladimír Beroun</t>
  </si>
  <si>
    <t>Even after 5+ years of #Airbnb-ing all around the world, I am still flattered by personal welcome letters from my hosts. Thank you David from #Dublin - you made my day! #HandWritten #BelongAnywhere #MagicalTrips #SharingEconomy #home #travel</t>
  </si>
  <si>
    <t>#Czech advocating #digital #technology, #entrepreneurship, #trade &amp; #CEE region. Mon-Fri: #PublicPolicy @Airbnb. Sat-Sun: runner &amp; traveller. Views are my own.</t>
  </si>
  <si>
    <t>Tell someone who needs a #coffee right now! ☕️ 😍 #CoffeeTime #motivation #CoffeeLover #MaisonVie #London #kilburn #nw6 #frenchcafe #westhampstead #frenchrestaurant #ICMP #airbnb #londonfoodie #londonfood #londoncafe #londonbakery #londonrestaurant #thirsty #drink #momandbaby</t>
  </si>
  <si>
    <t>😎 New Building 🏖 VallartaStays - Hotels &amp; Condos Vacation Rentals Dream Team  #VallartaStays #PuertoVallarta #airbnb #Expedia #Hotel #SemanaSanta #VallartaPride #26Mar #gaypride @TurismoGobPV @TurismoPV @TurismoUdeG</t>
  </si>
  <si>
    <t>Take a look to all the things you can do in Japan during Spring. Book your stay now here: #Airbnb  #familytravel #travel #japan #airbnbjapan #airbnbtokyo #travel #traveling RT @Visit_Japan: Tokyo in spring: best things to see and do =&gt;  via @lonelyplanet #VisitJapan</t>
  </si>
  <si>
    <t>Rich Tehrani</t>
  </si>
  <si>
    <t>Trumbull, CT</t>
  </si>
  <si>
    <t>CEO TMC: #Futurist #Influencer #Keynote #Speaker #Cloud #IoT #Blockchain #Cybersecurity #VoIP #CRM #UCaaS #BigData #Analytics #AI #MachineLearning #SDWAN #IIoT</t>
  </si>
  <si>
    <t>Raimond²</t>
  </si>
  <si>
    <t>Who can you trust if not the stranger you rent a room from via #Airbnb... #YouAreRecorded #HiddenCameras</t>
  </si>
  <si>
    <t>Dutch Enclave, California, USA</t>
  </si>
  <si>
    <t>From Rotterdam Through Amsterdam To California | Opinion about everything | Lots of Sarcasm | Soms op @NPORadio1 over USA | Like to take my time to cook | NL/EN</t>
  </si>
  <si>
    <t>Viren Merchant 🇮🇳</t>
  </si>
  <si>
    <t>#Airbnb disruption in the hospitality industry. RT @amitabhk87: How Airbnb disrupted the hospitality industry!</t>
  </si>
  <si>
    <t>Mumbai, India</t>
  </si>
  <si>
    <t>@Pest Management Professional @International Speaker @Entrepruneur @Martial Artist</t>
  </si>
  <si>
    <t>Planning where to go this weekend? Check this cool places. Remember to book your stay with us here #Airbnb  #familytravel #travel #japan #airbnbjapan #airbnbtokyo #travel #traveling RT @TimeOutTokyo: Check the best food and drink festivals in Tokyo this week.</t>
  </si>
  <si>
    <t>#HappyWednesday Yoyogi is getting ready for this weekend full of hanami. Book your stay with us and be part of it! Book us here #Airbnb  #familytravel #travel #japan #airbnbjapan #airbnbtokyo #travel #traveling RT @TokyoCheapo: Ueno Park – one of Tokyo's most famous cherry blossom picnic spots:</t>
  </si>
  <si>
    <t>Tiny cabin on the Creek at Ferngully Cove. #airbnb #ferngully_cove #vacationrental #nature #hiking #hikinggoals #wanderlust #travelgram #instatravel #instagood…</t>
  </si>
  <si>
    <t>Come join me for a beautiful sunset at Ferngully Cove! #airbnb #ferngully_cove #vacationrental #nature #hiking #hikinggoals #wanderlust #travelgram #instatravel…</t>
  </si>
  <si>
    <t>American consumers spent more on #Airbnb than on Hilton last year  via @Recode</t>
  </si>
  <si>
    <t>Carlos MJ Clavijo Jr</t>
  </si>
  <si>
    <t>#AirBnB supposedly needs clients 2 “agree,” &amp; r aware of cameras &amp;amp; consent 2 being filmed. Not all hosts have records. Q: When will d Feds "help" AirBnB in exchange 4 camera content 2 keep track of those deemed "person's of interest", &amp;amp; how long will the data be held by Feds?</t>
  </si>
  <si>
    <t xml:space="preserve">Brooklyn </t>
  </si>
  <si>
    <t>Web Designer Padawan-Writing Heroic Fantasy book-Smooth Jazz-Incurable Romantic-Work at NYC Public Hospital-Anime movie &amp; Adventure Game Lover</t>
  </si>
  <si>
    <t>Large 5Star #Florida #vacationhome with prival pool on #Airbnb Tropical #TommyBahama style - #VRBO March 26, 2019 at 10:00PM</t>
  </si>
  <si>
    <t>Cameron McCall</t>
  </si>
  <si>
    <t>"@Airbnb's rules allow cameras outdoors and in living rooms and common areas, but never in bathrooms or anywhere guests plan to sleep, including rooms with foldout beds." #vacationrental #airbnb #privacy</t>
  </si>
  <si>
    <t>Real estate accountant, @UNFGradSchool student, @FlaglerAlumni, &amp; Treasurer of @JaxYoungDems.</t>
  </si>
  <si>
    <t>Palm Springs moment. #palmsprings #springbreak #california #sunset #sunsetbragging #airbnb #thehappynow #happiness</t>
  </si>
  <si>
    <t>uponthelaurel</t>
  </si>
  <si>
    <t>Toronto skyline. #airbnb #uponthelaurel #dongolacabin #canada #toronto #sky #alongwayfromappalachia #casaloma #cntower #crowds #uponthelaureltraveling #springbreak #springtime #spring</t>
  </si>
  <si>
    <t>Konnarock/Troutdale areas of Southwest Virginia</t>
  </si>
  <si>
    <t>Dongola Cabin is a compact and secluded cabin nestled within the Jefferson National Forest’s Mount Rogers National Recreation Area.</t>
  </si>
  <si>
    <t>Matthew Thompson</t>
  </si>
  <si>
    <t>Y’all future babyDev has racked up enough cardboard boxes this week. I may build a sizeable fort and post it on Airbnb. Airbnb Fortnite Fort? Any takers? #airbnb #cardboardFort #futureDadLife</t>
  </si>
  <si>
    <t>Software Engineer @echobind | Mentor | Leader | Woodworker -- Elixir / Phoenix / React / GraphQL</t>
  </si>
  <si>
    <t>James Moon</t>
  </si>
  <si>
    <t>Collier County Naples Florida to crack down on vacation rentals. #naples #travel #airbnb #hotels #naples #florida #vacation</t>
  </si>
  <si>
    <t>Attorney - Defending Travel Tourism and Hospitality Industries throughout the U.S.- World Traveler and Adventurer.</t>
  </si>
  <si>
    <t>How to Make Money with Airbnb and Grow Passive Income @FrugalRules  #makemoney #passiveincome #airbnb</t>
  </si>
  <si>
    <t>Airbnb $55 coupon promo referral code :) Get your discount credit on your first trip Click the link NOW —-&gt;✈️ #airbnb #airbnbcode #airbnbdiscount #vacation #trips #travel #getaway</t>
  </si>
  <si>
    <t>Jessica Cardell</t>
  </si>
  <si>
    <t>Just arrived at our #airbnb for the night and it’s seriously the cutest ❤️</t>
  </si>
  <si>
    <t>Dawsonville, GA</t>
  </si>
  <si>
    <t>🌻🌻🌻 Chase happiness~</t>
  </si>
  <si>
    <t>#Airbnb in #Toronto (and our rental and condo apartment buildings EVERYWHERE) - "I thought it was kind of sketchy and I thought it was weird." -- Patricia Payne, Airbnb customer</t>
  </si>
  <si>
    <t>Kassieleeee</t>
  </si>
  <si>
    <t>April is almost here and it is gonna be a non-stop milestone month 🙌 @iamtherealak #AKNoRestTour2019 #Orlando #MyFirst #AirBnB #RapConcert #26thBday #VIPBDAY</t>
  </si>
  <si>
    <t>Florida</t>
  </si>
  <si>
    <t>I created a Twitter account in hopes of meeting @iamtherealak #AKNoRestTour2019 #Orlando #VIPBDAY But since I'm here HELLO 🌎 Show me what makes you beautiful!</t>
  </si>
  <si>
    <t>Carri Bugbee</t>
  </si>
  <si>
    <t>I realize only a small percentage of #AirBNB guests are secretly videotaped, but that's a small consolation if you are one of them! 😳</t>
  </si>
  <si>
    <t>Portland, Oregon USA</t>
  </si>
  <si>
    <t>Digital &amp; Social Media Marketer, PR &amp; Ad Pro; #RetailTech &amp; #AgileMarketing acolyte; ShortyAwards winner for @PeggyOlson; Co-Founder @AgilePortland</t>
  </si>
  <si>
    <t>Some educational reading for property managers and hosts looking to scale their business. #airbnb #business #ebook #airbnbhost #PropertyManagement</t>
  </si>
  <si>
    <t>BnB Antiques</t>
  </si>
  <si>
    <t>#LiveThere. Even if it's just for a night…#travel #Philadelphia #airbnb #TravelTuesday</t>
  </si>
  <si>
    <t>an alternative space to showcase art &amp; antiques</t>
  </si>
  <si>
    <t>RAeS - AU, Perth Branch</t>
  </si>
  <si>
    <t>DEPARTING TODAY✈️ #OzJet #B737 to #York WA This is the first time something like this is happening in #Perth. VH-OZX has rested on the airside for almost 10 years. After 2 years of hard work, it's time to transport this Airliner 100kms via road to be turned into an #AirBNB</t>
  </si>
  <si>
    <t>Royal Aeronautical Society, Australian Division - Perth Branch 🌏 • The world's only learned society dedicated to the entire aerospace community. 🚁🛩️✈️🚀</t>
  </si>
  <si>
    <t>Leo Lainez</t>
  </si>
  <si>
    <t>First post is up! Have a look. Will improve site as I go.  #entrepreneur #brands #branding #startup #business #passion #hustle #airbnb #cleaning #remodeling #propertymanagement #rentals #realestate #repairs #maintenance #hauling #handyman #concierge</t>
  </si>
  <si>
    <t>Doing it my way📍Georgetown D.C. #Entrepreneur #MuayThai #BJJ #Boating Owner @urbcondc Owner @BlueCollarBallers Member @dc_boat_life Follow my journey</t>
  </si>
  <si>
    <t>First Code Airbnb $55 coupon promo referral code :) Get your discount credit on your first trip Click the link NOW ❤️💸❤️💜💚💵💚—-&gt;✈️ #airbnb #airbnbcode #airbnbdiscount #vacation #trips #travel #Nurkic #RipCity #TuesdayThoughts #Supermarket</t>
  </si>
  <si>
    <t>Janet Todorova</t>
  </si>
  <si>
    <t>#IPOs in 2019 👉 #Uber, #Lyft, #Pinterest, #Zoom, #Slack, #Airbnb, #Robinhood, #WeWork 🤯 What happens after? My thoughts: 🤘1k 'F*ck off' resignation emails sent, 0 F*cks given 🏡 Real estate demand in #SiliconValley doubles over a night 🌴#Bali population increases with 2k ppl</t>
  </si>
  <si>
    <t>Sofia, Bulgaria</t>
  </si>
  <si>
    <t>FI Expansion &amp; Bulgaria MD at @founding 🌍 Speaker Relations at @digitalkcon 🚀 Co-Founder at @reactnotaconf ⚛️</t>
  </si>
  <si>
    <t>HB</t>
  </si>
  <si>
    <t>Just one of the many reasons I'd much rather stay at major hotels. #airbnb Airbnb Has a Hidden-Camera Problem</t>
  </si>
  <si>
    <t>Tweets are personal.</t>
  </si>
  <si>
    <t>James Button</t>
  </si>
  <si>
    <t>A home built into a mountain? A “treehouse castle?” It would be worth getting on the waiting list to crash in one of these Boulder Airbnbs! #iloveboulder #airbnb #coloradovacation #coolest #buttonbuttonre #bouldercounty #colorado #trip #airbnbs</t>
  </si>
  <si>
    <t>Denver, CO 80209</t>
  </si>
  <si>
    <t>Honesty - Integrity - Expertise - James Button | Realtor | Keller Williams Integrity Real Estate 303.547.4776 james@jamesbuttonco.com</t>
  </si>
  <si>
    <t>DonaldPatrickLawson</t>
  </si>
  <si>
    <t>Sneak Peak? #Airbnb’s rules allow cameras outdoors and in living rooms and common areas, but never in bathrooms or anywhere guests plan to sleep, including rooms with foldout beds #privacy #sharingeconomy</t>
  </si>
  <si>
    <t>read. write. run. powered by coffee. prefer 🌊🏖️ 🌞 'If you can force your heart, nerve &amp; sinew To serve your turn long after they're gone...'</t>
  </si>
  <si>
    <t>Louise Grimmer</t>
  </si>
  <si>
    <t>Our latest paper on @airbnb in Annals of Tourism Research is available for free until May, you can download here  @unistus @DrMariaMassey @ElsevierConnect @UTAS_ @TSBE_UTAS #airbnb #tourismresearch</t>
  </si>
  <si>
    <t>Tasmania, Australia</t>
  </si>
  <si>
    <t>Retail Academic @UTAS_ Interests &amp; Expertise: Shopping Precincts, Small &amp; Independent Stores, Marketing Comms &amp; PR, Sustainable Shopping, Place Branding👩🏼‍🎓</t>
  </si>
  <si>
    <t>You know #Spring is here when the daffodils bloom! Daffodils are perfect for the mountains since they are deer and squirrel resistant. Be careful if you have pets, the substance that makes it unappetizing to deer and squirrels, is toxic to cats and dogs. #airbnb #homeaway</t>
  </si>
  <si>
    <t>Tiny Kingdoms at #ferngullycove #airbnb #ferngully_cove #vacationrental #nature #hiking #hikinggoals #wanderlust #travelgram #instatravel #instagood…</t>
  </si>
  <si>
    <t>Kellcie</t>
  </si>
  <si>
    <t>Call me selfish, but Ryan always sleeps by the door in case of an intruder. Always (even in hotels and guest bedrooms and #AirBnb). They’ll attack him first. He knows this and knows not to take my side. Ever. RT @steveohrourke: We were just chatting in work and apparently it's weird that Amy and I don't sleep on the same side of the bed every night. Some nights I like to sleep by the window, some nights the door. It's not really that unusual, is it?</t>
  </si>
  <si>
    <t>Whatever. I'm getting cheese fries.</t>
  </si>
  <si>
    <t>2ndstreetretreat</t>
  </si>
  <si>
    <t>Milestone Alert! We just received our 100th review! #Airbnb</t>
  </si>
  <si>
    <t>Bentonville, AR</t>
  </si>
  <si>
    <t>Garden retreat in Downtown Bentonville. Walk to the town square and Crystal Bridges. Bike trails close by too! Book Your Stay Now!</t>
  </si>
  <si>
    <t>Southern Cross Uni</t>
  </si>
  <si>
    <t>Byron Shire residents have their say on controversial Airbnb impacts: New #southerncrossuni research has found “58 of the participants (64%) reported knowing that the cause of their eviction was the rental property being listed on #Airbnb.” read more...</t>
  </si>
  <si>
    <t>Southern Cross University is a dynamic, multi-campus university with around 15,000 students studying on-campus and online.</t>
  </si>
  <si>
    <t>"Overseas it has also launched "Airbnb Luxe" which focuses purely on luxury properties and is slated for launch in Australia". 🇦🇺  #airbnb #1001BNB #airbnbmanager #airbnbaustralia #airbnbnews</t>
  </si>
  <si>
    <t>Chris Hocking</t>
  </si>
  <si>
    <t>6 tips to review before becoming an expat  @Omniwealth #Airbnb #property #workplace #expats</t>
  </si>
  <si>
    <t>Sydney, NSW, Australia</t>
  </si>
  <si>
    <t>Director &amp; Chief Strategist, Chris Hocking Strategies, a specialist public relations firm for Financial Services &amp; SMSFs.</t>
  </si>
  <si>
    <t>You might need this advice about becoming an Airbnb host #HereForYou #General #Business #USA #Jobs #Airbnb #Host</t>
  </si>
  <si>
    <t>Chandler, AZ</t>
  </si>
  <si>
    <t>Storage West Mesquite Grove is an excellent self storage location in Chandler, AZ. Need storage? Come join our great community of renters!😀📦🚚</t>
  </si>
  <si>
    <t>"That means you also need to be aware of how Instagram handles formatting."  #SocialMedia #Marketing #Dog #Blog #Hotels #Airbnb #Instagram #Hospitalitybusiness #Captions #Hotelmarketing #Boostly #Engagement</t>
  </si>
  <si>
    <t>Carol Angela Davis</t>
  </si>
  <si>
    <t>Is San Francisco becoming a study on why we have to equalize at least some of the wealth? ##ipo #IPOreport #StockMarket #StockoftheDay #stockstowatch #StockMarketNews #homelessness #SanFrancisco #capitalism #NASDAQ #Uber #lyft #lyftipo #Postmates #Slack #Pinterest #Airbnb #gop</t>
  </si>
  <si>
    <t>Hampton, Virginia</t>
  </si>
  <si>
    <t>Creative. Disruptive. Animator. Perplexed by these times. Life is a gift.</t>
  </si>
  <si>
    <t>Robin Rich</t>
  </si>
  <si>
    <t>That’s where I be. #musiccity 🎶 My #airbnb digs.🏡 #musicrow #nashville #song #songwriter #pop #rock #hiphop #popcountry #hitit 🎯</t>
  </si>
  <si>
    <t>Songwriter (rock, pop hip hop &amp; pop-country), entrepreneur, adventurer, Radio host http://soundcloud.com/robinrich IG: robinrichnyc</t>
  </si>
  <si>
    <t>My Shasta Restoration #spot77 #realestate #shasta #blueeyes💙 #shastaastrodome #glampinglife #vintagetrailer #airbnb #camping #traveltrailer #glamping</t>
  </si>
  <si>
    <t>Masking Lines on my little Shasta Camper. #spot77 #realestate #shasta #blueeyes💙 #shastaastrodome #glampinglife #vintagetrailer #airbnb #camping #traveltrailer #glamping</t>
  </si>
  <si>
    <t>Randy McDonald</t>
  </si>
  <si>
    <t>.@SamEdwardsTO writes at @nowtoronto about how #Airbnb is worsening the living experiences of permanent residents in condo developments, by encouraging a more transient crowd less invested in local communities.</t>
  </si>
  <si>
    <t>Pete, the #airbnb dog, with his Blue Dog toy, waiting to greet you at #ferngully_cove #weekendgetaway #airbnbsuperhost #visitsuches #vacationrental #tinycabinrental…</t>
  </si>
  <si>
    <t>James Goodman</t>
  </si>
  <si>
    <t>Bonsoir from Paris! Sleep well. We have a Segway tour and visit to La Tour Eiffel tomorrow. Watch for some cool photos! #paris #springbreak2019 #europe #awesome #airbnb</t>
  </si>
  <si>
    <t>My perfect day would be in DisneyWorld with my son drinking a Starbucks coffee while waiting in line for Big Thunder Mountain Railroad!</t>
  </si>
  <si>
    <t>William Daroff</t>
  </si>
  <si>
    <t>OMG. #AirBNB has a hidden camera problem...  (@sidneyfussell in @TheAtlantic)</t>
  </si>
  <si>
    <t>Senior Vice President for Public Policy &amp; Director of the Washington office of The Jewish Federations of North America (@JFederations). RT ≠ endorsement. Ⓥ</t>
  </si>
  <si>
    <t>Storage West Chandler 2 is a self storage location in Chandler, AZ. Come store with us! Hours: Mon-Fri, 9am-6pm. Sat, 9am-5pm. Closed on major holidays.</t>
  </si>
  <si>
    <t>SF Business Times</t>
  </si>
  <si>
    <t>Can you guess which state most #Airbnb employees went to school?</t>
  </si>
  <si>
    <t>Breaking news and developing stories direct from our newsroom.</t>
  </si>
  <si>
    <t>You are surrounded by endless possibilities with your potential being the sum total of your beliefs. Visit ➡  ⬅ to learn how to profit from investment properties that you don't even need to own. #airbnb #vacationrental</t>
  </si>
  <si>
    <t>SW Redlands</t>
  </si>
  <si>
    <t>The whole truth of being a kind Airbnb host. See if it is the right thing for you just now #HereForYou #General #Business #USA #Jobs #Airbnb #Host</t>
  </si>
  <si>
    <t>Redlands, CA 92373</t>
  </si>
  <si>
    <t>Storage West Self Storage Redlands, CA. Excellent storage available in Redlands. Come store with us! Hours: 9am to 6pm Mon-Sat. Closed on major holidays.</t>
  </si>
  <si>
    <t>Sign up for Airbnb and get ₱1,600 off your first adventure. Here’s my invitation link:  #AirBnb #Coupon #discount #freebies #room #accomodation #link</t>
  </si>
  <si>
    <t>alethea beck</t>
  </si>
  <si>
    <t>My flat in Edinburgh is open for another season of #airbnb Edinburgh is a fab city to visit with plenty of attractions  #airbnbEdinburgh</t>
  </si>
  <si>
    <t>Sport and Exercise Medicine doctor based in Edinburgh. I love sport and I love being active and encouraging others to be too. 6 books and 7 parkruns in 2019.</t>
  </si>
  <si>
    <t>Chandler, AZ 85225</t>
  </si>
  <si>
    <t>Storage West Chandler is located in AZ. Our rental office is located at @swchandlersouth. Hours: Mon-Fri, 9am-6pm. Sat, 9am-5pm. Closed on major holidays.</t>
  </si>
  <si>
    <t>American consumers spent more on Airbnb than on Hilton last year  via @Recode #hotelindustry #hotels #AirBnB #Hilton #hospitality #hospitalityindustry</t>
  </si>
  <si>
    <t>Gavin Hinks</t>
  </si>
  <si>
    <t>Something’s going wrong with property: buy-to-let, or buy-to-Airbnb, is closing people out of their home markets. This is not a good thing. #property #Airbnb RT @vonny_bravo: @MrGavHinks</t>
  </si>
  <si>
    <t>Barnet, London</t>
  </si>
  <si>
    <t>Film fan, slow runner. Hack, of some sort, and ardent nattler. Spent the grocery money on books. We live with a dog. Never amounted to much. Not a work account.</t>
  </si>
  <si>
    <t>Fighters all over Athens willing to do with it takes to make #airbnb history #athens #exarcheia #aarg</t>
  </si>
  <si>
    <t>Did you know: @TidyHost clients can ship inventory directly to our suburban recieving office in #Philly? Just one more way we make life easier! #Airbnb</t>
  </si>
  <si>
    <t>Modern Income Rentals</t>
  </si>
  <si>
    <t>Convenience is key! Don’t let your guests wait outside while you walk to the door! #GiveThemTheCode #Modern #Income #Rentals #Vacation #Airbnb #PassiveIncome #LookAtThis #IgDaily @…</t>
  </si>
  <si>
    <t>Vacation Rental Property Management</t>
  </si>
  <si>
    <t>hayley</t>
  </si>
  <si>
    <t>This is about my actual building. #banairbnb #airbnb</t>
  </si>
  <si>
    <t>Pastry Queen 🍰/Cat Lady/Weirdo/Whatever</t>
  </si>
  <si>
    <t>MIPIM PropTech</t>
  </si>
  <si>
    <t>While #Airbnb had unleashed the world’s appetite for #vacationrentals, it couldn’t deliver on the predictable quality of a hotel, and has been entangled in legal challenges in NYC from inception. Enter @SonderStays. via @commobserver #MIPIMProptech–</t>
  </si>
  <si>
    <t>The official account for #MIPIMPropTech - the world's leading real estate and tech events. Next editions: July 1-2, 2019, Paris &amp; November 12-13, 2019, NYC.</t>
  </si>
  <si>
    <t>C.J. Short</t>
  </si>
  <si>
    <t>New red umbrella up at our Rose Street Airbnb. Ready for summer!! Link in bio for rental info!! . #houston #airbnb #vrbo #Texas #rental #pool #staycation @ Washington Avenue -…</t>
  </si>
  <si>
    <t>Houston, Texas</t>
  </si>
  <si>
    <t>You gotta buy when they're sellin' and sell when they're buyin'.</t>
  </si>
  <si>
    <t>Spitzen Cleaning</t>
  </si>
  <si>
    <t>Exposed brick and pillows?! Oh Twitter, I'm in heaven 😍 #spitzen #spitzencleaning #cleaningservice #yyjbusiness #yyjcleaning #victoriabc #airbnb</t>
  </si>
  <si>
    <t>Local business keeping Victoria Clean. We catch what others don't. Quality, professional cleaning services in Victoria, BC.</t>
  </si>
  <si>
    <t>renee</t>
  </si>
  <si>
    <t>An t-Eilean Sgitheanach</t>
  </si>
  <si>
    <t>SHOP HOT TUBS See what the worlds leader in Hot Tubs is up to in 2019. Come into our showroom and bring your trunks. Test drive a luxury spa and talk to our sales experts. #JoshuaTree #HotTub #airbnb #homeresort #NewSpa #Luxury #Hotel</t>
  </si>
  <si>
    <t>#AirBnB #Vegas #LasVegas #Condo #VegasVacation #NoFees Check out this awesome Entire condominium on Airbnb: Live Like Royalty On The Las Vegas Strip!, sleeps 5</t>
  </si>
  <si>
    <t>4J Real Estate</t>
  </si>
  <si>
    <t>.@Airbnb dominates the lodging industry! #data #numbersdontlie #realestate #market #realestationship #money #house #housing #homes #properties #propertybrother #4JRE #money #sales #forecast #DMV #realtor #realtorlife #ibuy #isell #airbnb</t>
  </si>
  <si>
    <t>YOUR realestationship experts in the DMV! No deal is too big or small for us! We love our clients!</t>
  </si>
  <si>
    <t>Mckissack Realty</t>
  </si>
  <si>
    <t>#JUSTLISTED! 2+Acres &amp; #CabinInTheWoods! Near #LakeTexoma! Currently Successful #AirBnB! Under $200K! CALL (972)874-5478 For All Details!! @ McKissack Realty Group - Keller Williams…</t>
  </si>
  <si>
    <t>Denton County's #1 Selling Expert Real Estate Group! Get your home SOLD FAST, For The MOST $$ and with the FEWEST Hassels!</t>
  </si>
  <si>
    <t>Sandy Hoover</t>
  </si>
  <si>
    <t>What do you think? It would be cool for a Homeaway or AirBnB, but not sure we could live in it full time...although on the water would sure be nice. #tigerladies #traditionrealestate #homeaway #airbnb</t>
  </si>
  <si>
    <t>LOVE sports,Cajun food,LSU/helping people/Expert Utah Realtor/Ferocious Service w/touch of Southern hospitality! /My partner @betsydixon</t>
  </si>
  <si>
    <t>Matt Donaruma</t>
  </si>
  <si>
    <t>The #sharing #economy is going to #innovate us into the Victorian Era ---&gt;  &lt;--- Insightful interview with @AJRavenelleNYC #uber #airbnb #lyft #gigeconomy #jobs #futurism #sharingeconomy #startup #startups #inequality #jobs</t>
  </si>
  <si>
    <t>Advised Fortune 100's &amp; startups over past decade. All things strategic Comms/Biz/Tech/Content here; Music/Art tweets @mattartmusic</t>
  </si>
  <si>
    <t>ChrissyYoga</t>
  </si>
  <si>
    <t>Making myself at home in my first air bnb booking 😊 #holiday #Latvia #riga #yoga #airbnb #vacation #fitness #meditation</t>
  </si>
  <si>
    <t>200hrs YT Yoga Founder- Yoga in the Woods Vinyasa, Hatha, Power, Modified Ashtanga ओम शांति: शांति:</t>
  </si>
  <si>
    <t>Pristine Kleene</t>
  </si>
  <si>
    <t>If you're an #Airbnb host here in #London then let us help you get your home ready for guests with our #cleaningservices  #shorttermlets</t>
  </si>
  <si>
    <t>Pristine Kleene. Cleaning services for commercial, Airbnb hosts and residential clients. We make it easy for you!</t>
  </si>
  <si>
    <t>Laneway Home Experts</t>
  </si>
  <si>
    <t>Are you one of the Lucky #toronto #homeowners who live on a Public #laneway? Attend our Instant #airbnb #Seminar to learn about our turnkey #investment strategy.  #realestate #investing #buildling #lanewaysuites #lanewayhousing</t>
  </si>
  <si>
    <t>Helping Transform Laneways in Toronto for the positive.</t>
  </si>
  <si>
    <t>Are you hosting in Virginia? Follow us!!! Stay informed of laws, regulations, tips and more! #Citizens4STR #hosting #AirBnB #VRBO #shorttermrental</t>
  </si>
  <si>
    <t>Grab your pair 👟 and have a look at the amazing street art scene in TJ 📍⁣ -⁣ Bookings 🔜 Link-In-Bio⁣ ___⁣ #webunkyou • #Tijuana • #airbnb • #QueSeaUnGranDia</t>
  </si>
  <si>
    <t>F3R_Music</t>
  </si>
  <si>
    <t>Today’s mood #peace &amp; #harmony Keeping this beautiful place fresh and beautiful for our next guests #airbnb #rentalproperty #investments #realstate #builder #developer #vegasbound #travel #lasvegas @ Las Vegas, Nevada — in Las Vegas, NV, United...</t>
  </si>
  <si>
    <t>Las Vegas NV</t>
  </si>
  <si>
    <t>VR Coach</t>
  </si>
  <si>
    <t>American consumers spent more on Airbnb than on Hilton last year. Read more:  #travel #vacationrental #shorttermrental #vacationrentals #shorttermrentals #Airbnb #Marriot #Hilton #Homeaway #IHG #data #trends</t>
  </si>
  <si>
    <t>ES, FR, UK</t>
  </si>
  <si>
    <t>We love helping people who operate in the vacation rental sector focus on what matters most; realising dreams. We are your trusted partner for success.</t>
  </si>
  <si>
    <t>Sleeps 6 ‼️15 Minute Drive to Round Top‼️Private four-room suite #airbnb #antiques #Brenham #RoundTop</t>
  </si>
  <si>
    <t>AlilaPV</t>
  </si>
  <si>
    <t>Good morning! 😴☀️🌴⚡️ - #Pier57 🏢🏖 #ComingSoon . . . #Love #instagood #fashion #beautiful #happy #like4like #picofthefay #art #photography #travel #luxury #nature #airbnb #vrbo #lifestyle #followme #fun #hot #heatlhy #tropical #summer #bestoftheday #mexico #spring #whale</t>
  </si>
  <si>
    <t>Whether you home is already listed or not, we manage everything from A to Z! - Find us on AIRBNB &amp; VRBO!! https://www.airbnb.mx/users/show/49343349</t>
  </si>
  <si>
    <t>Velibor Perisic</t>
  </si>
  <si>
    <t>Projected cost and income: #greenliving #landscaping #house #architecture #caribbean #investments #relax #hustle #sales #hustlehard #investmentrealestate #vacationhomes #rentalincome #rentalproperties #Airbnb #explore #investmentproperties #investment #h…</t>
  </si>
  <si>
    <t>Kitchener, Ontario, CANADA</t>
  </si>
  <si>
    <t>Real Estate Sales Rep. with Red and White Realty Inc Brokerage. Cell(519)496-6855, Office:(519)804-9934</t>
  </si>
  <si>
    <t>'Cross-Cultural Competency training'' for Kanata employers ??? #PierrefondsDollard #PPC2019 #BernierNation #canpoli #polcan #RoxhamRd #UNHCR #UNHRC #UNRWA #Airbnb #OpenSociety #GlobalCompactForMigration #CenturyInitiative #MayorsMigrationCouncil #Unexit #TrudeauMustGo RT @HireImmOttawa: Last call, Kanata employers! Space is still available for @HireImmOttawa complimentary professional development Cross-Cultural Competency training. Taking place in the @uOttawa training centre in #KanataNorth on Mar27 -Register now:  @KanataNorthBA #talent</t>
  </si>
  <si>
    <t>Hospitality Lawyer</t>
  </si>
  <si>
    <t>What Even Is #AirBnB anymore?</t>
  </si>
  <si>
    <t>Converging legal, risk, safety and security information, resources, and solutions for the travel and hospitality industries.</t>
  </si>
  <si>
    <t>dailybnbsf</t>
  </si>
  <si>
    <t>Adventure fills your soul!!✈😍 #airplane #airbnb</t>
  </si>
  <si>
    <t>Lets share our Airbnb experiences and continue to grow the environment properly</t>
  </si>
  <si>
    <t>CARVER COMPANIES</t>
  </si>
  <si>
    <t>American consumers spent more on #Airbnb than on #Hilton last year  via @Recode</t>
  </si>
  <si>
    <t>Our hospitality network partners with the industry to attain top notch pros; furnishing strategic exec leadership, task force &amp; sales pros.</t>
  </si>
  <si>
    <t>Everyone knows #vacationrentals/#Airbnb CAN be great investments, but where should you look? The 150 Best Places To Buy A Vacation Rental Property In 2019 via @bookwriter312 @Forbes &amp; @rentedcom</t>
  </si>
  <si>
    <t>TSewell</t>
  </si>
  <si>
    <t>#cbjrealty Open House March 30, 2019 12pm -3:00 pm St. Elizabeth Jamaica. Call 8768064182. #investment #property #vacationhome #realestateinvesting #RealEstateMarketing great for #Airbnb #VRBO #HomeandAway</t>
  </si>
  <si>
    <t>Realtor w Coldwell Banker Jamaica Realty. Satisfied client successful sale end to end.</t>
  </si>
  <si>
    <t>RegisAaa</t>
  </si>
  <si>
    <t>#Airbnb just beat #Hilton in US 🇺🇸 #consumer spending - Recode #hospitality #hospitalité</t>
  </si>
  <si>
    <t>Paris (FR)</t>
  </si>
  <si>
    <t>Consulting director #Digital #DigitalTransfo #Data #Brands #CX #Marketing #Media | Former @mindshare 🇫🇷 | @sqli_fr 🇫🇷 | @virtua_agency🇨🇭| @bd_group🇨🇭</t>
  </si>
  <si>
    <t>Michael Fauscette</t>
  </si>
  <si>
    <t>American consumers spent more on #Airbnb than on Hilton last year</t>
  </si>
  <si>
    <t>chief research officer G2 Crowd, biz software, social tech, digital xformation, professional speaker, blogger, photographer, writer</t>
  </si>
  <si>
    <t>BU Hospitality</t>
  </si>
  <si>
    <t>Our very own Professor Mody was quoted in this Travel Weekly article about Airbnb's acquisition of HotelTonight, check it out here! #busha #buhospitality #airbnb #professor #hotels #future</t>
  </si>
  <si>
    <t>Boston University School of Hospitality Administration | Developing leaders. Inspiring entrepreneurs. Creating remarkable experiences.</t>
  </si>
  <si>
    <t>Tim Smith</t>
  </si>
  <si>
    <t>#QnA #MKT684 With #uber and #airbnb both exploring new #targetmarkets, how will they maintain focus on their current operations so they do not lose #marketshare? @MktKitchenTV  RT @sghoreishi001: Initial: MKT 684, Wk7, Chapter 7, Q3: Uber's Driver and Passenger audience. With #uber revenue dropping in their 4th quarter, Uber Elevate might be the new big thing, will their target market be appealed by it?  @eNetworkMkt #mkt684 #uber #targetmaket</t>
  </si>
  <si>
    <t>Quincy, MA</t>
  </si>
  <si>
    <t>UMB Grad Student and Data Analyst at Sanofi Genzyme</t>
  </si>
  <si>
    <t>What do you think of our bathrooms? @lasiguaraya #Lahabana #havana #Havanalove #havanastyle #cuba #cubalife #cubalove #bedandbreakfast #CasaParticular #casaparticulares #airbnb #bathroom #CubaTravel</t>
  </si>
  <si>
    <t>Olivier Dujardin</t>
  </si>
  <si>
    <t>Another relaxing day at sea ✌️... #oceaniacruises #cruiselife #shiplife #lifeatsea #lifestyle #goodlife #enjoylife #magazine #vacation #timeoff #wahts #gayguy #airbnb #airbnbmagazine #wanderlust —</t>
  </si>
  <si>
    <t>Entrepreneur - Voyageur - Flaneur</t>
  </si>
  <si>
    <t>SW Craig Road</t>
  </si>
  <si>
    <t>Need practical advice about becoming an official Airbnb host? #HereForYou #General #Business #USA #Jobs #Airbnb #Host</t>
  </si>
  <si>
    <t>North Las Vegas, NV 89032</t>
  </si>
  <si>
    <t>Storage West Self Storage North Las Vegas, NV. Excellent self storage facility! Come store with us! Hours: Mon-Sat, 9.00am to 6.00pm. Closed on major holidays.</t>
  </si>
  <si>
    <t>How much could you make on your short-term let #property rental in Edinburgh and Glasgow? 🔑 Find out at ➡️  We strive to deliver outstanding value and the very best customer service ⭐️⭐️⭐️⭐️⭐️ #homeshare #sharingeconomy #propertymanagement #airbnb</t>
  </si>
  <si>
    <t>Art is Alive</t>
  </si>
  <si>
    <t>Please join the Art Tour of Mayfair in London! #Airbnb #AirbnbExperience #ArtTour #Exhibitions #Galleries #Luxury #Mayfair #Tours</t>
  </si>
  <si>
    <t>London | Lisbon</t>
  </si>
  <si>
    <t>CONTEMPORARY ART, FASHION, ARCHITECTURE, DESIGN, MUSIC, CINEMA, DANCE and PERFORMING ARTS | Cultural platform curated by Nicolas Smirnoff since 2007</t>
  </si>
  <si>
    <t>Lee Abbamonte</t>
  </si>
  <si>
    <t>New! My AirBnb Scam Experience  #travel #airbnb</t>
  </si>
  <si>
    <t>Been to Every Country, State, Continent, National Park, Major Stadium + N &amp; S Pole! Entrepreneur, TV Personality, Travel Writer, Speaker, Maryland Alum, MBA.</t>
  </si>
  <si>
    <t>American consumers spent more on Airbnb than on Hilton last year  #airbnb</t>
  </si>
  <si>
    <t>American consumers spent more on @Airbnb than on @HiltonHotels last year, meaning Airbnb now owns about 20 percent of the entire US consumer lodging market. Analysis by @ranimolla for @Recode  #vacationrentals #Airbnb #hotels</t>
  </si>
  <si>
    <t>Joanna Fiore</t>
  </si>
  <si>
    <t>Getting ready for our next guests at The Love Stream 💕@SheDevilTrainer #airbnb best_of_airbnb airbnb #vegan #vegansofig #veganafood #veganfoodporn #whatveganseat…</t>
  </si>
  <si>
    <t>Personal Trainer to Nikki Sixx, Matt Dillon, Nakia &amp; celebs. Nutritionist, Actor, Vegan Chef &amp; Co-founder of La Dolce Vita Gourmet &amp; LDV Animal Foundation</t>
  </si>
  <si>
    <t>#Airbnb and #travel - Don't do it, it's unethical. #tourism #ethics "13. For the record: AirBnB... is often called out for...decimating the hotel industry (particularly small locally owned hotels)..."</t>
  </si>
  <si>
    <t>Lailan Bento is a very skilled and professional Realtor in Hawaii. Ms Bento goes the extra mile for her clients and that is why they refer her to their clients</t>
  </si>
  <si>
    <t>SerendipityOBX</t>
  </si>
  <si>
    <t>Who else needs one? . . #oceanminded #lifesabeach #obx #obxnc #outerbanks #outerbanksnc #kittyhawk #beachplease #superhost #airbnb #airbnbsuperhost #Oceanview #vacationrental #cottage…</t>
  </si>
  <si>
    <t>Kitty Hawk, NC</t>
  </si>
  <si>
    <t>Stay on the ocean in the Outer Banks in a charming beach cottage with modern amenities. Drink coffee on the top deck as you watch the sun rise over the ocean!</t>
  </si>
  <si>
    <t>Penrose Realty, MA</t>
  </si>
  <si>
    <t>The bedroom of an #airbnb rental. It may be small, but don't be fooled: with its unique wall decorations and soft lighting, it makes a cozy space for all who sleep here.⁣ ⁣ .⁣ #interiordesign #design #homedecor #decor #realty #realestate #rentals #pr…</t>
  </si>
  <si>
    <t>Penrose Realty is a full service, Boston based boutique real estate agency that specializes in high end rentals and sales.</t>
  </si>
  <si>
    <t>BabyQuip</t>
  </si>
  <si>
    <t>How gorge is this crib delivery by BabyQuip QP Tracy Williams in Greenville, SC? There’s something so lovely and relaxing about walking into your travel accommodations and having everything set up for you (something BabyQuip does whenever possible!). #airbnb #vacationrental</t>
  </si>
  <si>
    <t>BabyQuip is the leading baby gear rental service. We deliver &amp; set up clean, safe &amp; insured baby gear to traveling families in 350+ cities across the US &amp; CAN.</t>
  </si>
  <si>
    <t>Betsy Dixon</t>
  </si>
  <si>
    <t>Layton, UT</t>
  </si>
  <si>
    <t>I am a Realtor in Utah. I love sports - LSU Tigers, cajun food, good music &amp; fun! My honey &amp; I have 3 kids. We bike, play, goof around together.</t>
  </si>
  <si>
    <t>Sea Queen! #Corolla Beach House in the #OBX with a private heated pool with an indoor full bath, gas grill, picnic table, fridge &amp; 2 outdoor showers. Check out #Airbnb! #beach</t>
  </si>
  <si>
    <t>Caught this lil cutie having some lunch in Loma Linda. 💗 🐇 #indio #suncity #indianwells #laquinta #cathedralcity #palmdesert #ranchomirage #palmsprings #yuccavalley #deserthotsprings #morongovalley #joshuatree #jt #jtnp #airbnb #stagecoach #coachella #vaca #pioneertown</t>
  </si>
  <si>
    <t>Igor Beuker</t>
  </si>
  <si>
    <t>Disruption always comes from outsiders or outliers. Hardly ever from the people within a specific industry. #travel #tourism #airbnb #hilton #hotels #trends #marketing #innovation  via @Recode</t>
  </si>
  <si>
    <t>Born in Amsterdam, raised by the world</t>
  </si>
  <si>
    <t>Misfit transformed into a professional storyteller &amp; #keynotespeaker | Entrepreneur: 5 Exits &amp; 24x Angel | Watch the mini doc film https://youtu.be/_m9wILPLxxA</t>
  </si>
  <si>
    <t>You're not fleeing persecution when you're in a comfortable taxi in upstate NY on your way to illegally cross USA/CAN into southern QC via #RoxhamRd !!! #canpoli #UNHCR #Airbnb #OpenSociety #GlobalCompactForMigration #CenturyInitiative #MayorsMigrationCouncil #PlattsburghCares RT @UNHCRCanada: Regardless of nationality Regardless of gender Regardless of age Regardless of sexual orientation We are all human and seeking asylum from persecution is our right. #HumanRights</t>
  </si>
  <si>
    <t>Inside #Airbnb’s ‘#GuerrillaWar’ Against #LocalGovernments</t>
  </si>
  <si>
    <t>Tidal Loans</t>
  </si>
  <si>
    <t>We had a great class, teaching real estate investor how to take actionable steps right now to invest in Real Estate. See you at the next class! #realestate #houstonrealestate #success #fixandflip #fixerupper #investor #wholesalehomes #vision #realestatelife #airbnb #entrepreneur</t>
  </si>
  <si>
    <t>PRIVATE LENDER Providing our clients with a fast and simple process to acquire real estate investment loans. P: 832-757-1262 E: info@tidalloans.com</t>
  </si>
  <si>
    <t>Inspira Marketing</t>
  </si>
  <si>
    <t>With the rise of #Airbnb and boutique concepts, traditional hotels must differentiate their offerings or risk falling behind. Discover how experiential marketing can help #hotel brands stand out and create new brand loyalists at</t>
  </si>
  <si>
    <t>South Norwalk, CT</t>
  </si>
  <si>
    <t>We’re an #experiential marketing agency that connects people with brands in authentic ways</t>
  </si>
  <si>
    <t>Airbnb, HomeAway Lose a Key Regulatory Battle in Southern California #Breezeway #Airbnb #vacationrental #propertymanagement</t>
  </si>
  <si>
    <t>Many more like this one based in Dubai UAE who all have 50K+ FB followers!  #PierrefondsDollard #PPC2019 #BernierNation #canpoli #polcan #RoxhamRd #UNHCR #Airbnb #OpenSociety #GlobalCompactForMigration #CenturyInitiative #MayorsMigrationCouncil #Unexit</t>
  </si>
  <si>
    <t>The Best Way To Cheer Yourself Up, Is To Try To Cheer Someone Else Up. . . #Manchester #performers #LiveMCR #Manc #LiveMusic #poets #singers #BandsManchester #Uber #Airbnb #Instagram…</t>
  </si>
  <si>
    <t>American consumers spent more on Airbnb than on Hilton last year  via @Recode #Airbnb #P2P #SharingEconomy</t>
  </si>
  <si>
    <t>They will have an entire panel on ''Confronting Populism'' !!!??  #PierrefondsDollard #PPC2019 #BernierNation #canpoli #polcan #RoxhamRd #UNHCR #Airbnb #OpenSociety #GlobalCompactForMigration #CenturyInitiative #MayorsMigrationCouncil #Unexit</t>
  </si>
  <si>
    <t>Atlantic provinces #unemployment rates: N.B. 7.5% P.E.I. 8.9% N.S. 7.5% N.L. 15.5% #PierrefondsDollard #PPC2019 #BernierNation #OpenSociety #RoxhamRd #Airbnb #GlobalCompactForMigration #CenturyInitiative #Unexit #UNHCR #UNRWA #UNHRC #MayorsMigrationCouncil #canpoli #polcan RT @HireImmOttawa: Hire Immigrants Ottawa is pleased to be partnered with @ConfBoardofCda for the Canadian Immigration Summit 2019. We hope that you can join us on May 8th and 9th in Ottawa to discuss How can we plan for tomorrow, today? #Immigration2019 @ImmigrationCBoC</t>
  </si>
  <si>
    <t>Brainvire</t>
  </si>
  <si>
    <t>Follow the footsteps of Adobe &amp; Airbnb by adopting Amazon Web Service to scale and automate your business process. Click here -  #aws #adobe #airbnb #scalability #businessprocessautomation</t>
  </si>
  <si>
    <t>Brainvire is an IT consultancy that has fueled fortune 500 companies with its innovative services. It has over 600 strong workforces at 11 locations around word</t>
  </si>
  <si>
    <t>Sotiris Sideris</t>
  </si>
  <si>
    <t>Glad to have my #dataviz piece for @AthensLiveGr on #airbnb cited in the 'Destinations at Risk: The Invisible Burden of Tourism' report by @travelTF, @CornellSGE, and @EplerWood. Read the full report here:  RT @travelTF: Today we publish our report "Destinations at Risk: The #InvisibleBurden of Tourism" with @CornellSGE and @EplerWood, free at . Watch the 2 min video</t>
  </si>
  <si>
    <t>co-founder @AthensLiveGr | coordinating the 'young journalists' @Diktio | producer, host @TheUndocumente3 | ta @media_uoa | alum @columbiajourn</t>
  </si>
  <si>
    <t>Marina W</t>
  </si>
  <si>
    <t>Okay here we go, which kind of #trip do you prefer? #travel #wanderlust And check out my blog👉🏻  . #adventure #backpacking #vacation #holiday #lifestyle #travelblog #travelblogger #question #poll #airbnb #flights #adventuretravel #photography #vacancy</t>
  </si>
  <si>
    <t>pronounced like mah-ree-nah. I think, I write.</t>
  </si>
  <si>
    <t>'Challenge #FakeNews with FACTS''??? 🤣You entire #UnitedNation org is #FakeNews!!! #PierrefondsDollard #PPC2019 #BernierNation #OpenSociety #RoxhamRd #Airbnb #GlobalCompactForMigration #CenturyInitiative #Unexit #UNHCR #UNRWA #UNHRC #MayorsMigrationCouncil #canpoli #polcan RT @IOM_GMDAC: Europe Migration Data Portal Will Challenge #FakeNews With Facts ⬇️⬇️⬇️</t>
  </si>
  <si>
    <t>Egemen Tumturk</t>
  </si>
  <si>
    <t>A new challenge for both #hotels and #airbnb ...worth to look at their business model  #business #startup #innovation #Hospitality</t>
  </si>
  <si>
    <t>Pays-Bas</t>
  </si>
  <si>
    <t>Experienced leader in consumer products and electronics. Passionate about business development and circular economy. Believes in sustainability of human society</t>
  </si>
  <si>
    <t>Lourdes Abrasaldo</t>
  </si>
  <si>
    <t>Sign up for Airbnb and get $30 off your first adventure. Here’s my invitation link:  #airbnb</t>
  </si>
  <si>
    <t>Welcome to my world. Be brave and inspire others. Kindly Subscribe too My Youtube Channel http://youtu.be/48Of2QEeme0.</t>
  </si>
  <si>
    <t>Pratik Tiwari (ITIL-V3, CSM, PMI-ACP, MBA-IT)</t>
  </si>
  <si>
    <t>#American consumers spent more on #Airbnb than on #Hilton last year and that means Airbnb now owns about 20 percent of the entire #US #consumer #lodging #market If you are planing for Online Business and that is for Hotel/Loading then it may help you. #tech #business #digital</t>
  </si>
  <si>
    <t>India/ Serving Globally</t>
  </si>
  <si>
    <t>Consultant | Business Strategist | Project Coordinator. Helping; Startup | Entrepreneur | Business in Web &amp; Mobile App Development. How your Business is doing?</t>
  </si>
  <si>
    <t>Brownies anyone? Make your reservation today!  #jamaica #vacation #vacationmode #edibles #Germany #joysecolodge #airbnb #airbnbexperiences #reggae #rasta #kingston #negril #montegobay #travel #TravelTuesday #backpacking #NYC #Paris #MarchMadness</t>
  </si>
  <si>
    <t>Luigene Yanoria</t>
  </si>
  <si>
    <t>Check out this awesome Entire loft on #Airbnb: Picturesque Loft in BGC w/ Golf Club View</t>
  </si>
  <si>
    <t>Southeast Asia</t>
  </si>
  <si>
    <t>Growing @viddsee film communities &amp; hosting a couple of @Airbnb homes in Manila. ⭐️ Previously w/ @TV5Manila @YahooPH @hooq_ph and @TBAStudiosPH</t>
  </si>
  <si>
    <t>RE-OZ</t>
  </si>
  <si>
    <t>IM GOIN TO FUCKIN ULTRA!!!!!🙂 #Ultra2019 #sofuckinexcited #lit #bayside #airbnb</t>
  </si>
  <si>
    <t>Pembroke Pines, FL</t>
  </si>
  <si>
    <t>Well..as u can tell...im one of a kind. The One&amp;Only RE-OZ.....u can call me Reo tho.....or Bless or whatever the fuck u want i really couldnt care less lmao🤑!</t>
  </si>
  <si>
    <t>Ireland’s Tourism Success Is Under Threat by #Brexit: A Skift Deep Dive. Read more at  #servicedaccommodation #servicedapartments #servicedapartmentnews #AirBnB</t>
  </si>
  <si>
    <t>Tim Mask™</t>
  </si>
  <si>
    <t>Sea change in the #travel industry...or short term trend? Travelers in the US spent 30% more with #Airbnb last year than with #Hilton brand #hotels. On #Marriott brand hotels are ahead of the #lodging #unicorn.  #tourism #travelindustry #TMtmDailyBuzz</t>
  </si>
  <si>
    <t>Brandon, MS</t>
  </si>
  <si>
    <t>★President:@MWBCreate ★Director:@ffmississippi &amp; @MSInnovationEco ★Evangelist:#CreateForGood | #TEDx organizer&amp; speaker | 👻 Executive Producer</t>
  </si>
  <si>
    <t>Chicago Vase Company</t>
  </si>
  <si>
    <t>Haeger Mandarin Orange Bud Bottle Vase.  #vase #vintage #mcm #midcenturymodern #midcentury #homedecor #interiordesign #orange #beautiful #bnb #airbnb #homeoffice @ Chicago…</t>
  </si>
  <si>
    <t>Veteran owned small business scouring the globe for high quality vases and other glassware to deliver to everyone. Buy small. Support one another always.</t>
  </si>
  <si>
    <t>Quik</t>
  </si>
  <si>
    <t>Ever get an #airbnb with a group of friends and it's big enough to play Hide and seek? No? What are you waiting for? 😅</t>
  </si>
  <si>
    <t>Father by day, Twitch Broadcaster by night! I'm a variety gamer, but I play alot of FPS titles.</t>
  </si>
  <si>
    <t>Railsware</t>
  </si>
  <si>
    <t>Apart from famous #RubyonRails sites like #GitHub or #Airbnb, we offer you to look at some awesome use cases worth your attention #ror #rails #websites</t>
  </si>
  <si>
    <t xml:space="preserve">Krakow, Poland </t>
  </si>
  <si>
    <t>Great People. Great Products. Great Code. #webdevelopment #ruby #rails #RoR #RubyonRails #nodejs #reactjs #js</t>
  </si>
  <si>
    <t>#happyguests #airbnb #goodreview #goodvibes #byebye #sharemyhome #kortrijk #Belgium #colorado #haveanicetrip #blvrd15 #student #family #rotary @ Airbnboulevard</t>
  </si>
  <si>
    <t>#happyguests #airbnb #goodreview #goodvibes #byebye #sharemyhome #kortrijk #Belgium #colorado #haveanicetrip #blvrd15 @ Airbnboulevard</t>
  </si>
  <si>
    <t>Or ask us to do it for you.. #cleaning #regularcleaner #homecleaning #domesticcleaning #bredonhill #cotswolds #gloucestershire #worcestershire #holidaylet #airbnb #pubs #restaurants #schools</t>
  </si>
  <si>
    <t>$55 ❤️💙💜💚🧡💸 Airbnb code coupon promo discount first. $55 OFF CLICK LINK NOW! Try it. Please DM me if you have any issues. #airbnb #airbnbcode #airbnbdiscount #airbnbpromo #airbnbcoupon #Nurkic #RipCity #TuesdayThoughts #Supermarket</t>
  </si>
  <si>
    <t>Calista Leah Liew</t>
  </si>
  <si>
    <t>When you luck out on airbnb and find your dream house 😍 . . . #airbnb #dreamhouse #interiorgoals #bedding #cashmerehills #christchurch #nz #cosy #sweaterweather #crazyrichasians @…</t>
  </si>
  <si>
    <t>Radio announcer @hitzfm / Twitter is basically my ranting ground / IG: @CalistaLeahLiew fb/CalistaLeahLiew http://youtube.com/CalistaLeahLiew</t>
  </si>
  <si>
    <t>Brownstone Properties Ghana Limited</t>
  </si>
  <si>
    <t>Furnished three bedroom apartment for rent in North Ridge. Short &amp; long stay options available. Swimming pool.Standby generator. 24 hour security. #AlisaHotel #FineThings #ExecutiveHome #Shortstay #Longstay #climatechange #Airbnb #BookingDotCom #BreakfastDaily #PremierLeague</t>
  </si>
  <si>
    <t>Greater Accra, Ghana</t>
  </si>
  <si>
    <t>Professional real estate service/brokers. We RENT|SELL|BUY properties on your behalf. Land. Houses. Apartments. Real Estate Developments. +233 (0) 202448138</t>
  </si>
  <si>
    <t>Tropical Travels</t>
  </si>
  <si>
    <t>Over a hundred years ago people fought for equalities and safe working conditions, now its back to square one again with this sharing/gig/servant economy #airbnb #vrbo #lyft #sharingeconomy #gigeconomy #illegalhotels #unlicenced</t>
  </si>
  <si>
    <t xml:space="preserve">London, England </t>
  </si>
  <si>
    <t>I love travelling to new and interesting places. I hate being deceived by online 'platforms'</t>
  </si>
  <si>
    <t>Not long until #mothersday. Show your mum some ❤ this day with a special #afternoontea and #delicious #cakes and #cupcakes instead of flowers. Book your table now! #maisonvie #london #kilburn #nw6 #frenchcafe #frenchbakery #frenchrestaurant #airbnb #londonfoodie #londonfood</t>
  </si>
  <si>
    <t>In London, the Queen would be breaking the law if she rented Buckingham palace on Airbnb, and guests would probably be beheaded #airbnb #london #buckinghampalace #queen #illegalhotel #VRBO #STR</t>
  </si>
  <si>
    <t>Furnished and Unfurnished one and two bedroom apartments available for rent in Cantonments starting at $1500/month. #JDM #AppleEvent #Realestate #Property #Accra #living #lifestyle #Newhome #PatriotMonthOnYFM #AlisaHotel #Shortstay #VacationHome #Airbnb #BookingDotCom</t>
  </si>
  <si>
    <t>Marie Nieves</t>
  </si>
  <si>
    <t>Gadgets and Appliances that Will Make Your Airbnb More Attractive  #travel #airbnb #gadgets #appliances</t>
  </si>
  <si>
    <t>Wannabe world traveller. Blogger. Sister, daughter, friend and aunt. Enthusiast. Author at http://highstylife.com/</t>
  </si>
  <si>
    <t>Furnished and Unfurnished one and two bedroom apartments available for rent in Cantonments starting at $1500/month. #Cantonments #housing #Furnished #aparment #Decor #Unfurnished #USEmbassy #UnitedNations #Ghana #Accra #Airbnb #WorldBank #CashewNuts #TuesdayMorning #HuaweiP30</t>
  </si>
  <si>
    <t>First Time Airbnb $55 coupon promo referral code :) Get your discount credit on your first trip Click the link NOW —-&gt;✈️ #airbnb #airbnbcode #airbnbdiscount #vacation #trips #travel #getaway #Nurkic #RipCity #TuesdayThoughts #Supermarket</t>
  </si>
  <si>
    <t>You certainly get about Ruth #comfortcottagehealing #visitwales #dogfriendly #TheDogsWithMe #alpacas #ArtsWales #SunDogs #Airbnb RT @RIDECymru: Confirmed that Richard Jones of @stereophonics will be another of our special guests along with @ruthwignall on our RIDE Cymru 2019 Day 2 Forrest Hughes South Wales Coast. Friday May 3rd. 👍😬🏍🏴󠁧󠁢󠁷󠁬󠁳󠁿</t>
  </si>
  <si>
    <t>Marcel Dellebeke</t>
  </si>
  <si>
    <t>Amsterdam, Nederland</t>
  </si>
  <si>
    <t>AMS 1012 (sinds '97) - observaties vanuit het pretpark voor stag-do's, toeristenkuddes, platte v€rdi€nmod€ll€n, etc &amp; de prachtige stad die daaraan kap😢t gaat</t>
  </si>
  <si>
    <t>Aoife</t>
  </si>
  <si>
    <t>Sign up for Airbnb with my link for €30 off your first trip. #Airbnb #DiscountCode #Free</t>
  </si>
  <si>
    <t>Random, loud, summer day lover and a Science girl #SsshhhhImTryingToAdult</t>
  </si>
  <si>
    <t>Planning on having a big group on staying in empire damansara?. - We got you covered - - - #airbnbhost #homestay #hosting #Airbnb #airbnbmalaysia #airbnbguest #guestairbnb…</t>
  </si>
  <si>
    <t>Villa Wambatu, Sri Lanka</t>
  </si>
  <si>
    <t>Unmissable! Who could accidentally drive past our deep purple walls?  #galle #WanderlustXL #ttot #wheretostay #VisitSriLanka #lonelyplanet #airbnb #boutiquehotel #laterooms #traveltuesday</t>
  </si>
  <si>
    <t>Sri Lanka</t>
  </si>
  <si>
    <t>Spectacular, funky villa in South Sri Lanka near Galle, Unawatuna and Talpe. Book direct or find us on AirBnB</t>
  </si>
  <si>
    <t>Just Entrepreneurs</t>
  </si>
  <si>
    <t>Queen Elizabeth II could earn over £1 million a day by listing Buckingham Palace on #Airbnb.</t>
  </si>
  <si>
    <t>The online media publication for startups, small business owners and entrepreneurs. ⌨info@justentrepreneurs.co.uk</t>
  </si>
  <si>
    <t>Super Luxury Guest House !  via Twitter Web Clien #airbnb</t>
  </si>
  <si>
    <t>Wave Rider Surf</t>
  </si>
  <si>
    <t>There are still some rooms available in April if you are in need of some vitamin sea 💆‍♀️🥂 #corralejo #airbnb #surf #windsurf</t>
  </si>
  <si>
    <t>Corralejo, Fuerteventura</t>
  </si>
  <si>
    <t>🐚 Beach Front Villa &amp; Surf School. 📍Fuerteventura ~ Package Holidays - Run Your Own Retreats ~ Accommodation ~ Yoga ~ Contact Us: (+34) 638 242 885</t>
  </si>
  <si>
    <t>The Artpad</t>
  </si>
  <si>
    <t>"Great Pulteney Street - The Artpad - Bath centre - Flats for Rent in Bath #Travel" @airbnb  #holidaycottages #Georgianbath #bathcity #bathrugby #visitbath #augustinbath #julyinbath #airbnb #lovebath #stayinbath</t>
  </si>
  <si>
    <t>Great Pulteney Street, Bath</t>
  </si>
  <si>
    <t>A beautiful, Georgian holiday home apartment in the heart of Bath</t>
  </si>
  <si>
    <t>Breakfast? Yeeees! :) #Travel #SanAndrés #Colombia #Buddhavilla #Caribbean #traveltips #traveltheworld #airbnb #Caribbeanlife #IslaDeSanAndrés #Hostel #rooms #Booking #travelling #poolside #airbnbexperiences #seaside #swimmingpool #Colombian @Airbnb</t>
  </si>
  <si>
    <t>The latest image from the GowerLive #webcam on the roof 730RocksMumbles #AirBnB. Book at  #Mumbles #Swansea #Gower #travel. Watch live at  #528</t>
  </si>
  <si>
    <t>Yiorgos Papamanousakis</t>
  </si>
  <si>
    <t>Learning from Venice? #airbnb VS #city</t>
  </si>
  <si>
    <t>Architect and Urban Development Planner | Director at Urban Transcripts @UrbanTweeting | Consultant at New Economics Foundation @nef @nefconsulting</t>
  </si>
  <si>
    <t>In Between the Sheets Airbnb Consultancy</t>
  </si>
  <si>
    <t>"Have nothing in your houses that you do not know to be useful or believe to be beautiful." William Morris 1834 En Suite Guest Bedroom, Mevagissey #airbnb #inbetweenthesheets #inspiration #mevagissey #cornwall #livingthedream</t>
  </si>
  <si>
    <t>Mevagissey, Cornwall, England</t>
  </si>
  <si>
    <t>Airbnb Super host and Small Business Coach (with 15 years experience) Pam Rigden; helping you create a successful and profitable Airbnb business #nlp #coaching</t>
  </si>
  <si>
    <t>Now that's what i call a coastline #comfortcottagehealing #visitwales #dogfriendly #TheDogsWithMe #alpacas #ArtsWales #SunDogs #Airbnb RT @MyPembsEmmaRyan: Beautiful Day on the Pembrokeshire coast yesterday, Overlooking Bullslaughter Bay @ruthwignall @kelseyredmore @PembsCoast @VisitPembs @visitwales @FBMHolidays @DerekTheWeather @behnazakhgar @WalesCoastUK @uknationalparks #pembrokeshire #Springsunshine #FindYourEpic</t>
  </si>
  <si>
    <t>Amazon Quiz</t>
  </si>
  <si>
    <t>Did You Know ? #2 Google Maps 3D view, Calling Cabs and Fares of Ola, Uber &amp; Mera #Booking #airbnb #bus</t>
  </si>
  <si>
    <t>Amazon Quiz Answer Amazon Quiz Today #quiztimemorningswithamazon #amazonspinandwin</t>
  </si>
  <si>
    <t>Ryan Derek</t>
  </si>
  <si>
    <t>Lots of tech #ponzischemes out there and Pledge Music isn’t the only one. #PledgeMusic is looking for a buyer because the owners want to rid themselves of their failed mess. The same thing with #Airbnb it’s an unworkable business model.</t>
  </si>
  <si>
    <t xml:space="preserve">CPU, California </t>
  </si>
  <si>
    <t>I have background in accounting because I passed the CPA Exam but also in applied economics. The economy is the real problem, politics is just background noise.</t>
  </si>
  <si>
    <t>Enjoy great food in our lovely neighborhood. You cannot get bored in our area. Bed&amp;Stay is located 13 min by train from the popular district of Shinjuku. Book us now here:#Airbnb  #familytravel #travel #japan #airbnbjapan #airbnbtokyo #travel #traveling</t>
  </si>
  <si>
    <t>"Like all great travelers, We have seen more than we remember, and remember more than we have seen." #bali #holiday #travel #traveldiaries #familytrip #honeymoon #travelwithfriends #airbnb #booking #luxuryvilla #islandlife #positivevibes #moment #mood #summervibes #traveler</t>
  </si>
  <si>
    <t>A perfect start to the morning😋😍 #maisonvie #london #kilburn #nw6 #frenchcafe #frenchbakery #frenchrestaurant #ICMP #airbnb #londonfoodie #londonfood #londoncafe #londonbakery #londonrestaurant #delicious #yummy #tasty #queenspark #southhamstead #westhamstead #food #hungry</t>
  </si>
  <si>
    <t>amandabetty</t>
  </si>
  <si>
    <t>One of the swankiest Airbnb’s I’ve been in, I may have to stay another night. #airbnb #middleofnowhere #midwest</t>
  </si>
  <si>
    <t>Paris of the Plains</t>
  </si>
  <si>
    <t>*boop*</t>
  </si>
  <si>
    <t>Did you know that 51% of guests list cleanliness as their top priority for #Airbnb properties and gaps in the cleaning can hurt your #property performance?😧 In this latest article, we've listed the top 5 common issues:  #madecomfy #sydney #melbourne</t>
  </si>
  <si>
    <t>Watch this inspiring speech and see how motivated you feel | "Change The World" |  #Airbnb #airbnbaustralia #airbnbhost #bnbhostguru</t>
  </si>
  <si>
    <t>Fav_Home</t>
  </si>
  <si>
    <t>🎉 Special Offer! Loft Style 3BR/WIFI at #Rangnam #Kingpower #Bangkok #Airbnb #Airbnbthailand #AirbnbChiana #Superhost #Condo #CondoBTS #propertymanagement ➡Book now!!  ➡ More information</t>
  </si>
  <si>
    <t>Bangkok, Pattaya, Phuket, etc.</t>
  </si>
  <si>
    <t>https://th.airbnb.com/users/154750018/listings</t>
  </si>
  <si>
    <t>🎉 Special Offer! Traditional Thai Houses at #Bangkok #Airbnb #Airbnbthailand #AirbnbChiana #Superhost #Condo #CondoBTS #propertymanagement ➡Book now!!  ➡ More information</t>
  </si>
  <si>
    <t>L.B. Lewis</t>
  </si>
  <si>
    <t>⚡️Did you see "Culture + Community" is on: .@eventbrite .@StartupDigest .@DoTheBay + .@evensi_app? 💥Thanks for your support! Tickets limited; get yours now:  #events #networking #BayArea #SiliconValley #airbnb #foodies #ContemporaryArt #HappyHour</t>
  </si>
  <si>
    <t>#Author of A Modern Trilogy! Got to #12 on Amazon. Come to my next event on April 11 in #SF: https://bit.ly/2FiXvDM press@lblewis.com</t>
  </si>
  <si>
    <t>🎉 Special Offer! High rise condo &amp; Sky bar at #Sukhumvit #Bangkok #Airbnb #Airbnbthailand #AirbnbChiana #Superhost #Condo #CondoBTS #propertymanagement #AirbnbPlus ➡Book now!!  ➡ More information</t>
  </si>
  <si>
    <t>Jeff Lin</t>
  </si>
  <si>
    <t>I’ve declined more @Airbnb reservation requests in the last 30 days than I have in the previous 2 years. #airbnb</t>
  </si>
  <si>
    <t>Minneapolis, Minnesota, USA</t>
  </si>
  <si>
    <t>@teambustout CEO • @schubertclub Board • @pearlpayments Founder</t>
  </si>
  <si>
    <t>Keep your #Airbnb rule list short and sweet with plain language for non-native language speakers. #AirbnbHostLife #ThePethouseDumaguete #AirbnbSuperhost</t>
  </si>
  <si>
    <t>🎉 Special Offer! High rise condo #Rama9 #Ratchada #Bangkok #Airbnb #Airbnbthailand #AirbnbChiana #Superhost #Condo #CondoBTS #propertymanagement ➡Book now!!  ➡ More information</t>
  </si>
  <si>
    <t>🎉 Special Offer! The Base Central at #Pattaya #Airbnb #Airbnbthailand #AirbnbChiana #Superhost #Condo #CondoBTS #propertymanagement ➡Book now!!  ➡ More information</t>
  </si>
  <si>
    <t>In Thailand, failure to complete a TM30 will now mean big fines and maybe even jail time #airbnb #tm30 #illegalhotel #thailand #travel #tourism</t>
  </si>
  <si>
    <t>Greek feta burgers with cucumber dill salad. Vacation cooking. #airbnb #ftw #palmsprings #california #springbreak #food #foodie #foodphotography #thehappynow #dinner</t>
  </si>
  <si>
    <t>Glorious_Touch_by_Glena</t>
  </si>
  <si>
    <t>Air BNB is the answer! #airbnb #whatDoYouUse</t>
  </si>
  <si>
    <t>✨ Day Maker✨People Lover✨Goal Crusher✨MeToo Survivor✨Dyslexia Momma✨Makeup Queen✨Texas Gal✨Follow Me✨</t>
  </si>
  <si>
    <t>Spring is springing at Ferngully Cove! Tiny flowers abound! #ferngullycove #airbnb #ferngully_cove #weekendgetaway #airbnbsuperhost #visitsuches #vacationrental…</t>
  </si>
  <si>
    <t>The lady who manages the #airbnb next door always referred to it as a cottage. It's the same house as mine with an extra bathroom, so I guess I don't know what a cottage is/I live in a cottage?</t>
  </si>
  <si>
    <t>I love hockey, late night talk shows (even if I can't stay awake), travel and cats. Currently struggling through my Doctorate in Social Work 🙃</t>
  </si>
  <si>
    <t>Lori Munn</t>
  </si>
  <si>
    <t>Just wanted to thank #airbnb for taking a minute to listen and understand. I can’t tell you how much I appreciate the time, thoughtfulness and kindness. Well done. 👍🏼✨ #airbnbcustomerservice #airbnbuk #disabilities</t>
  </si>
  <si>
    <t>Notting Hill, London</t>
  </si>
  <si>
    <t>wife, kitty mom, liberal, daily fighter of CRPS.</t>
  </si>
  <si>
    <t>Chad Nicholson</t>
  </si>
  <si>
    <t>The dinner bell is about to ring. Wish you were here. #airbnb #riataranch #sequoianationalpark #eatbeef #sierrafoothills</t>
  </si>
  <si>
    <t>Three Rivers, CA</t>
  </si>
  <si>
    <t>Radio/TV Voice Over Artist, master of ceremonies, emcee, public speaker, PBR Certified Announcer, Pro Rodeo Announcer, PRCA, Announcer School Instructor</t>
  </si>
  <si>
    <t>The dinner bell is about to ring. Wish you were here. #airbnb #riataranch #sequoianationalpark #eatbeef #sierrafoothills @ Riata Ranch International</t>
  </si>
  <si>
    <t>Get ready to explore the different areas where you can enjoy the blooming of the cherry trees. Book your stay in Tokyo now here #Airbnb  #familytravel #travel #japan #airbnbjapan #airbnbtokyo #travel #traveling #trip RT @TimeOutTokyo: Cherry blossoms update 2019: Are the sakura in full bloom yet?</t>
  </si>
  <si>
    <t>Spring is springing at Ferngully Cove. Tiny flowers abound! #ferngullycove #airbnb #ferngully_cove #weekendgetaway #airbnbsuperhost #visitsuches #vacationrental…</t>
  </si>
  <si>
    <t>Large 5Star #Florida #vacationhome with prival pool on #Airbnb Tropical #TommyBahama style - #VRBO March 25, 2019 at 10:00PM</t>
  </si>
  <si>
    <t>First Code Airbnb $55 coupon promo referral code :) Get your discount credit on your first trip Click the link NOW 💵💸💵💸💵—-&gt;✈️ #airbnb #airbnbcode #airbnbdiscount #vacation #trips #travel #getaway #MondayMotivation</t>
  </si>
  <si>
    <t>Enjoy of a fantastic view at Nakameguro. Book your stay in Tokyo now here #Airbnb  #familytravel #travel #japan #airbnbjapan #airbnbtokyo #travel #traveling #trip RT @Tokyo_Weekender: We're letting the cat out of the bag – the cherry blossoms at Sengawa River are just as beautiful as those at Nakameguro.</t>
  </si>
  <si>
    <t>Meg Sytnick - Travel Expert ✈️</t>
  </si>
  <si>
    <t>Airbnb Loses Major Battle in California, May Have Nationwide Impact  via @TravelPulse #airbnb #lodging #travelnews</t>
  </si>
  <si>
    <t>LIFE EXPERIENCE INFLUENCER 🏌🏽‍♀️Golf Enthusiast 🎙 Speaker💡Motivation Maven ✨ Magic Maker 💭 Mentor</t>
  </si>
  <si>
    <t>The Point at Ferngully Cove #airbnb #ferngully_cove #weekendgetaway #airbnbsuperhost #visitsuches #vacationrental #tinycabinrental #petfriendlycabinrental #cabinfortwo…</t>
  </si>
  <si>
    <t>#happytuesday it is official cherry blosson season has started. Time to book your stay with us in Tokyo here #Airbnb  #familytravel #travel #japan #airbnbjapan #airbnbtokyo #travel #traveling #trip RT @LIVEJAPANGuide: It's official! #Japan's #2019 cherry blossom season has started! Here's our updated report on how the bloom is looking so far this year (with photos!). #March2019 #Tokyo</t>
  </si>
  <si>
    <t>Shee Shing</t>
  </si>
  <si>
    <t>Couple years into Airbnb Hosting &amp; I must say without prejudice, In spite the booming technology at fingertips people still choose to remain uneducated. Simple House rules neglected #Airbnb #Hosting #AirbnbHost #HouseRules #Awareness</t>
  </si>
  <si>
    <t>I tell a boring story.</t>
  </si>
  <si>
    <t>#Airbnb in #NewYork - Show us the #data! @InsideAirbnb gives us a peek at the legal docs. PDF⤵ RT @InsideAirbnb: @STR2out @Miteymiss @Share_Better @Airbnb No, this is in New York, where @Airbnb and @HomeAway have sued the City over new data disclosure law. See section on "Percentage of Illegal Listings on Airbnb's Platform", data requested by the city.</t>
  </si>
  <si>
    <t>Hisashi Oguchi</t>
  </si>
  <si>
    <t>AirBnb in Montreal, Canada. Near our office. #montreal #Canada #quebec #airbnb #apartment #office #ToonBoom #mural #モントリオール #カナダ #ケベック #オフィス #本社 #出張 #アニメーション 場所: Montreal, Quebec</t>
  </si>
  <si>
    <t>Toon Boom Animation's Japan Country Manager. http://hisashi-oguchi.com Hobby= Road Race. 実業団ラバネロ</t>
  </si>
  <si>
    <t>I really love this kind of #urban structure wall.... Its a good resting area, comfort, windy and quiet. I like to do #reading, #meditation at this place... #airbnb #homestaynalaysia #breezystudio #univ360 #serdang</t>
  </si>
  <si>
    <t>Motivational Monday | 52 Cards- Ray Lewis (Motivational Speech)  #Airbnb #airbnbaustralia #airbnbhost #bnbhostguru</t>
  </si>
  <si>
    <t>Because it’s that kind of beautiful night here. #riataranch #airbnb #sequoianationalpark #family #ridehorses @ Riata Ranch International</t>
  </si>
  <si>
    <t>LisaPerrineBrown</t>
  </si>
  <si>
    <t>Day 4 - Athens, Ohio: house on top of hill. Bright and new! So colorful and fun!!! Bonus this place was super cheap and sleeps four! University of Ohio is so impressive. #ohio #universityofohio #athensohio #airbnb #sustainablelodging</t>
  </si>
  <si>
    <t>Traverse City, MI</t>
  </si>
  <si>
    <t>Tour Guide to India, Fiber Artist, Iliustrator, &amp; Painter.</t>
  </si>
  <si>
    <t>Wanna know how to construct the #feeling of #home at your #Airbnb listings! Read our recent #AnnalsOfTourism article.</t>
  </si>
  <si>
    <t>Axiom Tech Headhunt</t>
  </si>
  <si>
    <t>#Airbnb sold some common stock at a $35 billion valuation, but what is the company really worth?</t>
  </si>
  <si>
    <t>Headhunting for growing companies in current and emerging Tech around the world</t>
  </si>
  <si>
    <t>In Kenya, Airbnb's need a business licence and to pay taxes by July, good luck with their help and compliance #kenya #africa #airbnb #illegalhotel #unlicencedhotel #travel #tourism #worldtravel</t>
  </si>
  <si>
    <t>Chad Moon</t>
  </si>
  <si>
    <t>Dust those old records off the shelf. Maddox learning about the sound of vinyl. #bucktown #bucktownchicago #chicago #airbnb @ Bucktown, Chicago</t>
  </si>
  <si>
    <t>Living the dream.</t>
  </si>
  <si>
    <t>White Paint Day! Got to work on this side of the Shasta Astrodome Trailer today. #vintagetrailer #spot77 #shastaastrodome #tinyhouse #realestate #airbnb</t>
  </si>
  <si>
    <t>White Paint Day! Finished up my clawfoot tub project. I will put the feet on tomorrow. #spot77 #realestate #flipping #ibuyhouses #cashflow #airbnb</t>
  </si>
  <si>
    <t>⁦@CBC⁩ is on a roll covering #Airbnb horror stories!</t>
  </si>
  <si>
    <t>Happy hour wiscomcm #bucktown #bucktownchicago #chicago #airbnb @ Wiscomcm</t>
  </si>
  <si>
    <t>#Instagram is becoming a popular #marketing tool for #vacationrentals. We have collated our favourite accounts &amp; what you can learn from them:  #socialmedia #airbnb #shorttermrental</t>
  </si>
  <si>
    <t>TourismAccom</t>
  </si>
  <si>
    <t>#SouthernCrossUniversity research shows almost 100 #ByronBay residents have been forced out of rental properties due to short-term letting.  #airbnb @InsideAirbnb #accommodation #hotels #rentals</t>
  </si>
  <si>
    <t>Tourism Accommodation Australia (TAA) is the peak representative body advocating on behalf of Australia’s accommodation industry.</t>
  </si>
  <si>
    <t>Just a taste of a day at #Frangistabeach - Plenty of weeks still available! #miramarbeach #destin #30a #golf #beach #vacation #vrbo #sup #rental #florida #summer #springbreak #seaside #destinharbor #aquaholic #seafood #cheflife #homeaway #homeexchange #saltlife #airbnb #surfing</t>
  </si>
  <si>
    <t>Living Pocono</t>
  </si>
  <si>
    <t>Ready to AirBnb in the #Poconos ?? I have just the place for you!  #philly #nyc #Poconos #PoconoMtns #Vacation #AirBnb #HomeAway #Investment #PMLREALTY</t>
  </si>
  <si>
    <t>Poconos, PA</t>
  </si>
  <si>
    <t>Matthew Cordisco is a Realtor specializing in home sales in the Pocono Mountains. Browse current Pocono Homes for Sale at http://LivingPocono.com for free.</t>
  </si>
  <si>
    <t>Lupine Village</t>
  </si>
  <si>
    <t xml:space="preserve">207 Garfield St., Grand Lake, </t>
  </si>
  <si>
    <t>Lupine Village is a community of 6 rental cabins in the heart of Grand Lake, CO</t>
  </si>
  <si>
    <t>Retail News Asia</t>
  </si>
  <si>
    <t>A.S.I.A</t>
  </si>
  <si>
    <t>Retail Breaking News from Asia. The latest retail news, market research and the latest retail news of today.</t>
  </si>
  <si>
    <t>😎Vallarta Pride 2019🏝 VallartaStays - Hotels &amp; Condos Vacation Rentals Dream Team  #VallartaStays #PuertoVallarta #airbnb #Expedia #Hotel #SemanaSanta #VallartaPride #25Mar #gaypride @TurismoGobPV @TurismoPV @TurismoUdeG @PuertoVallarta @ACTLGBTPV</t>
  </si>
  <si>
    <t>It may be pretty crazy out there, but you just might have what you need to dive into becoming a great Airbnb host #HereForYou #General #Business #USA #Jobs #Airbnb #Host</t>
  </si>
  <si>
    <t>Another happy amazing guest at our #airbnb in #lasvegas Group of exchange students from different countries #japan #korea #taiwan #italy They re-did the chock-board 2 times to tell us Thank you in their native...</t>
  </si>
  <si>
    <t>#MondayMotivation 💦 Have you started spring cleaning at your #vacationrental business? Here are some easy tips to prepare for your cleaning day 👉  #springcleaning #airbnb #apartmenttherapy #vrbo #bookdirect #tips</t>
  </si>
  <si>
    <t>CancunTransportation</t>
  </si>
  <si>
    <t>Staying at an Airbnb near Cancun? Don't get lost in the way. Book your transportation quickly and safely:  #CancunAirportTransportation #Airbnb #Travel</t>
  </si>
  <si>
    <t>Cancún, México</t>
  </si>
  <si>
    <t>The Best Transportation when coming to Cancun #Mexico. #Cancun #Airport #Transportation. provides private transportation to your #hotel. Save and Fast.</t>
  </si>
  <si>
    <t>Natasha Rocca Devine</t>
  </si>
  <si>
    <t>📰|SUNDAY INDEPENDENT|TOP 12 AIRBNB TIPS📰 #airbnb #stagingtorent 🌇THANK YOU Fran Power for this feature @TheSundayIndo. It was a pleasure to share my TIPS with @ruthmariaphotos &amp; Ros Walshe. READ ONLINE👉🏻  Natasha #TheInteriorsNRD🌆</t>
  </si>
  <si>
    <t>👓THE INTERIORS NRD👓 | Award-Winning Interior Design “Staging To Sell” Specialist | Studio 📩info@theinteriorsnrd.com | Media 📩media@theinteriorsnrd.com</t>
  </si>
  <si>
    <t>Check out the Loch Ness 360 walking guide from @walkhighlands We are ideally located for a night’s stay after walking from either Dores or Fort Augustus. Get in touch if you are planning your trip. @Airbnb_uk #FoyersLodge #AirBnb #LochNess360 #LN360 #Highlands #WalkHighlands RT @walkhighlands: Our latest new long distance walk guide is to the Loch Ness 360 - making a 6 day circuit around Loch Ness from Inverness. For full details and step-by-step guide:</t>
  </si>
  <si>
    <t>Alex Borquez</t>
  </si>
  <si>
    <t>Trying to finish setting up the #Airbnb @therealtdh #thecolorspectrum #nashville #tn #COMINGSOON @ Nashville, Tennessee</t>
  </si>
  <si>
    <t>musician, foodie, photographer</t>
  </si>
  <si>
    <t>Michelle Eliot</t>
  </si>
  <si>
    <t>Very happy to be back today and great to hear from everyone on the topics of #AirBnB and #CanadaReads! My “To Be Read” pile just keeps growing 🤔 RT @bctoday: PODCAST: Thank you to our listeners and callers who joined us to talk Airbnb rentals and Canada Reads. Guests: @cbcharlsie and Tony Gioventu with the Condominium Home Owners' Association of B.C. and Mary Ann Yazedjian, GM @Book_Warehouse in Vancouver.</t>
  </si>
  <si>
    <t>Host, B.C. Today on CBC Radio One / 12-1 PT / livestream http://www.cbc.ca/bc / Download our podcast: @bctoday</t>
  </si>
  <si>
    <t>Nails by Katie G</t>
  </si>
  <si>
    <t>My @airbnb office view does not suck this morning. Wrapping up a girls weekend in Seattle and enjoying the last few minutes of quiet. . . . . #airbnbseattle #seattleairbnb #girlsweekend #seattlegirlstrip #westseattle @ugg #airbnb #colorstreetseattle</t>
  </si>
  <si>
    <t>💙Nails by Katie G💙 Mom of two. Lover of ☕️coffee, 🌮tacos, and 🥃bourbon. Nail polish junkie.💅🏼 💙#colorstreetseattle 💙#nailsbykatieg</t>
  </si>
  <si>
    <t>Christy Spackman</t>
  </si>
  <si>
    <t>HT to @zBoratory for this guide to navigating the process of finding short term #housing in ways that minimize negative impact. #NewOrleans #airbnb RT @zBoratory: If you are headed to New Orleans for an academic or professional conference (or even vacation) take a look at this accommodation primer posted by @4sConference. It outlines housing options that don't contribute to housing hardship for working class renters</t>
  </si>
  <si>
    <t>Assistant Professor, @ASU. Late night obsessions: #technology, #sensoryscience, #sensorydesign, #taste, &amp; how to #make nothing. Baker.</t>
  </si>
  <si>
    <t>Don’t do hotels! Have freedom with an Airbnb! Sign up with the coupon link below to receive a 💲55 💸💸 discount code with your first Airbnb. Please DM me if you have any issues. #airbnb #airbnbcode #airbnbdiscount #appleevent #mondaymotivation</t>
  </si>
  <si>
    <t>Storage West RB</t>
  </si>
  <si>
    <t>The whole truth of being a great Airbnb host. See if it is the right thing for you #HereForYou #General #Business #USA #Jobs #Airbnb #Host</t>
  </si>
  <si>
    <t>Rancho Bernardo, CA 92127</t>
  </si>
  <si>
    <t>Storage West Self Storage Rancho Bernardo, CA. Come store with us in Rancho Bernardo! Hours: Mon-Sat, 9am to 6pm. Sun, 11am to 5pm. Closed on major holidays.</t>
  </si>
  <si>
    <t>A fresh and invigorating lifestyle to the Inner Richmond while retaining Edwardian charm. By @thenolangroupsf Visit ➡  ⬅ to learn how to profit from investment properties that you don't even need to own. #airbnb #vacationrental</t>
  </si>
  <si>
    <t>TradeStation</t>
  </si>
  <si>
    <t>#Lyft is gunning their engines for their #IPO this week. Here’s what you need to know about their debut — and other tech IPOs coming up soon, like #Uber and #Airbnb. To start investing in IPOs, check out the ClickIPO app here.</t>
  </si>
  <si>
    <t>Plantation, FL  USA</t>
  </si>
  <si>
    <t>Disclosures: http://bit.ly/2hO5cco</t>
  </si>
  <si>
    <t>😎Wonderful Day in Paradise🏖 VallartaStays - Hotels &amp; Condos Vacation Rentals Dream Team  #VallartaStays #PuertoVallarta #airbnb #Expedia #Hotel #SemanaSanta #VallartaPride #25Mar #gaypride @TurismoGobPV @TurismoPV @TurismoUdeG</t>
  </si>
  <si>
    <t>Are you ready to #makememories and #leavefootprints at the #OBX? Check out #Airbnb now!</t>
  </si>
  <si>
    <t>Yet again I have been totally screwed over by #airbnb you allowed a guest to cancel, get full refund and they still stayed in my house! Where is the consideration for a longstanding positively reviewed house?@Airbnb_uk</t>
  </si>
  <si>
    <t>NicolaAubrey</t>
  </si>
  <si>
    <t>Check-in at our last place for our final 3 nights.. the best #airbnb EVER!! The owners own the bakery below ~ so we were welcomed with a box of doughnuts 🍩 that give #krispykreme a run for…</t>
  </si>
  <si>
    <t>Winchester</t>
  </si>
  <si>
    <t>4 Bedrooms✔️ 3000 sqft✔️ Heated pool✔️ Gourmet Kitchen✔️ and minutes away from the best golf, shopping, and dinning? What more could you need from a dream luxury vacation rental? 🏡 Visit our St John Villa-&gt; (Link in bio) #vacationrental #Airbnb #vrbo</t>
  </si>
  <si>
    <t>“Out of all US consumer lodging spending last year, Airbnb made up nearly 20 percent, according to Second Measure data. HomeAway, its home-sharing competitor owned by the travel booking site Expedia, brought in 11 percent.” 📊✈️🛣🏦  / #Airbnb #Travel</t>
  </si>
  <si>
    <t>father | husband | hustler @dearinggroup | EV advocate 🔋real food 🍏sustainability ♻️ real estate 🏘️ tech 💻 | @UHouston alum 👉👉 http://bit.ly/AustinAirBnBs</t>
  </si>
  <si>
    <t>Virtual Assistant Michelle</t>
  </si>
  <si>
    <t>Your go-to travel planner for beautidul airbnb’s, boutique hotels and hidden gems all around the world 💙  #hiddengem #beautifulhotel #airbnb #glamping #travelplanner #traveltheworld</t>
  </si>
  <si>
    <t>Reus, Spain</t>
  </si>
  <si>
    <t>Your go-to virtual assistant for conscious females ✨ Positive, reliable &amp; hard working ✌️ Health &amp; Wellness | Travel | Creative</t>
  </si>
  <si>
    <t>AZResort Life</t>
  </si>
  <si>
    <t>I love being an #airbnb host. #MondayMorning #ILearnedSomethingNew I thought I left my guests a nice grapefruit from my tree and they said thanks for the pomelo? #WoW #youtube #Wikipedia to the rescue. #Hmmm</t>
  </si>
  <si>
    <t>Scotts</t>
  </si>
  <si>
    <t>#HaveaNiceStay #StayWithUs! We are in the heart of old Scottsdale, Arizona. Book now for a great getaway vacation. Sparkling clean and near everything.</t>
  </si>
  <si>
    <t>GS1 US</t>
  </si>
  <si>
    <t>This New York #startup calls itself the #Airbnb of short-term retail space and has become the world’s largest marketplace for brands to connect with #retail spaces.  @NRFnews #smallbusiness</t>
  </si>
  <si>
    <t>Ewing, NJ</t>
  </si>
  <si>
    <t>GS1 US is a standards organization that facilitates industry collaboration to improve #supplychain visibility &amp; efficiency through the adoption of #GS1Standards</t>
  </si>
  <si>
    <t>Visit  to learn more #airbnb #airbnbhost #airbnbexperience #airbnbcoupon #airbnbexperiences #airbnbhomes #airbnbguest #bnb #bnbreadathon #moneygram #moneymotivated #entrepreneurship #unitedstates #businesstips #inspire #makemoney #rentalproperty</t>
  </si>
  <si>
    <t>Student Holiday Plans</t>
  </si>
  <si>
    <t>Don’t let your holiday be ruined by a poor homestay experience – follow our advice for a great stay in an Airbnb for your next holiday! Check out the link below and get your Airbnb discount! Image: Erol Ahmed  #airbnb #airbnbdiscount #holiday #ttot</t>
  </si>
  <si>
    <t>European #travel ideas for the cash-strapped UK #student #wanderlust #blogging #travelblog http://instagram.com/studentholidayplans http://facebook.com/studentholidayplans</t>
  </si>
  <si>
    <t>Concertgoer just took random date in April. Now to try and figure out the concert. They gotta be fans cause it’s a hike for them. #SuperHost #Airbnb #ConcertChat</t>
  </si>
  <si>
    <t>My #AirBnB property has its own #Facebook page with reviews and photos, including pictures of Seagull House’s most famous resident, Monty the Burmese cat</t>
  </si>
  <si>
    <t>Hikapee</t>
  </si>
  <si>
    <t>When in Somerset... Touring To the Moon this week- one school visited, four to go! . . #casualcircus #handstand #cottagelife #airbnb #pig #pigchalkboard #kitchen</t>
  </si>
  <si>
    <t>Circus Theatre Company. Taking stories into the air, into theatres and into the outdoors.</t>
  </si>
  <si>
    <t>Jean-Michel Duclos</t>
  </si>
  <si>
    <t>Small door.. @Airbnb #airbnb @GoGeocaching #geocaching #keepaneyeonyou</t>
  </si>
  <si>
    <t>Contes, musique et escalade.</t>
  </si>
  <si>
    <t>PahRoo,Michael Hobbs</t>
  </si>
  <si>
    <t>Airbnb hosts in Cook County earned $109 millinon last year #Airbnb</t>
  </si>
  <si>
    <t>Solving complex real estate valuation puzzles so our clients can make confident decisions today that transform tomorrow.</t>
  </si>
  <si>
    <t>Have you ever thought about becoming an Airbnb host? #HereForYou #General #Business #USA #Jobs #Airbnb #Host</t>
  </si>
  <si>
    <t>KBC Galveston Vacation</t>
  </si>
  <si>
    <t>More #kiteboarding @GalvestonIsland in beautiful weather. Note this is NOT #windsurfing 😀 Many places to to rent the equipment and give it a try. Lots of fun to be had this #summer Come join us!  #travel #vacation #Airbnb #Houston #Galveston #Texas</t>
  </si>
  <si>
    <t>Galveston, TX</t>
  </si>
  <si>
    <t>Located a mile from the Galveston beach and in the middle of all there is to do and see in Galveston. Come relax at this fully furnished 2 bedroom vacation home</t>
  </si>
  <si>
    <t>Easter is just around the corner! How many Easter Eggs have you eaten already? 🐇🐣🍫 #newapartment #airbnb #Easter #easterbunny #eastereggs #Strandhill #strandhillmoments</t>
  </si>
  <si>
    <t>Rooks Rider</t>
  </si>
  <si>
    <t>With short term #holidaylets being such a hot topic, read our article in our local magazine @BarbicanLife 'Short Term #Letting: A quick way to make money or a short route to problems?'  #AirBnB #solicitors #AirBnB #leases #leasedisputes #Nemcova #lawyer</t>
  </si>
  <si>
    <t>CentralPoint, 45 Beech Street</t>
  </si>
  <si>
    <t>Boutique legal firm for businesses &amp; individuals - Corporate, Dispute Resolution, Employment, Leasehold Enfranchisement, Real Estate, Wealth Planning</t>
  </si>
  <si>
    <t>D [at] One Big Web !</t>
  </si>
  <si>
    <t>#eviivo client in trouble here missing out on revenue from #airbnb because sync suddenly interrupted but no solution found by support. Maybe @DuncanEviivo @Eviivo_nz @TheGroveCromer @WoodlandsFarmNY @samirUTD18 can help  /  ? RT @One_Big_Web: @eviivo y a t'il des problemes de migration de #xotelia ? Echec synchronisation #airbnb sur le site partenaire de  :  ? Pas de réponse de Hana contact migration skype depuis 18 mars ! #screeenshot airbnb #eviivo @vacances_loc</t>
  </si>
  <si>
    <t>0411685747 http://one-big-web.fr (formation) #geek #webmarketing #html</t>
  </si>
  <si>
    <t>Backwater Routes</t>
  </si>
  <si>
    <t>#Backwaters captivating banks are intriguingly intermingled amongst palm trees, green paddy fields and plantations. #travelphoto #theuncommonbox #mypixeldiary #vacaymode #airbnb #thingstodoinkerala #CNTGiveItAShot #natgeoindia #beautifuldestinations #ya…</t>
  </si>
  <si>
    <t>Kumarakom, India</t>
  </si>
  <si>
    <t>Fostering you to a slow paced blissful #cruises in the great #backwaters of #Kerala in a luxury #houseboat #canoe to experience rural retreats of Vembanad #lake</t>
  </si>
  <si>
    <t>Sign up for Airbnb with my link for $40 off your first trip. #airbnb #travel</t>
  </si>
  <si>
    <t>Erika Ferrando</t>
  </si>
  <si>
    <t>View from bedroom at Romantico Nido #airbnb #airbnbitalia #romanticholiday #urlaub #holidays #ladolcevita #genovaismorethenthis</t>
  </si>
  <si>
    <t>laureata in Lettere Moderne, ex restauratrice di tappeti antichi, danzatrice freelance, stay in my airbnb: https://abnb.me/AtJM6cdMuT</t>
  </si>
  <si>
    <t>CUSTOM FARM SIGNS-GREENHOUSE-ROADSIDE-COMMERCIAL-COTTAGE SIGNS-#airbnb #farming #cottage #flowers #florist #bedandbreakfast #vacation #finch #Vermont #Connecticut #Seattle #Dallas #Etsy</t>
  </si>
  <si>
    <t>Fora</t>
  </si>
  <si>
    <t>.@Hustle_Says The ‘@Airbnb economy’ heats up as @Guesty raises $35m  #Airbnb #proptech #proworking</t>
  </si>
  <si>
    <t>Fora: A place where great minds meet and work. A space to be brilliant. Now open in Clerkenwell, Borough Reading and Fitzrovia #Proworking</t>
  </si>
  <si>
    <t>Steven Pedigo</t>
  </si>
  <si>
    <t>"f Airbnb does IPO at a rumored value in the tens of billions of dollars, investors will presumably want solid answers on how much of #Airbnb’s revenue is coming from people’s spare bedrooms."  #cities #sharingeconomy</t>
  </si>
  <si>
    <t>director of @NYUSchack Urban Lab, prof of #ecdev @nyuniversity, vp @resonanceco, director @creative_class, #oswald's dad &amp; #hookem fan</t>
  </si>
  <si>
    <t>$55 ❤️🧡💜💙💚💵💲💸🗺 Airbnb code coupon promo discount first. $55 OFF CLICK LINK NOW! Try it. Please DM me if you have any issues. #airbnb #airbnbcode #airbnbdiscount #airbnbpromo #airbnbcoupon</t>
  </si>
  <si>
    <t>Everything Finance</t>
  </si>
  <si>
    <t>Airbnb is a perfect side hustle to earn some extra income.  #aff #airbnb</t>
  </si>
  <si>
    <t>Cumming, GA - USA</t>
  </si>
  <si>
    <t>I'm a Personal Finance Blogger and write at http://EverythingFinanceBlog.COM and http://StartInvestingMoney.COM</t>
  </si>
  <si>
    <t>#Sealark #Coastalliving #SEA #seagulls #CapeCod #Wrightsville #OakIsland #Barharbor #GullIsland #Mackinac #Mackinac #GrossePointe #Seattle CUSTOM OUTDOOR SIGNS-COMPUTER PREVIEW IN ADVANCE! CHECK US OUT!  #T#birds #NewEngland #airbnb #CottageStyle #signs</t>
  </si>
  <si>
    <t>Private and secluded 3bed/3bath in Venice near all the best restaurants and shopping! $1.745m #dealoftheday #Venice #California #LosAngeles #realestate #MondayMotivation #investmentproperty #airbnb #HomeSweetHome #howwedwell #modernhome #househunters #homebuyers #outdoorliving</t>
  </si>
  <si>
    <t>Nick Copley</t>
  </si>
  <si>
    <t>Private aviation company @WheelsUp announced it’s launched a new membership tier, Wheels Up Connect. Company CEO, Kenny Dichter, likens it to Uber and AirBnB in their respective industries. Learn more on our recent @SherpaReport. #Uber #airbnb #wheelsup</t>
  </si>
  <si>
    <t>Guide to shared luxury property - private jets, fractionals, destination clubs and private aviation.</t>
  </si>
  <si>
    <t>The whole unfiltered truth of being an Airbnb host. See if it is the right thing for your crazy life #HereForYou #General #Business #USA #Jobs #Airbnb #Host</t>
  </si>
  <si>
    <t>Tomball, TX</t>
  </si>
  <si>
    <t>Storage West Self Storage Northpointe Tomball. Self storage in Tomball, TX. Accepting tentative reservations!</t>
  </si>
  <si>
    <t>Loungingeagle</t>
  </si>
  <si>
    <t>Women will never be safe as long as we live in a men's world. #Adventurous. #Alone. #Attacked. #genderedbasedviolence #genderinequality #traveltips #fightforwomen #airbnb #CostaRica</t>
  </si>
  <si>
    <t>Bruce Porter, Jr.</t>
  </si>
  <si>
    <t>#AirBnb in the #KNOW2019 House represented by Mr. Filip Verley. Got to sit down with one of the big guys from AirBnb before his keynote speech at KNOW Identity 2019. Stop by their fun booth on the expo floor and hear Filip speak on the main stage at 1:30pm</t>
  </si>
  <si>
    <t>Washington DC</t>
  </si>
  <si>
    <t>American #Entrepreneur athlete, globetrotter in #Washington #DC. @EmmeGirls COO @GlobalBoost CEO. Join me @WashingtonElite #AI &amp; #Blockchain Summit June 21-22!</t>
  </si>
  <si>
    <t>Instant Book Listings: A guide for Airbnb hosts  #airbnb #holidaylets #housekeepingservice #cleaningservice</t>
  </si>
  <si>
    <t>Good Vibes Happen on La Siguaraya @lasiguaraya #Lahabana #havana #havanacars #Havanalove #havanastyle #cuba #cubalife #cubalove #bedandbreakfast #CasaParticular #casaparticulares #renthousecuba #airbnbguest #airbnb #casaparticularhavana #CubaTravel</t>
  </si>
  <si>
    <t>The National Herald</t>
  </si>
  <si>
    <t>#Athens: #Acropolis Neighborhood #Koukaki #Airbnb Top #Greece Draw</t>
  </si>
  <si>
    <t>Long Island City, New York</t>
  </si>
  <si>
    <t>The National Herald is the weekly, English-language sister paper to Ethnikos Kirix, a Greek daily published since 1915.</t>
  </si>
  <si>
    <t>GO! Raymond Ayas for PPC Ahuntsic-Cartierville GO! #PPC2019 #BernierNation #canpoli #polcan #RoxhamRd #PlattsburghCares #Unexit #UNHCR #UNHRC #UNRWA #GlobalCompactForMigration #MayorsMigrationCouncil #CenturyInitiative #OpenSociety #Airbnb RT @RaymondAyas: #ThePeoplesMinute - Liberals want to ban guns, change our culture and erase our borders. Patriots around the world can fight back by joining a populist party. In Canada I believe that's the @peoplespca led by @MaximeBernier - Join today -</t>
  </si>
  <si>
    <t>Rabbu</t>
  </si>
  <si>
    <t>Going the extra mile for your #shorttermrental guest can make the difference between a 4-star review and a 5-star review. Read our favorite hosting tips 👉  #airbnb #vacationrental #propertymanagement</t>
  </si>
  <si>
    <t>Rabbu is creating Smarter Homes for Smarter Hosts. Our all-inclusive platform automates guest access, optimizes energy usage, and monitors Wi-Fi.</t>
  </si>
  <si>
    <t>pamela goodchild</t>
  </si>
  <si>
    <t>This superbloom is super!!! #JoahuaTree#joshuatree.greenoasis #joshuatreeoasisponderosa #joshuatreeoasispaloverde #https://abnb.me/DQEqhn8SHQ #https://abnb.me/PNn9vsknJQ #airbnb #airbnbexperience #airbnbhost...</t>
  </si>
  <si>
    <t>Joshua Tree, CA</t>
  </si>
  <si>
    <t>Business owner everything financial, Vocalist and Musician @ twitter/goodchildtheone</t>
  </si>
  <si>
    <t>Nirvana at Montville</t>
  </si>
  <si>
    <t>Last Minute Easter and ANZAC day Special ! Save$650. Book any 2 or 3 nights to get the 3rd night free. Valid until April 2019 #weddings #swimmingpool #sunshinecoasthinterland #airbnb #airbnbsuperhost #seeaustralia #thisisqueensland #holidayhome #easter #anzacday #lakebaroon</t>
  </si>
  <si>
    <t>Queensland, Australia</t>
  </si>
  <si>
    <t>A Holiday Home in Montville where views are divine , where you can do as much or as little as you want and relax, where you will truly attain Nirvana !</t>
  </si>
  <si>
    <t>Sbootcamp InsurTech</t>
  </si>
  <si>
    <t>Insurance for Home Sharers in the Sharing Economy Find out about the P2P developing the technology to integrate their platform with calendars on sharing sites, such as Airbnb. @STRentalz interview @thetophog (@GUARDHOG)  #Insurtech #airbnb #innovation</t>
  </si>
  <si>
    <t>Innovating Insurance | Part of @Sbootcamp | Follow us for #InsurTech news and insights</t>
  </si>
  <si>
    <t>Damian Sheridan</t>
  </si>
  <si>
    <t>#Airbnb's Robin Clifford talking about Short Term Rentals at VRMA Europe with @STRentalz</t>
  </si>
  <si>
    <t>London | Dublin | Brighton | M</t>
  </si>
  <si>
    <t>Holiday Rentals. Vacation Rentals. Business Travel. SEO http://needmorerentals.com | http://seoconnect.co.uk | http://tmcfinder.com</t>
  </si>
  <si>
    <t>Raj Chudasama</t>
  </si>
  <si>
    <t>Lawmakers need to ensure that these companies &amp; hosts are paying taxes and getting safety inspections like other lodging businesses do! - Texas may ease regulations to #HomeAway, #Airbnb's delight</t>
  </si>
  <si>
    <t>#Dallas #FortWorth 🇺🇸 // #hotels 🏣 // #tech 👨🏻‍💻 // #travel ✈️ // #wine 🍷 // experiencing the world with family 🌎 // My story thru my two thumbs 📱//</t>
  </si>
  <si>
    <t>Today is #WaffleDay! How do you like your waffles? With fruit? Syrup? Ice cream? Waffles are perfect at every meal. #Waffles #WaffleCone #VRBO #AIRBNB</t>
  </si>
  <si>
    <t>Roman Townsend</t>
  </si>
  <si>
    <t>Looking forward to seeing many of you in Puigpunyent (my village in Mallorca) tomorrow evening at 7pm local time...quite excited about it really: no doubt a proper debate will ensue. #BehindTourism #OverTourism #Airbnb #PackageHolidays #TravelAgents #SustainableTourism #Mallorca RT @roman_townsend: When a documentary about over-tourism is having a screening in a small village like mine...you start to get the point that many people in Mallorca strongly feel that not all tourism is to be welcomed. #BehindTourism #OverTourism #Mallorca #TotInclos #Turismo #AirBnb #TourOperator</t>
  </si>
  <si>
    <t>Mallorca, Spain</t>
  </si>
  <si>
    <t>Travel sector communicator🗣🤳✏️ | Director Media Relations &amp; Corporate Affairs @Hotelbeds Views mine | Tag #behindtourism 🛳✈️💺🏖 Follow me on Instagram👇</t>
  </si>
  <si>
    <t>Sign up for Airbnb and get $30 off your first adventure. Here’s my invitation link:  #Airbnb #Booking #Tours</t>
  </si>
  <si>
    <t>Kohei Kurihara   Blockchain CMO</t>
  </si>
  <si>
    <t>Check it. #Airbnb Eyes OYO, Indian Hotel Startup  via @crunchbasenews #tech #digital #data #business</t>
  </si>
  <si>
    <t>@gbaglobal President of Tokyo Chapter, Blockchain CMO and Editor Decentralized Blockchain Industry media →https://medium.com/collabogate-research-group-in-tokyo</t>
  </si>
  <si>
    <t>Welcome! Enter with a happy heart. For inquiry, please contact us at  #holiday #travel #airbnb #bali</t>
  </si>
  <si>
    <t>Expedia booking law suit gains class status.  #expedia #hotels #travel #vacation #airbnb</t>
  </si>
  <si>
    <t>Lizzie Rynne</t>
  </si>
  <si>
    <t>even in Leafy trinity. #airbnb is everywhere. @FlatsRuin</t>
  </si>
  <si>
    <t>People, Places, and Spaces. I have 2 bikes: a @bromptonbicycle and a @Thorn_Cycles XTC. And a loom. And a camera. All are my favourite!</t>
  </si>
  <si>
    <t>'DIVERSITY keeps the innovation engine firing'' ??? #TrudeauMustGo #StopTheMadness #PPC2019 #BernierNation #canpoli #polcan #RoxhamRd #PlattsburghCares #Unexit #UNHCR #UNHRC #UNRWA #GlobalCompactForMigration #MayorsMigrationCouncil #CenturyInitiative #OpenSociety #Airbnb RT @HireImmOttawa: Employer Excellence Award recipient Lim Geomatics  #diversity #inclusion #talent</t>
  </si>
  <si>
    <t>The Creative Armoury</t>
  </si>
  <si>
    <t>Hello! We'd like to introduce you to @Pikl_UK - the new name for InLet Insurance 👋 We loved creating this new brand, which is dedicated to providing specialist #insurance for the #sharingeconomy and #airbnb. Visit  to find out more. #branding #animation</t>
  </si>
  <si>
    <t>We are a brand, identity &amp; digital design agency. We put our passion for creativity into design solutions, arming your brand with visual tools to succeed.</t>
  </si>
  <si>
    <t>Motivation Monday - Own up, make peace, move on  #Airbnb #airbnbaustralia #airbnbhost #bnbhostguru</t>
  </si>
  <si>
    <t>DealBank</t>
  </si>
  <si>
    <t>#Airbnb is reportedly in talks to invest in #OYO | ETtech</t>
  </si>
  <si>
    <t>World's fastest Fintech Platform, Data as a Service with ML&amp;AI. Democratization of Capitalism.Automate capital/debt deployment &amp; raising. Buy/sell side Finance.</t>
  </si>
  <si>
    <t>Woo</t>
  </si>
  <si>
    <t>The one thing that most people do not easily share is their salary  #tech #technology #techjobs #salary #salarynegotiations #salarysurvey #salaryexpectations #softwareengineers #data #techproffessionals #netflix #facebook #google #uber #airbnb</t>
  </si>
  <si>
    <t>Woo connects candidates who are discreetly exploring new opportunities to companies with the right job for them.</t>
  </si>
  <si>
    <t>Let your guests enjoy the soft, luxurious feeling of our hotel-grade towels. #linenrental #airbnb #servicedapartments #london</t>
  </si>
  <si>
    <t>Stonelink Int'l</t>
  </si>
  <si>
    <t>Rent a room relief – a new rule from April 2019 via @ICAEW  #Property #RealEstate #Rent #Renting #RentARoom #RoomForRent #RentingProperty #FlatShare #HouseShare #ShortTermRental #Airbnb #Homeaway #Residential #Accommodation #UK #Landlords #FinanceBill</t>
  </si>
  <si>
    <t>Regent Street, London</t>
  </si>
  <si>
    <t>London's real estate brokerage for business owners with expanding business operations &amp; investors with diverse portfolios. Call now: +44 (0) 207 993 4081</t>
  </si>
  <si>
    <t>Tourist tax' on Scottish hotels and #Airbnb will happen, says #government minister. Read more at  #servicedapartments #servicedapartmentnews #servicedaccommodation</t>
  </si>
  <si>
    <t>Don’t do hotels! Have freedom with an Airbnb! Sign up with the coupon link below to receive a $55 💵💙💵 discount code with your first Airbnb. Please DM me if you have any issues. #airbnb #airbnbcode #airbnbdiscount #airbnbpromo #airbnbfree</t>
  </si>
  <si>
    <t>CUSTOM COTTAGE SIGNS #airbnb #realestate #LakeHuron #NewHampshire #Wyoming #Dover #Cabbage</t>
  </si>
  <si>
    <t>Ali Zartash-Lloyd</t>
  </si>
  <si>
    <t>We get a request to " Create an App like #Uber or #airbnb " for under 500€ at least once a week!! Honestly, I never know whether I should laugh or cry. What do these people think all the money from fundraising rounds for Uber &amp; AirBnB has gone into?</t>
  </si>
  <si>
    <t>Malaga</t>
  </si>
  <si>
    <t>Experienced Business Leader escaped from large multinationals to run own businesses (Yes 3 of them!). Small is beautiful! http://tinyurl.com/6gfqn63</t>
  </si>
  <si>
    <t>Cozy Train Depot in Putney Vermonthttps://www.airbnb.jp/rooms/958621  via Twitter Web Client #airbnb</t>
  </si>
  <si>
    <t>Tokyo Creative</t>
  </si>
  <si>
    <t>Our very own Tokyo Creative Engineers, Ian and Jon enjoyed playing Shamisen! Check the clip below! #TodenLifeTourism #TokyoSakuratram #TodenArakawaLine #Airbnb</t>
  </si>
  <si>
    <t>that brand representing the top influencer talent in Japan</t>
  </si>
  <si>
    <t>Solo Travel: The Next Big Thing In The Hospitality Business  #SocialMedia #Marketing #Facebook #Hotels #Blog #Airbnb #Hospitality #HospitalityManagementStudies #Boostly #Hospitalitybusiness #Hotelmarketing #Hospitalities</t>
  </si>
  <si>
    <t>Everything is not ikea style🌿 #authentic $ $ $ #fotografo #arquitectura #architecture #inmobiliaria #airbnb #hotel #villas #architecturephotography #archilovers #arquitecto #realestate #realtor #granada #malaga #marbella #spain #luxuryhomes</t>
  </si>
  <si>
    <t>Airbnb Cardiff</t>
  </si>
  <si>
    <t>What a view..... #Airbnb #AirbnbUK #AirbnbCardiff #Wales #Travel #travelphotography #Cardiff #PrincipalityStadium #BlueSkies</t>
  </si>
  <si>
    <t>Cardiff, Wales</t>
  </si>
  <si>
    <t>Unofficial Airbnb vacation rentals in Cardiff, Wales. Airbnb Superhost with central apartments in the heart of Cardiff. #Airbnb #AirbnbUK #Airbnbcardiff #wales</t>
  </si>
  <si>
    <t>Wake up Roma #airbnbexperience #Airbnb #Spqrun #londoncityrunner #worldrunners #runners #iocorroqui #Running#RomaMarathon</t>
  </si>
  <si>
    <t>Just takes your breath away #comfortcottagehealing #visitwales #dogfriendly #TheDogsWithMe #alpacas #ArtsWales #SunDogs #Airbnb RT @GDPTenby: heading home to pembrokeshire and the deep waters of wales shimmered glimmered sparkled like acrobatic words on a balanced page *Llyn Clywedog Llanidloes @ItsYourWales @visitwales @ruthwignall @kelseyredmore @ThePhotoHour</t>
  </si>
  <si>
    <t>The Most Enchanting #Airbnb Vacation Rentals in Siem Reap, #Cambodia - #Vacation #Rental Siem Reap - Siem Reap  #travel #angkor #retwet #follo4follo</t>
  </si>
  <si>
    <t>jobtensor.com</t>
  </si>
  <si>
    <t>Back from the dead': Greek homes in Airbnb fever  #airbnb #realestateinvesting #Greece #greekhomes</t>
  </si>
  <si>
    <t>HR #Recruitment Accelerator #Science, #Engineering &amp; #IT http://facebook.com/jobtensor, https://www.linkedin.com/company/jobtensor, http://plus.google.com/111757397986629375619</t>
  </si>
  <si>
    <t>REFRESH YOUR CURB APPEAL! CUSTOM OUTDOOR ADDRESS SIGNS  #Monday #CoastalLiving #Sailing #beachlife #Airbnb #Historical #Restoration #Spa #Portland #NewYork #virginiabeach #CapeCod #LittleTorchKey #LakeCayuga #Waxhaw 🚜⚓️🌄🏖️🏕️🏡⛱️🌊🌊🌊🌊🌊🌊🌊</t>
  </si>
  <si>
    <t>Hollie✌🏼</t>
  </si>
  <si>
    <t>I miss the Church house. ⛪️ #melbourne #airbnb #travel</t>
  </si>
  <si>
    <t>Newcastle, Australia.</t>
  </si>
  <si>
    <t>28. Joseph.💗 Spoonie. C-PTSD. Anxiety. True crime podcasts, wrestling and sunflowers, these are just some of my favourite things.🌻</t>
  </si>
  <si>
    <t>#MondayMotivation #Airbnb #vrbo #cottaging #pacificnorthwest #atlanticcity #NewJersey #Pennsylvania #NorthCarolina #BedandBreakfast #travel #RealEstate #propertyinvestment COTTAGE SIGNS DESIGNED &amp; CREATED  #Seattle #Vermont #NewEngland 🥭🍒🌽☕️🥧🍷🍴⛵️🏖️⛰️</t>
  </si>
  <si>
    <t>#Argeles #France welcomes #American #Tourists with USD cur based #holiday #rentals #SearchEngine - best rates for short stays here :  Book in direct or check #rentmyhouse listings at #airbnb or #booking</t>
  </si>
  <si>
    <t>Furl Furniture</t>
  </si>
  <si>
    <t>#SofaBeds for #Airbnb – why you need one: - Having #sofa beds for AirBnB will bring you in more #cash - The stats just work - We make sofa #beds that actually can be slept on every night of the week - ... #Sofas #LivingRoom #Furniture #FurnitureDesign</t>
  </si>
  <si>
    <t>http://Furl.co.uk is the leading UK home furniture &amp; space saving brand. Space saving furniture is our passion: Clever Tables, Storage Beds, Sofa Beds...</t>
  </si>
  <si>
    <t>iroka</t>
  </si>
  <si>
    <t>Are you stuck with a dark and dingy room in your house? Follow our steps on lighting up a room and bring your house to light.  #lamp #lightingdesign #airbnb #cornwall #holiday #holidaylet #lighting #house #interiors #interiordesign #interiordesigner</t>
  </si>
  <si>
    <t>Hayle, Cornwall</t>
  </si>
  <si>
    <t>• Interior Design • Kitchens • Flooring • Curtains &amp; Blinds • Homewares • Furniture Showrooms in Hayle &amp; Wadebridge</t>
  </si>
  <si>
    <t>www.escout.me</t>
  </si>
  <si>
    <t>Find Us! #easy We are the #smart #box of the #bunch #bluetooth #technology #keylock #ios #android #airbnb #rentals #dogwalker #cleaningservice #selfstorage</t>
  </si>
  <si>
    <t>First Smart Key Lock Box for sharing economy uses. The solution to provide &amp; manage remote key access! All done through your phone and/or desktop. #iOS #android</t>
  </si>
  <si>
    <t>A moment of #tasty surprise🥙🌯🌮🍔 #maisonvie #london #kilburn #nw6 #frenchcafe #frenchbakery #frenchrestaurant #ICMP #airbnb #londonfoodie #londonfood #londoncafe #londonbakery #londonrestaurant #instagood #instafood #delicious #yummy #tasty #food #lunch #hungry #momandbaby</t>
  </si>
  <si>
    <t>Lotta</t>
  </si>
  <si>
    <t>Booked your trip but can't afford a hotel? No worries, there are a lot of good #budget #accommodation options. More about them in my latest blog post:  #budgettravel #travelling #Airbnb #Couchsurfing #hostels</t>
  </si>
  <si>
    <t>Online Business and Marketing Student and #travel enthusiast</t>
  </si>
  <si>
    <t>Happy Day with us! :) #Travel #SanAndrés #Colombia #Buddhavilla #Caribbean #traveltips #traveltheworld #airbnb #Caribbeanlife #IslaDeSanAndrés #Hostel #rooms #Booking #travelling #poolside #airbnbexperiences #swimmingpool #Colombian @Airbnb</t>
  </si>
  <si>
    <t>The latest image from the GowerLive #webcam on the roof 730RocksMumbles #AirBnB. Book at  #Mumbles #Swansea #Gower #travel. Watch live at  #727</t>
  </si>
  <si>
    <t>Spacious two bedroom flat is right in the heart of Kings Cross, providing you with the best transport facilities across London ✨ Read more here:  #airbnb #propertymanager #propertymanagement #shortlets #londonproperty</t>
  </si>
  <si>
    <t>Great way to start the day today with a lovely review for my Cottage in Mevagissey. Hosts: PM me if you'd like to chat about how you can get more 5⭐️ reviews. Link in the comments #airbnb #inbetweenthesheets #mevagissey #cornwall #livingthedrea</t>
  </si>
  <si>
    <t>Vinicius Fachinetto</t>
  </si>
  <si>
    <t>The lodging booking giant is paying an undisclosed sum to buy #SanFrancisco -based #HotelTonight, a #smartphoneapp that allows users to find and reserve same-day hotel rooms. The deal, which marks #Airbnb ’s twentieth known acquisition</t>
  </si>
  <si>
    <t>I help businesses grow and build engagement through social media in #London #GoUpSpace 🇬🇧 #BusinessAdvisor 💡 #Podcaster 🎙️ @octanage #Investor 🔮 @wojbeauty</t>
  </si>
  <si>
    <t>#Airbnb Ambitious "BACKYARD". Sharing Space as a concept. Workplaces and Homes are being redefined to new level of experiences. Co-living and Co-working Concepts are making living and working so much enjoyable! @WeWork @Airbnb @hicommon #coworking #colive</t>
  </si>
  <si>
    <t>iLet Properties</t>
  </si>
  <si>
    <t>Did you know? We also offer serviced accommodation.. 👌🏼 Forget AirBNB, iStay is the way forward if you are looking to stay in Northampton! Check out our available homes at . #ServicedAccommodation #AirBNB #Northampton @NN_BestSurprise @NorthamptonUK</t>
  </si>
  <si>
    <t>At iLet Properties, we are proud to offer the exposure, knowledge and wealth of specialist expertise you would expect from a national giant.</t>
  </si>
  <si>
    <t>iSell Properties</t>
  </si>
  <si>
    <t>iSell Estate Agents do things differently. Our aim is to sell your property within 30 days and sell it for the best possible price. It's as simple as that!</t>
  </si>
  <si>
    <t>Have a great week with us! :) #Travel #SanAndrés #Colombia #Buddhavilla #Caribbean #traveltips #traveltheworld #airbnb #Caribbeanlife #IslaDeSanAndrés #Hostel #rooms #Booking #travelling #poolside #airbnbexperiences #swimmingpool #Colombian @Airbnb</t>
  </si>
  <si>
    <t>Once again could someone at @AirbnbHelp fix your fkn systems so I can view and accept an alteration request...?!! #Airbnb #AirbnbTechFail</t>
  </si>
  <si>
    <t>Let's get to work! No #coffee, No work!☕❤ #maisonvie #london #kilburn #nw6 #frenchcafe #frenchbakery #frenchrestaurant #ICMP #airbnb #londonfoodie #londonfood #londoncafe #londonbakery #londonrestaurant #instagood #instafood #delicious #yummy #tasty #queenspark #southhamstead</t>
  </si>
  <si>
    <t>ReneeMelanin_</t>
  </si>
  <si>
    <t>Take me Back 😩😭#Airbnb #Swimming #Melaninmagic #Thickums</t>
  </si>
  <si>
    <t>🇯🇲JAYLENS 🚼QUEEN👑🇹🇹#EST1994❤️BX,NYC 🗽• ✈️PA 🏕🏡🏞snapChat👻:Rlauren51 Facebook:Reneelaylamonett•🦋POSITIVE VIBES ONLY ‼️♻️ 🦋🌷</t>
  </si>
  <si>
    <t>Breakfast is everything. It is the mouthful that is the commitment to a new day, a continuing life. Come and try maison breakfast menu😊 #maisonvie #london #kilburn #nw6 #frenchcafe #frenchbakery #frenchrestaurant #ICMP #airbnb #londonfoodie #londonfood #londoncafe #londonbakery</t>
  </si>
  <si>
    <t>💲55 💵💵💵 Airbnb code coupon promo discount first. 💲55 OFF CLICK LINK NOW! Try it. Please DM me if you have any issues. #airbnb #airbnbcode #airbnbdiscount #airbnbpromo #airbnbcoupon #TheWalkingDead #MasterChefBR #Duke #deamigoaenemigos</t>
  </si>
  <si>
    <t>Nogata is a lovely neighborhood full of restaurants and shops/ Stay with us and interact with local people. Book us here #Airbnb  #familytravel #travel #japan #airbnbjapan #airbnbtokyo #travel #traveling #trip</t>
  </si>
  <si>
    <t>789 sqft Condo in Shah Alam Becomes Popular Airbnb Homestay  #airbnb #shahalam #malaysia #interiordesign</t>
  </si>
  <si>
    <t>Rostislav</t>
  </si>
  <si>
    <t>Do you feel sometimes that you psych yourself out because of came up to a guest empty-handed? #productive #motivation #100DaysOfCode #JavaScript #success #business #css #react #nodejs #airbnb #google #ilonmask #dream #forward</t>
  </si>
  <si>
    <t>Ukraine</t>
  </si>
  <si>
    <t>My name is Rostislav. I'm a college student. I'm interested in programming, studying English. I'm owner of Telegram channel: https://t.me/termo_english</t>
  </si>
  <si>
    <t>First Time Airbnb $55 coupon promo referral code :) Get your discount credit on your first trip Click the link NOW 💸💸💸—-&gt;✈️ #airbnb #airbnbcode #airbnbdiscount #vacation #trips #travel #getaway #thewalkingdead #IAmBecoming #goodgirls #duke #gronk</t>
  </si>
  <si>
    <t>Time to schedule your trip to Japan with your family or group of friends. Stay in Tokyo with us. Book us here: #Airbnb  #familytravel #travel #japan #airbnbjapan #airbnbtokyo #travel #traveling #trip</t>
  </si>
  <si>
    <t>#Austin #Airbnb : BEST Locale, Lovely Home, FAMILIES GROUPS BIZ PETS, sleeps 12</t>
  </si>
  <si>
    <t>Brendan Davis</t>
  </si>
  <si>
    <t>Okay, about that “best #airbnb host” thing: mine is batting a thousand today. #Homemade #chili and #cornbread and a #beer...? Pretty compelling #case to be made for it. @…</t>
  </si>
  <si>
    <t>screenwriter-producer-director; podcaster</t>
  </si>
  <si>
    <t>$55 ❤️❤️🧡💙💜💸💵✈️ Airbnb code coupon promo discount first. $55 OFF CLICK LINK NOW! Try it. Please DM me if you have any issues. #airbnb #airbnbcode #airbnbdiscount #airbnbpromo #airbnbcoupon</t>
  </si>
  <si>
    <t>#Airbnb in #Amsterdam - "Dutch bank ING stated in a report that Airbnb drives up real estate prices, because people are prepared to pay more for a flat when they can make extra money by renting it out." #vanre</t>
  </si>
  <si>
    <t>#ArtBasel at #HongKong Convention and #Exhibition Centre: Avoid nearby 1 star expensive but terrible #hostel (rooms &amp; dorms worse than staying @ 24-hr McDonald) #WanChai #Scam #DiscoverHK #hktravel #hktrip #香港會議展覽中心 #airbnb #booking #여행 #reizen #viaje #resa #reise #旅行</t>
  </si>
  <si>
    <t>Joshua Miller</t>
  </si>
  <si>
    <t>Our Airbnb above the ice cream shop in Allyn is freaking amazing!! The kids are up the hill staying with our aunts and get get a couple nights of us time! #family #happilymarried #airbnb…</t>
  </si>
  <si>
    <t>westerville</t>
  </si>
  <si>
    <t>Sign up for AirBnB here &amp; get $40 off your 1st stay.  #airbnb #travel #touristlife</t>
  </si>
  <si>
    <t>Large 5Star #Florida #vacationhome with prival pool on #Airbnb Tropical #TommyBahama style - #VRBO March 24, 2019 at 10:00PM</t>
  </si>
  <si>
    <t>Tnee Dyer</t>
  </si>
  <si>
    <t>Nothing like a weekend away with friends! Even though we were outnumbered by the kids!! 😊❤️ #panasoniclumix #gh5 #dji #djimavicpro2 #airbnb #retreat #creek #sunrise #clouds #drone…</t>
  </si>
  <si>
    <t>Looking adventures. Try these Edo-era theme parks. Book your stay with us here: #AIRBNB :  #familytravel #travel #japan #airbnbjapan #airbnbtokyo #travel #traveling #trip RT @JapanCheapo: Escape the everyday at these Edo-era theme parks:</t>
  </si>
  <si>
    <t>Leon the Tech Entrepreneur</t>
  </si>
  <si>
    <t>The Straits Times: 'Back from the dead': #Greek #homes in #Airbnb fever.  via @GoogleNews</t>
  </si>
  <si>
    <t>Startup founder, data scientist, data engineer, software engineer, cloud engineer. #deeplearning is my breakfast and #cloudcomputing is my dinner.</t>
  </si>
  <si>
    <t>Now experience Izakaya with English menu. Book your stay with us here #AIRBNB :  #familytravel #travel #japan #airbnbjapan #airbnbtokyo #travel #traveling #trip RT @TimeOutTokyo: We’ve rounded up some of our favourite English-friendly izakaya: the same rowdy fun, but without the language barriers.</t>
  </si>
  <si>
    <t>#Happymonday! take a look of Sensoji at night. Book your stay in Tokyo with us here: #AIRBNB :  #familytravel #travel #japan #airbnbjapan #airbnbtokyo #travel #traveling #trip RT @tadaima_jp: You’ll be surprised how different Sensoji looks at night once the crowds of tourists vanish.</t>
  </si>
  <si>
    <t>Christie Huczek</t>
  </si>
  <si>
    <t>Loading a dishwasher properly may be the most difficult thing a human can do #Airbnb</t>
  </si>
  <si>
    <t>Bozeman</t>
  </si>
  <si>
    <t>Deep Pumping Sales Specialist, 3 X World and US Open Racquetball Champion, Mother of 3 beautiful girls, wife of 3 Time World Racquetball Champion</t>
  </si>
  <si>
    <t>Palm Springs Home Team can turn your Real Estate dreams into Reality! @michelleqsells @Team_pshomes #callme 760.668.5733 #indio #cathedralcity #ranchomirage #palmsprings #yuccavalley #deserthotsprings #morongovalley #joshuatree #jtnp #airbnb #coachella</t>
  </si>
  <si>
    <t>PoetiCal</t>
  </si>
  <si>
    <t>#Airbnb is legitimizing the Anti-Semitic #BDS agenda! Airbnb must not single out Israel, such a discrimination is peculiar in its policy. Airbnb must retract it’s policy, the consequences of singling out Israel is dangerous and unfair. #IPO #Discrimination #Racism #StopTheBias</t>
  </si>
  <si>
    <t>Time for a change! I'm ready to give as much love as I get (and that's a lot). Trump lover💚 and Bitcoin hugger🖤</t>
  </si>
  <si>
    <t>Since Merle Fest is fast approaching, we wanted to share a quote from the founder of Merle Fest, Doc Watson. He was born and raised in the Blue Ridge Mountains. Who would ever want to leave home when it includes views like this one? #boone #merlefest #airbnb #homeaway</t>
  </si>
  <si>
    <t>Sign up for Airbnb and get $30 off your first adventure. Here’s my invitation link:  #Airbnb</t>
  </si>
  <si>
    <t>Traveling? Need a place to stay? Consider @Airbnb and using my promo code for a discount! #airbnb</t>
  </si>
  <si>
    <t>nellie.bell@sothebyrealty com</t>
  </si>
  <si>
    <t>2622 N. Proctor St</t>
  </si>
  <si>
    <t>Pierce County Real Estate Lady with Morrison House Sotheby's International Reality. Specialty West Slope, North End Tacoma, Investment Property.</t>
  </si>
  <si>
    <t>Allen Quay</t>
  </si>
  <si>
    <t>The Beach in December: Bargain Rents in Chilly Weather  #Trends #airbnb</t>
  </si>
  <si>
    <t>US/AU</t>
  </si>
  <si>
    <t>Need to improve your #onlinereputation? A better reputation means more #sales &amp; repeat business. Let me show you what our system can do for your #business</t>
  </si>
  <si>
    <t>$55 ❤️💚🧡💙💜💵💸💲🗺 Airbnb code coupon promo discount first. $55 OFF CLICK LINK NOW! Try it. Please DM me if you have any issues. #airbnb #airbnbcode #airbnbdiscount #airbnbpromo #airbnbcoupon</t>
  </si>
  <si>
    <t>MarkandSharon</t>
  </si>
  <si>
    <t>Just saw a depressing Press Release @Airbnb @AirbnbHelp #Airbnb acquired Hotels Tonight? Now when you get screwed via airbnb and don't have a place to stay tonight you can be screwed by them too!!!!!!</t>
  </si>
  <si>
    <t>On the move, down on paper, through the lens...</t>
  </si>
  <si>
    <t>Love the colours #comfortcottagehealing #visitwales #dogfriendly #TheDogsWithMe #alpacas #ArtsWales #SunDogs #Airbnb RT @GDPTenby: weekend in the deepest deep wales or maybe be the highest high wales but seemingly like being in the paint of dali or de chirico art ..not felt like this since art college. *Portmeirion Wales @ItsYourWales @Portmeirion @ruthwignall @ThePhotoHour @visitwales</t>
  </si>
  <si>
    <t>Got screwed by a host in Aruba and #Airbnb did nothing to help. Looking for others with #airbnb horror stories for my own potential expose. Bad #airbnb bad!!!</t>
  </si>
  <si>
    <t>#cbjrealty #airbnb #investmentproperty #bedandbreakfast Save the date Open House Saturday March 30, 2019 St. Elizabeth 12-3 pmJamaica call Tessa 18768064182</t>
  </si>
  <si>
    <t>Rachel Aldridge</t>
  </si>
  <si>
    <t>When you’re on holidays and 💩 still follows you!! 🤭😂 It was too funny when we were staying at the #Airbnb in Dunedin and my boys brought this to me - so excited to have found it!!!…</t>
  </si>
  <si>
    <t>🌿 Hi, I'm Rachel - a naturopath, a Mumma to two little boys &amp; a lover of family, friends, animals, nature, wholesome food &amp; warm beverages! 🌿</t>
  </si>
  <si>
    <t>Okay, so I’m not saying that my Airbnb host is the best ever, but...she made extra brunch for me and brought it down, so I’m not NOT saying that, either. #airbnb #brunch #win…</t>
  </si>
  <si>
    <t>#Spend #spring #here! #Ask us about our April #Special today! Link in bio #puertomorelos #mexico #youshouldbehere #casadelosviajeros #vacationrental #airbnb #vrbo #homeaway #doyoutravel #travelandlife #traveldeeper #travel #travelphotography #travelblogger #vacationmode #v…</t>
  </si>
  <si>
    <t>It's spring time!!! Time to make your vacation plans and book with us! . #itsspringtime #bookewithus #DeerHideoutRetreat #airbnb #bookinadvance #wereallydokeepthelightonforyou #noneedforahotel #guesthouses #guestsuite #alwaysclean #comeseeforyourself</t>
  </si>
  <si>
    <t>#Spend #spring #here! #Ask us about our April #Special today! Link in bio #puertomorelos #mexico #youshouldbehere #casadelosviajeros #vacationrental #airbnb #vrbo #homeaway #doyoutravel #travelandlife #traveldeeper #travel #travelphotography #travelblo…</t>
  </si>
  <si>
    <t>Jodi Meinjohans</t>
  </si>
  <si>
    <t>OPEN HOUSE TODAY 1-4! Silver Lake area. 12927 21st Dr Se Everett WA $599,950! Great home W/MIL unit. Used for Airbnb. #everettwa #silverlake #openhouse #airbnb @ Silver Lake, Everett</t>
  </si>
  <si>
    <t>Edmonds Washington</t>
  </si>
  <si>
    <t>Human, Friend, Sister, Daughter, Lifetime Fiancé, American, Realtor, Animal lover, Hiker, Da Bears fan, 🐕walker,🍷lover, NWest junkie loving everyday.</t>
  </si>
  <si>
    <t>Jacqueline Rice</t>
  </si>
  <si>
    <t>.@Airbnb Had 2 forgo a #airbnb in Scotland; they couldn't accommodate my need 4 a #fragrancefree environment. I continue 2 look 4 Airbnb options that cater 2 people w/sensitivities 2 #toxins. It's easy 2 implement &amp; there r many people looking 4 #chemicalfree #ecofriendly</t>
  </si>
  <si>
    <t>Libra Librarian. Storyteller. Living w/chemical sensitivities. Music &amp; live theatre feed my soul. Kind to all, especially children and spiders.</t>
  </si>
  <si>
    <t>NixonsLoungeChair</t>
  </si>
  <si>
    <t>Why does @AirbnbHelp make reservation cancellations and refunds SOOOOO non transparent?? When a reservation cancels we cannot see the original booking amount any longer and we have 4 different numbers that dont easily correspond to anything #airbnb #shorttermrentals</t>
  </si>
  <si>
    <t>Conservative. Smart alec. I've been content poolside for decades but this political landscape makes Nixon look like a boy scout. I follow back.</t>
  </si>
  <si>
    <t>Ireland.#Ireland #irelandsancienteast #Kerry #dingle #Killarney #mountains #mountainclimbing #hiking #hikingadventures #wanderlust #Wanderers #outdoors #Mountainbike #adventures #adventuretravel #airbnb #tripadvisor #reisen #springbreak2019 #SpringEquinox #holiday #holidayhome</t>
  </si>
  <si>
    <t>Coming to NYC for Memorial Day? Try this Airbnb! Enjoy trendy restaurants, great nightlife and real NYC Vibe of the East Village. It's where NYC goes to play! #hotel #Airbnb #MemorialDay Join Airbnb &amp; save money with this link:</t>
  </si>
  <si>
    <t>Traveler, fashionista and political junkie</t>
  </si>
  <si>
    <t>Don’t book your Airbnb without using this $55 referral coupon code! Click the link down below for your first 💲55 Airbnb discount now! Please DM me if you have any issues. #airbnb #airbnbcode #airbnbdiscount #airbnbpromo #airbnbfree</t>
  </si>
  <si>
    <t>Pristine Clear</t>
  </si>
  <si>
    <t>IS YOUR CLEANING CONTRACT COMING TO AN END? LOOK NO FURTHER.. FROM OFFICE CLEANING TO #AIRBNB CLEANING WE COVER IT ALL! #brumhour #suttonhour #birmingham #brum #cleaningservice #smallbiz #localbusiness #westmidlands</t>
  </si>
  <si>
    <t>Birmingham, UK</t>
  </si>
  <si>
    <t>Premier Interior Cleaning Service.</t>
  </si>
  <si>
    <t>Let the sun shine on your soul ☀️🌴  +5219981578529 #travel #travelgram #suitesfenicia #dailyescape #hotel #playa #viajar #viajerosporelmundo #airbnb #playadelcarmen #mexico #rivieramaya #beach #oferta #booking #vacations #friends</t>
  </si>
  <si>
    <t>It may be kind of crazy out there lately, but you just might have what it takes to dive into becoming a great Airbnb host #HereForYou #General #Business #USA #Jobs #Airbnb #Host</t>
  </si>
  <si>
    <t>Travis Jarae</t>
  </si>
  <si>
    <t>Zoltar has officially blessed the #know2019 conference. Get your own fortune read at the #airbnb fun zone when the expo hall opens tomorrow!</t>
  </si>
  <si>
    <t>CEO @1worldidentity - Building a more inclusive world through #identity #trust and #safety</t>
  </si>
  <si>
    <t>ɱyʀiɑɱ.W مريم الوردي</t>
  </si>
  <si>
    <t>#Israeli settlers stole Palestinian land and have been profiting from it by renting it out to tourists on #Airbnb. Now, for the first time, #Palestinians will directly challenge the settlers in a #US. Court. Video by Center for Constitutional Rights. RT @QudsNen: #Israeli settlers stole Palestinian land and have been profiting from it by renting it out to tourists on #Airbnb. Now, for the first time, #Palestinians will directly challenge the settlers in a #US. Court. Video by Center for Constitutional Rights</t>
  </si>
  <si>
    <t>Toulouse, France</t>
  </si>
  <si>
    <t>‎#anti_zionism ‎#FreePalestine #Anti_Islamophobes ni journaliste, ni attachée de presse, je partage linfo....la vraie, celle que les médias nous cachent</t>
  </si>
  <si>
    <t>CCB</t>
  </si>
  <si>
    <t>#airbnb #technews...wonder how much of this is funded by hotel lobbyists who don’t like Airbnb’s success. Services entities, like #ubereats is abt to do, has been making billions on ridiculous taxes and fees forced on customers. I wonder if they will cave? RT @WIRED: Millions in uncollected taxes. Numerous lawsuits. Alleged misinformation campaigns. Airbnb is engaged in a “block-by-block guerrilla war” against local governments, per interviews with 20 city officials, hosts, and experts. Let's break it down: 1/</t>
  </si>
  <si>
    <t>West Coast, US</t>
  </si>
  <si>
    <t>Tech and business nerd who loves music, dance, theater &amp; arts, travel, good eats, along with dose of news, politics &amp; culture.</t>
  </si>
  <si>
    <t>Napoleon Rockefeller</t>
  </si>
  <si>
    <t>This happened to my sister! Beware Airbnb users!! #worryingevents #airbnb #hackernightmarestory RT @taniatay88: My @Airbnb ac hacked - c£1700 bookings made for flats in China, Australia, New Zealand. Customer srvice pretty rubbish - still no news fr fraud team. Told me they had stopped PayPal payments but happened again! Calld VISA/Paypal to stop card! Flat owners still not informed!</t>
  </si>
  <si>
    <t>Wimbledon, London</t>
  </si>
  <si>
    <t>A snapshot of family &amp; work life in Wimbledon. Fine art trained furniture painter, upholstery enthusiast &amp; lover of upcycling &amp; vintage retro decor.</t>
  </si>
  <si>
    <t>Have you ever wanted to sit down for a cup of coffee more than when you see such beautiful rooms? #spitzen #spitzencleaning #cleaningservice #vacationrental #airbnb #beautifulrooms #sunnykitchens #yyj #yyjbusiness #victoriabc</t>
  </si>
  <si>
    <t>💲55 Airbnb code coupon promo discount first. 💲💵55 OFF CLICK LINK NOW! Try it. Please DM me if you have any issues. #airbnb #airbnbcode #airbnbdiscount #airbnbpromo #airbnbcoupon #SundayMotivation</t>
  </si>
  <si>
    <t>Clemens P. Suter</t>
  </si>
  <si>
    <t>Our dog tired of our Weekend trip to Antwerpen . . . #travel #food #trip #airbnb #greatplace #tourism #anvers #antwerp #belgium #dog #doglover #Postapocalypse #ebook #adventuretime #imagine #postapo #adventure #reading #reads #amtraveling #journey</t>
  </si>
  <si>
    <t>Baldwin Park, CA</t>
  </si>
  <si>
    <t>Official account of the novelist Clemens P. Suter. I blog about writing, painting, science, travel and my daily life.</t>
  </si>
  <si>
    <t>Weekend trip to Antwerpen - our Airbnb place. . . . #travel #food #trip #airbnb #greatplace #tourism #anvers #antwerp #belgium #Postapocalypse #ebook #adventuretime #imagine #postapo #adventure #reading #reads #amtraveling #journey</t>
  </si>
  <si>
    <t>Laura Robbins</t>
  </si>
  <si>
    <t>Y’all, give my nashvilleslilliepad a follow! And a booking....😊😊 #nashville #airbnb #nashvilleslilliepad</t>
  </si>
  <si>
    <t>MA Media student &amp; have been working in theatre. Not a performer, surprisingly, but who knows where my next job will take me ;-)</t>
  </si>
  <si>
    <t>laundry.joburg</t>
  </si>
  <si>
    <t>Haven't tried our services yet? We'd love for you to give us a try! #Laundry #joburg #vacation #airbnb @SouthAfrica #SouthAfrica</t>
  </si>
  <si>
    <t>071 448 6851</t>
  </si>
  <si>
    <t>#Israeli settlers stole Palestinian land and have been profiting from it by renting it out to tourists on #Airbnb. Now, for the first time, #Palestinians will directly challenge the settlers in a #US. Court. Video by Center for Constitutional Rights</t>
  </si>
  <si>
    <t>Quds News Network</t>
  </si>
  <si>
    <t>A Palestinian youth initiative aiming at providing the full picture of occupied #Palestine objectively through social media.</t>
  </si>
  <si>
    <t>#Zagreb #Center from the #sky. Come as #see it for #yourself. 😃 #book your stay at our #Place:  . . #travel #photography #airbnb #travelphotography #trip #Beautiful #tweetme #like4like #Tweets #bestoftheday #picoftheday #destination #city #cityscape</t>
  </si>
  <si>
    <t>💲55 AIRBNB DISCOUNT CODE 💵✈️💵 Here’s your chance for a free credit coupon discount and codes to travel for FREE. Click the link NOW. Please DM me if you have any issues. #airbnb #airbnbcode #airbnbdiscount #airbnbpromo #sundaymotivation</t>
  </si>
  <si>
    <t>Brent Wilkins</t>
  </si>
  <si>
    <t>Joana and Herman. New York, 23 March 2019 Camera: Nikon D810 ©2019 Brent Wilkins #airbnbexperience #photoshoot #streetfashionphotoshoot #airbnb #streetfashion #streetstyle #style #dog…</t>
  </si>
  <si>
    <t>BRENTPHOTO/BRENTFILM NEW YORK I'm also a certified Airbnb Experiences photographer based in New York and Vienne (Isère), France. I do street fashion.</t>
  </si>
  <si>
    <t>The whole truth of being a pleasant Airbnb host. See if it is the right thing for you #HereForYou #General #Business #USA #Jobs #Airbnb #Host</t>
  </si>
  <si>
    <t>Spring Valley, CA 91978</t>
  </si>
  <si>
    <t>Storage West Self Storage Spring Valley, CA. Excellent storage in Spring Valley. Come store with us! Hours Mon-Sun, 9am to 6pm.</t>
  </si>
  <si>
    <t>Spring has arrived outside our #ecocabin #holidaylet #airbnb #logcabin #littlebridgeFA #devon #cornwall #holidaycottage #spring</t>
  </si>
  <si>
    <t>Inquiry for stay yesterday for one of the remaining April weekends. Answer the question and then poof gone. #Airbnb #SuperHost #StayHere</t>
  </si>
  <si>
    <t>Tiffany Pitts</t>
  </si>
  <si>
    <t>Had a great time at the #LoudAndClearTour @Trevornoah was hilarious!! Great show! #LoudAndClearTour Thanks #Charleston SC for good weather, good food and a wonderful #airbnb</t>
  </si>
  <si>
    <t>sookio</t>
  </si>
  <si>
    <t>Oooh interesting article on tech companies like #Google, #Pinterest, #airbnb, etc. taking the personality out of their logos and virtually all going for the same sans-serif font  #fontsunday #logodesign</t>
  </si>
  <si>
    <t>Digital marketing agency founder. Speaker. Sage Business Expert. RSA Fellow. Host @sookioschool. Director @cambridge105</t>
  </si>
  <si>
    <t>Existential Dread &amp; Superheroes</t>
  </si>
  <si>
    <t>So apparently a bunch of rental properties in #SantaFe rolled over into #airbnb properties?? So now the housing crisis is even worse and apartment rent has shot up 25%.</t>
  </si>
  <si>
    <t>Made this for Desert Bus for Hope. Now also stalking my favorite celebrities. I hunt radiation for a living.</t>
  </si>
  <si>
    <t>Sit within 25 feet of a low performer at work, motivation and performance decline by 30%.  #Airbnb #airbnbaustralia #airbnbhost #bnbhostguru</t>
  </si>
  <si>
    <t>Wonderful! #comfortcottagehealing #VisitWales #Dogfriendly #TheDogsWithMe #alpacas #ArtsWales #SunDogs #Airbnb RT @ruthwignall: Oh my... how beautiful... #wonderfulWales xx</t>
  </si>
  <si>
    <t>WANT A FREE AIRBNB? Here’s your chance for a free credit coupon and codes to travel for FREE. Click the link NOW. Please DM me if you have any issues. #airbnb #airbnbcode #airbnbdiscount #airbnbpromo #airbnbfree</t>
  </si>
  <si>
    <t>James Mitchell</t>
  </si>
  <si>
    <t>A few detail teaser images of the latest photoshoot. Final images in final touch up coming soon! 🤩• • #airbnb #cambridge #servicedaccommodation #property #propertyinvestor…</t>
  </si>
  <si>
    <t>Loving all things Family | Property | Serviced Accommodation | Books | Business | Cambridge | @dawtonprop</t>
  </si>
  <si>
    <t>Follow @UNWatch if you want the unbiased truth about #UNRWA, #UNHRC, #UNHCR and the corrupt non-elected globalists at #UN in general. GO! Hillel GO! #PPC2019 #BernierNation #canpoli #polcan #GlobalCompactForMigration #MayorsMigrationCouncil #OpenSociety #Airbnb RT @HillelNeuer: .@UNRWA I just checked your Twitter feed. Over the past week, Palestinian protesters against Hamas oppression in Gaza were arrested, beaten, shot at, bones fractured. Yet you said not a word about this. You're not pro-Palestinian, you're just anti-Israel. You're a fraud.</t>
  </si>
  <si>
    <t>GO! Jennifer Clarke for #NanaimoLadysmith GO! @PPCNanaimoLs #PPC2019 #BernierNation #canpoli #polcan #RoxhamRd #PlattsburhgCares #UNHCR #UNHRC #UNRWA #GlobalCompactForMigration #MayorsMigrationCouncil #CenturyInitiative #OpenSociety #Airbnb #TrudeauMustGo RT @JenniferMClarke: Exciting Times! The By-Election has just been called and Voting Day is May 6th! Vote for Jennifer Clarke if you want to see truth, justice, &amp; integrity in Parliament! @peoplespca @MaximeBernier @LauraLynnTT @realbenbradbury @realNickPorter @RVanSchubertEDI</t>
  </si>
  <si>
    <t>It may be crazy out there, but you might even have what it takes to dive into becoming an Airbnb host finally #HereForYou #General #Business #USA #Jobs #Airbnb #Host</t>
  </si>
  <si>
    <t>The Heartbreak Kid</t>
  </si>
  <si>
    <t>Gm from south west Atlanta!!!!! Reporting live from a #airbnb in the trap tho 💪🏾🔥 #retnow #ripharveyscalessr #rippat</t>
  </si>
  <si>
    <t>Milwaukee Wi</t>
  </si>
  <si>
    <t>Long story short i am that nigga! #ncrxwd getscalez@gmail.com #limitless #additup ig:@jrscalezhbk snapchat: @jrscalezhbk</t>
  </si>
  <si>
    <t>Just a tipical day in Havana #vacation #havana #enjoylife #airbnb #mojitos #sunnyday #americancar #oldcar #CubaTravel #Cuba #Lahabana #havanacars #Havanalove #havanastyle #cuba #cubalife #cubalove</t>
  </si>
  <si>
    <t>One of the reasons we all love Havana #Lahabana #havana #havanacars #Havanalove #havanastyle #cuba #cubalife #cubalove #bedandbreakfast #CasaParticular #casaparticulares #renthousecuba #airbnbguest #airbnb #casaparticularhavana #CubaTravel</t>
  </si>
  <si>
    <t>Don’t book your Airbnb without using this $55 referral coupon code! Click the link down below for your first $55 💜💙💚❤️🧡 Airbnb discount now! Please DM me if you have any issues. #airbnb #airbnbcode #airbnbdiscount #airbnbpromo #airbnbfree</t>
  </si>
  <si>
    <t>January 27th</t>
  </si>
  <si>
    <t>Pops Know How To Put A House Together #BookNow #AirBnB</t>
  </si>
  <si>
    <t>Flint, Mi</t>
  </si>
  <si>
    <t>Living life.... Stayin humble and out the way! The best thing about being me, I’m a limited edition, there are no other copies!</t>
  </si>
  <si>
    <t>Where's the outrage from all our #CANADIAN liberal-progressive politicians? #PPC2019 #BernierNation #canpoli #polcan #RoxhamRd #PlattsburghCares #UNHCR #UNHRC #UNRWA #GlobalCompactForMigration #MayorsMigrationCouncil #CenturyInitiative #OpenSociety #Airbnb #TrudeauMustGo RT @CTVNews: Death toll in Mali massacre hits 134</t>
  </si>
  <si>
    <t>The desert, when the sun comes up. I couldn't tell where heaven stopped and the Earth began. - Tom Hanks Experience the desert on your next vacation at Holiday Scottsdale. #Desert #VRBO #Airbnb #TomHanks</t>
  </si>
  <si>
    <t>Woodpecker at the #stoneriverhouse looking for his breakfast while we had ours from @pressedflour #airbnb #gotowv @ Shepherdstown, West Virginia</t>
  </si>
  <si>
    <t>Chess, the Airbnb cat, lovin’ the sunshine on this beautiful spring morning! #ferngullycove #airbnb #ferngully_cove #weekendgetaway #airbnbsuperhost #visitsuches…</t>
  </si>
  <si>
    <t>💲55 Airbnb Coupon Code 💵 ! Sign up with the coupon link below to receive a $55 💵❤️✈️💸💙💚🗺 discount code with your first Airbnb. Please DM me if you have any issues. #airbnb #airbnbcode #airbnbdiscount #airbnbpromo #sundaymotivation</t>
  </si>
  <si>
    <t>HansWobbe</t>
  </si>
  <si>
    <t>( Kingston &amp; Toronto ) Ontario</t>
  </si>
  <si>
    <t>What ???!! #PPC2019 #BernierNation #canpoli #polcan #RoxhamRd #PlattsburghCares #UNHCR #UNHRC #UNRWA #GlobalCompactForMigration #MayorsMigrationCouncil #CenturyInitiative #OpenSociety #Airbnb #TrudeauMustGo</t>
  </si>
  <si>
    <t>When Airbnb goes wrong: Cancellations and covert listings (Marketplace)  via @YouTube #airbnb</t>
  </si>
  <si>
    <t>Kade</t>
  </si>
  <si>
    <t>This decades gonna be fucked... As we're bouncing up and down Trying to make the floor break, Stop sneering at our joy, Like it's a carless mistake. #jeffrosenstock #airbnb…</t>
  </si>
  <si>
    <t>Director of Comm @RamaWorks --QA Tester. PC Gamer. Photographer. Author. Freemason. Pure Nerd. In need of fresh perspective &amp; inspiration. Spain in April.</t>
  </si>
  <si>
    <t>Spacious River Room Elephant Camphttps://www.airbnb.jp/rooms/855537  via Twitter Web Client #airbnb</t>
  </si>
  <si>
    <t>EsperanzaenRE/MAX</t>
  </si>
  <si>
    <t>Madrid, very good news you give me! We can provide you with the numbers you need to get those pre-investment accounts. Ask for our reports based on Big Data. #spain #madrid #investment #investors #realestate #remax #airbnb</t>
  </si>
  <si>
    <t>Madrid, Comunidad de Madrid</t>
  </si>
  <si>
    <t>Estoy en lo que me gusta, con la fortuna de compartir junto al gran equipo de RE/MAX Calidade 🌇🏘️🏪I'm on what I like, fortunate to share with a great team</t>
  </si>
  <si>
    <t>Justin Fee</t>
  </si>
  <si>
    <t>Scheduling is an important aspect of renting your home out on #Airbnb. #homeowners</t>
  </si>
  <si>
    <t>I am a professional Realtor/Photographer working with Coldwell Banker Wallace &amp; Wallace, Realtors in Knoxville, TN. I can list your home and photograph it too.</t>
  </si>
  <si>
    <t>NOW Magazine</t>
  </si>
  <si>
    <t>How #Airbnb is clashing with #Toronto condo residents</t>
  </si>
  <si>
    <t>Think Free! Find us on Facebook: http://facebook.com/nowmagazine/ And on Instagram: https://www.instagram.com/nowtoronto/</t>
  </si>
  <si>
    <t>Valos</t>
  </si>
  <si>
    <t>Feeling so trendy with our Uber on our way to our Airbnb apartment in sunny Lisboa 😎☀️🚗🏢 #citytrip #lisboa #uber #airbnb @pplum81</t>
  </si>
  <si>
    <t>Just me. 🏡 Belgium, Brussels 👰 Wifey of a Plum 💄 Working for Di All about beauty 🎠 #marketing #digital #content</t>
  </si>
  <si>
    <t>Don’t book your Airbnb without using this 💲55 referral coupon code! Click the link down below for your first 💲55 ✈️❤️💲💵 Airbnb discount now! Please DM me if you have any issues. #airbnb #airbnbcode #airbnbdiscount #airbnbpromo #sundaymorning</t>
  </si>
  <si>
    <t>Villino Cortona</t>
  </si>
  <si>
    <t>Olive tree #villinocortona #Cortona #tuscany #italy #home #house #villa #peace #quiet #relax #wineyard #underthetuscansun #holiday #holidayhome #holidayincortona #holidayintuscany #homeaway #holidaylettings #airbnb #atraveo #tripadvisor #tui #reisen #travel #trip</t>
  </si>
  <si>
    <t>Casa per vacanze/Affittacamere</t>
  </si>
  <si>
    <t>Il Villino di Cortona - Holiday House in Tuscany</t>
  </si>
  <si>
    <t>Our little olives trees ... Under the Tuscan Sun. #villinocortona #Cortona #tuscany #italy #home #house #villa #peace #quiet #relax #wineyard #underthetuscansun #holiday #holidayhome #holidayincortona #holidayintuscany #homeaway #holidaylettings #airbnb #atraveo #tripadvisor</t>
  </si>
  <si>
    <t>Our little family vineyard. #villinocortona #Cortona #tuscany #italy #home #house #villa #peace #quiet #relax #wineyard #underthetuscansun #holiday #holidayhome #holidayincortona #holidayintuscany #homeaway #holidaylettings #airbnb #atraveo #tripadvisor #tui #reisen #travel</t>
  </si>
  <si>
    <t>Kerstin Lindquist</t>
  </si>
  <si>
    <t>May specials up now! And a few left in April. 3 blocks to the beach walk to everything completely redone!  book now #airbnb #oceanbeach #sandiego</t>
  </si>
  <si>
    <t>Don't stop talking. Truth in adoption, infertility, &amp; Jesus Christ. Author - 5MonthsApart. 4x Emmy winner. QVC host. Fitness, Travel. Sand Everywhere</t>
  </si>
  <si>
    <t>Coach Brookshire</t>
  </si>
  <si>
    <t>All the room I needed for a quick 20min cardio session👍👍 ... Love this Florida weather!!☀️ ... Time for breakfast..then getting on the Big Boat! ... #airbnb #firstcruise #anchorsaway2019 #teambeachbody #royalcaribbean #bahamas #haiti #shipworkouts</t>
  </si>
  <si>
    <t>Granite Falls, NC</t>
  </si>
  <si>
    <t>43, Wife, Mom of 2, PE Teacher, Virtual Health &amp; Fitness Coach! Just trying to help the World live a happy &amp; healthy LIFE! #teamnextgeneration</t>
  </si>
  <si>
    <t>First Time Airbnb 💲55 coupon promo referral code :) Get your discount credit on your first trip Click the link NOW 💸💸💸—-&gt;✈️ #airbnb #airbnbcode #airbnbdiscount #vacation #trips #travel #getaway #SundayMotivation #SundayMorning #KKRvSRH</t>
  </si>
  <si>
    <t>$55 ❤️💙💙💜💚💵💸💲✈️🗺Airbnb code coupon promo discount first. $55 OFF CLICK LINK NOW! Try it. Please DM me if you have any issues. #airbnb #airbnbcode #airbnbdiscount #airbnbpromo #airbnbcoupon</t>
  </si>
  <si>
    <t>Carrie</t>
  </si>
  <si>
    <t>10 dreamy Airbnbs people loved in 2018, from a secluded treehouse to a house in a cliff | #Airbnb #uniquesleeps #TatersTravels  via @thisisinsider</t>
  </si>
  <si>
    <t>World's #1 Writer, according to my Mom 😏 | Blogging about offbeat couples' travel, outdoor adventures, unique lodging &amp; expat life in Germany | #TatersTravels</t>
  </si>
  <si>
    <t>Dorset is looking particularly lovely today, Portland especially (I'm biased because I live there!). Bright blue sky, deep blue sea and the speckled cappuccino colour of #ChesilBeach visible from my kitchen window. Why not come and visit?  #Dorset #AirBnB RT @TheDorsetMeatCo: Gorgeous @DorsetAONB</t>
  </si>
  <si>
    <t>Always fresh flowers at Ferngully Cove! #ferngullycove #airbnb #ferngully_cove #weekendgetaway #airbnbsuperhost #visitsuches #vacationrental #tinycabinrental…</t>
  </si>
  <si>
    <t>Discover how you can incorporate these stunning interior design ideas into your listing. #airbnb #interiordesign #designinspo #RecommendMY</t>
  </si>
  <si>
    <t>#SundayMotivation #SundayMorning #vacation #travel #USVI #Bahamas #FloridaKeys #CoastalCarolina #NorthCarolina #Virginia #ChesapeakeShores #OuterBanks #FollyBeach #Galveston CUSTOM OUTDOOR BEACH OCEAN LAKE &amp; POOL SIGNS  … 🌊☀️🏄‍♂️🏖️⚓️🦀🍷🍕#airbnb</t>
  </si>
  <si>
    <t>Two #Palestinians in the #UnitedStates are suing #Israeli settlers for profiting from property stolen from their families in the occupied #WestBank, by listing them on the home rental website #Airbnb.  #EndTheOccupation</t>
  </si>
  <si>
    <t>SHARING FOR BEECH TREE COTTAGE #Airbnb #BedandBreakfast #travel #historical #getaway #VRBO #Cottage #rental #Heaven  #farm #Hospitality #Guests #Vacation #adventuretime</t>
  </si>
  <si>
    <t>Outdoor Elements Outdoor Education Centres</t>
  </si>
  <si>
    <t>Private hire at #BellHeath. Suitable for birthdays, christenings, family groups and weddings. For people who love the outdoors and just want to get away from it all. Seats 100, sleeps 74. Outdoor sessions available on request. Book now on #AirBnB</t>
  </si>
  <si>
    <t>Malvern, Worcestershire</t>
  </si>
  <si>
    <t>Outdoor Elements now has two centres in Malvern and Bell Heath, Belbroughton providing high quality #OutdoorEducation across the county of #Worcestershire.</t>
  </si>
  <si>
    <t>Ossama El-Badawy</t>
  </si>
  <si>
    <t>#Facebook, #Twitter, #Uber, #Square, #Airbnb, #Dropbox. These brands came out of nowhere and acquired, collectively, billions of users. Watch the video to know more about Growth Hacker Marketing by Ryan Holiday 👉🏼  #Marketing...</t>
  </si>
  <si>
    <t>Cairo; Egypt</t>
  </si>
  <si>
    <t>Major: Economics Profession: Competitive Intelligence/Research and Consultancy مصري وعندي المرض الحميد اللي اسمه حب مصر، ومش عايز أخف منه!!</t>
  </si>
  <si>
    <t>Our March Artwork #BNB #AIRBNB #AIRBNBIndonesia #artwork</t>
  </si>
  <si>
    <t>In Canada, cities have moved to tighten the rules around Airbnb and other short-term rentals, now Illegal hotel guests are made to feel like wanted criminals. #airbnb #homeaway #VRBO #flipkey #illegalhotel #str #ota</t>
  </si>
  <si>
    <t>Darus mentalista</t>
  </si>
  <si>
    <t>Perform for a multinational company as an #airbnb in events as important as that of #Rome and #Florence, #italy, was more than an honor and a great pleasure. Esibirsi per una multinazionale come #airbnb in...</t>
  </si>
  <si>
    <t>italy</t>
  </si>
  <si>
    <t>Mentalista per lavoro e passione.Tra soddisfazioni, battute d'arresto e progetti vari, eccomi qua. Artista, persona e cittadino.Benvenuto/a</t>
  </si>
  <si>
    <t>Perform for a multinational company as an #airbnb in events as important as that of #Rome and #Florence, #italy, was more than an honor and a great pleasure. Esibirsi per una…</t>
  </si>
  <si>
    <t>The Straits Times</t>
  </si>
  <si>
    <t>According to #Airbnb data, there are over 8,000 apartments for rent in central #Athens alone, at an average of 67 euros per night, including some 1,200 flats in districts close to the #Acropolis.</t>
  </si>
  <si>
    <t>Breaking news from the online site of Singapore's most widely read newspaper</t>
  </si>
  <si>
    <t>Airbnb-ing in Antwerpen. . . . #Adventure #books #citytrip #sightseeing #tourism #postapocalyptic #dystopia #dog #happy #landscape #reading #airbnb #city #antwerp #anvers #vacation #longweekend #</t>
  </si>
  <si>
    <t>The latest image from the GowerLive #webcam on the roof 730RocksMumbles #AirBnB. Book at  #Mumbles #Swansea #Gower #travel. Watch live at  #844</t>
  </si>
  <si>
    <t>ISMPalestine "Two #Palestinians in the #UnitedStates are suing #Israeli settlers for profiting from property stolen from their families in the occupied #WestBank, by listing them on the home rental website #Airbnb.  #EndTheOccup… "</t>
  </si>
  <si>
    <t>Quan Nguyen</t>
  </si>
  <si>
    <t>Spring break is coming to an end! What an unbelievably awesome week!!! #partyof16please #ductman #takingabreakfromwork #hvac #workhardplayhard #ductmanproblems #blessed #manofmanytalents #multiplestreamsofincome #family #friends #moneywellspent #airbnb</t>
  </si>
  <si>
    <t>Eustis, FL</t>
  </si>
  <si>
    <t>You should make decisions too fast like you think off the top of your head. #productive #motivation #100DaysOfCode #JavaScript #success #business #css #react #nodejs #airbnb #google #ilonmask #dream #forward</t>
  </si>
  <si>
    <t>Barron Nel</t>
  </si>
  <si>
    <t>This is how I #lost $ 1,181 to an #Airbnb #hacker  #security #1181</t>
  </si>
  <si>
    <t>Entrepreneur and Social Media/Technology Expert, Author and Speaker. Amazon Best Seller. I Help Take Businesses and Products to 6 Figures!</t>
  </si>
  <si>
    <t>Harvesting some timber to make way for a new vineyard! #bridgesatharris #oregon #Winter #bnb #airbnb #bedandbreakfast #wedding #permaculture #apiculture #foodforest #Viticulture #nature #photography #wildlife #outdoors #love #wine #country #countryliving</t>
  </si>
  <si>
    <t>Kate Griffiths</t>
  </si>
  <si>
    <t>I've never *slept* (didn't sleep) in such an uncomfortable bed in my entire life. This will be an interesting day! #airbnb</t>
  </si>
  <si>
    <t>Tunbridge Wells, Kent, UK</t>
  </si>
  <si>
    <t>Multi award winning THEATRICAL MAKEUP ARTIST/DESIGNER • UK based specialising in film | tv | stage | media | events | horror | educational workshops &amp; tuition</t>
  </si>
  <si>
    <t>ST Foreign Desk</t>
  </si>
  <si>
    <t>Back from the dead': #Greekhomes in #Airbnb fever</t>
  </si>
  <si>
    <t>The Straits Times Foreign Desk brings you news about the rest of the world. Follow us for live tweeting of major events.</t>
  </si>
  <si>
    <t>"The Printer's Pad - Gt Pulteney Street - Flats for Rent in Bath #Travel" @airbnb  #lastminute.com #visitbath #stayinbath #greatpulteneystreet #bathcity #lovebath #airbnb #holidayrental #selfcatering #gettingmarriedinbath #romanticbathcity #bargainbreak</t>
  </si>
  <si>
    <t>$40 credit for your first booking! Airbnb coupon/discount code:  (new customers/signup) #airbnb #coupon #discountcode #promo #freecredit</t>
  </si>
  <si>
    <t>Gareth Skipp</t>
  </si>
  <si>
    <t>Pretty #bedroom of a #condo #apartment in #downtown #toronto #urban living #interiordecor #interiordesign #Airbnb #architecturalphotographer #realestate #TorontoRealEstate #commercialphotographer #headshots #advertisingphotography</t>
  </si>
  <si>
    <t>Mississauga, Ontario</t>
  </si>
  <si>
    <t>Professional Architecture &amp; Commercial Photographer; also Drill / Show Designer - Drum Corps, Marching Bands, Indoor Percussion Theatre</t>
  </si>
  <si>
    <t>Joy's Eco Lodge of Jamaica</t>
  </si>
  <si>
    <t>We had a Great time on the farm today. Visit  for more information! #travelphotography #travel #jamaica #Germany #Munich #Europe #CzechRepublic #sweden #Spain #russia #travelblogger #ochorios #airbnb #airbnbexperiences #backpacking</t>
  </si>
  <si>
    <t>Joy's Eco Lodge is located in the mountains St. Mary Jamaica. #travel #jamaica #ochorios #backpacking #vacation #travelblogg Tours: http://goo.gl/bXKAE5 http://goo.gl/JaL8Dr</t>
  </si>
  <si>
    <t>Swamp Music Players</t>
  </si>
  <si>
    <t>Last summer our manager had an @Airbnb nightmare #Airbnb RT @AirbnbHelp: @crushwb Hi there, we're sorry to hear about this and would like to assure you that this is not the experience that we want our users to have. Please DM us with your name, email and phone number so that we can look into the situation.</t>
  </si>
  <si>
    <t>Victoria, BC, Canada</t>
  </si>
  <si>
    <t>Swamp Music Players (Inc.) 🎸📼 #Retro Futuristic #SwampRock, Swamp #Blues &amp; transistorized Cosmic #Americana. College Radio Top-30, Soundtracks, Fight The Future</t>
  </si>
  <si>
    <t>How to Get Your Rental Property Ready for AirBnB  #airbnb #recommendmy #rentalrenovation</t>
  </si>
  <si>
    <t>Power of I AM - Law of attraction motivation⭐🚀  #Airbnb #airbnbaustralia #airbnbhost #bnbhostguru</t>
  </si>
  <si>
    <t>Sunday vibes @airbnbcairns, time to kick back with a good, old fashioned book 📚 #airbnbcairns #cairnsairbnb #airbnbhomes #airbnblife #airbnb #holidayhome #bookcase #bookshelf #bookclubselection #library #travelbooks #interiordesign</t>
  </si>
  <si>
    <t>In New Orleans, Airbnb, Homeaway and VRBO have played games with the city for too long now, With no platform accountability but happy to take big profits, Santa Monica has the answers #airbnb #homeaway #VRBO #illegalhotel #NewOrleans #santamonica #STR #ota</t>
  </si>
  <si>
    <t>Expat Aussie In NJ</t>
  </si>
  <si>
    <t>Top Cities for #solotravel According to #Airbnb #traveltips</t>
  </si>
  <si>
    <t>Expat Mum repatriated back to Oz from NJ | Still living in the past | NJ Relocation advice| Enjoy visiting new places | My blog: http://www.ExpatAussieInNJ.com</t>
  </si>
  <si>
    <t>#Airbnb in #Portland - Yup, #AirbnbWhileBlack there too. Sad.</t>
  </si>
  <si>
    <t>Youssef Rahoui</t>
  </si>
  <si>
    <t>Ahead of its IPO, what even is #Airbnb anymore?</t>
  </si>
  <si>
    <t>Founder &amp; CEO @madmagz. Founder &amp; Leader @techalamenthe. Coffee geek, jazz fan, chess player. #entrepreneurship #internet #edtech #futureofwork #marcom #ic</t>
  </si>
  <si>
    <t>James Wanless</t>
  </si>
  <si>
    <t>"DO NOT talk to the building concierge," read the document. "They will deny you access if you talk to them.… Non-compliance of the house rules … will result in a minimum $200 charge." #airbnb #illegal</t>
  </si>
  <si>
    <t>Plant-fueled animal lover, husband, father, minimalist, runner, cyclist, musician, and other things. UX @ BC Registries, #CSILab @BCPublicService.</t>
  </si>
  <si>
    <t>BOOMERNVTÍ</t>
  </si>
  <si>
    <t>My setup right now!👀 #perfecto #dENVER #colorado #peace #broncos #ableton #novation #table #pioneerdj #macbookpro #hungry #consistency #smile #living #travel #goodvibes #bmrnvti #novationlaunchkey #instagram #move #turnt #airbnb</t>
  </si>
  <si>
    <t>Kansas City, MO</t>
  </si>
  <si>
    <t>Music is...</t>
  </si>
  <si>
    <t>Tom Schabarum</t>
  </si>
  <si>
    <t>Buster and his pal, Lucy, enjoying the sunrise view in front of Josephine. #nationalpuppyday #dogsofinstagram #dogs #airstream #globetrotter #airbnb #airbnbhost #besties…</t>
  </si>
  <si>
    <t>Author of the novels, Airstreaming, The Palisades - 2011 Lambda Literary Award Finalist, and The Narrows, Miles Deep. Won the 2010 Creekwalker Poetry Prize.</t>
  </si>
  <si>
    <t>Saturday night at home with our Riata Girls, family, Airbnb guest’s, and friends. The feast is on! #airbnb #sequoianationalpark #riataranch</t>
  </si>
  <si>
    <t>Large 5Star #Florida #vacationhome with prival pool on #Airbnb Tropical #TommyBahama style - #VRBO March 23, 2019 at 10:00PM</t>
  </si>
  <si>
    <t>rsf</t>
  </si>
  <si>
    <t>Another clean hotel dining room to enjoy your breakfast in! #inbend #bendlife #bendoregon #redmondoregon #sistersoregon #10x #hotel #hotels #airbnb #bnb #facilities #maintenance…</t>
  </si>
  <si>
    <t>Only thing missing in video below is that it's the #UnitedNations once again who's behind this whole #climatechange hack! #PPC2019 #BernierNation #canpoli #polcan #carbontax #ParisAgreement #GlobalCompact #TrudeauMustGo #OpenSociety #Airbnb RT @GerryxSimons: @brian180180 @nemo_gratis @nostradamous195 @SherriMcLynn @JohnAll63815927 @GeraldJacklin @canadian000 @Child_Of_Lions @Corbynsmama @kate_canadian @Katalytical87 @DanMCalgary @Qualifyfor @medwoman1 @deCaptRon @safety_canada7 @muchmore2cents @unEZ_p3ac3 @thinkingstuff24 @FelixAnchor__ @staines_andyjoy @RickRMehta @DavidMilley @GregJen56304807 @IiJudge @catchercharlie @vesnalaurie8 @VermeirenRob @mehtamutebutton @CalloutCanada @famousgaurav @PAngebrandt @Canadian_Chris_ @SledzKevin @MicheleSobering @CaptainDick12 @SageThinker99 @gorvin1971 @Hope2Casagem @lindco22 @MapleLeafForevr @esteetabernac @SharpishMitch @Perkel @jay_slatter @nwriverrock @barbara_starr62 @robyn_call @CATGovernment @blackstonejason A very very clever thought out plan by the elites to screw the sheep. The elites will not make $millions but $TRILLIONS.</t>
  </si>
  <si>
    <t>Circle House Vacation Rental</t>
  </si>
  <si>
    <t>Where have you been all my life? #spring #circlehousenotl #booknowforsummer #airbnb #vacationrental #travel #niagaraonthelake @ Niagara-On-The-Lake, Ontario</t>
  </si>
  <si>
    <t>A stylish vacation rental in beautiful Niagara-On-The-Lake. http://bit.ly/2zmGlmV</t>
  </si>
  <si>
    <t>Joana and Herman. New York, 23 March 2019 Camera: Nikon D810 ©2019 Brent Wilkins #airbnbexperience #photoshoot #fashionphotoshoot #airbnb #streetstyle #style #fashion #mode #moda #dog…</t>
  </si>
  <si>
    <t>Joana and Herman. New York, 23 March 2019 Camera: Nikon D810 ©2019 Brent Wilkins #airbnbexperience #photoshoot #airbnb #fashionphotoshoot #streetstyle #style #fashion #mode #moda #dog…</t>
  </si>
  <si>
    <t>#Airbnb in #SanDiego - Chipped furniture and a few pills gone? Bah, he got off easy. No guns or death, this one.</t>
  </si>
  <si>
    <t>Can’t stand to go on vacation and leave the furry members of your family behind? Tanglewood cabin is pet-friendly, so you don’t have to! Since it’s #nationalpuppyday swipe right to see our own furry family member enjoying the mountain sunshine. 1st photo by:1:16 media #airbnb</t>
  </si>
  <si>
    <t>Another 5/5 stars reviews from our last guests, Akram and his friends 😃 3 Bedrooms Private Villa, Private Pool, BBQ, 10 mins drive to the Beach! Book here:  * #Airbnb @Airbnb @AllAbout_Airbnb #Superhost #Bali #Indonesia #Indonesian #french #english Travel</t>
  </si>
  <si>
    <t>#Whois data can be very useful in the fight against email #phishing &amp; similar malicious activities. Read @whoisxmlapi's Whitepaper which demonstrates the footprint of phishing attacks against #Airbnb in the Whois ecosystem.</t>
  </si>
  <si>
    <t>Who's ready to stay underneath the lovely Cardiff Sky..... #Cardiff #Airbnb #AirbnbUK #AirbnbWales #Travel #Wales #travelphotography #LuxuryTravel #Views #citybreak #citybestpics</t>
  </si>
  <si>
    <t>What are the best Startups Ideas in India to work on and start a company? See:  @isrgrajan #SundayMotivation #IsrgRajan #Airbnb #Snapchat #Spotify #Startup #Uber</t>
  </si>
  <si>
    <t>Amanda Linehan</t>
  </si>
  <si>
    <t>willing 2 be told I’m crazy, but I literally dread the end of winter parking in #MaldenMA bc people park a trillion times worse when there R no rules. Seems backwards but having a driveway =worse on a narrow street. 🔥 housing mkt + bad transit = more roommates, #airbnb, and cars</t>
  </si>
  <si>
    <t>Live in #Malden, lead Comms @MAPCMetroBoston, raise the wee Miss Georgia by night. Candidate 4 Ward 3 City Council. Married to actor @LinehanMark. Tweets=my own</t>
  </si>
  <si>
    <t>Peter B. Giblett</t>
  </si>
  <si>
    <t>Spring Getaway - This place is neat and clean. Exactly the way it looked in the pictures! My boyfriend and I stayed there for one night and it’s worth the price. #NiagaraFalls #airBNB</t>
  </si>
  <si>
    <t>Help turn your #Blog to a powerful resource ** Writer ** future thinkr ** Editor: Voice of Niagara ** Fraternal Branch Councillor Foresters Financial. ** No DMs</t>
  </si>
  <si>
    <t>Ireland.#Ireland #irelandsancienteast #Kerry #dingle #westcorkrally #WestCork #Killarney #Brexit #PeoplesVote #PeoplesVoteNow #FamilyHoliday #familyadventure #Vacations #vacationrental #holidayhome #holidaycottage #selfcatering #airbnb #Tripadviser #reisen #Summer2019 #spring #uk</t>
  </si>
  <si>
    <t>#VacationRental Hosts: Is your house number clearly visible from the street? #quicktip #airbnb #shorttermrental</t>
  </si>
  <si>
    <t>Target a specific geographic location and dominate the are and share the Kingdom of #vacation #rental business with #Custom #Airbnb #Clone by #ibiixo! To Know More -  #luxuryrentals #yachtrental #airbnbcloneforcar #Airbnbclone #CustomAirbnbClone</t>
  </si>
  <si>
    <t>SanKu Jo|wehome.me</t>
  </si>
  <si>
    <t>Demonopolization then decentralization Airbnb =&gt; Wehome #blockchain #sharingeconomy #trust #airbnb #wehome</t>
  </si>
  <si>
    <t>Seoul Korea</t>
  </si>
  <si>
    <t>ceo, http://wehom.me #HomeSharing #wehome #blockchain #SharingEconomy #KOZAZA #BASE #블락체인 #공유경제 #공유숙박 #위홈 #한국공유경제협회장 #조합주의 #Coop</t>
  </si>
  <si>
    <t>Southbound Living</t>
  </si>
  <si>
    <t>Who else is house hunting this Saturday? . . . #house #househunting #jumping #atlanta #atlantahomes #airbnb #airbnblife #airbnblove #airbnbhost #airbnbsuperhost #superhost #stayhere…</t>
  </si>
  <si>
    <t>Rentals &amp; hospitality 🏠 DIY 🔨 Sharing the ups &amp; downs of being landlords and Airbnb Superhosts 🛏️ Join us on our journey 👇</t>
  </si>
  <si>
    <t>¡Viva la Vida! Inner Essence</t>
  </si>
  <si>
    <t>Starting today! #new place for me to offer my healing modalities #VivaLaVidaInnerEssence A new #RetreatCenter in #SantaElena Medellin, Colombia #airbnb #ComingSoon</t>
  </si>
  <si>
    <t>A Vessel &amp; Spiritual Guide to Support Deeply Healing ☀️ Are U Ready to Transform Your Life? #shamanism #handanalysis #massagetherapy #rosasagrada #airbnb</t>
  </si>
  <si>
    <t>Anthony Amitrano</t>
  </si>
  <si>
    <t>Keep the tax implications of renting your house out on #Airbnb in mind before starting the process. #REinvesting</t>
  </si>
  <si>
    <t>Mendon, MA</t>
  </si>
  <si>
    <t>Real Estate Agent - Worcester, Milford, Franklin, MA - Rhode Island - #massachusetts #rhodeisland #realestate #lovemyspace</t>
  </si>
  <si>
    <t>Sher Yip</t>
  </si>
  <si>
    <t>Romantic #airbnb getaway #notreally</t>
  </si>
  <si>
    <t>Morgantown, WV</t>
  </si>
  <si>
    <t>Loud, Weird, Normal, Hungry https://www.instagram.com/per_ogi/</t>
  </si>
  <si>
    <t>Felipe Adan Lerma</t>
  </si>
  <si>
    <t>Featured @FineArtAmerica artist groups * “Images That Excite You” curator @John_M_Bailey * “Beautiful Flowers” curator Johanna Hurmerinta @HurmerintaArt Theatre Of Light - Photo by Felipe Adan Lerma  Shot at our VT #airbnb host’s summer yard 😊</t>
  </si>
  <si>
    <t>Words Weave Pictures Pictures Paint Stories * http://Author.to/AdansAmazonPg * http://fineartamerica.com/profiles/felipeadan-lerma.html * No DMs</t>
  </si>
  <si>
    <t>Powderhorn Vacation Rentals</t>
  </si>
  <si>
    <t>Waking up in our condos and greeting yourself with the complimentary samples of freshly ground coffee from @boyerscoffee - our current selection: KONA! #rentalproperty #airbnb #vrbo #flipkey #tripadvisor #lodging #accommodation #Expedia #hotelscombined #spring #skiing</t>
  </si>
  <si>
    <t>Taos Ski Valley, NM</t>
  </si>
  <si>
    <t>📌A selection of various condos in the 💕 of Taos Ski Valley, New Mexico → individually owned and managed by 7 homeowners. ☀⛷️🍁🚴🌲🏂🌨️🏔️⛄❄ #hiking #skiing #skiWTF</t>
  </si>
  <si>
    <t>Kelsey Tapia</t>
  </si>
  <si>
    <t>look at this lil babe at our #airbnb</t>
  </si>
  <si>
    <t>Orange, CA</t>
  </si>
  <si>
    <t>P sure no one follows me but what the heck! validate me☀</t>
  </si>
  <si>
    <t>Derek Berndt</t>
  </si>
  <si>
    <t>While @TimSmit38591643 is asking if #Airbnb can sustain success with the Collaboration Three-Box Model, I question if there is a point when it’s too late for this model to help turn an organization around, such as #Ford's operations in China? @MktKitchenTV #Mkt684 #QnA RT @TimSmit38591643: Does #Airbnb fall into the Collaborative Three-Box Model? I think it does now but future growth might make that more difficult! #HotelTonight #mkt684 @eNetworkMkt</t>
  </si>
  <si>
    <t>Graduate student, Marketing Professional</t>
  </si>
  <si>
    <t>Zumbly</t>
  </si>
  <si>
    <t>How to start an @Airbnb business 👇 💰 1. Sign up for Zumbly 2. Search with our Zumbly Home Score READ MORE BELOW 💯 #RealEstate #AirBnb #PassiveIncome #RentalProperties #BuildWealth #Rent #Investment #SideHustle #Market #HomeBusiness #Invest</t>
  </si>
  <si>
    <t>On a mission to change the American dream to ➡️ Your dream by helping you find homes that make financial sense #ZumblyHomeScore #RealEstateInvesting 🏡 👇👇</t>
  </si>
  <si>
    <t>When a documentary about over-tourism is having a screening in a small village like mine...you start to get the point that many people in Mallorca strongly feel that not all tourism is to be welcomed. #BehindTourism #OverTourism #Mallorca #TotInclos #Turismo #AirBnb #TourOperator</t>
  </si>
  <si>
    <t>It's not about how hard you're hit. It's about how fast you get back up.  #Airbnb #airbnbaustralia #airbnbhost #bnbhostguru</t>
  </si>
  <si>
    <t>Mark Storm</t>
  </si>
  <si>
    <t>Random finds (2019, week 12) — On reimagining our cities, ‘trustworthy’ artificial intelligence, and changing morals. #airbnb #Venice #architecture #climatechange #Zeitgeist</t>
  </si>
  <si>
    <t>Europe (Netherlands-based)</t>
  </si>
  <si>
    <t>leadership confidant | leading a life of questioning and critical thinking | varius multiplex multiformis</t>
  </si>
  <si>
    <t>Rowdy parties, noise and damage from #Airbnb rentals are causing major headaches for condo dwellers</t>
  </si>
  <si>
    <t>LoosingSomething</t>
  </si>
  <si>
    <t>#Sunset along the river Arno #Florence #Pitti #LoveYourself #PonteVecchio #mondaymotivation #beauty #travel #holidaygoals #airbnb #chic #lastminute</t>
  </si>
  <si>
    <t>Firenze, Toscana</t>
  </si>
  <si>
    <t>Independent Florentine Page. Pure Entertainment and Usual Paradoxes of Living Together</t>
  </si>
  <si>
    <t>Cottage and Cabin all #hinched and ready for the holiday Season. #holidaycottage #airbnb #holidaylet #easterholidays #cornwall #devon #holiday #littlebridgeFA</t>
  </si>
  <si>
    <t>Sign up for Airbnb with my link for $40 off your first trip. #airbnb #airbnbcode #vacation #travel #trip</t>
  </si>
  <si>
    <t>#Vegas #LasVegas #VegasVacation #AirBnB #Deal #Condo #Raiders #LasVegasRaiders Check out this awesome Entire condominium on Airbnb: Live Like Royalty On The Las Vegas Strip!, sleeps 5</t>
  </si>
  <si>
    <t>GaryLDN</t>
  </si>
  <si>
    <t>"could you check this is the right address" Yep this is your place 👍 He was livid #AirBnB #SE16</t>
  </si>
  <si>
    <t>Church Langley</t>
  </si>
  <si>
    <t>Dripping in Cedarwood state.</t>
  </si>
  <si>
    <t>Patrick Brogley</t>
  </si>
  <si>
    <t>2/2 condo Jamaica Royale in #sarasota on #siestakey #beach with direct #gulf front with #spectacular #sunset views #paradise #vacation #airbnb #vacationrental #swfl #florida #realestate…</t>
  </si>
  <si>
    <t>North Port, FL</t>
  </si>
  <si>
    <t>Patrick Brogley is ready, able &amp; willing #SRQ #SWFL #NorthPort #RealEstate #SWFLRealEstate #Hustle #topagent http://patrickbrogleyrealestate.com #VALoan #FHA</t>
  </si>
  <si>
    <t>#PotterHighlands #DenverMayorDesignAward #AirBnB #RentalUnit in the basement. 6BR/5BA 4,661 SF</t>
  </si>
  <si>
    <t>Jason Abdi</t>
  </si>
  <si>
    <t>Calgary, Alberta</t>
  </si>
  <si>
    <t>Passionate tech leader steering strategic digital transformations that enable quantifiable business results. #CIO #itleadership #cybersecurity #cloud #IT #SaaS</t>
  </si>
  <si>
    <t>Christina Morehead</t>
  </si>
  <si>
    <t>Fair to say we use the heck out of #airbnb and also, I love traveling! @ San Antonio, Texas</t>
  </si>
  <si>
    <t>Woman, Wife, Mama, Conservative, Upside-Down #yogi #fostermom</t>
  </si>
  <si>
    <t>GokuOnNamek</t>
  </si>
  <si>
    <t>Get up to 5% #Cashback with a #MCO #visa #Platinum Card 💳 Get also #NETFLIX, #SPOTIFY #EXPEDIA #AIRBNB refunded ✨ Reserve your card for free, use my referral link  and receive an $40 bonus 💵</t>
  </si>
  <si>
    <t>Enjoy 40$ for free with this link https://platinum.crypto.com/r/6mmkw4mjn7</t>
  </si>
  <si>
    <t>Der Adler™</t>
  </si>
  <si>
    <t>Booked a nice cosy @Airbnb in NYC in June. 👌 #happy #nyc #queens #Travel #airbnb</t>
  </si>
  <si>
    <t xml:space="preserve">Hamburg </t>
  </si>
  <si>
    <t>Twitterlegende / Aufkleber-vom-Cap-abmacher / Air Max 1 OG für den besten Sneaker-der-Welt-halter / 🦅</t>
  </si>
  <si>
    <t>Courtney|Travel Daze</t>
  </si>
  <si>
    <t>Hello from my #Airbnb in Lisbon 👋🏻 •</t>
  </si>
  <si>
    <t>🏠 St. Louis</t>
  </si>
  <si>
    <t>City Guides + Coffee + Cool Places | 🌎 Exploring the world Solo | 📍Currently: Lisbon, Portugal 🇵🇹 | IG: TravelDazeco ✈️</t>
  </si>
  <si>
    <t>Reneata</t>
  </si>
  <si>
    <t>Today on the trail #nofilter #epichikes #flora #fauna #fruits #coconuts #coconutwater #turnovers #grapefruithuice #funforall #caribbean #airbnb #experience #nature #Choiseul #SaintLucia @…</t>
  </si>
  <si>
    <t>St. Lucia</t>
  </si>
  <si>
    <t>potterhead, beachbum, half werewolf half valkerie</t>
  </si>
  <si>
    <t>A spring getaway that doesn't cost a bundle? We can help with that:  #cometocoupeville #whidbey #travel #upperleft #airbnb #superhost</t>
  </si>
  <si>
    <t>EagleLens Photography</t>
  </si>
  <si>
    <t>Do you own a property and would like to feature it in a vacation rental website? 🏡⠀ ▫️⠀ Contact us for a free quote on aerial photography! 🌴🌞 #airbnb #homeaway #vacationrentals #aerialphotography</t>
  </si>
  <si>
    <t>We have led the Aerial Photography Industry since 2014. Based in California, currently servicing the Counties of San Diego, Orange, and Los Angeles.</t>
  </si>
  <si>
    <t>💲55 ❤️💚💜💙💵💲✈️🗺 Airbnb code coupon promo discount first. $55 OFF CLICK LINK NOW! Try it. Please DM me if you have any issues. #airbnb #airbnbcode #airbnbdiscount #airbnbpromo #airbnbcoupon #saturdaymorning #InAWorldWithNoTwitter #SaturdayThoughts</t>
  </si>
  <si>
    <t>Research shows that #AirBNB hosts and landlords of short term let properties in #Walton, #Liverpool are achieving the best yields in the North West. In fact, you can expect to receive a rental yield of over 30%! 😮  @propertyr #RentalYield #Investment</t>
  </si>
  <si>
    <t>Waiting for you @maderobnb Visit Us #Lahabana #havana #Havanalove #havanastyle #cuba #cubalife #cubalove #bedandbreakfast #CasaParticular #casaparticulares #renthousecuba #airbnbguest #airbnb #casaparticularhavana #CubaTravel</t>
  </si>
  <si>
    <t>Our Neighborhood @lasiguaraya #Lahabana #havana #havanacars #Havanalove #havanastyle #cuba #cubalife #cubalove #bedandbreakfast #CasaParticular #casaparticulares #renthousecuba #airbnbguest #airbnb #bicitaxi #casasparticularescuba #takemethere #CubaTravel</t>
  </si>
  <si>
    <t>If you were waiting for the inherently "progressive" nature of the sharing economy to prevail you might not want to hold your breath. #airbnb #owners</t>
  </si>
  <si>
    <t>A peaceful apartment just minutes away from the attractions of Liverpool🎡  #Airbnb #Liverpool #Accommodation</t>
  </si>
  <si>
    <t>Even on the coldest, darkest nights the Moon still shines  #Airbnb #airbnbaustralia #airbnbhost #bnbhostguru</t>
  </si>
  <si>
    <t>rayfeindt</t>
  </si>
  <si>
    <t>When preparing to rent your house out on #Airbnb, research is a must. #realestatetips</t>
  </si>
  <si>
    <t>Denver Colorado</t>
  </si>
  <si>
    <t>The Raymond Realty Group @ Realty ONE Group Premier. "Everybody Loves Raymond"</t>
  </si>
  <si>
    <t>Natasha Collins</t>
  </si>
  <si>
    <t>I spoke to the guest… whom it turned out wasn’t staying. He’d actually booked it for his Son and his son’s friend.  #airbnb #propertyinvestment #nightmare #blog #advice</t>
  </si>
  <si>
    <t>CEO / Founder of NC Real Estates Members Club for Property Investors &amp; Landlords * Chartered Surveyor * Currently In NYC 🇺🇸👷‍♀️📧 natasha@ncrealestate.co.uk</t>
  </si>
  <si>
    <t>Saying goodbye to the studio I lived for such a short time today. Moving to my new home inside the #arvipark ! 🏠🌲🏞🛎💝 #santaelena #medellin #colombia It is going to be an #airbnb…</t>
  </si>
  <si>
    <t>Jodi Hutton</t>
  </si>
  <si>
    <t>When your Airbnb comes complete with a cat 😻 yes it got a 5 star review! #airbnb #Caturday #purfect</t>
  </si>
  <si>
    <t>Midlands, United Kingdom</t>
  </si>
  <si>
    <t>Actor | Voice Over | Lifestyle Model | Presenter</t>
  </si>
  <si>
    <t>#goodmorning from #puertomorelos #mexico #youshouldbehere Link in bio #casadelosviajeros #vacationrental #airbnb #vrbo #homeaway #doyoutravel #travelandlife #traveldeeper #travel #travelphotography #travelblogger #vacationmode #vacation #suitcasetrave…</t>
  </si>
  <si>
    <t>Jamieson Hill ️⚓️〰</t>
  </si>
  <si>
    <t>#tbt to my times in #lisbon. Have some fun and enjoy the view! - - - - - - - - #lisbon #portugal #travel #sun #beach #travelblogger #tourist #sightseeing #airbnb #music #djontour #DJ #inspiration #placestogo #placestosee #intellectualism #startuphub #ent…</t>
  </si>
  <si>
    <t>West Hollywood, CA</t>
  </si>
  <si>
    <t>Help us get to #1 on the @Hypem popular chart! Play like and tweet via the link below!</t>
  </si>
  <si>
    <t>#goodmorning from #puertomorelos #mexico #youshouldbehere Link in bio #casadelosviajeros #vacationrental #airbnb #vrbo #homeaway #doyoutravel #travelandlife #traveldeeper #travel #travelphotography #travelblogger #vacationmode #vacation #suitcasetravels #suitcase #travela…</t>
  </si>
  <si>
    <t>Toeliner</t>
  </si>
  <si>
    <t>Sea Otters are the best!! #airbnb #Portugal #beachlife</t>
  </si>
  <si>
    <t>Toeliner is an Accommodation Finder for people looking to get the perfect accommodation for their next vacation under Rs. 2000/- Get the App.</t>
  </si>
  <si>
    <t>Rustbelt Tour Day 1: Tiny House: Kitchen/living/sleep/bath/loft #tinyhouse #toledo #airbnb #kitchen #responsibletravel #lowimpacttravel #girlandabackpack #ecotraveller #intentionaltourist #loftbed #bathroom #takeoutthai #budgettraveler — in Maumee</t>
  </si>
  <si>
    <t>Lisbon Running Tours</t>
  </si>
  <si>
    <t>If you're coming to Lisbon but are short on time, the Sunrise Tour is the right one for you! As it starts early in the morning it is easier to fit into a busy schedule. 🏃🏃🌄😊 #RunningTour #TravelRun #Lisbon #Lisboa #Lisbonne #Lissabon #TripAdvisor #Airbnb #Run #StreetRunning</t>
  </si>
  <si>
    <t>Lisbon, Portugal</t>
  </si>
  <si>
    <t>Guided running tours in Lisbon. Explore Lisbon on the run, immerse yourself in the local culture, learn about the city, its lifestyle and get a great workout.</t>
  </si>
  <si>
    <t>Leucarum Properties</t>
  </si>
  <si>
    <t>➕Come and say hello this summer at one of our serviced apartments! All located in convenient locations for exploring what Swansea has to offer ! ➕ • • • •  #Airbnb #Swansea</t>
  </si>
  <si>
    <t>Serviced Accommodation in Swansea🖤 Work or play, we welcome your stay😎 #Dedicatedtostyle #Addictedtohospitality http://leucarumproperties.co.uk</t>
  </si>
  <si>
    <t>LiteraryCorstorphine</t>
  </si>
  <si>
    <t>Documentary on the over-tourism of #Venice and how locals are fighting back against #AirBnB and tourist lets. A must watch for anyone interested in the future of Edinburgh as well.</t>
  </si>
  <si>
    <t>Literature and psycho-geography in the west of Edinburgh. And a newly published book available to buy online at https://tinyurl.com/ybw3jwpt</t>
  </si>
  <si>
    <t>#tbt to my times in #lisbon. Have some fun and enjoy the view! - - - - - - - - #lisbon #portugal #travel #sun #beach #travelblogger #tourist #sightseeing #airbnb #music #djontour #DJ…</t>
  </si>
  <si>
    <t>Summertime on Skeenah Gap! #ferngullycove #airbnb #ferngully_cove #weekendgetaway #airbnbsuperhost #visitsuches #vacationrental #tinycabinrental #petfriendlycabinrental…</t>
  </si>
  <si>
    <t>Startups Weekly: A much-needed unicorn IPO update  #Startups #VentureCapital #Airbnb</t>
  </si>
  <si>
    <t>What about these color combinations?🖼 #dailybnbsf #airbnb</t>
  </si>
  <si>
    <t>Sarah Makin</t>
  </si>
  <si>
    <t>So so disappointed with #airbnb @Airbnb_uk @Airbnb . So not helpfully</t>
  </si>
  <si>
    <t>The brain is a wonderful organ; it starts working the moment you get up in the morning and doesn't stop until you get to work.</t>
  </si>
  <si>
    <t>Courthouse on the Square in beautiful downtown Blairsville, Georgia. Photo credit: @gaholeinthewall #visitdowntownblairsville #blairsvillega #ferngullycove #airbnb…</t>
  </si>
  <si>
    <t>Bobby D.</t>
  </si>
  <si>
    <t>I mean too cute! #airbnb #willowglenaframe #vsco #milannewyork</t>
  </si>
  <si>
    <t>Northampton, MA</t>
  </si>
  <si>
    <t>Inclusive Designer @penguinrandom #a11y. Maker of bleeps and bloops @ https://soundcloud.com/paperhouse-1</t>
  </si>
  <si>
    <t>Lynn Chapman</t>
  </si>
  <si>
    <t>Always good to have considerate guests especially when they bring #belgianchocolate #airbnb</t>
  </si>
  <si>
    <t>twyford,hampshire</t>
  </si>
  <si>
    <t>Eternal optimist much loved mother of two genii.</t>
  </si>
  <si>
    <t>How to Be More productive  #Airbnb #airbnbaustralia #airbnbhost #bnbhostguru</t>
  </si>
  <si>
    <t>John &amp; Cindy Farrell</t>
  </si>
  <si>
    <t>The controversy over short term rentals is in our local communities. #airbnb</t>
  </si>
  <si>
    <t>Boston, North Shore, Cape Ann</t>
  </si>
  <si>
    <t>Real Estate Services from Boston through the North Shore and Cape Ann. Check out our web site and connect with us!</t>
  </si>
  <si>
    <t>Cracking #sunrise from @730RocksMumbles #Airbnb this morning RT @Mumbles: An early start never goes unrewarded in #mumbles</t>
  </si>
  <si>
    <t>Dutch, Dutch, Goose!</t>
  </si>
  <si>
    <t>This Polish city has so much to offer a family you won't want to leave.  #TravelwithKids #Poland #Airbnb</t>
  </si>
  <si>
    <t>Traveling with three littles in tow. We're always exploring near and far and reporting back on our family friendly finds.</t>
  </si>
  <si>
    <t>The top five #challenges associated with hosting #Chinese #Airbnb guests – mess, manner, communication, house rules, bathroom. Need tips -read our recent article  @Airbnb @CurtinUni #SchoolOfMarketing</t>
  </si>
  <si>
    <t>We #upcycled an old cooking pot, that we found all rusted up at the cottage. This weekend it's the star of the show with the first #Tulips of the year. #ireland #tipperary #tulip #flowers #upcycling #restoration #renovation #airbnb @DiscoverIreland @visittipperary @MunsterVales</t>
  </si>
  <si>
    <t>3/24-31 Luxury 1 Bedroom Spacious·Modern · Incredible Infinity pool · large,private terraces · air conditioning❄️ · concierge · TV·Wifi·kitchen·fan · @losamigostulum beach club &amp; discounted gym  #airbnb #tulum #vacationrental #playadelcarmen #quintanaroo</t>
  </si>
  <si>
    <t>#Airbnb host says home was damaged by guest with fake name #gigeconomy #homeowner #homeownership #homeowners #Vacayo #startup #startups #proptech #sidehustle</t>
  </si>
  <si>
    <t>Ankur Sharma✌️</t>
  </si>
  <si>
    <t>Build something which people want! #airbnb #product #productmanagement #userexperience #ux</t>
  </si>
  <si>
    <t>Products @Goibibo @Makemytrip ($MMYT) |Ex- @ESPN, @Travelocity, @HolidayIQ &amp; @Housing |Magician 🎩Consumer Products,CRO,Pricing | 😍 Travel, Books &amp; StartUps</t>
  </si>
  <si>
    <t>Build something which people want! #airbnb #productmanagement #product # userexperience #ux #buildwhatpeoplewant</t>
  </si>
  <si>
    <t>Máire Greaney Daly</t>
  </si>
  <si>
    <t>#housingshortage @MurphyEoghan I've just had a look at #airbnb for Dublin. The amount of one bed 'studios'/bedsits at €70-€85 per night is staggering. They're booked up almost. That's about €490-€595 per week rent! Crikey, that's some income! Up to €30k per year</t>
  </si>
  <si>
    <t>Galway Ireland</t>
  </si>
  <si>
    <t>Galway based theater maker, environmentally aware community &amp; arts activist and carpenter follower... on a bike!</t>
  </si>
  <si>
    <t>Access All Areas: Why You Should Adapt Your Property for Disabled Travellers (by @Lodgify):  #rentalowners #holidayhomes #holidaylets #airbnb</t>
  </si>
  <si>
    <t>Janeen Vosper</t>
  </si>
  <si>
    <t>Day 1132 #grateful the Airbnb looks good under lights #airbnb #victoria #containerhouse #farm #wearewomen #cute @ Long Forest</t>
  </si>
  <si>
    <t>Brisbane</t>
  </si>
  <si>
    <t>http://directsalesmastery.biz/webinar I work with small business owners to craft a clear message that defines what they offer to turn prospects into clients.</t>
  </si>
  <si>
    <t>The latest image from the GowerLive #webcam on the roof 730RocksMumbles #AirBnB. Book at  #Mumbles #Swansea #Gower #travel. Watch live at  #41</t>
  </si>
  <si>
    <t>Robin M. Harris</t>
  </si>
  <si>
    <t>An exclusive opportunity with the Airbnb client program is currently available. Help Airbnb hosts and guests have unforgettable trip experiences! Contact us for more information at: 1-866-433-9970 #WorkFromHome #Airbnb #Opportunity #BeYourOwnBoss</t>
  </si>
  <si>
    <t>The Virtual Office Connection On The Web! MKM Enterprise Communications LLC gives you current Job listings within a large Telecommute Network!</t>
  </si>
  <si>
    <t>Enjoy the beauty of the Earth @thegoldenmoon.com #tourism #travel #hotel #airbnb</t>
  </si>
  <si>
    <t>Aglowid It Solutions</t>
  </si>
  <si>
    <t>Welcome Guests to Your B&amp;B with #Software Like #airbnb #travel #travellapp #travelindustry</t>
  </si>
  <si>
    <t>India | Serving Across the Globe</t>
  </si>
  <si>
    <t>Aglowid IT Solutions is a Full Stack Development Company that provides all types of technology solutions to it's valuable clients.</t>
  </si>
  <si>
    <t>E Rodriguez</t>
  </si>
  <si>
    <t>Survival 101. When the guys get an #airbnb in #Nashville and stock up the fridge with the essentials 😂😂 The before and after. Although on the last day @Shoehoo drank the orange soda and I ate the @LittleDebbie cake and took with us three @HalosFun and two water bottles.</t>
  </si>
  <si>
    <t>Greendale, WI</t>
  </si>
  <si>
    <t>Barely can skate, trying. Fan of 🏒💀 MILhockey 🌆 Chicago sports 🏙️ Brewers, Bucks 🎸 Smashville Preds ❤️ Johnny Cash, art, toys! Go Argonauts!</t>
  </si>
  <si>
    <t>Casa Pasqueee</t>
  </si>
  <si>
    <t>Araund us....... Milano 🔸️With train 🚅 🔸️ 🔷️  🔷️ #casapasquee #vergiate #casavacanze #airbnb #holiday #viaggiare #turismo #hospitality #inlombardia #iltuoalloggioincentro #bnb #milano #navigli</t>
  </si>
  <si>
    <t>Vergiate, Lombardia</t>
  </si>
  <si>
    <t>Casa Pasquee è una nuova struttura recettiva a conduzione familiare, situata nella piazza principale di Vergiate.</t>
  </si>
  <si>
    <t>Ljubljana from sky. Book your city trip holiday in this beautiful city.  #hotel #ljubljanastay #airbnb #filippalace #ljubljanastay #booking #centerstay #ljubljanahotel #apartment</t>
  </si>
  <si>
    <t>PORT Cultural</t>
  </si>
  <si>
    <t>Airbnb runs social innovation hubs #patrimony #airbnb #socialinnovation #tourism</t>
  </si>
  <si>
    <t>Romania</t>
  </si>
  <si>
    <t>PORT Cultural Project is a research project which will develop tools for adapting vernacular buildings to modern, contemporary functionality.</t>
  </si>
  <si>
    <t>Jamie Horne 🔴⚪️🔵🐶</t>
  </si>
  <si>
    <t>Albury</t>
  </si>
  <si>
    <t>Fairfax Regional Media Chief Designer. Newspapers. Hoops. Bulldogs.</t>
  </si>
  <si>
    <t>Gili Asahan</t>
  </si>
  <si>
    <t>blending into the surroundings' is our favourite colour 🎨⁣ ⁣ #lombokfriendly #gilibible #mylombok #thegiliway #thegiliguide #wonderfullombok #lombokexperience #explorelombok #bestintravel #lonelyplanet #airbnb</t>
  </si>
  <si>
    <t>Lombok Barat</t>
  </si>
  <si>
    <t>Gili Asahan is the perfect place for people who like snorkeling, diving, relaxing, for honeymoon couples and nature lovers</t>
  </si>
  <si>
    <t>This is cozy front sea view 2 bedrooms house located in Varkiza. 🏡  #firstclassproperties #apartmentsforrent #athensapartments #elliniko #varkiza #faliro #apartment #home #houseforrent #athensapartments #realestate #airbnb</t>
  </si>
  <si>
    <t>I realized long that you must have an infatuation to grab your opportunity in a moment when it floats up. #productive #motivation #100DaysOfCode #JavaScript #success #business #css #react #nodejs #airbnb #google #ilonmask #dream #forward</t>
  </si>
  <si>
    <t>If you are wondering where to stay in Santorini or specifically looking for via @ckanani #travel #airbnb #Santorini #accommodation #Greece</t>
  </si>
  <si>
    <t>ReLISTO</t>
  </si>
  <si>
    <t>New luxury #SF apartment complex green-lights #Airbnb rentals  #rentals @relisto</t>
  </si>
  <si>
    <t>SF Real Estate Leasing and Rentals: Luxury Homes, Lofts, Condo's and landlord support services. Contact us: service@relisto.com</t>
  </si>
  <si>
    <t>My first #airbnb &amp; it was COOL! My friend did the paper work. Only problem? We kept hitting our toes against the chair legs😆 A notebook is there of others who have been there &amp;amp; leave a message. This was ours with my art of things we did. #Preds #Nashville #Smashville @Shoehoo</t>
  </si>
  <si>
    <t>Drew Rich</t>
  </si>
  <si>
    <t>I’m really just trying to get lit but the wind is too fuckin extreme my joints keep going out or burning all kinds of fucked up. #airbnb</t>
  </si>
  <si>
    <t>Gainesville, FL</t>
  </si>
  <si>
    <t>Producer, Audio Engineer &amp; Artist Credits: Lil Bird, Sonny Digital, San Quinn, Q Da Fool, OG Maco, Fat Max, Young Manny, Pat Ryan, Drok, Big Bud, Icey Boy Kane</t>
  </si>
  <si>
    <t>Joe's Garage Photos</t>
  </si>
  <si>
    <t>Saturday is here finally, hope you will have a wonderful weekend, here is the fiery gorgeous christiana_ouellette 😀📸💖 #torontoontario #airbnb #glamourshoot #fashionshoot #photoshoot…</t>
  </si>
  <si>
    <t>He came like the wind, like the wind he touched everything, and like the wind he was gone. (from A memory of light Robert Jordan)</t>
  </si>
  <si>
    <t>Last Minute Easter Special ! Save$650. Book any 2 or 3 nights and get a 3rd night free for your stay until April 2019. Ring us on 0468462362 #kondalillafalls #weddings #visitsunshinecoast #montville #sunshinecoasthinterland #airbnb #airbnbsuperhost #holidayhome #montvillevillage</t>
  </si>
  <si>
    <t>Off to #Kauai? Read Trailblazer before you go.  #airbnb #hawaiilife #Amazon #visitkauai #hilife #hawaii</t>
  </si>
  <si>
    <t>Chris</t>
  </si>
  <si>
    <t>Enjoying my last night on the Big Island of Hawaii on the patio of our remotely located #airbnb house. If you listen carefully, you may be able to make out the…</t>
  </si>
  <si>
    <t>Salt Lake City</t>
  </si>
  <si>
    <t>“praxis” (πρᾶξις) the highest and most important level of the active life.</t>
  </si>
  <si>
    <t>Thank you for the great journal notes from my wonderful guests! #conveniencecottagejournal #conveniencecottagebnb #houstontxtravel #vrbo #airbnb #vacationproperty #travelinspiration #vacation #travelhouston #traveltexas #travelUSA #vacationrental #houstonairbnb #texasairbnb</t>
  </si>
  <si>
    <t>ICYMI:@Google unveils hotel search, booking website — #GoogleHotels. Find out more about its features and how it is in direct competition with #AirBnB:</t>
  </si>
  <si>
    <t>The Most Impressive Thing Anyone Has Ever Done  #Airbnb #airbnbaustralia #airbnbhost #bnbhostguru</t>
  </si>
  <si>
    <t>Ria Otero</t>
  </si>
  <si>
    <t>Last week, this was home. And these babes were family @kaciebabie _krys.10_ @MizzCCxYM @theemario @embeyes @djbrig #welcometothejungle #bali #indonesia #airbnb #drone #dji #djispark @…</t>
  </si>
  <si>
    <t>Candidate for ADEM Delegate CA State Assembly District 77</t>
  </si>
  <si>
    <t>LOMBOKVENTURESCEO</t>
  </si>
  <si>
    <t>Thank you for staying with us, hope to see you soon in near future #traditionalcicisbungalows #rustic #resortliving #Kerandangan #senggigi #airbnb #lombokventures @ Traditional Cici's…</t>
  </si>
  <si>
    <t>West Nusa Tenggara, Indonesia</t>
  </si>
  <si>
    <t>Arts, Culinary &amp; Lifestyle</t>
  </si>
  <si>
    <t>Auoie Ong</t>
  </si>
  <si>
    <t>I don’t usually take selfies but... lol 😆😆😆 #waiting #seoulkorea #travel #airbnb @ Seoul, South Korea</t>
  </si>
  <si>
    <t>IG: auoieto</t>
  </si>
  <si>
    <t>I had a call from a neighbour saying there had been a loud party on my property and could I sort it...  #airbnb #propertyinvestment #nightmare #blog #advice</t>
  </si>
  <si>
    <t>Large 5Star #Florida #vacationhome with prival pool on #Airbnb Tropical #TommyBahama style - #VRBO March 22, 2019 at 10:01PM</t>
  </si>
  <si>
    <t>Bradley J. Kaffar</t>
  </si>
  <si>
    <t>Happiness is Palm Springs! #latergram #PalmSprings #California #airbnb #vacation #ILoveGayPalmSprings #GayPalmSprings @ Palm Springs, California</t>
  </si>
  <si>
    <t>St. Cloud, MN</t>
  </si>
  <si>
    <t>Jose Ignacio Cabezas</t>
  </si>
  <si>
    <t>While writing this, something has become extremely clear—John Maeda doesn’t understand the role of Product Design, specifically in tech #airbnb #fastcompany</t>
  </si>
  <si>
    <t>valladolid, spain</t>
  </si>
  <si>
    <t>Puro Placerdiario🔅 #socialmedia #strategy #analytics #marketing #Ux #UI #webdesign #art #cocteldemente Diseñador multimedia en la Universidad de Valladolid</t>
  </si>
  <si>
    <t>Pierre</t>
  </si>
  <si>
    <t>this is why you don't Host #AirBnB anymore</t>
  </si>
  <si>
    <t>Perth, AU</t>
  </si>
  <si>
    <t>Social Voyager, who is just finding interesting Stuff from here and there</t>
  </si>
  <si>
    <t>Dr. Winder Gill</t>
  </si>
  <si>
    <t>This is more than a 'headache.' The cost of living in #Toronto is exorbitant enough &amp; unjustifiable. To have to deal with #AirBnB, short term rentals &amp;amp; ppl treating our home as a dorm/hotel is unacceptable. I shouldn't have to call security &amp;amp; 911.</t>
  </si>
  <si>
    <t>FRCPC Internal Medicine - Clinical Immunology &amp; Allergy. Lifelong learner, inspired by those around me! Views are my own.⚕️</t>
  </si>
  <si>
    <t>SF Haiku</t>
  </si>
  <si>
    <t>If my startup fails, I guess I’ll just go into real estate. #ipo #zoom #pinterest #lyft #airbnb #sf</t>
  </si>
  <si>
    <t>After a long trip // The fog resting on the bridge // Reminds me I'm home - DM submissions</t>
  </si>
  <si>
    <t>Rewarding yourself with small things  #Airbnb #airbnbaustralia #airbnbhost #bnbhostguru</t>
  </si>
  <si>
    <t>GO! David Millard Haskell @DMillardHaskell for PPC Cambridge-North Dumfries @PPCCambridge GO! #PPC2019 #BernierNation #canpoli #polcan #RoxhamRd #UNHCR #UNHRC #UNRWA #GlobalCompactForMigration #MayorsMigrationCouncil #CenturyInitiative #OpenSociety #Airbnb RT @DMillardHaskell: Study (below) shows that Libs support censorship when women, Islam or blacks are portrayed negatively. But Libs have no prob when it comes to portraying men, Christianity or whites negatively. Libs call it intersectionality... everyone else calls it hypocrisy.</t>
  </si>
  <si>
    <t>The MultiCareer Girl (Carlie Lawson)</t>
  </si>
  <si>
    <t>Take a trip. Get away for the weekend. Follow this link for $40 off of your first #AirBnb stay of $75 or more, or $15 off of your first experience (a cooking class, for example). The photos are from #BnBs in Edmond and The Village, OK where I have stayed.</t>
  </si>
  <si>
    <t>Women with multiple careers face unique challenges. Learn to acheive work/social life balance &amp; get more done at The Multi Career Girl by Carlie Lawson. 👑</t>
  </si>
  <si>
    <t>Don’t book your Airbnb without using this 💲55 referral coupon code! Click the link down below for your first 💲55 💵💵💵 Airbnb discount now! Please DM me if you have any issues. #airbnb #airbnbcode #airbnbdiscount #airbnbpromo #freecodefridaycontest</t>
  </si>
  <si>
    <t>Patio season is getting closer, and who wouldn't want to make an escape to #victoriabc? Spitzen ensures your vacation rental is spotless, so you only have to worry about what you take in you morning coffee. #spitzencleaning #cleaningservice #airbnb #yyjbusiness #beautifulbc</t>
  </si>
  <si>
    <t>This desk at Fernwood Cabin is a lovely spot for any artists or writers to work on their projects! In between relaxing in the hot tub and taking some time to hear the birds singing of course ;) Photo by: 1:16 Media #airbnb #homeaway #boone</t>
  </si>
  <si>
    <t>Loxley Martin</t>
  </si>
  <si>
    <t>Our #airbnb reached the finish line. Live tomorrow. 🙌🏻🙌🏻 #realestateinvesting #interiordesign #art #midcenturymodern #realestateinvestor #loxleymartin @ Xenia, Ohio</t>
  </si>
  <si>
    <t>Ohio, USA</t>
  </si>
  <si>
    <t>Loxley Martin Real Estate professionals are your go-to agents for buying, selling, renting and investing in the Dayton, Ohio area!</t>
  </si>
  <si>
    <t>Carl</t>
  </si>
  <si>
    <t>Donald Trump August 8, 2016 Loudoun County, VA “I’m going to be working for you. I’m not going to have time to go play golf.” #airbnb #Trump</t>
  </si>
  <si>
    <t>Retired Navy</t>
  </si>
  <si>
    <t>$55 AIRBNB DISCOUNT CODE 💵✈️💵 Here’s your chance for a free credit coupon discount and codes to travel for FREE. Click the link NOW. Please DM me if you have any issues. #airbnb #airbnbcode #airbnbdiscount #airbnbpromo #FreeCodeFridayContest</t>
  </si>
  <si>
    <t>Cult of Domesticity</t>
  </si>
  <si>
    <t>Episode 55: Ghost Emily ⠀ #podcast #podernfamily #domesticpodcast #ladypodsquad #paranormal #airbnb</t>
  </si>
  <si>
    <t>The Cult of Domesticity Podcast on iTunes &amp; other apps! If you like history, true crime, friendship, and movie references, this is the podcast for you.</t>
  </si>
  <si>
    <t>DO YOU LOVE TO TRAVEL? 🍾✈️🏖️ The #PLATINUM #MCO #VISA Card has #netflix #expedia #airbnb #spotify discounts &amp; also #loungekey #cashback #airdrops 👏😁 Download the app, Use my referral link  with my referral code: KOT8ML28MF &amp;amp; receive an $80 bonus</t>
  </si>
  <si>
    <t>http://CRYPTO.COM 😎👍 MCO, CRO https://www.cryptomarketads.com CMA-(ICO) POWR, BTC, ETH. Into Crypto in 2015. Opinions my are own, not investment advice</t>
  </si>
  <si>
    <t>Ellie B 🧜🏼‍♀️🧜🏼‍♀️</t>
  </si>
  <si>
    <t>Am I considering a specific #Airbnb simply bc the host says her dog will be there to greet me on arrival? You bet your sweet ass I am.</t>
  </si>
  <si>
    <t>Southern girl trying life in Las Vegas. Cat lover, Mermaid girl, Backstreet Boys fangirl, Disney Darling, Lush. Snapchat: LaLaMermaid27</t>
  </si>
  <si>
    <t>Blue Mountains Holiday Rentals</t>
  </si>
  <si>
    <t>Thinking about putting your place up on @Airbnb? Here's a few tips to help you get started and ready to welcome your first guests! 🏡✨👌 #airbnb #bluemountains #tips</t>
  </si>
  <si>
    <t>Katoomba, Blue Mountains</t>
  </si>
  <si>
    <t>Airbnb hosting, housekeeping &amp; holiday property management in the beautiful Blue Mountains. Our new website is now live! 🏡🌿🦘🏔️</t>
  </si>
  <si>
    <t>🇧🇷 Studio in Largo da #Carioca - Dowtown - Apartments for Rent in Centro, #RiodeJaneiro, #Brazil  #Airbnb</t>
  </si>
  <si>
    <t>Jessica Adams</t>
  </si>
  <si>
    <t>Jupiter In Sagittarius Part III - In part three, we’ll look at Brexit, Airbnb, easyJet and other big 2019 stories – before they happen.  #sagittarius #astrology #horoscope #brexit #airbnb #easyJet</t>
  </si>
  <si>
    <t>Essential Astrology for Women (HarperCollins) is out now http://www.jessicaadams.com</t>
  </si>
  <si>
    <t>55💲 FREE AIRBNB DISCOUNT CODE 💸💸💸. Here’s your chance for a free credit coupon and codes to travel for FREE. Click the link NOW. Please DM me if you have any issues. #airbnb #airbnbcode #airbnbdiscount #airbnbpromo #FreeCodeFridayContest</t>
  </si>
  <si>
    <t>Jeanette Sloan</t>
  </si>
  <si>
    <t>Love it when the friends we’re staying with are experienced at #airbnb. And yes the lion is a hot water bottle cover. Thank you russelldeanphotography 😘😘 #toastycozy #lovemyfriends…</t>
  </si>
  <si>
    <t>Designer of modern hand knitting patterns &amp; maker of #SLOANmade ready to wear accessories</t>
  </si>
  <si>
    <t>💻Frank Petruccelli</t>
  </si>
  <si>
    <t>Who jumps the highest on the first day of trading? #IPO #uber #lyftipo #Slack #airbnb #UberIPO</t>
  </si>
  <si>
    <t>was @apple engineer | now QA @apploi | Un-filtered tweets cause thats all I know.</t>
  </si>
  <si>
    <t>Scott Ingram CPA, CA</t>
  </si>
  <si>
    <t>I've been following #Airbnb related stuff closely as can really affect quality of life. "After he and a few neighbours complained about the Airbnb on their floor to no avail, he learned that the unit was actually owned by the condo board president."</t>
  </si>
  <si>
    <t>Data-driven Toronto Realtor &amp; Chartered Accountant &amp; MBA offering balanced views of the market — not an industry shill ► music, dessert, statistics, real estate</t>
  </si>
  <si>
    <t>PuertoRicoProperty</t>
  </si>
  <si>
    <t>#Airbnb #airbnbhost #MarchMadness Check out these Airbnb listings from Steve!</t>
  </si>
  <si>
    <t>San Juan Puerto Rico</t>
  </si>
  <si>
    <t>https://airbnb.com/users/11344945/listings Best prices on furnished vacation homes apartments Puerto Rico 786-571-4333 #repost #share #vacation ✈️🇺🇸🇵🇷🇮🇱</t>
  </si>
  <si>
    <t>This one was made for a "NEW" Client in Ireland! #ireland #usa #glamping #bubbletents #bubblehutsllc #glampingtents #airbnb #bnb #farmstay #popuphotel #outdoors #tents</t>
  </si>
  <si>
    <t>The road to @rockhopperkid #ferngullycove #airbnb #ferngully_cove #weekendgetaway #airbnbsuperhost #visitsuches #vacationrental #tinycabinrental #petfriendlycabinrental…</t>
  </si>
  <si>
    <t>Lovely picture #comfortcottagehealing #visitwales #dogfriendly #TheDogsWithMe #alpacas #ArtsWales #SunDogs #Airbnb #yell RT @UkWeathergirl: Totally perfect in pink. Have a lovely weekend lovely lady 💖💖💖💖💖💖💖💖💖💖💖💖💖💖💖💖💖💖</t>
  </si>
  <si>
    <t>Don’t do hotels!! Have freedom with an Airbnb! Sign up with the coupon link below to receive a $55 💚❤️💜🧡💙💵💲✈️ discount code with your first Airbnb. Please DM me if you have any issues. #airbnb #airbnbcode #FreeCodeFridayContest</t>
  </si>
  <si>
    <t>MediToursHungary</t>
  </si>
  <si>
    <t>Best Recovery Retreats in Budapest! check out where our patients stay.  #youtube #subscribe #airbnb</t>
  </si>
  <si>
    <t>Your one stop shop for #MedicalTourism in #Budapest #plasticsurgery #dental GRAB YOUR FREE GUIDE TO LOOKING GREAT AT ANY AGE! http://bit.ly/SaveMoneyLookGreat</t>
  </si>
  <si>
    <t>theresa robledo</t>
  </si>
  <si>
    <t>Happy St. Patrick’s Day! It’s never about luck ☘️ always about Blessings! Enjoy your St. Patrick’s day...be safe! #diamondrealty💎 #socal #lacounty #venturacounty #luxuryhomes #beachfronthomes #casas #homes #investments #propertymanagement #realestatelife #airbnb #lifeofabr…</t>
  </si>
  <si>
    <t>SoCal - LA county &amp; Ventura county 💎 We guide and educate people in buying &amp; selling homes...from #shacks2chateau Luke 16:10 ~ #blessednhighlyfavored</t>
  </si>
  <si>
    <t>First Time Airbnb $55 coupon promo referral code :) Get your discount credit on your first trip Click the link NOW 💸💸💸—-&gt;✈️ #airbnb #airbnbcode #airbnbdiscount #vacation #trips #travel #getaway #FreeCodeFridayContest</t>
  </si>
  <si>
    <t>First Code Airbnb $55 coupon promo referral code :) Get your discount credit on your first trip Click the link NOW 💵💵💵—-&gt;✈️ #airbnb #airbnbcode #airbnbdiscount #vacation #trips #travel #getaway #FreeCodeFridayContest</t>
  </si>
  <si>
    <t>$55 ❤️💜💚💙✈️🧡💲❤️💵💸⚠️ Airbnb code coupon promo discount first. $55 OFF CLICK LINK NOW! Try it. Please DM me if you have any issues. #airbnb #airbnbcode #airbnbdiscount #airbnbpromo #airbnbcoupon</t>
  </si>
  <si>
    <t>MoneyShow</t>
  </si>
  <si>
    <t>Should you jump on the @Twilio wave or should you let the wave break? Find out here:  #Uber #Airbnb #OpenTable</t>
  </si>
  <si>
    <t>Providing individual investors with financial education &amp; actionable advice to #InvestSmarter &amp; #TradeWiser</t>
  </si>
  <si>
    <t>Ray Alexander</t>
  </si>
  <si>
    <t>#Repost book your stay now khoolescape • • • • • #khoolescape air bnb located in the Sunny city of Bridgeport, Portmore, #Jamaica #airbnbjamaica #airbnbhost #airbnb #purejamaica…</t>
  </si>
  <si>
    <t>Management for the following Artistes: SPICE, I-OCTANE AND TEAM SPICE: Contact number: 18768775956</t>
  </si>
  <si>
    <t>FutureWorkforce</t>
  </si>
  <si>
    <t>Looks like #Airbnb wants a piece of the #workplace pie. Their new video features happy employees using Airbnb’s for team off-sites and company retreats.  #workspace #trends #flexiblespace</t>
  </si>
  <si>
    <t>Kate is research, writer, and consultant focused on helping employers embrace the business case for workplace change.</t>
  </si>
  <si>
    <t>In 2017, Airbnb needs to grow into your full-fledged travel bookings hub: Airbnb can find you a well-appointed place to crash during your next big trip, but it’d really prefer to hang out every step of the  #Startups #TC #Airbnb</t>
  </si>
  <si>
    <t>Jsquared RVA Home Staging</t>
  </si>
  <si>
    <t>A beautiful space to get away and relax. #homestaging #airbnb</t>
  </si>
  <si>
    <t>Jsquared provides residential real estate staging, interior design &amp; redesign services.</t>
  </si>
  <si>
    <t>#Airbnb in #Sydney - $2500/night Airbnb listing is owned by a @cityofsydney Councillor. RT @termite_terry: @Miteymiss @cbcmarketplace This is Jeb, who’s based in the US. His @airbnb_au Sydney apartment has been listed for over 2 years @ $2,500/night, min 7 night booking. Problem? It’s an apartment owned by a City Councillor who lives in it but won’t go public on a fake listing. Is ol’ Jeb laundering BIG money?</t>
  </si>
  <si>
    <t>#Airbnb and your city's legal department - It seems Airbnb is an expert at writing "agreements" that keep them off the hook of any platform accountability towards enforcement. #data #sharingeconomy #regulation #fail</t>
  </si>
  <si>
    <t>Gina Blank</t>
  </si>
  <si>
    <t>As a 4-yr #SuperHost w/ @Airbnb, I've never cancelled a guest. I also have a permit from @CityofEdmonton &amp; abide by their regul'ns. Curious to learn more about how &amp;amp; why the #Airbnb system breaks down, and what that means for me as a host. @cbcmarketplace</t>
  </si>
  <si>
    <t>Educator, photographer, introvert, Christian. All opinions tweeted are my own &amp; do not necessarily represent those of my employer.</t>
  </si>
  <si>
    <t>How did you do on all our pop quiz questions??? 🤓 Feeling confident in your #vacationrental knowledge now? 👉 See the complete list of #insurance questions in this #blog post:  #airbnb #host #sharingeconomy #vacationrentalhome #vrbo #bookdirect</t>
  </si>
  <si>
    <t>Here are some impressions from last night when our co-founder Dave and his father-in-law went to the @Airbnb Airbnb Super Host Celebration at Airbnb headquarters! #airbnbhost #vacationrental #airbnb</t>
  </si>
  <si>
    <t>What a week! We know you can't wait to trade out those business clothes for bathing suits. Book your next vacation today with @boundlesshawaii 📸: @threeifbysea #airbnb #hawaii #vacationmode #weekendready</t>
  </si>
  <si>
    <t>Vallarta Pride 2019 😎🏝 VallartaStays - Hotels &amp; Condos Vacation Rentals Dream Team  #VallartaStays #PuertoVallarta #airbnb #Expedia #Hotel #SemanaSanta #VallartaPride #22Mar #gaypride #FridayMotivation #FelizViernes</t>
  </si>
  <si>
    <t>Make money and earn profit easily. visit  . . . #airbnb #airbnbexperience #makemoney #rentalproperty #homes #business #businessminded #businessowner #bnbformula #moneymaker #learning #rentalhouse #profit #entrepreneur #entrepreneurship #entrepreneurial</t>
  </si>
  <si>
    <t>Huelo Pt Lookout Bed &amp; Breakfast</t>
  </si>
  <si>
    <t>A Rainbow Eucalyptus tree in the middle of Wailuku! #staywithus #huelopointlookout #bedandbreakfast #rainbow #rainboweucalyptus #nature #airbnb #honeymoon #maui #hawaii #getaway #vacation…</t>
  </si>
  <si>
    <t>Maui, HI</t>
  </si>
  <si>
    <t>Stay in 1 of our 4 unique cottages on Maui's beautiful North Shore! A perfect getaway ideal for honeymooners and anyone who wants to visit paradise 🌺</t>
  </si>
  <si>
    <t>$55 ❤️💸❤️💸❤️ Airbnb code coupon promo discount first. $55 OFF CLICK LINK NOW! Try it. Please DM me if you have any issues. #airbnb #airbnbcode #airbnbdiscount #airbnbpromo #airbnbcoupon #NationalPuppyDay #jonesbbq #WorldWaterDay</t>
  </si>
  <si>
    <t>✍⭐🚀 Dreams start small...  #Airbnb #airbnbaustralia #airbnbhost #bnbhostguru</t>
  </si>
  <si>
    <t>AB Hotel &amp; Lodging</t>
  </si>
  <si>
    <t>2707 Ellwood Drive SW Edmonton</t>
  </si>
  <si>
    <t>Supporting our members and strengthening Alberta’s tourism and hospitality industry.</t>
  </si>
  <si>
    <t>Cabstartup</t>
  </si>
  <si>
    <t>#Uber, #Lyft, #Airbnb and #Pinterest plan to go public. California’s newly minted rich will be hungry for parties, houses, boats, bikes — and ice sculptures. Learn more:</t>
  </si>
  <si>
    <t>Palo Alto, CA</t>
  </si>
  <si>
    <t>CabStartup is a cloud based white label #taxi booking and #dispatch solution powered with #mobile #apps. Get #FreeTrial Now: https://cabstartup.com/</t>
  </si>
  <si>
    <t>Visiting Nosara is a life-changing experience!  ☎ 2682 5201 📧 livinghotelnosara@gmail.com #Nosara #Guanacaste #CostaRica #Beach #Surf #Vacations #Retreat #Yoga #Hotel #Tourism #LivingHotelNosara #Airbnb #Booking #Expedia</t>
  </si>
  <si>
    <t>Robin Esrock</t>
  </si>
  <si>
    <t>If only we could all have @cbcmarketplace batting for us! When it works, it works, but when it doesn't....  #Airbnb @Airbnb</t>
  </si>
  <si>
    <t>Bestselling author, TV host, Journalist, Raconteur, Veteran of 100+ countries and King of the Bucket List</t>
  </si>
  <si>
    <t>alberta@noon</t>
  </si>
  <si>
    <t>Alberta</t>
  </si>
  <si>
    <t>Connect with Albertans from noon to one on CBC Radio with @judyaldous.</t>
  </si>
  <si>
    <t>💡Weekly #Airbnb Tips Remember - you’re not just promoting your property - you are also promoting yourself . If you want to create an effective personal profile pay special attention to your profile photo and description. Find more tips here:</t>
  </si>
  <si>
    <t>#Women make up nearly 56 percent of all hosts on our platform and have earned nearly $32 billion on #Airbnb since 2008. Proud to be a #Superhost. Check out AIrbnb for your next trip!</t>
  </si>
  <si>
    <t>One of our recommendations while staying at the lake house! You will find their business card on the coffee table. #😎 fulldeckcharters  #airbnb #homeaway #vrbo…</t>
  </si>
  <si>
    <t>#airbnb #superhost for 14 #consecutive #quarters @ High Street, Harlesden</t>
  </si>
  <si>
    <t>It may be a little unusual, but you just might have what you need to dive into becoming a verified Airbnb host #HereForYou #General #Business #USA #Jobs #Airbnb #Host</t>
  </si>
  <si>
    <t>Derek Vollebregt</t>
  </si>
  <si>
    <t>Loving the #airbnb hosting experience so far, with 5-Star reviews from our guests. If you know of anyone coming to Kitchener-Waterloo check it out!</t>
  </si>
  <si>
    <t>International customer success leader @Axonify, #Edtech experimenter and active in #WatReg with @Carizon, @KPL and much more</t>
  </si>
  <si>
    <t>#Airbnb in #Toronto - "Reid" is a trusted 'host' who cancelled a customer's booking. "Reid" also listed the same place under a different profile for a very different price. @Fairbnbcanada</t>
  </si>
  <si>
    <t>#Airbnb in #Mexico and #Toronto - Sudden cancellations, double-booking, scams and more! Check it out on @cbcmarketplace</t>
  </si>
  <si>
    <t>Finally some good weather! #Fishing time on @GalvestonIsland This one wasn’t quite a keeper but a lot of fun for a 6 year old. Plan your fishing #vacation with us!  #FishFriday #travel #airbnb #Galveston #texas #HOUSTON</t>
  </si>
  <si>
    <t>Tom Greeves</t>
  </si>
  <si>
    <t>Planning to rent your house out on #Airbnb? Keep this information in mind. #REtips</t>
  </si>
  <si>
    <t>Clarksburg, MD</t>
  </si>
  <si>
    <t>Vacation: where getting out of bed to participate in real life is optional. #vacationrental #shorttermrental #airbnb #vrbo #homeaway #vacation</t>
  </si>
  <si>
    <t>jason dodd</t>
  </si>
  <si>
    <t>#propertyphotography for @the_andy_clarke another great referral @CanterburyBNI @BNIKent for #airbnb website and #socialmedia #marketing</t>
  </si>
  <si>
    <t>canterbury, Kent UK</t>
  </si>
  <si>
    <t>Freelance professional photographer based in Canterbury covering automotive and commercial photography across the UK and Europe. PPOTY award winner 2012</t>
  </si>
  <si>
    <t>Landmark Valuation Inc.</t>
  </si>
  <si>
    <t>Do you know the difference between a long-term and a short-term rental according to IRAC's definitions? Landlords advised to know the rules. | #PEI #shorttermrental #longtermrental #IRAC #vacation #property #tourism #airbnb</t>
  </si>
  <si>
    <t>Charlottetown</t>
  </si>
  <si>
    <t>Landmark Valuation Inc. is a PEI-based real estate appraisal firm providing valuation and advisory services Island-wide and throughout Atlantic Canada.</t>
  </si>
  <si>
    <t>Beckyy Blanco</t>
  </si>
  <si>
    <t>So #boom ! Bitch everyone #PullUp to the @Airbnb #AirBnb (which BTW our #house was #beautiful ) we get settled in.. While gathering my #Outfit for the night out, I come to this AMAZING decision in which I was gon tell @Jakarri_RWB so I walk to the bedroom....😉</t>
  </si>
  <si>
    <t>Manassas, VA</t>
  </si>
  <si>
    <t>Tell the truth, do it look like im stressing? I be stylin on em, supa flexin! C.R.E.A.M</t>
  </si>
  <si>
    <t>Sofa Outlet</t>
  </si>
  <si>
    <t>Airbnb Staging #budget #airbnb #customsleepersofa #interiordesign #interiordesigner #staging #rental #practical #insta #instagram #instaairbnb #instastage #1weekinstallation #sancarlos…</t>
  </si>
  <si>
    <t>San Mateo, CA</t>
  </si>
  <si>
    <t>Custom-made comfort in less than three weeks</t>
  </si>
  <si>
    <t>My AirBnB Guest are great Daniel Carvalho From Brasilia . . #portrait #airbnb #guest #airbnbguest #airbnbexperience #headshot #canon_photos #canon_photos_daily #adobe #lightroom</t>
  </si>
  <si>
    <t>South Pond Farms</t>
  </si>
  <si>
    <t>Spring is here - FINALLY! Soon the grass will be green, the sun will be warm &amp; you'll be looking for a unique getaway spot to spend those vacation days! Relax &amp;amp; unwind at Ironhorse Ranch @airbnb  #StayIronHorseKawarthas @perfectwknds @pktourism #AirBNB</t>
  </si>
  <si>
    <t>Bethany Ontario</t>
  </si>
  <si>
    <t>South Pond offers a magical farm setting for events, cooking classes &amp; workshops, weddings, farm to table lunches &amp; dinners, corporate events &amp; more!</t>
  </si>
  <si>
    <t>Springtime view from Dongola Cabin of Whitetop Mountain. #dongolacabin #uponthelaurel #airbnb #appalachia #usinterior #appalachiantrail #whitetopmountain #spring #springtime #driveway #clouds #sky #konnarock #jeffersonnationalforest</t>
  </si>
  <si>
    <t>We've got that #FridayFeeling! Check out our latest #Airbnb property in the lovely area of St Andrews, #Bristol:</t>
  </si>
  <si>
    <t>He is so handsome #comfortcottagehealing #VisitWales #Dogfriendly #TheDogsWithMe #alpacas #ArtsWales #SunDogs #Airbnb #yell RT @ruthwignall: Oh Fenton.... 🐾😘 Beautiful boy... beautiful view xx</t>
  </si>
  <si>
    <t>#AirBnB #Vegas #LasVegas #Condo #LasVegasRaiders #Raiders Check out this awesome Entire condominium on Airbnb: Live Like Royalty On The Las Vegas Strip!, sleeps 5</t>
  </si>
  <si>
    <t>My AirBnB Guest are great Daniel Carvalho From Brasilia . . #portrait #airbnb #guest #airbnbguest #airbnbexperience #headshot #canon_photos #canon_photos_daily #adobe #lightroom à…</t>
  </si>
  <si>
    <t>Get caught up with the recent news in the world of #Airbnb with @GetPaidForUrPad and @Schmorak, CEO of Hostfully. #vacationrentals</t>
  </si>
  <si>
    <t>Where will this ladder take me? @lasiguaraya #Lahabana #havana #Havanalove #havanastyle #cuba #cubalife #cubalove #bedandbreakfast #CasaParticular #casaparticulares #renthousecuba #airbnbguest #airbnb #casasparticularesinhavana #casaparticularhavana #CubaTravel</t>
  </si>
  <si>
    <t>Illegal #Airbnb hotels are ruining the fabric of #MiamiBeach neighborhoods like Flamingo Park, where residents are starting to feel like they live in hotels. #AirbnbWATCHFL</t>
  </si>
  <si>
    <t>What are the best Startups Ideas in India to work on and start a company? See:  @isrgrajan #FridayMotivation #IsrgRajan #Airbnb #Snapchat #Spotify #Startup #Uber</t>
  </si>
  <si>
    <t>Water is the most precious thing of our life. Don't waste the water save it for the future generation.  #Airbnb #airbnbaustralia #airbnbhost #bnbhostguru</t>
  </si>
  <si>
    <t>Ugo Mazzola</t>
  </si>
  <si>
    <t>#art everywhere at #casamazzola #bedandbreakfast #sorrento 🇮🇹🇮🇹🇮🇹🇮🇹🇮🇹🇮🇹🇮🇹🇮🇹🇮🇹🇮🇹. #lifetree in #metal #handcrafted #bnb . . . . . . #amalficoast #airbnb #airbnbitaly #superhost…</t>
  </si>
  <si>
    <t>Sorrento</t>
  </si>
  <si>
    <t>Love travel, love art and the good vine! Visit our Bed and Breakfast in Sorrento, near the Amalfi coast (positano,Amalfi and Ravello) Don't miss Pompeii/Capri</t>
  </si>
  <si>
    <t>New #job: Airbnb Customer Service Agent - Night shift (Portuguese) Location: Barcelona Salary: €15kpa - €15kpa ..  #barcelona #Airbnb #customerservice #opportunity</t>
  </si>
  <si>
    <t>Dan Engel</t>
  </si>
  <si>
    <t>Today, we've launched our new eBook.  108 Tips, Tricks, Ideas &amp; Techniques For Property Managers To Improve Efficiency, Increase Profitability. #VRBO #airbnb #shorttermrentals</t>
  </si>
  <si>
    <t>Laguna Beach, CA</t>
  </si>
  <si>
    <t>Dir of sales for Guestbook, Kick ass VR software for Short Term Property managers.</t>
  </si>
  <si>
    <t>"We stayed on the third floor (walk-up) and had access to the back, private patio which was really nice!"  #Denver #Airbnb #AirbnbTour</t>
  </si>
  <si>
    <t>The Burger Battle begins tonight at 7 pm at the Scottsdale Waterfront at Southbridge. Unlimited burger tasting, live music and more. @visitphoenix #BurgerBattle #VRBO #Airbnb #Airbnbhost</t>
  </si>
  <si>
    <t>🌷🦋#Resisting Lioness🌎✌🏼</t>
  </si>
  <si>
    <t>Wonderful article spotlighting Tuolumne County! Leona Marlene Creative listed wonderful places to dine, explore and to stay! However, I'd like to invite her to stay at one of our 3 #AirBnB #VacationCabins Peace...</t>
  </si>
  <si>
    <t>Twain Harte, CA</t>
  </si>
  <si>
    <t>#LiveLetLive🦋#Equality4All #Vegan🐾#AnimalLover🐣#AirBnBHost in #TwainHarteCA #TreeHugginBeatnik🌿#SOS🌎#NeverAgain #ACA #PEC #DACA #LGBTQ #FBR #RESIST✌🏼🇺🇸</t>
  </si>
  <si>
    <t>#Airbnb sold some common stock at a $35 billion valuation, but what is the company really worth? #gigeconomy #homeowner #homeownership #homeowners #vacayo #startup #startups #proptech #sidehustle</t>
  </si>
  <si>
    <t>Bob Rauch</t>
  </si>
  <si>
    <t>Agree with #CindyEstisGreen, #OTAs will more competition now - we have predicted this at #hotelguru.com for over 4 years - #Airbnb to buy #HotelTonight: Industry reacts  via @hotelbusiness</t>
  </si>
  <si>
    <t>CEO, RAR Hospitality, a full-service hotel management company and Faculty Associate at Arizona State University</t>
  </si>
  <si>
    <t>CBC Radio Noon</t>
  </si>
  <si>
    <t>Today: your #airbnb complaints (or kudos.) We talk after 1230 with @CBCharlsie from @cbcmarketplace</t>
  </si>
  <si>
    <t>Radio Noon with @ShawnApel is on CBC Radio One or streamed live on cbc.ca. It's your chance to learn about - and talk about - the news of the day.</t>
  </si>
  <si>
    <t>Are You Ready? 😎🏝 VallartaStays - Hotels &amp; Condos Vacation Rentals Dream Team  #VallartaStays #PuertoVallarta #airbnb #Expedia #Hotel #SemanaSanta #VallartaPride #22Mar #gaypride #FridayMotivation #FelizViernes @TurismoGobPV @TurismoPV @TurismoUdeG</t>
  </si>
  <si>
    <t>The harsh realities of being an AirBnb host  #airbnb #host #propertyinvestment #nightmare #blog #advice</t>
  </si>
  <si>
    <t>FreightAmigo</t>
  </si>
  <si>
    <t>#Hermes to test pay-as-you-go cargo #software with #Icelandair #Cargo The #cloud-based, #AI-enabled #system incorporates “pay-as-you-go” model comparable to that of #apps like #Airbnb and #Uber, which tailors #cost to #frequency of #transactions</t>
  </si>
  <si>
    <t>Freightamigo is the freight marketplace and efreight platform, amigo for importers, exporters as well as freight forwarders. we share news and more.</t>
  </si>
  <si>
    <t>#Airbnb has been criticized for contributing to housing problems in cities across Europe, and nowhere more so than overcrowded Venice. But history shows there could be a way forward. Such an interesting read.....</t>
  </si>
  <si>
    <t>CBC Newfoundland and Labrador</t>
  </si>
  <si>
    <t>Meet the Canadian who took on rental giant #Airbnb — and won  Via @cbcmarketplace</t>
  </si>
  <si>
    <t>St. John's, N.L.</t>
  </si>
  <si>
    <t>CBC Newfoundland and Labrador. Breaking news, updates, features, columns, photos, videos, programming highlights and much more. Snapchat: CBCNL.</t>
  </si>
  <si>
    <t>Sign up for AirBnB via our referral and get $40 off your 1st stay.  #airbnb #travel #touristlife</t>
  </si>
  <si>
    <t>Sign up for AirBnB via our referral and get $40 off your 1st trip.  #airbnb #travel #touristlife</t>
  </si>
  <si>
    <t>This is a MUST read for anyone with or thinking about investing in a holiday home! Here is our guide to maximising revenue on your holiday let!  #tourismmarketing #airbnb #cornwall #holiday #tourism #holidayhome #tourismindustry #holidaylet #airbnbhost</t>
  </si>
  <si>
    <t>The Lou House "Your Vacation Pod" short description &amp; Pic -  #AIRBNB #YourVacationPod #vacationrental #bdg</t>
  </si>
  <si>
    <t>Moses Siaw</t>
  </si>
  <si>
    <t>Beware when you book with @Airbnb, you might face the same problem. It seems that they are unreliable if you have your trip of a lifetime. @Marketplace @TripAdvisor @travel @CNNTravel #airbnb #marketplace #tripadvisor</t>
  </si>
  <si>
    <t>#chinese #malaysian. Loves blockbuster movies, likes modern musics and loves to travel whenever he can.</t>
  </si>
  <si>
    <t>Today I decided that I need get out of the comfort zone as possible accordingly I don't hit the sack while each tasks won't accomplished. #productive #motivation #100DaysOfCode #JavaScript #success #business #css #react #nodejs #airbnb #google #ilonmask #dream #forward</t>
  </si>
  <si>
    <t>Beep! Digital</t>
  </si>
  <si>
    <t>What do the biggest #brand #logos in the world all have in common, and why are they all designed to look similar?  #trends #design #designer #branding #marketing #airbnb #facebook #google #pinterest #spotify</t>
  </si>
  <si>
    <t>Technically Creative® A supergroup of creative nerds delivering awesome #brand #UI #UX and #marketing to the #tech world.</t>
  </si>
  <si>
    <t>Want to make sure your guests have a wonderful stay? Our top quality linen supplies will ensure your guests have a comfortable one. #hospitality #airbnb #servicedapartments #comfort</t>
  </si>
  <si>
    <t>What is @Airbnb actually -  #Airbnb #VacationRental #Bandung</t>
  </si>
  <si>
    <t>Use your time wisely.  #Airbnb #airbnbaustralia #airbnbhost #bnbhostguru</t>
  </si>
  <si>
    <t>Torontonicity.com</t>
  </si>
  <si>
    <t>Find out what you need to know when listing your home on Airbnb :  #Airbnb</t>
  </si>
  <si>
    <t>Torontonicity is a #Toronto #lifestyle blog about events, restaurants, #food, beauty, healthy living + travel. #Canada #blogger Email: loriabosworth@gmail.com</t>
  </si>
  <si>
    <t>𝄢 Jason Barnard</t>
  </si>
  <si>
    <t>Staying in an #airbnb Cooked an egg No eggcups Here is how to eat a soft boiled egg without an eggcup 🙂</t>
  </si>
  <si>
    <t>Author, consultant, and public speaker | Creator of #SEOisAEO | To learn more about my 2019 podcast series, see the link below:</t>
  </si>
  <si>
    <t>Matt Harris</t>
  </si>
  <si>
    <t>Accreditation bid to boost standards of Airbnb and other short lets #property #airbnb #accreditation</t>
  </si>
  <si>
    <t>Very tall entrepreneur. Founder &amp; CEO of @TheOrgCleanCo &amp; Property Investor. Love the hustle &amp; learning every day! @SpursOfficial fan #COYS</t>
  </si>
  <si>
    <t>TD&amp;TD</t>
  </si>
  <si>
    <t>We have given you some suggestions on stylish airbnb's where you might like to take your next holiday On the Blog now  #airbnb #travel #accommodation #travel #holidays #style #stylish #interior #interiordesign #summer #holiday</t>
  </si>
  <si>
    <t>The Designer &amp; The Decorator an interior design studio based in London, creating unique interiors tailored to our clients style</t>
  </si>
  <si>
    <t>Guest Hook</t>
  </si>
  <si>
    <t>Are the best #Airbnb descriptions full of humor or emotional language? Descriptive and poetic, or short and to the point? The answer is: it depends!</t>
  </si>
  <si>
    <t>UK and USA</t>
  </si>
  <si>
    <t>Professional #copywriting and #content #marketing to help you book more nights. Connecting #vacation #rental owners with guests. Official @HomeAway Partners</t>
  </si>
  <si>
    <t>#FF @airbandme a company that was just launched and founded by @HeartFuse and @VenicePeach to aid in your #airbnb rentals/listings, offers #services and so much more!!!</t>
  </si>
  <si>
    <t>Eliana's Light</t>
  </si>
  <si>
    <t>Do you host on @Airbnb or @homeaway ? Please consider supporting Eliana's Light by contributing a portion of your earnings to our #nonprofit . We're participating in #BedsForACause, a service project of @Rotary in #CheshireCT. Email info@elianaslight.org if interested! #airbnb</t>
  </si>
  <si>
    <t>Supporting the #wholehealth of families with children who have complex medical conditions by focusing on their #wellness and #wellbeing.</t>
  </si>
  <si>
    <t>We have slithered our way into #athens foreign &amp; Greek #Airbnb groups. In this series, pieces of how they view us. #antireport #exarcheia #tourism</t>
  </si>
  <si>
    <t>Cullen International</t>
  </si>
  <si>
    <t>Some #EU countries have introduced withholding schemes requiring #sharingeconomy #platforms such as #Airbnb to collect money on behalf of the #tax authority, accoring to @CullenInt's latest #DigitalEconomy #benchmark.</t>
  </si>
  <si>
    <t>Independent regulatory intelligence provider specialised in #telecoms, #media, #digitaleconomy, #postal #regulation &amp; #competitionlaw. Regulation made simple.</t>
  </si>
  <si>
    <t>Kristina Háfoss</t>
  </si>
  <si>
    <t>A survey shows that only 50% of Faroese #Airbnb hosts pay tax on their rental income &amp; that the number of rental properties has doubled every year since 2015. We demand an agreement with AirBnB to ensure that our tax authority gets relevant information #FaroeIslands #fopol #nrpol RT @faroesenews: According to a Taks survey, only 50% of Faroese #Airbnb hosts pay tax on their rental income. #FaroeIslands</t>
  </si>
  <si>
    <t>Faroe Islands</t>
  </si>
  <si>
    <t>Minister of Finance. Republican Party (Independence Party). Economist and Lawyer.</t>
  </si>
  <si>
    <t>Nice apartments attract customers🌿 # # # #fotografo #arquitectura #architecture #inmobiliaria #airbnb #hotel #villas #architecturephotography #archilovers #arquitecto #realestate #realtor #granada #malaga #marbella #spain #luxuryhomes</t>
  </si>
  <si>
    <t>Nice! #Orbitz #Orbitz.com #Expedia #Hotels.com #Tavelocity #Airbnb #Google #bookingcom #booking.com #Kayak #Agoda #Flipkey #vrbo #Trivago #hotwire #priceline #Twitter #facebook #Instagram…</t>
  </si>
  <si>
    <t>We provide full guidance and assurance on all necessary regulatory conditions for short letting, including contracts, fire, health and safety, and specialist insurances! Go to our website to find out more! ⭐⭐⭐⭐⭐  #airbnb #propertymanagers</t>
  </si>
  <si>
    <t>The latest image from the GowerLive #webcam on the roof 730RocksMumbles #AirBnB. Book at  #Mumbles #Swansea #Gower #travel. Watch live at  #1019</t>
  </si>
  <si>
    <t>Believe in yourself..  #Airbnb #airbnbaustralia #airbnbhost #bnbhostguru</t>
  </si>
  <si>
    <t>Hotelverband IHA 🇩🇪🇪🇺</t>
  </si>
  <si>
    <t>Inside Airbnb's 'Guerrilla War' Against Local Governments  via @WIRED @HOTREC_Europe #Airbnb #sharingeconomy</t>
  </si>
  <si>
    <t>Berlin</t>
  </si>
  <si>
    <t>Hotelverband Deutschland (IHA) e.V. Branchenverband der Hotellerie https://www.hotellerie.de/go/impressum</t>
  </si>
  <si>
    <t>Bed &amp; Stay is a 3 story house in the beautiful neighborhood of Nogata. It is only 15 minutes by train to the popular district of Shinjuku. Book us now here: #AIRBNB :  #familytravel #travel #japan #airbnbjapan #airbnbtokyo #travel #traveling #trip</t>
  </si>
  <si>
    <t>Dream Clean Liverpool</t>
  </si>
  <si>
    <t>We have opened up next months Cleaning Slots!!!!!! . . . . #dreamcleanliverpool #liverpool #endoftenancycleaning #movingincleaning #weeklycleaning #airbnb #generalcleaning #commercial…</t>
  </si>
  <si>
    <t>Dream Clean #Liverpool is a #Domestic and #Commercial #Cleaning #Service with #competitive and #affordable #prices.📱Whats App 07762023070 #DreamCleanLiverpool</t>
  </si>
  <si>
    <t>My AirBnB Guest are great Daniel Carvalho From Brasilia . . #portrait #airbnb #guest #airbnbguest #airbnbexperience #headshot à Emmanuel Delaloy - Photographe</t>
  </si>
  <si>
    <t>Dicky Deans Shepherds Huts Ltd</t>
  </si>
  <si>
    <t>We made it! It was a busy day, but the #shepherdshut is now in place at its new home on the Isle of Skye #Scotland. Stunning views and tranquility. #isleofskye #Offgrid #sustainable #tourism #airbnb #dickydeans</t>
  </si>
  <si>
    <t>Barcombe, England</t>
  </si>
  <si>
    <t>I make beautifully crafted shepherds huts. All shepherds huts are made to order. I use local and reclaimed materials where possible. I am based in East Sussex</t>
  </si>
  <si>
    <t>You want your holidays little bit different? Book mansion in city center of Ljubljana #hotel #ljubljanastay #airbnb #filippalace #ljubljanastay #booking #centerstay #ljubljanahotel #apartment</t>
  </si>
  <si>
    <t>Soap &amp; Pamper</t>
  </si>
  <si>
    <t>3 tins for you to take your fav #handmadesoap in wherever you're going.  #businesstrip. #gym #musicfestival #camping #Travel #hotels #airbnb #EarlyBiz #wnukrt #uksmallbiz #womaninbiz</t>
  </si>
  <si>
    <t>Plymouth, England</t>
  </si>
  <si>
    <t>I make luxurious vegan and palm oil free Soaps to Pamper your body &amp; soul! The ingredients are 100% natural and the packaging is sourced as locally as possible.</t>
  </si>
  <si>
    <t>Thomas Gegenhuber</t>
  </si>
  <si>
    <t>nice project, but only people sensitive to racial bias are likely to install this tool in the first place:  #airbnb #fairbnb #platforms</t>
  </si>
  <si>
    <t>Linz, Austria</t>
  </si>
  <si>
    <t>Juniorprofessor for Digital Transformation @ Leuphana University Lüneburg &amp; researcher @ JKU Linz</t>
  </si>
  <si>
    <t>Morning #EarlyBiz. Hope all is well? If anyone is planning a trip soon then these tins allow you to take your fav #handmade #soap with you. 3 different sizes available from  #festival #musicfestival #Travel #holiday #weekendbreak #hotel #airbnb</t>
  </si>
  <si>
    <t>🎉 Special Offer! The Base Height at #Phuket #Airbnb #Airbnbthailand #AirbnbChiana #Superhost #Condo #CondoBTS #propertymanagement ➡Book now!!  ➡ More information</t>
  </si>
  <si>
    <t>AJ</t>
  </si>
  <si>
    <t>🤔 that definitely isn't the language the rest of the app is... #airbnb</t>
  </si>
  <si>
    <t>WordPress | Reactjs | Laravel | Front-end goodness. Always working on side projects, rarely finish any of them, still fun though 👌</t>
  </si>
  <si>
    <t>$55 ❤️💚🧡💙💜✈️💸💵💲⚠️🗺 Airbnb code coupon promo discount first. $55 OFF CLICK LINK NOW! Try it. Please DM me if you have any issues. #airbnb #airbnbcode #airbnbdiscount #airbnbpromo #airbnbcoupon #UsMovie #MarchMadness</t>
  </si>
  <si>
    <t>Andy Clayton</t>
  </si>
  <si>
    <t>Want to see pitch decks from some of the worlds largest online companies? Read more to see how companies like LinkedIn, Facebook and Airbnb started. #pitch #facebook #airbnb #linkedin #piktochart #startup #tips #hacks #insight</t>
  </si>
  <si>
    <t>Senior Technical Recruiter and Photography enthusiast</t>
  </si>
  <si>
    <t>Basketball motivational talk to a youth club  #Airbnb #airbnbaustralia #airbnbhost #bnbhostguru</t>
  </si>
  <si>
    <t>How about booking your next BnB or Homestay directly from the Host? And getting discounts directly too?  👈 #BNB #Vacations #vacationmode #accommodation #Summer2019 #airbnb</t>
  </si>
  <si>
    <t>🎉 Special Offer! #Condominium at #Sukhumvit #NANA #BTS #Bangkok #Airbnb #Airbnbthailand #AirbnbChiana #Superhost #Condo #CondoBTS #propertymanagement ➡Book now!!  ➡ More information</t>
  </si>
  <si>
    <t>The Sugarloaf Point Lighthousehttps://www.airbnb.jp/rooms/529410  via Twitter Web Client #airbnb</t>
  </si>
  <si>
    <t>🎉 Special Offer! #Condominium at #ChatujakMarket #Bangkok #Airbnb #Airbnbthailand #AirbnbChiana #Superhost #Condo #CondoBTS #propertymanagement ➡Book now!!  ➡ More information</t>
  </si>
  <si>
    <t>First Time Airbnb $55 coupon promo referral code :) Get your discount credit on your first trip Click the link NOW 💸💸💸—-&gt;✈️ #airbnb #airbnbcode #airbnbdiscount #vacation #trips #travel #getaway #UsMovie</t>
  </si>
  <si>
    <t>Water_nests</t>
  </si>
  <si>
    <t>We made it in the Top 10...☺️ #Airbnb</t>
  </si>
  <si>
    <t>Noosa, Sunshine Coast, QLD</t>
  </si>
  <si>
    <t>NOOSA HOUSEBOAT....Unique accommodation on the water!! We are also on Instagram !!</t>
  </si>
  <si>
    <t>Gorgeous illumination and cherry trees together. Do not miss it! Book your trip to Japan now and stay with us. Book us here: #AIRBNB :  #familytravel #travel #japan #airbnbjapan #airbnbtokyo #travel #traveling #trip #budgetrip RT @Tokyo_Weekender: Early-bird hanami parties are popping up all over the city, including a special sakura illumination at Yomiuriland – plus art exhibitions, stand-up comedy and more events happening in Tokyo this weekend:</t>
  </si>
  <si>
    <t>Judyth Mermelstein</t>
  </si>
  <si>
    <t>Inside #Airbnb's 'Guerrilla War' Against Local #Governments | WIRED #taxation #permits #law</t>
  </si>
  <si>
    <t>freelance writer, editor, translator (francais-anglais) and semi-geek; omnivorous reader and news junkie lectrice omnivore bilingue</t>
  </si>
  <si>
    <t>Property Management Bath</t>
  </si>
  <si>
    <t>In #Bristol, #Airbnb #management services are a good source of income. There are many companies providing #Airbnb #management services that #arrange seasonal lets on behalf of you as an owner.</t>
  </si>
  <si>
    <t>Bath, England</t>
  </si>
  <si>
    <t>Are you looking for property management in Bath or Estate agents and letting agents in Bath England. Browse your choice of Holiday and corporate lets in Bath UK</t>
  </si>
  <si>
    <t>There are so many things to do this weekend in #Tokyo. Time to book your trip to Japan and stay with us. Book us here: #AIRBNB :  #familytravel #travel #japan #airbnbjapan #airbnbtokyo #travel #traveling #trip #budgetrip RT @TimeOutTokyo: Your weekend, sorted.</t>
  </si>
  <si>
    <t>#Cashback 💰 will come easily with daily use of the #PLATINUM #MCO #VISA Card 😁👍 Plus #netflix #expedia #airbnb #spotify benefits, #loungekey &amp; #airdrops Download the app, Use my referral link  with my referral code: KOT8ML28MF &amp;amp; receive an $80 bonus</t>
  </si>
  <si>
    <t>Sign up to host on Airbnb and use the extra income to fund your passions. Here’s my invitation link:  #airbnb #businessowners #airbnbhost</t>
  </si>
  <si>
    <t>Kevin Turner</t>
  </si>
  <si>
    <t>Join Kieran Clair and Kevin Turner as they discuss the world's first #Bitcoin auction, a $42,000 per week experience, and how #Airbnb has entered the hotel rental space. #realestate #PropertyNewsUpdate #Realtor #property #KevinTurner</t>
  </si>
  <si>
    <t>Host of Australia's most listened to property podcast. Tune into RealEstateTalk anywhere, anytime. Your trusted voice for property investing.</t>
  </si>
  <si>
    <t>The Araliya flower holds a special place in Sri Lankan culture. On Holy Days the flowers are taken to the temple by women and children as an offering to Buddha, hence their name "Temple Flowers". #factfriday #galle #WanderlustXL #wheretostay #VisitSriLanka #lonelyplanet #airbnb</t>
  </si>
  <si>
    <t>Property TV</t>
  </si>
  <si>
    <t>The 1st Post-Cable TV for the property industry. #Property leaders from around the world discuss their successes #LIVE or #OnDemand. #RealEstate #Realtor #SOLD</t>
  </si>
  <si>
    <t>Ben Fenlon - Toronto REALTOR - Royal LePage</t>
  </si>
  <si>
    <t>Fun things to do in #Toronto via #Airbnb...</t>
  </si>
  <si>
    <t>#TorontoRealEstate Sales Rep. Landlord/Investor, Motorcyclist, Music Lover, Uncle, Volunteer. BuyOrSellYOURHomeWithBen! Referrals Appreciated. 416-301-0828</t>
  </si>
  <si>
    <t>💲Airbnb $55 coupon promo referral code :) Get your discount credit on your first trip Click the link NOW 💵💵💵—-&gt;✈️ #airbnb #airbnbcode #airbnbdiscount #vacation #trips #travel #getaway</t>
  </si>
  <si>
    <t>We've created a free comprehensive eguide on everything a #propertyowner must know about renting out a #property #shortterm.😊🏡 Download your complimentary copy here:  #madecomfy #sydney #melbourne #brisbane #shorttermrental #airbnb #investment #investor</t>
  </si>
  <si>
    <t>NHLiving</t>
  </si>
  <si>
    <t>Better Than AirBnB Rentals #nhvacations #VacationRentals #NH #WhiteMountainVacations #VisitNH #NewHampshire #AirBnB #NHLiving #Vacation #Trulia</t>
  </si>
  <si>
    <t>New Hampshire, USA</t>
  </si>
  <si>
    <t>NH Internet Magazine. Business growth 4 NH Businesses #nhlodging #nhdining #nhattractions #nhvacations #nhrealestate #nhliving #nhmade #nhbusiness #nhliving</t>
  </si>
  <si>
    <t>Large 5Star #Florida #vacationhome with prival pool on #Airbnb Tropical #TommyBahama style - #VRBO March 21, 2019 at 10:00PM</t>
  </si>
  <si>
    <t>André Querry</t>
  </si>
  <si>
    <t>How Airbnb is clashing with Toronto condo residents  #polqc #polmtl #airbnb</t>
  </si>
  <si>
    <t>Montréal</t>
  </si>
  <si>
    <t>Bob W</t>
  </si>
  <si>
    <t>Sign up for #Airbnb with my link for $40 off your first trip.</t>
  </si>
  <si>
    <t>#Terps, #USF, #Rays, #Bucs #Lightning</t>
  </si>
  <si>
    <t>Kobkaew Patsit</t>
  </si>
  <si>
    <t>Start by experience #airbnb enjoy with #siamworldheritage have a nice trips guests from #newyork lovely girl.</t>
  </si>
  <si>
    <t>Thanon Phaya Thai, Thailand</t>
  </si>
  <si>
    <t>I work as tourist guide anyone want to travel in Thailand and need guide contact me. +66830804686</t>
  </si>
  <si>
    <t>HOW TO STAY MOTIVATED, HAPPY, HEALTHY IN 2019  #Airbnb #airbnbaustralia #airbnbhost #bnbhostguru</t>
  </si>
  <si>
    <t>Bhavna Bhatnagar</t>
  </si>
  <si>
    <t>Favorite corners  #AllInADaysWork #MountainLodge #InteriorStyling #InteriorDesign #DecoInspiration #LuxuryTravel #LuxuryHotel #BoutiqueHotel #Himalayas #Bhutan #InteriorPhotography #AirBnB #AnIndianSummer</t>
  </si>
  <si>
    <t>Design • Interiors • Travel • Photography • Art • Literature • Music • And Cats. http://instagram.com/anindiansummer</t>
  </si>
  <si>
    <t>This 55-sqm spacious loft is tropical-designed w/ a picturesque view of Manila Golf Club. It's bright, high ceiling and spacious, and you will co-live with my plants (they're pretty tall and leafy), too. ☘️ Experience the space yourself:  #Airbnb</t>
  </si>
  <si>
    <t>Today’s grand finale at @costabaja12 #airbnb #vacation #rental #vacationrental #realestate #forrent #forsale #marina #beach #beachliving #sunset #travel #LaPaz #Mexico #visitMexico…</t>
  </si>
  <si>
    <t>bushwick babe</t>
  </si>
  <si>
    <t>pls help us out! we got tickets just need to find a place to stay!!! #SomethingintheWater #hotel #airbnb #cabin or something</t>
  </si>
  <si>
    <t xml:space="preserve">nyc </t>
  </si>
  <si>
    <t>welcome to my treehouse | arts administrator | movement explorer | this is my public notebook</t>
  </si>
  <si>
    <t>BirdsongLodge</t>
  </si>
  <si>
    <t>It's #SpringTime :)) #lewiscottage #DeckTime new #Mulch !!!! #VRBO #Airbnb #vacationrental #vacationmode #vacation #countryliving #cottage @TNVacation #madeintn @vrbo @Hwy65vacation @LiveRez @visitmusiccity @Airbnb #Nashville</t>
  </si>
  <si>
    <t>Ashland City, TN</t>
  </si>
  <si>
    <t>#VacationRental Historic Lodge Conveniently Located to Downtown Nashville http://www.highway65vacationrentals.com/vacation-rental-home.asp?PageDataID=127117</t>
  </si>
  <si>
    <t>Chic and quaint Chicago style living. Visit  for more of our #Airbnb properties #hostly #hostlyChicago #airbnbexperience</t>
  </si>
  <si>
    <t>Did you know that 51% of guests list cleanliness as their top priority for #Airbnb #properties and gaps in the #cleaning can hurt your property performance?😧 In this latest #article, we've listed the top 5 common cleaning issues:  #madecomfy #sydney</t>
  </si>
  <si>
    <t>The cozy (but bright enough you don’t sleep away the day!) kid’s bedroom at Tanglewood Cabin. Photo by: 1:16 Media #boone #airbnb #homeaway</t>
  </si>
  <si>
    <t>Felix Andrei</t>
  </si>
  <si>
    <t>#comingsoon for sale in #Vancouver. Stay tuned for details. . . . . #realestate #realtor #marketing #homevalue #listing #home #airbnb #felixandrei #felixremax @ Vancouver, British Columbia</t>
  </si>
  <si>
    <t>Coquitlam, BC</t>
  </si>
  <si>
    <t>I build trusting relationships. I love helping. Felix Andrei Personal Real Estate Corporation REALTOR® RE/MAX.</t>
  </si>
  <si>
    <t>Wish you had more income to travel to places like this? 🙋‍♀️ Head over to 👉  to get started! Helping you find financial freedom 🐳 #PassiveIncome #Travel #Vacation #FinancialFreedom #MillionaireMindset #Hustle #MoneyMoves #AirBnb #Investing</t>
  </si>
  <si>
    <t>⁦⁦Another great piece by @SamEdwardsTO⁩ on #Airbnb’s ghost hotels in #Toronto condos. #fairbnb #topoli</t>
  </si>
  <si>
    <t>more pictures by Vincentius Valdi &amp; Alfi Prakoso "Its Your Vacation House"  #airbnb</t>
  </si>
  <si>
    <t>I don't like to cook, but I may make an exception staying in an Airbnb with this kinda kitchen! #spitzen #spitzencleaning #cleaningservice #vacationrental #airbnbcleaning #airbnb #yyj #victoriabc #yyjbusiness</t>
  </si>
  <si>
    <t>Airbnb Universe</t>
  </si>
  <si>
    <t>What is an Airbnb cleaning fee? #airbnb #travelblogger #travel #TravelTuesday</t>
  </si>
  <si>
    <t>All the best Airbnb tips &amp; tricks. http://www.Instagram.com/Airbnbhosting http://www.airbnbuniverse.com</t>
  </si>
  <si>
    <t>Rene Steelman</t>
  </si>
  <si>
    <t>Watching two little girls throwing rocks into the pool at the home next door. A- they look unsupervised B-this is why we will never AIRBNB our homes! #airbnb #poolsafety #scary @…</t>
  </si>
  <si>
    <t>Pacific Northwest</t>
  </si>
  <si>
    <t>I am parent, an author, supporter of mothers ,motivational speaker, advocate for parents of disabled children, Navy veteran, companion, greatest nana ever!</t>
  </si>
  <si>
    <t>Storage West Tempe</t>
  </si>
  <si>
    <t>It may be a zoo out there, but you might just have what it takes to become an Airbnb host #HereForYou #General #Business #USA #Jobs #Airbnb #Host</t>
  </si>
  <si>
    <t>Tempe, Arizona 85281</t>
  </si>
  <si>
    <t>Storage West Self Storage Tempe, AZ. Storage available in Tempe. Come store with us! Hours: Mon - Fri, 9am to 6pm. Sat, 9am to 5pm. Closed on major holidays.</t>
  </si>
  <si>
    <t>SimonTWolf</t>
  </si>
  <si>
    <t>Let's stop calling the #sharing_economy...that...coz it's not any more, it's turned the labour force over into the #gig_economy job slaves, sharing slaves, co-opted by a promise of freedom - a mate does #AirBnB with a large warehouse space, spends more on advertising and repairs</t>
  </si>
  <si>
    <t>Reservoir, Melbourne</t>
  </si>
  <si>
    <t>cisgenger homosexual male: don't understand new gender language? learn, query, inform yourself - mine just means I'm a gay bloke, open your mind and your 💓</t>
  </si>
  <si>
    <t>It may be crazy out there lately, but you just might have what you need to dive into becoming a great Airbnb host #HereForYou #General #Business #USA #Jobs #Airbnb #Host</t>
  </si>
  <si>
    <t>Ryan Paliukaitis</t>
  </si>
  <si>
    <t>Fresh coat of #paint revived this rundown porch. #Summerrental in #Ptpleasant available #MDW. Email or DM for more details. #respnj #ryanbuyshouses #vrbo #airbnb</t>
  </si>
  <si>
    <t>New Jersey's #1 Cash Home Buyer. We Buy Houses Fast for Cash! Foreclosure &amp; Short Sale Specialist. Like us on FB: https://www.facebook.com/WeBuyNewJerseyHouse</t>
  </si>
  <si>
    <t>Jen Samuel</t>
  </si>
  <si>
    <t>A wee bit of prep for the next getaway! 😊 #outerhebrides #lewis #harris #eagles #walks #dogfriendly #airbnb #book #summerholiday #may #cantwait #scotland #visitscotland</t>
  </si>
  <si>
    <t>Architect. Daydreamer.</t>
  </si>
  <si>
    <t>Rickilee Properties</t>
  </si>
  <si>
    <t>The owner was asking $1,000 a night for his 7,800-square-foot home, dubbed Marion Manor, in the Country Club neighborhood. #realestate #airbnb</t>
  </si>
  <si>
    <t>Denver</t>
  </si>
  <si>
    <t>Colorado Native, and REALTOR® at Equity Colorado. I help people buy and sell homes.</t>
  </si>
  <si>
    <t>Tresses &amp; Lash</t>
  </si>
  <si>
    <t>#Eyelash #Extensions Book your appointment now. Email-tresseslash@gmail.com for more inquiries. #eyelashextensions #tressesandlash #eyelashextensionmalaysia #eyelashextensionpenang #lashmobile #lashesextension #Penang #KualaLumpur #Malaysia #Hotels #HomeStays #AirBNB #UberHair</t>
  </si>
  <si>
    <t>Georgetown, Penang</t>
  </si>
  <si>
    <t>Mobile hairdressing service in Penang.Get the salon experience in your own home for all occasions. Makeup.Eyelash Extensions.Colour/Highlights. Book yours now!</t>
  </si>
  <si>
    <t>Have a blessed Friday everyone!💚💜 #Eyelash #Extensions Book your appointment now. Email-tresseslash@gmail.com for more inquiries. #eyelashextensions #tressesandlash #lashmobile #lashesextension #Penang #KualaLumpur #Malaysia #Hotels #HomeStays #AirBNB #UberHair #MUAPenang #MUA</t>
  </si>
  <si>
    <t>HotPOorn</t>
  </si>
  <si>
    <t>Psychological Facts you need to know  #Airbnb #airbnbaustralia #airbnbhost #bnbhostguru</t>
  </si>
  <si>
    <t>How a $20 million NYC #Airbnb empire turned to dust:</t>
  </si>
  <si>
    <t>Looking for pre-made guest supply kits that you can customize? We have everything you need:  #premadekits #guestsupplykits #accentamenities #guestsupplies #hospitality #airbnb #turnkey #guestamenities #bathroomamenities #vacationrentals #vrbo #travelsize</t>
  </si>
  <si>
    <t>tutorial</t>
  </si>
  <si>
    <t>🏖🌞  🌞🏖 50 m from the Sea. Apartment in Private Residence . #Sardinia #holiday #travel #apartment #accommodation #vacation #airbnb #booking #tourist #travelling #visiting #mediterranean #voyage #trip #family #children #italy #summer #sea</t>
  </si>
  <si>
    <t>http://www.tutorialguidacomefare.com</t>
  </si>
  <si>
    <t>🏖🌞  🌞🏖 50 m from the Sea. Your Holiday in Costa Rei Sud Sardinia. Apartment in Private Residence #Sardinia #holiday #travel #apartment #accommodation #vacation #airbnb #booking #italy #travelling #residence #mediterranean #voyage #trip #relax #resort</t>
  </si>
  <si>
    <t>🏖🌞  🌞🏖 50 m from the Sea. Your Holiday in Costa Rei Sud Sardinia. Apartment in Private Residence with Private Beach with Lifeguard, Parking Wifi. #Sardinia #holiday #travel #apartment #accommodation #vacation #airbnb #booking #tourist #travelling #visit</t>
  </si>
  <si>
    <t>😭This #Airbnb host is about to have a real bad time.😭 Learn ways to prevent this at  P.S. If any of my #Philly peeps knows who owns…</t>
  </si>
  <si>
    <t>ARY News</t>
  </si>
  <si>
    <t>A Melbourne resident was sentenced to 11 years in prison for killing a man for failing to pay charges on a room he found on #Airbnb, #Australia’s national broadcaster said #ARYNews</t>
  </si>
  <si>
    <t>Karachi,Pakistan</t>
  </si>
  <si>
    <t>ARY News is a Pakistani news channel committed to bring you up-to-the minute news &amp; featured stories from around Pakistan &amp; all over the world.</t>
  </si>
  <si>
    <t>Blue Ridge Mountains offer an active lifestyle and scenic mountain views. (Photo by @mikebelleme for @WSJ) Visit ➡  ⬅ to learn how to profit from investment properties that you don't even need to own. #airbnb #vacationrental</t>
  </si>
  <si>
    <t>Happy Friday EVE! You have almost made it to the weekend. But for now, you can continue dreaming of #adventures such as these. 📸 : @chadkoga #boundlesshawaii #airbnb #daydreaming #explorehawaii</t>
  </si>
  <si>
    <t>Scotlist Scotland</t>
  </si>
  <si>
    <t>Number 18 Bed and Breakfast in Stirling with excellent views of Stirling Castle and the Ochil Hills. Located close to the River Forth which offers pleasant riverside walks  #bnb #bandb #airbnb #accommodation travel getaway wanderlust holiday Scotland</t>
  </si>
  <si>
    <t>Scotland UK Worldwide</t>
  </si>
  <si>
    <t>Search find #Accommodation #Business #Hotels #Trades #Arts #Sports #Events #Products #Travel #directory #Marketing #Scotland #UK Add your biz to the Scotlist</t>
  </si>
  <si>
    <t>Our #cosy decor is perfect for sitting back, relaxing and have a cup of #coffee with #delicious #fresh made #pastries and #cookies. #maisonvie #london #kilburn #nw6 #frenchcafe #frenchrestaurant #ICMP #airbnb #frenchcafe #londonfood #londoncafe #londonbakery #londonrestaurant</t>
  </si>
  <si>
    <t>Reservations are filling up fast! Book your stay with us early and you'll be all set!  #bookearly #booking.com #airbnb #vrbo #tripadvisor #reservationtime #summerwillbeheresoon #cozystay #bookbookbook #nevertoearly #openallyear #bookanymonth</t>
  </si>
  <si>
    <t>Just think if you rented our carriage house you could be here right now watching basketball and drinking beers. Instead you’re at work. Get right. Rent my place. Eat at Arby’s. Leave it all behind. #Airbnb #SuperHost #StayHere</t>
  </si>
  <si>
    <t>Various measures to help control #demovictions &amp; rising rents but legislators continue to ignore the obvious. Ban or punitively tax rampant toxic global demand, landbanking and non-resident speculators incl #Airbnb  #vanre #Cali #housingcrisisRT @planetizen: California Lawmakers Seek New Ways to Relieve High Rents</t>
  </si>
  <si>
    <t>Patient Safety Suffragette</t>
  </si>
  <si>
    <t>Please share, it is too sad to think that a pt could not get a transplant because of accomodations. #PatientExperience #cdnhealth #airbnb #vancouver Help Needed in Vancouver: Are YOU an Accommodation Angel?</t>
  </si>
  <si>
    <t>Advocating for transparency &amp; pt records *Disclose medical errors to pts* Phrenic Nerve Injury has Long Term Consequences &amp; QOL issues #CDH #CHDAware</t>
  </si>
  <si>
    <t>Thank you theskyeyeguy for this fantastic drone shot at #ferngullycove #airbnb #ferngully_cove #weekendgetaway #airbnbsuperhost #visitsuches #vacationrental #tinycabinrental…</t>
  </si>
  <si>
    <t>Need roof repairs? 🛠 We’ve got it covered! #EHSLASVEGAS #maintenance — #handyman CALL/TEXT 24/7 —&gt; 702.755.5373 #roofrepair #homerepair #vegas #rainydays #ThrowbackThursday #Rooftop #handymanservices #lasvegas #rentals #airbnb #ThursdayMotivation #ThursdayThoughts</t>
  </si>
  <si>
    <t>Taking the proper precautions is crucial for the safety of your #Airbnb property, as adversities often strike unexpectedly ⚡ Put these tips in place to keep your guests and your #Airbnb rental always protected 👇</t>
  </si>
  <si>
    <t>Stefan Herold</t>
  </si>
  <si>
    <t>Anybody has suggestions for accommodation from where #WWDC is reachable quickly? #WWDC19 #airbnb #hotel</t>
  </si>
  <si>
    <t>Frankfurt on the Main, Germany</t>
  </si>
  <si>
    <t>iOS Developer a.d. 2009 • iOS / OSX Expert • Now: @ioki_mobility • Past: @flinc, @deutschetelekom, @noltelauth • Cocoa Heads Fan • Passionate Mountainbiker</t>
  </si>
  <si>
    <t>Suiteness</t>
  </si>
  <si>
    <t>“From Airbnb’s perspective, HotelTonight is a goldmine for acquiring developer talent.” Our founder @killion offers his thoughts on the recent announcement by #Airbnb that it has signed an agreement to acquire #HotelTonight  via @hotelbusiness</t>
  </si>
  <si>
    <t>Stretch out without stretching your budget! Book hotel rooms that connect to suites for half the price of a standard 2-bedroom hotel suite. #SuitenessVIP</t>
  </si>
  <si>
    <t>Morgan Chase</t>
  </si>
  <si>
    <t>My toughest decision today will be which of these 3 hammocks to lay in 🤔🌴 . . . #puertorico #PEARLtorico #bacheloretteparty #girlsgonewild #luquillo #beachfront #airbnb #hammock #napqueen…</t>
  </si>
  <si>
    <t>Life's not all yoga &amp; daisies, but mine mostly is. Thunderbird yogi. Fly free. Keep it simple. "Be yourself; everyone else is already taken." - Oscar Wilde 🙏🌼💖</t>
  </si>
  <si>
    <t>PSK2329 - JHC</t>
  </si>
  <si>
    <t>Looks like 2019 could be a fun year of #IPO plays. Bring it on. $LEVI $LYFT $UBER #Airbnb</t>
  </si>
  <si>
    <t>Toledo, OH</t>
  </si>
  <si>
    <t>Day Trader. Husband, Father, Avid Golfer &amp; Hunter FSU &amp; ΦΣΚ Alumni Tweets are my opinions not advice!</t>
  </si>
  <si>
    <t>Surround yourself with people who make you a better person and not a bitter person. #positive #life #quote #motivation  #Airbnb #airbnbaustralia #airbnbhost #bnbhostguru</t>
  </si>
  <si>
    <t>Quartz: This Airbnb in Japan attracts thousands of visitors each year Quartz #airbnb #sharingeconomy #japan</t>
  </si>
  <si>
    <t>CascadianLogSchool</t>
  </si>
  <si>
    <t>10 dreamy #logcabins on #airbnb #loghome #cabinporn #cabininthewoods</t>
  </si>
  <si>
    <t>Oregon, USA</t>
  </si>
  <si>
    <t>Teaching log building skills in the traditional, rustic, architectural style by replicating actual historic log construction methods.</t>
  </si>
  <si>
    <t>We applied the stain on our concrete slab foundation ourselves. It's a super-durable flooring surface. . . . #methowlife #winthropwa #methowvalley #zeroenergyhome #vacationrental #airbnb #zeroenergybuilding #winthropwashington #zeroenergydesign #ecobuildings #greenhomes</t>
  </si>
  <si>
    <t>Coversure Insurance</t>
  </si>
  <si>
    <t>#Airbnb business is booming in the UK with 5.7m inbound visits in 2017. In #Bournemouth alone there are now over 300 registered hosts and so to help you stay protected here's Coversure Poole’s hosts' guide to Airbnb insurance.</t>
  </si>
  <si>
    <t>Here at Coversure Insurance Services we offer a wide range of #insurance products to suit your needs. Check out our webpage below for more information.</t>
  </si>
  <si>
    <t>➕Guess what ? You never have to travel alone again ! Alexa will keep you company at Livermore Loft 7 😍🧡➕ • • • •  #Airbnb #AmazonEcho #Alexa</t>
  </si>
  <si>
    <t>Erika Diana</t>
  </si>
  <si>
    <t>Recent #airbnb stay brooklyn Sign up for Airbnb and get $40 off your first adventure. Here’s my invitation link:  @ Fort Greene, Brooklyn</t>
  </si>
  <si>
    <t>Tattoo Model #Jaxson #YorkieStud Money does not equate love. .. IG:Tatmoderikad Snapchat: Erika_difilippi http://m.me/erikablackwido…</t>
  </si>
  <si>
    <t>billy clarke</t>
  </si>
  <si>
    <t>Read this thread about staying at my parents house. Glad you had a great experience. ❤️ #cork #ireland #airbnb RT @ryan_fox1: The time I accidentally booked an Airbnb to stay in a retired Irish couple’s guest bedroom: a thread</t>
  </si>
  <si>
    <t>Cork, Ireland</t>
  </si>
  <si>
    <t>⚽️ Bradford city</t>
  </si>
  <si>
    <t>Carolina Mornings</t>
  </si>
  <si>
    <t>Thank you Paritosh M. for sharing this gorgeous view from your vacation at Cherish the Cabin! #views #scenicwolf #marshill #airbnb #vrbo #avl #asheville #vacation #getaway #mountains #828isgreat #nc #northcarolina #blueridgemountains #carolinamornings #weekendgetaway</t>
  </si>
  <si>
    <t>Asheville, NC</t>
  </si>
  <si>
    <t>Asheville's #1 Award Winning Vacation Rental Company.</t>
  </si>
  <si>
    <t>Taxes on VC and electric buses harming oil prices  #TheExtraCrunchDaily #Airbnb #China</t>
  </si>
  <si>
    <t>Allways Fresh @maderobnb #bedandbreakfast #vacation #havana #enjoylife #airbnb #mojitos #sunnyday #americancar #oldcar #CubaTravel #Cuba</t>
  </si>
  <si>
    <t>Extra clean bathrooms for our guests @lasiguaraya #Lahabana #havana #Havanalove #havanastyle #cuba #cubalife #cubalove #bedandbreakfast #CasaParticular #casaparticulares #renthousecuba #airbnbguest #airbnb #casaparticularhavana #CubaTravel</t>
  </si>
  <si>
    <t>Certus Trading</t>
  </si>
  <si>
    <t>Airbnb to acquire HotelTonight for $463 million . #AirBnB . #hotel #travel #HotelTonight</t>
  </si>
  <si>
    <t>Certus Trading is a trading education company founded and led by Matt Choi.</t>
  </si>
  <si>
    <t>According to Warren Buffett, 3rd richest person in the world, it really is worth it to be a homeowner. Owning property = more assets #fact #moneymoves #airbnb #hustle #warrenbuffett #investing #travel #millionairemindset</t>
  </si>
  <si>
    <t>AltexSoft</t>
  </si>
  <si>
    <t>In 1966, a US economist Raymond Vernon first introduced the product lifecycle, which consists of 4 stages. In our new article we define the basic features and #KPIs of each lifecycle stage, taking #Airbnb as an example. // #ProductManagement</t>
  </si>
  <si>
    <t>#Technology &amp; Solution #Consulting company, co-building #software for #businesses with fast TTM. Tweets on #IT, #UX, #ML, #Fintech, #Healthcare, #Travel &amp; more.</t>
  </si>
  <si>
    <t>Palestinians to sue Israel settlers in US court over #Airbnb listing -  #Palestine</t>
  </si>
  <si>
    <t>Dale Kowcenuk</t>
  </si>
  <si>
    <t>Empty talk about afordable housing in T.O. Deal with this #DirtyMoney #PanamaPapers #Airbnb @JohnTory @juliedabrusin @JustinTrudeau RT @TorontoStar: #StarInvestigation: The report, which includes all residential property transactions in the GTA since 2008, shows $20 billion in anonymous money that entered the real-estate market without oversight. How #TO real-estate market welcomes criminals: expert</t>
  </si>
  <si>
    <t>Community Volunteer, Lover of Animals, Sports Enthusiast, Practicing Mindfulness Meditation</t>
  </si>
  <si>
    <t>Envious, my sort of day #comfortcottagehealing #visitwales #dogfriendly #TheDogsWithMe #alpacas #ArtsWales #SunDogs #Airbnb #yell RT @ruthwignall: You are wonderful.. thank you so much for such a fabulous day! Xx</t>
  </si>
  <si>
    <t>June Yoon</t>
  </si>
  <si>
    <t>Is it a messy, unorganized closet? No! It’s a #closetbooth ! #volife #airbnb #boothlife #onlocation #voicemoto</t>
  </si>
  <si>
    <t>🇰🇷Accented 🇺🇸 Voice Actor. “Moto” (元) means “origin”.</t>
  </si>
  <si>
    <t>UAE hotel company Rotana to launch pilot with Airbnb in Dubai  @TheNationalUAE #airbnb</t>
  </si>
  <si>
    <t>Peter Gornell</t>
  </si>
  <si>
    <t>Airbnb biz-models aren't going away anytime soon. #airbnb #instatravel RT @TechCrunch: Guesty, a tech platform for property managers on Airbnb and other rental sites, raises $35M  by @ingridlunden</t>
  </si>
  <si>
    <t>Omaha, NE</t>
  </si>
  <si>
    <t>connector, producer, idea evangelist &amp; one who favorites things innovative &amp; global which have both passion &amp; purpose @human___design</t>
  </si>
  <si>
    <t>Charming designer-approved, remodeled 3bed/3bath in Los Feliz! Garage has been converted to a swanky hang out. Walking distance to Los Feliz Village! $1.499m #dealoftheday #airbnb #investmentproperty #realestate #losfeliz #losangeles #passiveincome #ThursdayMotivation #forsale</t>
  </si>
  <si>
    <t>CSTV</t>
  </si>
  <si>
    <t>#airbnb says its not responsible for collecting local occupancy taxes. Moreover, it routinely fights vigorously against them. Why? @parismartineau explains  via @WIRED #cities #housing</t>
  </si>
  <si>
    <t>University of Waterloo</t>
  </si>
  <si>
    <t>The Centre for Society, Technology and Values at the University of Waterloo! Learn more about our courses and people at our homepage, or read our blog!</t>
  </si>
  <si>
    <t>Rafael De la Mora</t>
  </si>
  <si>
    <t>What #Marriott's CEO Had to Say About #Airbnb, #Amazon and #Google  vía @Skift</t>
  </si>
  <si>
    <t>Ciudad de Mexico</t>
  </si>
  <si>
    <t>Hotelero y firme creyente que el turismo es el encuentro con lo diferente y con lo diverso; es la oportunidad de viajar, vivir y tener experiencias inéditas.</t>
  </si>
  <si>
    <t>50 Campfires</t>
  </si>
  <si>
    <t>There are a lot of rustic AirBnBs out there that provide a COMPLETELY new and exciting experience. #airbnb #camping #offthebeatenpath</t>
  </si>
  <si>
    <t>Camping tips, recipes, gear reviews &amp; more! The camping authority.</t>
  </si>
  <si>
    <t>Gabtronica</t>
  </si>
  <si>
    <t>New hobby: finding places that look haunted on #airbnb</t>
  </si>
  <si>
    <t>St Louis, MO</t>
  </si>
  <si>
    <t>Space Cowgirl</t>
  </si>
  <si>
    <t>TechNomadNotes</t>
  </si>
  <si>
    <t>#Airbnb is changing the world of rentals again. Do you imagine, how big is the industry of subleases (including hidden and illegal)? Property owners now need an all-seeing eye:) #technomads #travel #Corporate</t>
  </si>
  <si>
    <t>Berlin, Germany | Los Angeles, CA</t>
  </si>
  <si>
    <t>Technology | Web 3.0 | Art and Design</t>
  </si>
  <si>
    <t>Sometimes a #keurig boost is just what you need to get the day going...We love helping our #Airbnb guest enjoy &amp; energize thier Atlanta trips! Book your stay at this beautiful…</t>
  </si>
  <si>
    <t>The spring is officially here! 😀🎉 #spring #firstdayofspring #first #lavender #instaspring #instasummer #instalike #instagramers #instatravelgram #travel #visit #visitcroatia #homeaway #rental #host #booking #airbnb #instaairbnb #ullitravel #photography #enjoy #summer2019</t>
  </si>
  <si>
    <t>Josh Mulherin</t>
  </si>
  <si>
    <t>1428 West 7th | Vancouver, BC</t>
  </si>
  <si>
    <t>- REALTOR® at RE/MAX Crest Realty -</t>
  </si>
  <si>
    <t>Home Cottage Cabin Rentals in NH #newhampshire #homeaway #flipkey #travelzoo #homerental #rentalhome #whitemountains #AirBnB #NH #NHVacation #Travel</t>
  </si>
  <si>
    <t>TAXMAPUSA</t>
  </si>
  <si>
    <t>#US | #Tax | Inside #Airbnb's 'Guerrilla War' Against Local Governments | WIRED</t>
  </si>
  <si>
    <t>@TaxMap Empowering people to map the future. Tweets about tax news from the United States of America.</t>
  </si>
  <si>
    <t>TAXMAP</t>
  </si>
  <si>
    <t>Empowering people to map the future. Tweets about tax news from the USA and the EU.</t>
  </si>
  <si>
    <t>Key to achieve such gentle housing goals is to prevent these suites turning in #Airbnb rentals for tourists. #topoli #affordablehousing RT @TessKalinowski: Lots of housing experts think secondary suites are a great way to inject gentle density into neighbourhoods that aren't zoned for multi-family homes. The proposed new rules will encourage them across Toronto.</t>
  </si>
  <si>
    <t>Nochumson P.C.</t>
  </si>
  <si>
    <t>Collingswood is cracking down on short-term rentals like Airbnb and VRBO. But as @mccabe_caitlin reports, some residents are not in favor of the new ordinance. @phillydotcom #RealEstate #NewJersey #NewJerseyRealEstate #airbnb #vrbo #rentals RT @mccabe_caitlin: Collingswood, NJ, has posted a new ordinance for short-term rentals like Airbnb and VRBO — but some residents aren't too happy about it. Among the regs: A host could only rent his or her home for 24 days a year.</t>
  </si>
  <si>
    <t>Philadelphia, Pennsylvania</t>
  </si>
  <si>
    <t>The law firm that thinks ahead. Creative, cost-effective approach to real estate, litigation, and business counseling in PA and NJ.</t>
  </si>
  <si>
    <t>The Plum Guide raises $18.5M to expand its ‘vacation homes for the elite’ service – #TechCrunch Read more:  #Travel #Airbnb #vacationrentals #propertymanagement</t>
  </si>
  <si>
    <t>Golden Visas, #Airbnb Replacing Tenants With #Tourists, Investors in #Greece</t>
  </si>
  <si>
    <t>Read this article about the way #Airbnb presents itself vs how it acts. Essential Council services are on their knees in #Edinburgh and across Scotland and yet we subsidise these unregistered full time businesses that run through Airbnb, by providing services they don't pay for. RT @HappyTravels11: Airbnb has made battlegrounds out of cities worldwide, fighting for its profits with unlicenced untaxed unregulated hotels, its morally wrong and needs defeating #airbnb #VRBO #illegalhotel #str #ota #travel #tourism #sharingeconomy #homeaway #flipkey</t>
  </si>
  <si>
    <t>What Hayley did next</t>
  </si>
  <si>
    <t>This sky... take me back to last weekend... had the best time with the best friends 👭 #airbnb #whitstable #weekendaway #birthdayfun #sky #view</t>
  </si>
  <si>
    <t>IG @WhatHayleydidnext FB@hayhairandbeauty YouTube what Hayley Did Next Don't forget to say hi✌️</t>
  </si>
  <si>
    <t>Airbnb Buys Last-Minute Hotel Booking Site #realestateinvesting #travel #shorttermrentals #airbnb @skift #useconomy</t>
  </si>
  <si>
    <t>New 30-bedroom hotel opening soon near Scunthorpe town centre - The 42 Apart Hotel is due to open next month in the former Scunthorpe Conservative Club building opposite The Baths Hall. Read more at  #servicedapartments #servicedapartmentnews #airbnb</t>
  </si>
  <si>
    <t>Proxima Experience</t>
  </si>
  <si>
    <t>#Guesty, a tech platform for property managers on #Airbnb and other rental sites, raises $35M</t>
  </si>
  <si>
    <t>Bratislava, Slovacchia</t>
  </si>
  <si>
    <t>#Fintech, #Learning, #BusinessDevelopment &amp; #ProblemSolving for companies &amp; professionals. #ExpatLife, #CoffeeLovers. It's solution time!</t>
  </si>
  <si>
    <t>Linchi Kwok, Ph.D.</t>
  </si>
  <si>
    <t>Business Today: Airbnb in talks to invest $100-200 million in OYO  The easiest way for #Airbnb to get into the #Indian #market? What do you see the future of #roomsharing? #SharingEconomy #Marketing #Sales #Acquisition #Hotels...</t>
  </si>
  <si>
    <t>Pomona, CA</t>
  </si>
  <si>
    <t>Associate Professor @CalPolyPomona #Technology #SocialMedia #ServiceOperations #Hospitality Also on http://facebook.com/DrKwok and http://www.linchikwok.net</t>
  </si>
  <si>
    <t>Have you heard about this brilliant business collaboration between @HeartFuse and @VenicePeach yet? With their creative minds and talents, it is going to be AMAZING! Check out @airbandme at  #airbnb #services #photography #companiesthatcareday</t>
  </si>
  <si>
    <t>Hold @Airbnb Responsible: Illegal #Airbnb rentals are negatively impacting communities across Florida, forcing neighbors to deal with problems caused by rowdy renters. #AirbnbWATCHFL</t>
  </si>
  <si>
    <t>Come and try our #delicious selection of #sandwiches.🥙🌯🌮 #maisonvie #london #kilburn #nw6 #frenchcafe #frenchbakery #frenchrestaurant #ICMP #airbnb #londonfoodie #londonfood #londoncafe #londonbakery #londonrestaurant #instagood #instafood #yummy #queenspark #food #hungry</t>
  </si>
  <si>
    <t>HomesGoFast.com</t>
  </si>
  <si>
    <t>#Poland #realestate for sale in #Sopot ideal #Airbnb Or #investmentproperty #overseasproperty #property #realestate #investment #property #investors</t>
  </si>
  <si>
    <t>A powerful #internationalRealEstate #propertyadvertising platform #sellingproperty #forsalebyowner #realestate agents to #overseasproperty buyers</t>
  </si>
  <si>
    <t>Chris </t>
  </si>
  <si>
    <t>Our airbnb's elevator is not working! 12th floor po kami 😭😭😭 #Airbnb</t>
  </si>
  <si>
    <t>Kamias, Quezon City</t>
  </si>
  <si>
    <t>Beach Lover, Travel Expert </t>
  </si>
  <si>
    <t>Local.fo - News from the Faroe Islands</t>
  </si>
  <si>
    <t>According to a Taks survey, only 50% of Faroese #Airbnb hosts pay tax on their rental income. #FaroeIslands</t>
  </si>
  <si>
    <t>Tórshavn</t>
  </si>
  <si>
    <t>http://Local.fo is the only English-language news media in the Faroe Islands reporting Faroese news.</t>
  </si>
  <si>
    <t>Maureen McVey</t>
  </si>
  <si>
    <t>#airbnb the process of providing a photo is horrible! AND there is no other way to contact this @%#@%#%^ company - I HATE Airbnb</t>
  </si>
  <si>
    <t>Head of Learning and Development for the IIBA, over 16 years as a BA, with a focus on organizational change, process optimization, and s/ware solutions</t>
  </si>
  <si>
    <t>BRAND NEW LISTING: Welcome to our newest refurbishment project. We are really excited to share this apartment with you. Perfect for 8 guests who want to stay in the city centre. Only a short walk to all attractions  #Airbnb #Liverpool</t>
  </si>
  <si>
    <t>Sorry no posts far a while it's just been so busy 🤙🙏🤙🙏 #surf #surfschoolbali #airbnb #airbnbhost #airbnbexperience #travelairbnb #bestsurfschoolsbali #surflessonsbali #surfbali #balisurf…</t>
  </si>
  <si>
    <t>ITIJ</t>
  </si>
  <si>
    <t>The sharing economy is here to stay - and companies like @CAASCO are adapting their coverage to cater for its users  #travelinsurance #sharingeconomy #AirBnb #Canada</t>
  </si>
  <si>
    <t>International Travel and Health Insurance Journal; covering the travel insurance, air ambulance, assistance and repatriation, and cost containment industries.</t>
  </si>
  <si>
    <t>Harry Kalous</t>
  </si>
  <si>
    <t>Arizona, USA</t>
  </si>
  <si>
    <t>Don't forget to book your getaway in #gordonsbay... #airbnb #SouthAfrica @AirAgentsSA @Airbnb</t>
  </si>
  <si>
    <t>Fine &amp; Country</t>
  </si>
  <si>
    <t>46 Church Road, Hove BN3 2FN</t>
  </si>
  <si>
    <t>Fine &amp; Country Brighton &amp; Hove is part of a global network of licensed real estate offices specialising in the marketing and sale of luxury residential property</t>
  </si>
  <si>
    <t>Lindsay Hart</t>
  </si>
  <si>
    <t>#woodstock is coming.... Watkins Glen International..... need a place to stay? #hartiswhereyourhomeis #airbnb #musicfestival #watkinsglen #fingerlakes</t>
  </si>
  <si>
    <t>Ithaca, NY</t>
  </si>
  <si>
    <t>The Hart of the Hart &amp; Homes Real Estate Team at RE/MAX.</t>
  </si>
  <si>
    <t>Mark your calendar for this fairytale-like night and start to plan your holiday to the legendary Borobudur from now on! ⠀⠀⠀⠀⠀⠀⠀⠀⠀ #BVNews #BVTravel #BukitVista #Airbnb #AirbnbJogja #AirbnbExperience #Vesak #Vesak2019 #Waisak #Waisak2019 #Borobudur #borobudurtemple</t>
  </si>
  <si>
    <t>What are the best Startups Ideas in India to work on and start a company? See:  @isrgrajan #ThursdayMotivation #IsrgRajan #Airbnb #Snapchat #Spotify #Startup #Uber</t>
  </si>
  <si>
    <t>Guesty, a #tech platform for property managers on #airbnb and other rental sites, raises $35M</t>
  </si>
  <si>
    <t>Ana Paula Picasso</t>
  </si>
  <si>
    <t>#Airbnb Has Big Plans for China and India  #emergingmarkets #payments #sharingeconomy</t>
  </si>
  <si>
    <t>Malmo, Sweden</t>
  </si>
  <si>
    <t>Digital Marketing Consultant #contentMarketing #Blockchain. Founder of Blockchain PR and Emerging Markets Today. I'm also part of @findec and @sweblockchain</t>
  </si>
  <si>
    <t>A Private Hire 🚕</t>
  </si>
  <si>
    <t>Just one of the amazing places you can rent here in #winchcombe @sudeleycastle #cotswolds #cotswoldlife #chelteham #cotswoldweddings #airbnb</t>
  </si>
  <si>
    <t>Winchcombe, Cotswolds</t>
  </si>
  <si>
    <t>☎️ 07540 437546 - 2 x 6 Passenger &amp; and 8 passenger Private Hire Taxis- TRY OUR NEW TAXI APP download it from our website 📲🚕</t>
  </si>
  <si>
    <t>Don't let your holiday be ruined by a poor homestay experience - follow our advice for a great stay in an Airbnb for your next holiday! #airbnb #travel #homestay #traveltips #traveladvice #ttot #travelblogger #ukblog #studentblog</t>
  </si>
  <si>
    <t>Mad March hares...... depicted in one of the many stained glass windows here. #stainedglass #glassart #art #Windows #church #hares #madmarchhares #boxinghares #stmarysspace #recordingstudio #creativeretreat #writersretreat #airbnb #weddingvenue #scotland</t>
  </si>
  <si>
    <t>The latest image from the GowerLive #webcam on the roof 730RocksMumbles #AirBnB. Book at  #Mumbles #Swansea #Gower #travel. Watch live at  #451</t>
  </si>
  <si>
    <t>Check out this amazing property near Kings Cross! 👇  #airbnb #propertymanagers #propertymanagement #kingscross #london #holidaylets</t>
  </si>
  <si>
    <t>#HongKong ranks 76 of the world happiness place. One reason makes us so unhappy is #Overtourism. Evils run #hostels with 40 bunk beds in a tiny unit next to locals' home #WanChai #CausewayBay &amp; create serious troubles. #discoverhk #hktravel #hktrip #airbnb #홍콩여행 #ilovehk #HKG</t>
  </si>
  <si>
    <t>Vincent Cole MEN</t>
  </si>
  <si>
    <t>Some interior shots of a Air bnb in the basement of an old bank. #interior #design #airbnb</t>
  </si>
  <si>
    <t>Staff Photographer / videographer at The Manchester Evening News. Communicating by images http://Instagram.com/thepressphotog…</t>
  </si>
  <si>
    <t>Landlords will evict you, hipsters will resell you a shoebox for the same price as "progress." #airbnb #moderntourism #athens</t>
  </si>
  <si>
    <t>The beautiful sight of stilt fishermen perched on branched poles as they fish skilfully is a common sight along Sri Lanka's south coast near Wambatu. #galle #WanderlustXL #ttot #wheretostay #VisitSriLanka #lonelyplanet #airbnb #boutiquevilla #villaholiday #travelthursday</t>
  </si>
  <si>
    <t>Sky Valley Ranch</t>
  </si>
  <si>
    <t>Super Crow Moon... 🌙🙌👍 . . . #super #crow #full #moon #sky #valley #ranch #skyvalleyranch760 #hipcamp #airbnb #holiday #california #love #likeforfollow #spring #is #here @ Sky Valley,…</t>
  </si>
  <si>
    <t xml:space="preserve">Sky Valley, Ca. </t>
  </si>
  <si>
    <t>Notch Interactive</t>
  </si>
  <si>
    <t>Pinterest + Airbnb’s official Spring/Summer travel guide for 2019. #collaboration #airbnb #pinterest</t>
  </si>
  <si>
    <t>Zürich, Switzerland</t>
  </si>
  <si>
    <t>Notch Interactive ist eine Zürcher Kreativagentur für digitale Kommunikation.</t>
  </si>
  <si>
    <t>🎉 Special Offer! NEW #Condominium at #RAMA9 #Ratchada #Bangkok #Airbnb #Airbnbthailand #AirbnbChiana #Superhost #Condo #CondoBTS #propertymanagement ➡Book now!!  ➡ More information</t>
  </si>
  <si>
    <t>#GreenNewDeal! 🌎⚡🚘</t>
  </si>
  <si>
    <t>#Airbnb raises rents on us all. We need short term rental control. RT @CityLab: In an effort to make housing more affordable, Amsterdam is crafting a law that says anyone who buys a newly built home must live in it themselves.</t>
  </si>
  <si>
    <t>Palo Alto, NYC, Austin and 🌎✈</t>
  </si>
  <si>
    <t>🛩️#studentpilot #sailplanes #electriccars #solar #cleantech #hyperloop #teslaupgrades</t>
  </si>
  <si>
    <t>ME Arch &amp; Design</t>
  </si>
  <si>
    <t>What about startup the day reading the reviews from our last work? 🤩 #layoutupdate #apartment #airbnb #dublin</t>
  </si>
  <si>
    <t>| Architect &amp; designer | Architectural visualization, Arch &amp; Decor | Spain - Brazil - Ireland | Follow @mearchdesign on Instagram</t>
  </si>
  <si>
    <t>Paulos</t>
  </si>
  <si>
    <t>Does anyone else find @Airbnb_uk sales tactics rather aggressive? Search for a property, send owner a message and the be hounded by generic texts, emails and app notifications from Airbnb (not the owners) to ‘book’?? Just stop ✋🙄 #airbnb</t>
  </si>
  <si>
    <t>Surrey</t>
  </si>
  <si>
    <t>QPR/Staines Town/Woking FC follower Enjoy the odd Harlequins match too.</t>
  </si>
  <si>
    <t>Bed &amp; Stay has a laundry room with 2 washing machines. We also provide with a box of detergent. Time to book your stay with us here: #AIRBNB :  #familytravel #travel #japan #airbnbjapan #airbnbtokyo #travel #traveling #trip #budgetrip</t>
  </si>
  <si>
    <t>From Nogata, you can reach the popular Nakano Broadway in 10 minutes by bus. Book us now here: #AIRBNB :  #familytravel #travel #japan #airbnbjapan #airbnbtokyo #travel #traveling #trip #budgetrip</t>
  </si>
  <si>
    <t>🎉 Special Offer! Park24 Condominium at #Sukhumvit #Bangkok #Airbnb #Airbnbthailand #AirbnbChiana #Superhost #Condo #CondoBTS #propertymanagement ➡Book now!!  ➡ More information</t>
  </si>
  <si>
    <t>🎉 Special Offer! Riviera Wongamat Condominium at #Wongamat Beach, North #Pattaya #Airbnb #Airbnbthailand #AirbnbChiana ➡ Book now!!     ➡ More information</t>
  </si>
  <si>
    <t>Cherry trees are starting to bloom in #tokyo. Book your stay with us now here: #AIRBNB :  #familytravel #travel #japan #airbnbjapan #airbnbtokyo #travel #traveling #trip #budgetrip RT @japantimes: Sakura (cherry blossoms) season has officially arrived in Tokyo, with many of the trees in the capital expected to be in full bloom in about seven days</t>
  </si>
  <si>
    <t>#HappyThursday Today is the beginning of Spring. Time to book your trip to Japan and stay with us in #Tokyo. Book us here: #AIRBNB :  #familytravel #travel #japan #airbnbjapan #airbnbtokyo #travel #traveling #trip #budgetrip RT @TimeOutTokyo: Do you know why today's a public holiday? It's the beginning of spring!</t>
  </si>
  <si>
    <t>Lovely Robert and Melanie from Germany! Immaculate guests too🙏🏻 Love the reviews! 🙏🏻 And views! 🌦🌅 . #attheloft #airbnb #lakegeorge#robertandmelanie #holidays @ Bungendore, New South Wales</t>
  </si>
  <si>
    <t>It surely is, one of my favourite places too #comfortcottagehealing #visitwales #dogfriendly #TheDogsWithMe #alpacas #ArtsWales #SunDogs #Airbnb #yell RT @traceylawlor: Wow such amazing photography #healing #makeadifference #wow #stunning</t>
  </si>
  <si>
    <t>Dear fellow, today we try to reintroduce again "What is" BNB or B&amp;B or @airbnb - klick this link, --&gt; G Afternoon ok lets start with this, "What is @Airbnb ,  … Pic : taken from @Google #airbnb</t>
  </si>
  <si>
    <t>Spring is here. And the color in the bay are waiting for you. #airbnb #homeaway #beach #ocean #vacation #rental #vacationrental #travel #realestate #lapaz #Mexico #visitlapaz en Harker…</t>
  </si>
  <si>
    <t>Kill fear in 5 seconds?  #Airbnb #airbnbaustralia #airbnbhost #bnbhostguru</t>
  </si>
  <si>
    <t>Large 5Star #Florida #vacationhome with prival pool on #Airbnb Tropical #TommyBahama style - #VRBO March 20, 2019 at 10:00PM</t>
  </si>
  <si>
    <t>Jason Todd</t>
  </si>
  <si>
    <t>If this #vacation has taught me anything, it’s that #airbnb is awesome. This is our second night in a #cabin in the middle of the #woods, and we haven’t even been murdered! #winning</t>
  </si>
  <si>
    <t>New Port Richey, FL</t>
  </si>
  <si>
    <t>• madly in love with @music_travels • creative arts pastor @baysidechurchsh • secret songwriter • nap enthusiast</t>
  </si>
  <si>
    <t>Realty ONE Group Turn Key</t>
  </si>
  <si>
    <t>Thanks for the #shoutout to our favorite #airbnb peakandpebble 🙌🏻 We LOVE being able to give our #outoftown and #visiting #buyers an authentic #TacomaWA experience; maintaining the…</t>
  </si>
  <si>
    <t>Tacoma, WA</t>
  </si>
  <si>
    <t>We're a #TacomaRealEstate #unbrokerage! We're experts at #buying or #selling. #2019NewAgentDeal: We're hiring #agents : 💯 #fullcommissionplan!</t>
  </si>
  <si>
    <t>The Kingston Group</t>
  </si>
  <si>
    <t>Buying to rent on #Airbnb: Pros and cons. There’s no denying that websites like Airbnb and Stayz have turned the #holidayaccommodation industry on its head. Here are some things to keep in mind. READ MORE:</t>
  </si>
  <si>
    <t>Corporate &amp; financial advisory, finance, accounting, legal and Real Estate. The Kingston Group.</t>
  </si>
  <si>
    <t>AntiAgingFanatics</t>
  </si>
  <si>
    <t>-❤️- #christinealvarezrn #airbnb #airbnbhost #sonotbasic #airbnbexperience #dallastexas #downtowndallas #downtowndallasinc #notyourbasicairbnb @ Dallas, Texas</t>
  </si>
  <si>
    <t>USA Canada Mexico</t>
  </si>
  <si>
    <t>Christian, Single Mom, RN, Home-Based Business Owner turned Entrepreneur by sharing an opportunity to Dream, Believe, Achieve, GiveBack, Impact, Inspire, Change</t>
  </si>
  <si>
    <t>Christian Lane</t>
  </si>
  <si>
    <t>Pathology Apparel</t>
  </si>
  <si>
    <t>Hoodie ✔️ Camo Fisher of Men Hat ✔️ Outdoors ✔️ Hammock ✔️ Comfort Level: 💯 #pathologyapparel #pathembrace #morethanabrand #fisherofmen #outdoors #hammock #aframe #airbnb #travel…</t>
  </si>
  <si>
    <t>A crossfit/fitness/lifestyle brand committed to redefining purpose within training/life! -Tyler Vaughn-Owner and PT, DPT, CSCS, CF-L1-</t>
  </si>
  <si>
    <t>CryptoJustifyMe</t>
  </si>
  <si>
    <t>Website secretly livestreamed 1,600 unwitting hotel guests for paying members. Caught them in an unapropriate wearing and doing their things.  Think again sleeping in #hotels in #Korea. #spycamera #paranoid #privacy #airbnb beware #travlers</t>
  </si>
  <si>
    <t>Barbados</t>
  </si>
  <si>
    <t>Welcome To Rekt City. I'm a crypto shopper addict #Trade signals.#CryptoNews and trends. PS (Personal #Shills). #HODLing justifications. #Moonboy #TechTrends</t>
  </si>
  <si>
    <t>If you have a few minutes spare and want to know why so many people are fighting against Airbnb then read this.... #airbnb #illegalhotels #unlicencedhotels #travel #tourism #ota #homeaway #VRBO #str #worldtravel</t>
  </si>
  <si>
    <t>Maria Smith</t>
  </si>
  <si>
    <t>Spring Break and all Summer long! #airbnb #VRBO #Homeaway  #vacation #SpringBreak #SpringBreak2K19 #RENTALS #rentalproperty</t>
  </si>
  <si>
    <t>Panama City Beach, FL</t>
  </si>
  <si>
    <t>Vacation Rental and Residential Cleaning</t>
  </si>
  <si>
    <t>Good idea - Maybe Vancouver can take a hint from this #worldclasscity?  #Amsterdam #airbnb #crackdown #vanpoliRT @CityLab: As more people struggle to find affordable housing, European cities’ mandate to regulate the market is likely to grow ever stronger, writes @feargusosull.</t>
  </si>
  <si>
    <t>TechFoundersNotes</t>
  </si>
  <si>
    <t>at least over the past 5yrs most of the tech innovations came out of china. western markets only has #facebook #amazon #apple #uber #airbnb &amp; co at the same level. eco-system in china has dozens of very very large startup aiming to detron #alibaba #xioami &amp;amp;co ...</t>
  </si>
  <si>
    <t>Singapur</t>
  </si>
  <si>
    <t>Entrepreneurship &amp; #Blockchain investing "spray, learn, adjust" aka 2.5k to 250k challenge| Sharing here my learning &amp; steps i take. 🤝 !not financial advice!</t>
  </si>
  <si>
    <t>$55 💙🧡💜💚❤️💲💵💸🗺 Airbnb code coupon promo discount first. $55 OFF CLICK LINK NOW! Try it. Please DM me if you have any issues. #airbnb #airbnbcode #airbnbdiscount #airbnbpromo #airbnbcoupon</t>
  </si>
  <si>
    <t>Taylor C. Murphy</t>
  </si>
  <si>
    <t>Some #shippingcontainer #Airbnb resorts might be in the future too. Would love to start this concept in #PanamaCityBeach and then take it all over Florida. So many different possibilities!</t>
  </si>
  <si>
    <t>Panama City, FL</t>
  </si>
  <si>
    <t>Sharing Principles I Used To Multiply My #Income 💵 ▪️#Consultant 📈 ▪️#ShippingContainer #Homes 🏘 ▪️#RealEstate 🏗 ▪️#Business &amp; #Financial #News 📊</t>
  </si>
  <si>
    <t>A wonderful 5/5 stars review from Mark and family from Australia &amp; France. Book here:  ❤️ *** @Airbnb #Airbnb #Superhost #Bali #Indonesia #serenity #secure #love Travel #honeymoon #honeymooner #balihoneymoon #honeymoonbali #couple #lunedemiel #bulanmadu</t>
  </si>
  <si>
    <t>Brad Standley</t>
  </si>
  <si>
    <t>Age old story. Boy meets Sting Ray...blah blah blah. ⁣⠀ ⁣⠀ @gracestockdale nickanton_music⁣⠀ ⁣⠀ #waitressmusical #nationaltour #airbnb #miami #theoperatowers #actorsgetweird #stingray @…</t>
  </si>
  <si>
    <t>Singer/Songwriter/Actor/Pro-Am fan of cheese. Latest Video on Patreon https://www.patreon.com/posts/22269294 Become a Patron!!</t>
  </si>
  <si>
    <t>Greeter Giuseppe with Roberta from USA. They had a nice afternoon walking in Milan. #greeters #milano #milan #milandesignweek #usa #travel #travelblogger #travelling #travelling_europe #visititaly #washington #lonelyplanet #frommers #airbnb #airbnbitaly #america</t>
  </si>
  <si>
    <t>Having a blast and dropping some Knowledge! Behind the scenes With 🎥 Charles Hurley Films #airbnb #vrbo #stru #Entrepreneurship #entreprenuer #entrepreneurlife #superhost #RealEstate #realestateinvesting</t>
  </si>
  <si>
    <t>Himanshu Joshi</t>
  </si>
  <si>
    <t>A big IPO parade coming up #Lyft #Uber #Slack #Pinterest #Airbnb each of them has touched the life in one or another way.</t>
  </si>
  <si>
    <t>Service Delivery Leader @Genpact | Deft at driving Operations &amp; transformation | Eternal #Curious, #Digital savvy | Caffeine Junkie, Gypsy Feet | Views my own</t>
  </si>
  <si>
    <t>Jo Goodwin</t>
  </si>
  <si>
    <t>Adelaide</t>
  </si>
  <si>
    <t>Monat market partner! wine, coffee and kids!</t>
  </si>
  <si>
    <t>First day of #Spring! 🌱🌱🌱Can you believe that the beautiful red of this plant isn’t even flowers? The new foliage of Red Tip (Photinia) is a wonderfully vibrant red that is just as pretty as a flower! #airbnb #nature #homeaway</t>
  </si>
  <si>
    <t>Benedicto Rafael</t>
  </si>
  <si>
    <t>Casa Amanda is 2 bedroom elegantly furnished bungalow house #coron #coronpalawan #palawan #airbnb @ Coron, Palawan</t>
  </si>
  <si>
    <t>Melbourne Australia</t>
  </si>
  <si>
    <t>loves taking pictures and travelling, http://facebook.com/Larafael</t>
  </si>
  <si>
    <t>Pevomat Properties</t>
  </si>
  <si>
    <t>Cities like #LasVegas and #Miami need to come to an agreement with #AirBnB regarding fair compensation for property owners who rent #VacationRentals. Restricting one’s ability earn a living is not an appropriate display of #democracy.</t>
  </si>
  <si>
    <t>Nationwide #AirBnB manager/owner. Comm/res property management, estate sales, cleanouts, general contracting, and corporate housing/retreat specialist.</t>
  </si>
  <si>
    <t>Just published a new article: AirBnB Commission Changes: How They Will Affect You  #SocialMedia #Scotland #Marketing #Hotels #Airbnb #Edinburgh #Airbnbnews #Hotelmarketing #Boostly #Bedandbreakfast</t>
  </si>
  <si>
    <t>Inside #Airbnb's 'Guerrilla War' Against Local Governments to avoid tax collection  via @WIRED</t>
  </si>
  <si>
    <t>From bespoke rural shepherds huts to imposing houses overlooking the #Suffolkcoast Take a look at our website to choose from our portfolio of cottages! #suffolk #holidaycottage #cycling #walking #holiday #airbnb #dogfriendly #weekendaway #selfcatering</t>
  </si>
  <si>
    <t>Visit ➡  ⬅ to learn how to profit from investment properties that you don't even need to own. #airbnb #vacationrental</t>
  </si>
  <si>
    <t>ShareBetter SF</t>
  </si>
  <si>
    <t>.@Airbnb guests say the negative reviews they submitted after a bad experience were either edited or quietly removed from the site without their knowledge or permission. #NotToBeTrustedCommunity #Airbnb  via @qz</t>
  </si>
  <si>
    <t>SAN FRANCISCO, CA</t>
  </si>
  <si>
    <t>San Franciscans for Neighborhoods, Affordable Housing &amp; Jobs -- Debunking the myth of home sharing one tweet at a time.</t>
  </si>
  <si>
    <t>We just published Revolutionizing Hospitality — How Voice and AI can bring hotels into the 21st Century.  #hospitality #travel #voice #voicetechnologies #AI #ArtificialIntelligence #vacationrental #airbnb #voicefirst #hotels #hotel</t>
  </si>
  <si>
    <t>Slater Heelis</t>
  </si>
  <si>
    <t>Do you know the risks involved when listing your property on Airbnb?  #Airbnb #Property</t>
  </si>
  <si>
    <t>Manchester, UK</t>
  </si>
  <si>
    <t>Smart, accurate &amp; swift legal advice for both businesses and private clients in Manchester &amp; Cheshire. A Legal 500 leading firm.</t>
  </si>
  <si>
    <t>Gemma Louise</t>
  </si>
  <si>
    <t>A gorgeous little @Airbnb find in Edinburgh ✨  #bloggerstribe #bbloggers #fblchat #travelbloggers #airbnb</t>
  </si>
  <si>
    <t>Scarborough, England</t>
  </si>
  <si>
    <t>full time blogger whilst single-handedly raising a gorgeous two year old, I’m winging life ~ https://www.instagram.com/gemellisx ~ gemma@gemmalouise.co.uk</t>
  </si>
  <si>
    <t>Just peeking in to see if you got your #free education yesterday 👀 Here's the link in case you missed it!  #education #vacationrental #businesstips #WednesdayWisdom #vacationrentals #airbnb #bookdirect #vrbo #cbizvri #insurance</t>
  </si>
  <si>
    <t>Never back down!!  #Airbnb #airbnbaustralia #airbnbhost #bnbhostguru</t>
  </si>
  <si>
    <t>Love this #comfortcottagehealing #visitwales #dogfriendly #TheDogsWithMe #alpacas #ArtsWales #SunDogs #Airbnb #yell #weloveaberystwyth RT @GDPTenby: on a late afternoon wales whelk'd tide a slight sea mist and drab mist'd sea slides sea snake slowly *Saundersfoot Pembrokeshire @ItsYourWales @ruthwignall @ThePhotoHour @LivingSeasWales @WalesCentre @WalesCoastUK @Campaign4Parks @visitwales @VisitPembs</t>
  </si>
  <si>
    <t>Yattsi</t>
  </si>
  <si>
    <t>3. Select the language that you need to communicate in. 4. Call ! A Yattsi team interpreter will be there to help you to communicate. For more info go to  ⠀⠀⠀⠀⠀⠀⠀⠀ #travel #aupair #airbnb #leisure #traveler #language #interpreter #translator</t>
  </si>
  <si>
    <t>A mobile application that aims to connect people from all over the world through real-time access to live human #interpretation.</t>
  </si>
  <si>
    <t>Let's be real Twitter, this beautiful breakfast bar makes catch up while you cook a breeze. #spitzen #spitzencleaning #airbnb #vacationrental #beautifulspaces #cleaningservice</t>
  </si>
  <si>
    <t>Hello gorgeous. 😍The Beach House at the Bluffs includes 8,000 sq. feet of living space, a chef’s kitchen, home theater, and an infinity pool. Book today at @boundlesshawaii #luxuryrentals #airbnb #explorehawaii #paradiseawaits</t>
  </si>
  <si>
    <t>Anthony Salloum</t>
  </si>
  <si>
    <t>#airbnb call 1 888 LIBERAL to reserve a cot! You may risk waking up a @liberal_party MP #cdnpoli #liberalsummercamp #payforaccess RT @RE_Brosseau: @vasalloum @liberal_party @OurCommons @cdnpoli Cozy 🛌</t>
  </si>
  <si>
    <t>New Democrat and political addict working in the Opposition Lobby on Parliament Hill.</t>
  </si>
  <si>
    <t>Sunset from Romantico Nido, book your relaxing holidays with Seaview in #genova #airbnb #airbnbitalia #ladolcevita #urlaub #roomwithaview link:</t>
  </si>
  <si>
    <t>puriko</t>
  </si>
  <si>
    <t>My friend showed me where she’s staying in #hawaii Such a lovely place!!😍 #loco #locolife #airbnb #hawaiilife #oahulife #hawaii #oahu #honolulu #waikiki 場所: Honolulu, Hawaii</t>
  </si>
  <si>
    <t>Babi🐶チワマル♀Sera🐶チワプー♀二犬の母。 NO ASHTANGA, NO LIFE.</t>
  </si>
  <si>
    <t>Where my #girls at? #Eat, #Sleep, #Skydive &amp; #Repeat but first start at: A Suite Collaboration  AND  #networking #ASUITE #hospitality #SuperHost #Airbnb #HomeAway #tandemjumping #skydiver...</t>
  </si>
  <si>
    <t>TheFreeRangeChalet</t>
  </si>
  <si>
    <t>We love a #review - here's another 5* from one of our lovely #AirBNB guests - we can't wait for his return - especially if he brings the drone again! #guestsloveus #TheFreeRangeChalet #happyatmosphere #internationalguests #worldtable</t>
  </si>
  <si>
    <t>Bagnères de Luchon, France</t>
  </si>
  <si>
    <t>Year round Chalet &amp; Activity Holidays in the Pyrenean town of Bagnères-de-Luchon. #Pyrenees #Holidays #Cycling #Hiking #Walking #Skiing #SBSWinner #QueenOf</t>
  </si>
  <si>
    <t>Kayleigh Töyrä</t>
  </si>
  <si>
    <t>So it turns out my #dreamhome is a little wooden #cabin in the #woods. Who knew?? #itsafinnishthing #soullandscape #cabininthewoods #exeter #treehouse #airbnb #cabinlife</t>
  </si>
  <si>
    <t>GIF lover (but don't ask me to pronounce it). Content whizz. From Finland. Grateful to be doing fun things online. Creative Director @SeekerDigital</t>
  </si>
  <si>
    <t>The #OuterBanksTasteoftheBeach Weekend is a fantastic way to sample the fine restaurants on the #OBX in one fun-filled weekend! Checkout #AirBNB now for this event March 28-31st! #food#drink#fun  !</t>
  </si>
  <si>
    <t>Happy Hands Cleaning Services</t>
  </si>
  <si>
    <t>Its true!!! If you have Airbnb properties we would love to speak with you! As always we offer a flat rate and you never pay for anything you don't need. Contact us today for your hassle free quote #happy #happyhands #airbnb</t>
  </si>
  <si>
    <t>Melrose Park, IL</t>
  </si>
  <si>
    <t>Warm and personal cleaning service committed to transparency. Your satisfaction is paramount to us.</t>
  </si>
  <si>
    <t>No one likes to leave their pets behind - they're apart of the family too! Order these 5 Amazon Products to Make Your Vacation Rentals Pet Friendly - Find the list on the #VisioBlog:  #realestate #finance #investments #investing #landlord #mortgage #airbnb</t>
  </si>
  <si>
    <t>Rainy day boost w/ a side of Coffee art ☕️⁣ provided by @LobbyBarTJ⁣ 🌦⁣ ___⁣ #webunkyou • #Tijuana • #airbnb • #QueSeaUnGranDia</t>
  </si>
  <si>
    <t>Oh Twitter, you know that feeling when you get home, having traveled a few extra hours, maybe a delay... nothing helps that bleary feeling more than this blend. Uplifting and invigorating, that travel hangover will be old news! #spitzen #essentialoils #diffuserblend #airbnb</t>
  </si>
  <si>
    <t>Alex James Property</t>
  </si>
  <si>
    <t>Spring has sprung in Atlanta, GA! Our latest renovation is ready for short/ long-term rental in April. #businesstravellife #homeawayfromhome #relo #atlantaconferences #wanderlust #chbo (no.20708) #vrbo (no.7594850) #airbnb</t>
  </si>
  <si>
    <t>We specialize in helping metro Atlanta homeowners sell quickly. We make cash offers and close on your timeline. Call us today at 404-883-3766.</t>
  </si>
  <si>
    <t>grace pariante</t>
  </si>
  <si>
    <t>I meet with the city tomorrow to see if they will drop the $7000 in penalties for unpaid TOT. Wish me luck. Should I ask Airbnb to pay the $6000 in uncollected taxes, given they said they would collect them and failed to do so? #airbnb #airbnbhost #santacruz</t>
  </si>
  <si>
    <t>palo alto ca usa</t>
  </si>
  <si>
    <t>I don't think that word means what you think it means</t>
  </si>
  <si>
    <t>Airbnb sent me an email saying they would collect TOT. They didn't. I get audited and owe $13K in transient occupancy tax and fees. Airbnb's response, "Read the fine print of the ToS." Hosts, AIRBNB DOES NOT HAVE YOUR BACKS! #airbnb #airbnbhost #santacruz</t>
  </si>
  <si>
    <t>Veronica Brits</t>
  </si>
  <si>
    <t>This was my first #Keynote #techtalk about #Cloud. As a former #hotelier I focussed on the birth of #airbnb and #digital #transformation. Being in the #techspace nearly 4 years now, I’ve learnt; great tech is #scalable and so are you. #BIgData #woman</t>
  </si>
  <si>
    <t xml:space="preserve">South Africa </t>
  </si>
  <si>
    <t>#Tech #Enthusiast at @RSAWEB,and I tell mountains to move because I have a #Faith Love Story. My cradle of life is South Africa, Cape Town 🇿🇦</t>
  </si>
  <si>
    <t>The Startup Button</t>
  </si>
  <si>
    <t>#indianstartups #oyo #airbnb there's alwasy a room for everyone.</t>
  </si>
  <si>
    <t>Illinois, USA</t>
  </si>
  <si>
    <t>http://StartupButton.com is a platform for the community to discover start-ups, buy and sell companies and publish startup news or share ongoing projects</t>
  </si>
  <si>
    <t>Be Positive Always.  #Airbnb #airbnbaustralia #airbnbhost #bnbhostguru</t>
  </si>
  <si>
    <t>Emacity.com</t>
  </si>
  <si>
    <t>Go one step ahead. Reach for the best and TOTALLY FREE site in classified ads! Come and enjoy our classified ads and social media platform services.  #tbe #tb #emacity #tbt #newsite #freedatingsite #airbnb #realestate #ads #classifiedads #socialmedia</t>
  </si>
  <si>
    <t>http://Emacity.com is a new social media platform</t>
  </si>
  <si>
    <t>Gloria Marcus</t>
  </si>
  <si>
    <t>Want to make some #extracash? Renting your home out on a short-term basis can do that. #Airbnb</t>
  </si>
  <si>
    <t>Middletown, NJ-USA</t>
  </si>
  <si>
    <t>Realtor with 24 yrs exp. in Monmouth Cnty. Shore Area, NJ. Paralegal/Notary Public. Highest compliment to me - referral of family, friends &amp; business assoc.</t>
  </si>
  <si>
    <t>Effective #cleaningtips to make your #Airbnb property guest ready</t>
  </si>
  <si>
    <t>Catherine Armato</t>
  </si>
  <si>
    <t>.@Airbnb WOW, apparently Airbnb condones Hosts or Guests saying Absolutely ANYthing in public reviews/comments on their site, even if falsely accusing a person of engaging in illegal activity! "Free Speech" they say. Seriously?! #airbnb #Travel #travelbloggers @nick_shapiro 🤯</t>
  </si>
  <si>
    <t>Sharing info on Dog Health &amp; Safety, Travel w/ Pets, Helping Shelter Animals. Content creator, Influencer Get Pet Tips on my Blog: http://www.caluvsdogs.com</t>
  </si>
  <si>
    <t>United Vacation Rental</t>
  </si>
  <si>
    <t>The beauty of a #lakeview never gets old! #allthefeels #allthetime Book your next luxury vacation at Lake Oconee at  #booknow #availability #lakefront #luxury #vrbo #airbnb #homeaway</t>
  </si>
  <si>
    <t>Georgia's premier lake-front luxury vacation rentals. Family vacations, private events, corporate events + weddings.</t>
  </si>
  <si>
    <t>FREE AIRBNB DISCOUNT CODE 💸❤️💸❤️. Here’s your chance for a free credit coupon and codes to travel for FREE. Click the link NOW. Please DM me if you have any issues. #airbnb #airbnbcode #airbnbdiscount #airbnbpromo #airbnbfree #firstdayofspring</t>
  </si>
  <si>
    <t>Are you planning your #vacation yet? #Windsurfing @GalvestonIsland should be on your list! We’ve got an #AirBnB for you to stay while hanging out at the #beach  #Travel #Galveston #Texas #HOUSTON #5Stars On our way to #Superhost!</t>
  </si>
  <si>
    <t>Learn how to make money with bnbprogram today. visit  . . . #airbnb #airbnbexperience #businesstips #inspire #founder #leader #startups #leadgeneration #businessdevelopment #entrepreneur #entrepreneurlife #entrepreneurship #entrepreneurlifestyle</t>
  </si>
  <si>
    <t>Nosara offers a very natural and harmonious environment!  ☎ 2682 5201 📧 livinghotelnosara@gmail.com #Nosara #Guanacaste #CostaRica #Beach #Surf #Vacations #Retreat #Yoga #Hotel #Tourism #LivingHotelNosara #Airbnb #Booking #Expedia</t>
  </si>
  <si>
    <t>AY Magazine is About You</t>
  </si>
  <si>
    <t>Where are the best hidden Arkansas @Airbnb spots? AY Publisher @HeatherHBaker tells @TheVineTHV11 some of her favorites.  #Airbnb #Arkansas</t>
  </si>
  <si>
    <t>AY Magazine is About You. Arkansas' premier lifestyle magazine provides readers with the best in food, fashion, travel &amp; more. http://facebook.com/ayisaboutyou</t>
  </si>
  <si>
    <t>KeepATXClean</t>
  </si>
  <si>
    <t>Are U a homeowner with a house/Apartment as a vacation rental?🏠Let our team take care of you &amp; your property with our specialized Hotel Style cleaning💪Plus, We offer monthly billing for your convenience💰#airbnb #homeaway # VRVB #keepatxclean #theaustincg #vacationrental #ATX</t>
  </si>
  <si>
    <t>We are family-owned, Austin local, small business dedicated to delivering the Best Cleaning Services &amp; Best Prices in town...</t>
  </si>
  <si>
    <t>Finally...Spring is here in Atlanta! This beautiful 3 bed/3 bath home with en suites is ready for short /long-term rental in April. The weather is gorgeous! #airbnb #vrbo…</t>
  </si>
  <si>
    <t>Finally...Spring has sprung in Atlanta! Our latest renovation is now available for short/long-term rent in Atlanta. Perfect weather now! Check us out on #airbnb, #homeaway,…</t>
  </si>
  <si>
    <t>Finally...Spring has sprung in Atlanta! Our newest renovation is available for short and long-term rental in April. #airbnb #vrbo #homeaway #chbo #shorttermrent…</t>
  </si>
  <si>
    <t>(((Lordy 🇯🇲 DocHolly🌊)))</t>
  </si>
  <si>
    <t>#Airbnb stock in #Vegas just jumped again. RT @LasVegasLocally: $75 charge if you put a bottle of water in a @CaesarsPalace minibar. 🤔 (h/t @wtcgroup)</t>
  </si>
  <si>
    <t>#NYC Woman in #Philly #NYU &amp; #NYUStern grad. News Analyst. Entrepreneur, Economist, Elitist &amp; Egalitarian. #MarioDem I work I shower I occupy #uniteblue #ITMFA</t>
  </si>
  <si>
    <t>Don’t book your Airbnb without using this 💲55 ✈️💵 referral coupon code! Click the link down below for your first 💲55 Airbnb discount now! Please DM me if you have any issues. #airbnb #airbnbcode #airbnbdiscount #airbnbpromo #firstdayofspring</t>
  </si>
  <si>
    <t>You asked, we answered. #Where to #run in #Lisbon?  #LisbonRunningTours #RunningTours #RunningTour #CityRunning #UrbanRunning #StreetRunning #Airbnb #Expedia #TripAdvisor @TurismodeLisboa @visitportugal #Travel</t>
  </si>
  <si>
    <t>The Apartment, Bath</t>
  </si>
  <si>
    <t>DID YOU KNOW? We're one of only three @Airbnb 'Plus' homes in central Bath, England? It's a new kind of listing with official @Airbnb_uk photos, promising guests "beautiful homes, exceptional hosts, verified for quality". #airbnb #airbnbplus Have a look:</t>
  </si>
  <si>
    <t>Gorgeous two-bedroom holiday home | Central Bath | Airbnb Plus Verified | Finalist Bath Life Awards 2019 | 360° tour: http://apartmentbath.com/look-inside</t>
  </si>
  <si>
    <t>Gregory Nguyen</t>
  </si>
  <si>
    <t>Billionaire Jeffrey Wernick is a legend. He was an early investor in gold, silver, AirBnB, Uber, and Bitcoin. #jeffreywernick #gold #silver #uber #airbnb #bitcoin</t>
  </si>
  <si>
    <t>Libertarian and proponent of Austrian School of Economics</t>
  </si>
  <si>
    <t>I would love to know how many of my connections have stayed in an Airbnb while travelling for business? #airbnb #business #travel</t>
  </si>
  <si>
    <t>Innofied</t>
  </si>
  <si>
    <t>Do you know the must-have #travelapp features that can make your business a success? Here is a quick guide to ensure the same if you belong to this industry like #AirBnB or #Tripadvisor.</t>
  </si>
  <si>
    <t>Kolkata, India</t>
  </si>
  <si>
    <t>Think Apps. Think Innofied.</t>
  </si>
  <si>
    <t>Odin likes fresh #sushi on the #beach @GalvestonIsland! Is it lunch time yet? 😆 Come catch your own:  #Galveston #Texas #vacation #HOUSTON #travel #LoveGalveston #AirBnB #5Stars</t>
  </si>
  <si>
    <t>💲55 💚🧡💙💜❤️💵✈️ Airbnb code coupon promo discount first. $55 OFF CLICK LINK NOW! Try it. Please DM me if you have any issues. #airbnb #airbnbcode #airbnbdiscount #airbnbcoupon #firstdayofspring #StrangerThings3 #InternationalDayOfHappiness</t>
  </si>
  <si>
    <t>Ravi Kant 🌻 रवि कांत</t>
  </si>
  <si>
    <t>#Airbnb prices in various European Cities</t>
  </si>
  <si>
    <t>🇪🇺🇩🇪🇫🇷</t>
  </si>
  <si>
    <t>Lawyer turned Labour Economist | वकालत और तिजारत पर ज्यादातर सियासत | Entre données et faits #WorkingPoverty #Geopolitics #inégalités</t>
  </si>
  <si>
    <t>Meet Lizzie the Dragon at Centennial Park - a short walk away! #Nashville #villagedragon #dragonsuite #airbnb #nashvilleairbnb #nashvilletn #musiccity #visitmusiccity #do615 #sherrwarnerhunter #mosaic #publicart #dragons #centennialparknashville #parthenonnashville</t>
  </si>
  <si>
    <t>Derry London ✈️</t>
  </si>
  <si>
    <t>One thing I love to do in my #AirBnB #hosting is offer up a close tip for the hungry traveler! 😋 (And yes, Edley’s is the best, I tell every guest that!)</t>
  </si>
  <si>
    <t>Watcher of Local TV News. Believer in exceptional #SocialMedia Management Digger of Digital Content. Tweeting a bunch of randoms 👨🏻‍💻</t>
  </si>
  <si>
    <t>Just published a new article: Instagram Captions To Supercharge Your Hospitality’s Online Engagement  #SocialMedia #Marketing #Dog #Blog #Hotels #Airbnb #Instagram #Hospitalitybusiness #Captions #Hotelmarketing #Boostly #Engagement</t>
  </si>
  <si>
    <t>Celebrate the First Day of Spring in the desert. There are so many areas to enjoy the desert wildflowers. #FirstDayofSpring #Springtime #Wildflowers #VRBO #Airbnb #Airbnbhost</t>
  </si>
  <si>
    <t>Interesting discussion "who owns the customer" shows no signs of ever being resolved. And that's probably a good thing IMO. &gt; What Marriott's CEO Had to Say About #Airbnb, #Amazon, and #Google  via @Skift</t>
  </si>
  <si>
    <t>KMG Professional Ser</t>
  </si>
  <si>
    <t>An exclusive opportunity with the Airbnb client program is currently available. Help Airbnb hosts and guests have unforgettable trip experiences! Enroll today  . #WorkFromHome #Airbnb #Opportunity</t>
  </si>
  <si>
    <t>Central Florida</t>
  </si>
  <si>
    <t>#Workfromhome! Provide #customerservice for Fortune 500 companies, taking inbound calls. Earn $9 - $18 per hour.</t>
  </si>
  <si>
    <t>Vacations are meant for 'good mornings', lazy mornings, and mornings together. They represent home away from home, a simple retreat, and relaxation well earned. When you book a vacation, you RSVP to your best life.☀️🌊🏖️🌴 #airbnb #bestlife #travchat</t>
  </si>
  <si>
    <t>So great to see awesome clients like Sonder in the news! Read how they're using technology (and AirDNA data) to build a next-gen travel company:  #rentals #travel #airbnb #homeaway</t>
  </si>
  <si>
    <t>Argon Pro Ltd</t>
  </si>
  <si>
    <t>#Airbnb sold some common stock at a $35 billion valuation, but what is the company really worth? | #startup #valuation #finance  @Recode</t>
  </si>
  <si>
    <t>Espoo, Finland</t>
  </si>
  <si>
    <t>Management #consulting company founded by @TimoNurminiemi | #Finance #businessmodeling #analysis #valuation &amp; #training services for #startup's and #SME's |</t>
  </si>
  <si>
    <t>Value in finished basement, #LargeLot, #UpAndComing Location &amp; zoned for multiple units. #AirBnB 5BR/2BA 2000 SF $399K</t>
  </si>
  <si>
    <t>Panos Anagnostopoulos</t>
  </si>
  <si>
    <t>Uber, Airbnb, Pinterest and Lyft are some of the half-dozen billion-dollar companies expected to go public, producing a potential $230 billion market windfall #ipo #uber #airbnb #pinterest #lyft</t>
  </si>
  <si>
    <t>Serial entrepreneur, #StartUp enthusiast, #FinTech, #IoT, #P2PLending , #RegTech, #HealthTec #Crowdfunding, #TED, mad about #Skiing, #Sailing</t>
  </si>
  <si>
    <t>Pinterest and Airbnb Teamed Up on a 🌻 Spring and 🌞 Summer ✈️ Travel Guide:  @SocialProDaily @Airbnb #airbnb #pinterest #travel #wanderlust #WanderlustWednesday</t>
  </si>
  <si>
    <t>Best. Dog. EVER...when we have food in our hands 😛@GalvestonIsland #Galveston #Beach #AirBnB #Travel #dogs #vacation</t>
  </si>
  <si>
    <t>Airbnb News Update March  #airbnb @airbnb</t>
  </si>
  <si>
    <t>AbernyteCottage</t>
  </si>
  <si>
    <t>Appledore, North Devon, England</t>
  </si>
  <si>
    <t>Abernyte Cottage is a luxury holiday rental with sea views situated on a cobbled street in the picturesque fishing village of Appledore, North Devon</t>
  </si>
  <si>
    <t>InsideOutOfChester</t>
  </si>
  <si>
    <t>Call Julie on 07474 331781 for a cleaning quote. End of tenancy, holiday let, commercial and domestic premises in the #Chester area #greencleaning #ecofriendlycleaning #housekeeping #cleaner #smallbusiness #CleaningUp #cleaningjobs #cleaningjobs #ChesterCleaningService #Airbnb</t>
  </si>
  <si>
    <t>#Chester's dedicated #cleaning &amp; #gardening service. Domestic and Commercial Services. Experienced staff with DBS clearance.</t>
  </si>
  <si>
    <t>Wednesday motivation? Ready for the adventure! 😬✌🏻#PuertoRico is just a short fly from Mainland! Find us @Airbnb and book now! #airbnb #superhost #discoverpuertorico</t>
  </si>
  <si>
    <t>AmeriTeam Realty</t>
  </si>
  <si>
    <t>To stand apart as an #Airbnb host, the type of experience you provide guests with matters. #REinvesting</t>
  </si>
  <si>
    <t>Proudly selling America's Real Estate! 1401 Lee Road suite 200 Orlando, FL 32810 #WeAreAmeriteam #Realestate #Realtor #Homesforsale #sellyourhometoday #Orlando</t>
  </si>
  <si>
    <t>Jason Nark</t>
  </si>
  <si>
    <t>I want to love Collingswood, I really do. . . but ugh. This story on an #airbnb crackdown there by @mccabe_caitlin is frustrating:</t>
  </si>
  <si>
    <t>Pine Barrens</t>
  </si>
  <si>
    <t>Reporting on rural/outdoor life for @PhillyDailyNews @PhillyInquirer &amp; @phillydotcom. Also: @phillymag @natgeo @washingtonpost &amp; @Politico narkj@phillynews.com</t>
  </si>
  <si>
    <t>.~☆ Mary Luz ☆~.</t>
  </si>
  <si>
    <t>My home away from home until weekend. Missing my birthday boy. 💕 ___________________ #TheMHEYRchant __ #MEetMHEYRin2019 #WORKitGirl #WORKahollic #onOfficialBusiness #alaGAD #AIRbnb…</t>
  </si>
  <si>
    <t>City Of Bislig, Caraga</t>
  </si>
  <si>
    <t>wanderlust | warrior | wife</t>
  </si>
  <si>
    <t>Khaya_Motsa</t>
  </si>
  <si>
    <t>whats up? #proudlyswazi #eSwatini #Swaziland #Manzini #mountaininn #airbnb #beautifuldestination #cinematography #blackart #African #wonderlust #lonelyplanet #trump #brexit #ethiopia #camping #tripstagram #travelinspiration #pasportready #exploremore #tripstagram #travellife</t>
  </si>
  <si>
    <t>Manzini,Swaziland</t>
  </si>
  <si>
    <t>Ups and downs got u people with lumps in your throat and frowns on ur face...i dnt give d*mm coz life is my b!*sh.</t>
  </si>
  <si>
    <t>If you're traveling this summer, make sure to check the local laws before booking your #airbnb:  #getbookfull</t>
  </si>
  <si>
    <t>nerinaki</t>
  </si>
  <si>
    <t>Tourists who have some conscience will visit and walk around #Exarcheia on their own time, respectful of the neighborhood and won't hire #airbnb apartmnts just for the hype of it. For the 'I pay- don't care' attitudes... well we don't care too and we're gonna protect our streets!</t>
  </si>
  <si>
    <t>athens, Greece</t>
  </si>
  <si>
    <t>/Έχω ένα όπλο στο κεφάλι και ετοιμαζω το ντου/ Ουτε Βημα Πισω.</t>
  </si>
  <si>
    <t>Cities around the globe are cracking down on #Airbnb! #summertravel</t>
  </si>
  <si>
    <t>Paradise returns! #NS #lobster #catferry #airbnb #westpubnico @ CRE8 NS Guest House and Gallery</t>
  </si>
  <si>
    <t>Jan Ravensbergen</t>
  </si>
  <si>
    <t>Inside #Airbnb's 'Guerrilla War' Against Local Governments ⁦@PlateauCom⁩</t>
  </si>
  <si>
    <t>Montreal, Quebec, CANADA</t>
  </si>
  <si>
    <t>Semi-retired recovered journo. Advocacy consultant for select clientele. Surprised survivor of 37 yrs in #MSM. Light disinfects. #JFK911Truther. #Dutch roots.</t>
  </si>
  <si>
    <t>Odin playing with the kids @GalvestonIsland His favorite part is all the free #sushi #LoveGalveston #Galveston #AirBnB #Travel</t>
  </si>
  <si>
    <t>LondonLovesProperty</t>
  </si>
  <si>
    <t>Landlords achieving 30 per cent yields with short term property lets in Liverpool @PorticoProp #Airbnb #liverpool #shorttermlets #Landlords #rental -</t>
  </si>
  <si>
    <t>Property trends, news and insights for London's thriving property community</t>
  </si>
  <si>
    <t>Beth O'Sullivan</t>
  </si>
  <si>
    <t>A joy of a thread @Airbnb these two seem like great hosts ☘️🎉👌🏻 #Airbnb #Ireland RT @ryan_fox1: The time I accidentally booked an Airbnb to stay in a retired Irish couple’s guest bedroom: a thread</t>
  </si>
  <si>
    <t>Digital Marketer / Online Shopper / Instagramer / unofficial @revolutapp endorser /Tapas Eater / G&amp;T Drinker / Banana Bread Baker / Scarf Collector / List Maker</t>
  </si>
  <si>
    <t>Property4Media</t>
  </si>
  <si>
    <t>Liverpool Landlords Obtain the Best Short Term Letting Yields at 30% @porticoprop  #AirBNB #shorttermlet #Liverpool</t>
  </si>
  <si>
    <t>Property4Media distributes property news to the media. Tel: 0203 440 8911 / news.desk@property4media.com contact us for a free, no obligation trial.</t>
  </si>
  <si>
    <t>#womenwhotravel #businesstrip #businesstravel #business #busineeswomen #traveler #travel looking for a #vacationrental #vacationhome #Airbnb #booknow we have beautiful homes for booking this 1bed condo in downtown #Atlanta</t>
  </si>
  <si>
    <t>Central design apartmenthttps://www.airbnb.jp/rooms/307651  via Twitter Web Client #airbnb</t>
  </si>
  <si>
    <t>Coming to #Nashville for #CMAfest? Need a great place to stay? We still have availability at the #DragonSuite! #countrymusic #CMAfestival #slayyourstay #villagedragon #dragonsuite #airbnb #musiccity #hillsborovillage #visitmusiccity #explorenashville RT @CountryMusic: The first #CMAfest lineups are HERE! 🎵 ALL of these amazing artists are donating their time to perform at CMA Fest in support of the @CMAFoundation and their mission to shape the next generation through high quality music education!</t>
  </si>
  <si>
    <t>bootsgrid</t>
  </si>
  <si>
    <t xml:space="preserve">128/2-C, Sathyamoorthy nagar, </t>
  </si>
  <si>
    <t>Custom PHP web development company, PHP Clone script</t>
  </si>
  <si>
    <t>Run in Lisbon with Lisbon Running Tours! 🏃🏃😊  #Run #Running #Lisbon #Lisboa #Lissabon #Lisbonne #StreetRunning #UrbanRunning #TimeToPlay #Portugal #RunningTours #SightRunning #RunningTour #Marathon #Travel #Explore #HappyRunner #TripAdvisor #Airbnb</t>
  </si>
  <si>
    <t>Get a cryptocurrency card that will take you places, the #PLATINUM #MCO #VISA Card 🚀🌕 #Netflix #spotify #airbnb #expedia discounts. #Cashback #loungekey. Download the app, Use my referral link  with my referral code: KOT8ML28MF &amp; receive an $80 bonus</t>
  </si>
  <si>
    <t>Nair Ventures</t>
  </si>
  <si>
    <t>According to @theinformation, #Airbnb may soon back #Oyo, an Indian hotel startup. The #investment would be between $100 million to $200 million, @coryweinberg reported.</t>
  </si>
  <si>
    <t>Navi Mumbai, India</t>
  </si>
  <si>
    <t>Nair Ventures is an Investment Promotion, Facilitation &amp; Execution Agency #VentureCapital #PrivateEquity</t>
  </si>
  <si>
    <t>Alessandro Accebbi</t>
  </si>
  <si>
    <t>Pinterest And Airbnb Teamed Up For This Spring/Summer Travel Guide  #airbnb #Pinterest #travelguide via @WeRSM</t>
  </si>
  <si>
    <t>Vicenza, Veneto, Italy</t>
  </si>
  <si>
    <t>Communication &amp; Social Media Specialist, Art Director. Interested in: Photography, Fashion, Design, Computer Graphics, Hi-Tech, Guitars, Music.</t>
  </si>
  <si>
    <t>A #sunny day for a tour with guests from #airbnb #Dresden #StreetArt #tourism</t>
  </si>
  <si>
    <t>We provide a complete range of top quality bed linen sets that will be remembered by your guests as the pinnacle of softness. #quality #hospitality #airbnb #servicedapartments</t>
  </si>
  <si>
    <t>Short let landlords 'not adequately covered by UK insurers’ - There’s a claim today that around one million short lets are not adequately covered by UK insurance companies. Read more at  #servicedapartmentnews #servicedapartments #airbnb</t>
  </si>
  <si>
    <t>#PressRelease @TidyHost is pleased to announce our latest opening in #Chicago! We are so excited at the potential to service the #Chicago #Airbnb community. Check us out at  for a free quote!</t>
  </si>
  <si>
    <t>Cottage Signs Exclusive Designs🌊🐄🐴🐔🌵🌺🌴RESIDENTIAL &amp; COMMERCIAL! Resort Style Airbnb VRBO Bed &amp;amp; Breakfast  #Bedandbreakfast #Airbnb #Historical #Family #Beachhouse #POOL #CottageStyle #Herring #Pelicans #Butterflies #waves #Rental #OBX #CapeCod</t>
  </si>
  <si>
    <t>Apostolos Klitsoyiannis</t>
  </si>
  <si>
    <t>#Global Hotel RevPAR and OTA Gross Booking Growth + Home #Rental vs. Hotel Property Listings 2018 #Europe #Airbnb #Homeaway #Hospitality #Booking #Hotels #Resorts #VacationRentals #Homesharing</t>
  </si>
  <si>
    <t>Greece, Μediterranean, Ευρώπη</t>
  </si>
  <si>
    <t>🇬🇷🇪🇺[Real Estate Analyst] [Online Real Estate] [Real Estate Tech°] [RRE][RPP] [Vacation Rentals] «@HellasEstate» «https://angel.co/apostolos-klitso»</t>
  </si>
  <si>
    <t>Forest Lakes, N.S.</t>
  </si>
  <si>
    <t>Forest Lakes is the answer to your “what should we do this weekend?” question. Luxury accommodations located where all the best adventures are less than an hour away. Book today by searching "The Chester at Forest Lakes Country Club" on Airbnb! #Airbnb #StayHere #RentalHome</t>
  </si>
  <si>
    <t>West Hants, Nova Scotia</t>
  </si>
  <si>
    <t>Natural beauty, affordable luxury &amp; world-class amenities in the heart of Nova Scotia.</t>
  </si>
  <si>
    <t>Tia Africa</t>
  </si>
  <si>
    <t>Read Why This Australian Man Was Sent To Prison!!! #Airbnb #Australian #Jail Click link below for full gist!!!</t>
  </si>
  <si>
    <t>Federal Capital Territory</t>
  </si>
  <si>
    <t>We are the world's most popular and authoritative source for African movies, TV and Celebrity Content. We provide News and African City travel guide.</t>
  </si>
  <si>
    <t>PREGIOTEK</t>
  </si>
  <si>
    <t>How Twitter, #Dropbox, #Airbnb, #MailChimp, and other tech companies run design meetings | Inside Design Blog  #Design #projectmanagement #meeting #Tech #UX</t>
  </si>
  <si>
    <t>We Democratize Mobile Applications. Check our mobile plans for PMEs and start-ups! #BeTech #democratizemobile</t>
  </si>
  <si>
    <t>#WednesdayWisdom #coastalliving #Coastal #portaransas #CorpusChristi #Galveston #Texas #SanPadreIsland #Houston #Rockport #Brownsville CUSTOM 3/4" THICK PVC BOARD SIGNS PERSONALIZED! #Airbnb #VRBO 🤠🦀🐬🌴☀️🌊🌊🥥🍍#investments #RealEstate Shop here:</t>
  </si>
  <si>
    <t>#WednesdayWisdom #coastalliving #Coastal #portaransas #CorpusChristi #Galveston #Texas #SanPadreIsland #Houston #Rockport #Brownsville CUSTOM 3/4" THICK PVC BOARD SIGNS PERSONALIZED! #Airbnb #VRBO 🤠🦀🐬🌴☀️🌊🌊🥥🍍#investments #RealEstate</t>
  </si>
  <si>
    <t>Have a great days with us! :) #Travel #SanAndrés #Colombia #Buddhavilla #Caribbean #traveltips #traveltheworld #airbnb #Caribbeanlife #IslaDeSanAndrés #Hostel #rooms #Booking #travelling #poolside #airbnbexperiences #seaside #swimmingpool #Colombian</t>
  </si>
  <si>
    <t>Proassetz</t>
  </si>
  <si>
    <t>"Not everything tangible has value. Sometimes you cannot touch value!" Trade #bitcoins on  #proassetz #Values #ValueInvesting #Crypto #CryptoNews #cryptoworld #cryptoexchange #DigitalTransformation #blockchain #facebook #airbnb #alibaba #Uber #BTC</t>
  </si>
  <si>
    <t>Malta</t>
  </si>
  <si>
    <t>Crypto currency exchange #blockchain #crypto #BTC #ETH #CryptocurrencyNews #cryptocurrency #CryptoExchange #Ethereum #cryptotrading</t>
  </si>
  <si>
    <t>Lime Scooters track you, put GPS in neighborhoods and raid the commons using #airbnb principles. The people who use them are neo yuppie hipster *experience* tourists. If you are not destroying these for your own pleasure than what are you doing for fun?</t>
  </si>
  <si>
    <t>Live reporting from Athens, some analysis and little else. Anarchist, post left. Greece is my home far away from home.</t>
  </si>
  <si>
    <t>Hey! Come up and stay at our place,  #airbnb #cabin #LakeArrowhead RT @LAVillage: Do you have plans for #SpringBreak? How about #LakeArrowhead? From #cabins to #castles #hotel rooms to #airbnb and everything in between! Come on up! #EasterEgg Hunt on Saturday, April 20th!</t>
  </si>
  <si>
    <t>Akash Ghosh</t>
  </si>
  <si>
    <t>1 - I just had a terrible experience with my @Airbnb host. I was initially accused for having a guest over even though I was alone the entire time. One of the hosts said he thought he heard a “big black woman.” ! #racism #airbnb</t>
  </si>
  <si>
    <t>Medic @CharlesUniPRG | Media &amp; Marketing Director @Doctorpreneurs Instagram: akashghosh1</t>
  </si>
  <si>
    <t>🌿 When you take care of the details, you get the perfect picture🖱 # # # #fotografo #arquitectura #architecture #inmobiliaria #airbnb #hotel #villas #architecturephotography #archilovers #arquitecto #realestate #realtor #granada #malaga #marbella #spa…</t>
  </si>
  <si>
    <t>Role of Interior design in Airbnb Management Service  … As an Airbnb management service Resihut has marked their name globally with their mind-blowing quality and interior design. #Airbnb #Interiordesign #Airbnbmanagementservice #Interiordesign #resihut</t>
  </si>
  <si>
    <t>US-based #Airbnb maybe eyeing a deal with homegrown #hospitality unicorn OYO to enter the hotel business, in India and China #homestays #bedandbreakfast #hotels and #tourist experiences. It bought hotel booking startup HotelTonight #OYO #hotelbusiness #booking #vacation #property</t>
  </si>
  <si>
    <t>Helen Lloyd</t>
  </si>
  <si>
    <t>Flights booked! - Manchester to NYC. APAC here I come. #APAC2019 #NYC #airbnb Only 68 sleeps! 🧳✈️🇺🇸</t>
  </si>
  <si>
    <t>Derbyshire UK</t>
  </si>
  <si>
    <t>Audiobook Performer, Actor &amp; Narrator coach. Compelling, Warm, Creative &amp; British. Granny, Blogger, Dog owner &amp; Francophile. http://suzywoottonvoices.com</t>
  </si>
  <si>
    <t>The latest image from the GowerLive #webcam on the roof 730RocksMumbles #AirBnB. Book at  #Mumbles #Swansea #Gower #travel. Watch live at  #171</t>
  </si>
  <si>
    <t>Before taking off into the air, flamingos need to build up some speed. So they take a short run up, even when they’re in the water. Flamingos can run on water because they have webbing in between their three toes! ✨ #airbnb #flamingo #flamingofacts #FactOfTheDay</t>
  </si>
  <si>
    <t>GreensideAirBnBs</t>
  </si>
  <si>
    <t>Need an #Airbnb fo your #WednesdayWisdom &amp; #InternationalDayOfHappiness: Sleeps 2:  Sleeps 4:  Host:  We have dropped our prices for the #HumanRightsDay celebrations this weekend, don't #drink &amp;amp; #drive!</t>
  </si>
  <si>
    <t>Please visit: http://bit.ly/greensidemap or http://bit.ly/greensidebnbs_insta for more information 🇿🇦🌍🌎🌏🚄🚗✈️</t>
  </si>
  <si>
    <t>Ideagoras</t>
  </si>
  <si>
    <t xml:space="preserve">Madrid - Silicon Valley </t>
  </si>
  <si>
    <t>Ideagoras is Social Media Marketing Company which stands for building strong brands through collaboration at the online and global markets of conversations</t>
  </si>
  <si>
    <t>When the going gets tough, the tough lighten up. #airbnb profile restart, updated, playful and lively is our good.</t>
  </si>
  <si>
    <t>Frederic Lasgi</t>
  </si>
  <si>
    <t>Airbnb, un briseur de ville ? #Airbnb #immobilier #logement #immo #credit</t>
  </si>
  <si>
    <t>Rouen, France</t>
  </si>
  <si>
    <t>Chef de projet #digital / Consultant #SEO 📖 🚀🚦 Visiblement plus simple #immobilier #economie #webmarketing #socialmedia</t>
  </si>
  <si>
    <t>A new Twitter account has been trolling me trying to suggest that life in #Edinburgh city centre was terrible before short term let businesses in residential properties. This rewriting of Edinburgh's history storytelling appears to be a new tactic by #Airbnb businesses.</t>
  </si>
  <si>
    <t>Curiosity is Key(s)</t>
  </si>
  <si>
    <t>Zeus raises $24M to make you a living-as-a-service landlord and beat #airbnb on the corporate housing segment  via @techcrunch #proptech #realestate</t>
  </si>
  <si>
    <t>Paris - London - Luxembourg</t>
  </si>
  <si>
    <t>Who said real estate wasn’t sexy?! Curiosity is key at Keys AM. This is our exploration journey.</t>
  </si>
  <si>
    <t>Calvin Fu</t>
  </si>
  <si>
    <t>#airbnb stepping deeper into #hotel inventory is key</t>
  </si>
  <si>
    <t>Tweet about tech, digital marketing, product development, ecommerce, inspirational, gaming or sports, an active learner</t>
  </si>
  <si>
    <t>Once again stunning photography #comfortcottagehealing #visitwales #dogfriendly #TheDogsWithMe #alpacas #ArtsWales #SunDogs #Airbnb #yell #weloveaberystwyth RT @GDPTenby: happen'd upon a rainbow on a beach in wales and it rained glowed luminous *Saundersfoot Beach Pembrokeshire @ItsYourWales @ThePhotoHour @ruthwignall @kelseyredmore @LivingSeasWales @SaundersfootCFT @visitwales @WalesCoastUK @WalesCoastPath @Campaign4Parks</t>
  </si>
  <si>
    <t>How majestically beautiful is that #comfortcottagehealing #visitwales #dogfriendly #TheDogsWithMe #alpacas #ArtsWales #SunDogs #Airbnb #yell #weloveaberystwyth RT @visitwales: 🏰The Welsh flag flying high above Cardiff Castle 📸Russell Finch</t>
  </si>
  <si>
    <t>Have you ever stay in a house with a private elevator? You can now at Bed &amp; Stay. Book us here #AIRBNB :  #familytravel #travel #japan #airbnbjapan #airbnbtokyo #travel #traveling #trip #budgetrip</t>
  </si>
  <si>
    <t>Looking for a place to stay with your family and friends for an affordable price? Time to book with us your stay in #Tokyo #AIRBNB :  #familytravel #travel #japan #airbnbjapan #airbnbtokyo #travel #traveling #trip #budgetrip</t>
  </si>
  <si>
    <t>This is the week!! do not miss the chance to get the perfect picture! Book your stay here #AIRBNB :  #familytravel #travel #japan #airbnbjapan #airbnbtokyo #travel #traveling #trip #budgetrip RT @AllAbout_Japan: According to the #forecast, the first cherry blossoms should be blooming any day now! If you're traveling in Japan and want to catch a glimpse of these beauties, be sure to check it out! 🌸  #AllAboutJapan #CherryBlossoms #Sakura #Spring</t>
  </si>
  <si>
    <t>Vishwatej Pawar</t>
  </si>
  <si>
    <t>I'm a host on AirBnB. Do check out my listings if you're planning a nice getaway to Mahabaleshwar! #airbnb #promarketingprofile #airbnbhost #camping #bnb #bedandbreakfast</t>
  </si>
  <si>
    <t>Pune, India</t>
  </si>
  <si>
    <t>Photographer - Wildlife|Nature|Architecture &amp; Interiors|Food|Travel|People|Creative</t>
  </si>
  <si>
    <t>Dustin Jenkins</t>
  </si>
  <si>
    <t>If you know me, I take any opportunity to fly the mavic and this Airbnb in Santa Rosa Beach, FL was no exception. I has almost been a year since the flight happen and I do miss this place! ⁣ ⁣ #airbnb @destinbeachflorida @santarosabeachfl @airbnb #…</t>
  </si>
  <si>
    <t>freelance #videoeditor #storyteller. Find me tweeting about filmmaking, golf, tech, and always doing the right thing. In search of Content Partner.</t>
  </si>
  <si>
    <t>Last Minute Easter Special ! Save$650. Book any 2 or 3 nights and get a 3rd night free for your stay until April 2019. #kondalillafalls #weddings #swimmingpool #visitsunshinecoast #montville #sunshinecoasthinterland #airbnb #airbnbsuperhost #seeaustralia #thisisqueensland</t>
  </si>
  <si>
    <t>Are you perfectionist? Are you coding rigorously and like perfectionist or you just like to coding things that's working? Let's talk about that. #productive #motivation #100DaysOfCode #JavaScript #success #business #css #react #nodejs #airbnb #google #ilonmask #dream #forward</t>
  </si>
  <si>
    <t>Do not miss to check the Nihonbashi cherry blossom exhibition. Book your stay with us now #AIRBNB :  #familytravel #travel #japan #airbnbjapan #airbnbtokyo #travel #traveling #trip #budgetrip RT @japantimes: Can't wait for the cherry blossoms to bloom? Nihonbashi may have the next best thing.  🌸</t>
  </si>
  <si>
    <t>#HappyWednesday We are just one day away for the cherry blossoms to bloom. Time to book your stay with us here: #AIRBNB :  #familytravel #travel #japan #airbnbjapan #airbnbtokyo #travel #traveling #trip #budgetrip RT @TimeOutTokyo: According to the forecast, cherry blossoms start to bloom this Thursday. Here are the best spots to see them.</t>
  </si>
  <si>
    <t>Airbnb knows its current business model is flawed with its reliance on income from illegal hotels, and now wants to enter the hotel business while evading it's industry regulations. #airbnb #illegalhotels #travel #investments #tou…</t>
  </si>
  <si>
    <t>MillardFillmore</t>
  </si>
  <si>
    <t>Hey #airbnb guest, Juat because you didn't read the listing doesn't mean we misadvertise it. Sorry you didn't read there was a staircase but it is the second sentance!</t>
  </si>
  <si>
    <t>Hollywood, Los Angeles</t>
  </si>
  <si>
    <t>Vintage, Mid-Century Modern and Antiques sold at Bargain Prices</t>
  </si>
  <si>
    <t>Kathleen Maca - Author, Speaker, Local Historian</t>
  </si>
  <si>
    <t>Ready to go “Back to School, Airbnb Style?” Check out my latest blog post to read about a 1921 Schoolhouse that will earn an A+ for accommodations on your next vacation. #airbnb #martindaletx #talesfromtexas #texastravel</t>
  </si>
  <si>
    <t>Houston/Galveston</t>
  </si>
  <si>
    <t>Hidden history lover, travel blogger, cemetery researcher &amp; speaker. Author: Galveston's Broadway Cemeteries &amp; Ghosts of Galveston. @HistoryPress &amp; @ArcadiaPub</t>
  </si>
  <si>
    <t>Bridgett Howell</t>
  </si>
  <si>
    <t>Ready for a smart move! Just mins from ATL city life - sought after Ormewood Park community #atl #atlanta #airbnb #grantpark #citylife #buckheadatlanta #california #dc #falcon #hawkeye…</t>
  </si>
  <si>
    <t>Conyers, Georgia</t>
  </si>
  <si>
    <t>Specializing in Georgia Foreclosures: Rockdale, Newton and Henry counties. Enjoy working with 1st time homebuyers.</t>
  </si>
  <si>
    <t>ryanhallock</t>
  </si>
  <si>
    <t>Sunset from the tiny house in Carpinteria @Airbnb. #santabarbara #airbnb</t>
  </si>
  <si>
    <t>Los Angeles, Ca from Buffalo</t>
  </si>
  <si>
    <t>Astrophotographer, Drone Videographer, Editor. Instagram: rhallock</t>
  </si>
  <si>
    <t>Susan Foster</t>
  </si>
  <si>
    <t>Love this! "Holiday suite on the beach within the sand dunes - Guest suites for Rent in Formby #Travel" @airbnb  #Formby #Airbnb #UK</t>
  </si>
  <si>
    <t>Rancho Santa Fe, CA</t>
  </si>
  <si>
    <t>Writer</t>
  </si>
  <si>
    <t>Large 5Star #Florida #vacationhome with prival pool on #Airbnb Tropical #TommyBahama style - #VRBO March 19, 2019 at 10:00PM</t>
  </si>
  <si>
    <t>Don’t book your Airbnb without using this $55 referral coupon code! Click the link down below for your first $55 💸❤️💸 Airbnb discount now! Please DM me if you have any issues. #airbnb #airbnbcode #airbnbdiscount #airbnbpromo #airbnbfree</t>
  </si>
  <si>
    <t>Lins</t>
  </si>
  <si>
    <t>Take us back to our darling #airbnb 🧺🛋🛏 #charleston #vacahome #takemeback #vaca #girlsweekend #beautiful #charming #allthefun @ Charleston, South Carolina</t>
  </si>
  <si>
    <t>MN</t>
  </si>
  <si>
    <t>It's the unexpected that changes our lives...</t>
  </si>
  <si>
    <t>A collection of some of the neat statues to be found in Blowing Rock; this town has so many places to explore! @ Blowing Rock, North Carolina #blowingrock #homeaway #airbnb</t>
  </si>
  <si>
    <t>Spring Getaway - This place is neat and clean. Exactly the way it looked in the pictures! My boyfriend and I stayed there for one night and it’s worth the price. #NiagaraFalls #airBNB Canada's Rose Cottage - Daydream Room, Large Queen - Bed and breakfast</t>
  </si>
  <si>
    <t>Have freedom with an Airbnb coupon code! Sign up with the coupon link below to receive a $55 ❤️🧡💙💜💚 discount code with your first Airbnb. Please DM me if you have any issues. #airbnb #airbnbcode #airbnbdiscount #airbnbpromo #airbnbfree</t>
  </si>
  <si>
    <t>💲55 FREE AIRBNB COUPON CODE 💵❤️💵. Here’s your chance for a free credit coupon and codes to travel for FREE. Click the link NOW. Please DM me if you have any issues. #airbnb #airbnbcode #airbnbdiscount #airbnbpromo #airbnbfree</t>
  </si>
  <si>
    <t>Sean Laine</t>
  </si>
  <si>
    <t>I'm stoked! Flights booked. #AirBnB booked. Fuck yeah Australia.</t>
  </si>
  <si>
    <t>Lake Forest, CA</t>
  </si>
  <si>
    <t>California portrait photographer. I like dramatic and vibrant. I do some video time to time. I tend to be very personal here.</t>
  </si>
  <si>
    <t>JS Mueller &amp; Co Lawyers</t>
  </si>
  <si>
    <t>News Corp Australia 'Your Money' interviews partner, Adrian Mueller. Adrian talks #shorttermletting #airbnb, the approval process, dealing with short term letting in your strata building, #bylaws and other expert tips.  #stratalawyers #stratalawtoday</t>
  </si>
  <si>
    <t>Strata Lawyers with in depth experience and comprehensive knowledge of Strata Law and Levy Collection across regional and metropolitan NSW. #stratalawtoday</t>
  </si>
  <si>
    <t>SUNSET and MOONRISE so happy to call this beautiful part of the Sunny Coast HOME 🌞🌕 Here's our link on #airbnb  Our shack by the sea is ready for your next beachy getaway...</t>
  </si>
  <si>
    <t>Don’t do hotels! ❤️💚🧡💙💜 Have freedom with an Airbnb! Sign up with the coupon link below to receive a $55 discount code with your first Airbnb. Please DM me if you have any issues. #airbnb #airbnbcode #airbnbdiscount #airbnbpromo #airbnbfree</t>
  </si>
  <si>
    <t>Australian man gets 11 years for #Airbnb killing #myedgeprop</t>
  </si>
  <si>
    <t>Matt Simpson</t>
  </si>
  <si>
    <t>Oddly, one of the worst parts of being an #airbnb host is leaving a negative review for a guest. I don't know how #yelp trolls do it. Thankfully, Airbnb really treats hosts well. I've always felt taken care of. Remember folks, you're staying in another human's home.</t>
  </si>
  <si>
    <t>Tempe, Arizona</t>
  </si>
  <si>
    <t>I’m a community-building, tree-hugging, road-tripping, yoga-loving, veg-eating hippie. I own a digital marketing consultancy in Tempe. #yesphx</t>
  </si>
  <si>
    <t>Kate Purdy</t>
  </si>
  <si>
    <t>If you're not using #airbnb for your #vacation rental, you're missing out.</t>
  </si>
  <si>
    <t>#Photographer. Love to travel, passport ready. Freelance to Demotix &amp; Corbis &amp; newswires #NYG #NPPA</t>
  </si>
  <si>
    <t>Dissolve your stresses as you sink into complete relaxation mode at this designer beach house, located just metres from Mahon Pool and the famous surf breaks of Maroubra Beach. #labodeaccommodation #airbnb #homehost #shorttermstays . .</t>
  </si>
  <si>
    <t>DeV</t>
  </si>
  <si>
    <t>Headed to #Atlanta for a week in July. Can anyone direct me to any Black-owned #AirBnB landlords?</t>
  </si>
  <si>
    <t>Live from Houston.</t>
  </si>
  <si>
    <t>Tim Eigo</t>
  </si>
  <si>
    <t>In a first, Palestinians challenge Israel’s settlement enterprise – in a U.S. court.  #AirBnB @Airbnb</t>
  </si>
  <si>
    <t>I edit Arizona Attorney Magazine, lawyers IRL. President @spjphx RT≠endorsement. ♥ must mean I like like you. Denise was at all our weddings. He/him</t>
  </si>
  <si>
    <t>Lady-Maid-Services</t>
  </si>
  <si>
    <t>Do you own a airbnb? Keeping your property clean is super important for your guests to have a great experience ! Contact us today ! 613-698-9605 Sign a one year Contract and get free carpet cleaning ! #Airbnb #Ottawa #Guests #Hotel #Gatineau #HouseCleaning #Orleans #Cleaning</t>
  </si>
  <si>
    <t>House Cleaning | Ottawa Cleaning | Janitorial Cleaning | Commercial Cleaning |Building Cleaning | Cleaning services |</t>
  </si>
  <si>
    <t>Don’t book your Airbnb without using this 💲55 referral coupon code! Click the link down below for your first 💲55 💸❤️💸 Airbnb discount now! Please DM me if you have any issues. #airbnb #airbnbcode #airbnbdiscount #airbnbpromo #airbnbfree</t>
  </si>
  <si>
    <t>ATO to audit 4500 'high-risk' taxpayers over rental property returns.  #accommodation #airbnb #hotels #taxes #Tourism</t>
  </si>
  <si>
    <t>Recent review from last week. I feel the same way. I want to move in. Come check it out. We’d love to have you in Indy. #Airbnb #SuperHost #StayHere</t>
  </si>
  <si>
    <t>Christian Ferreyra Realtor</t>
  </si>
  <si>
    <t>🔥🔥🔥🔥🔥 Beautiful oversized 1/1 for sale at the sought after #costahollywood #NewConstruction! A real #AirBNB money making machine right on #HollywoodBeach - Questions? Call now:…</t>
  </si>
  <si>
    <t>App: http://app.kw.com/Kw1qwikxu/ #TopProducer #RealEstate #KellerWilliams | REO's #Investment #Sales | #MiamiBeach #NorthBayVillage #MiamiShores #ElPortal</t>
  </si>
  <si>
    <t>emmelieforsyth</t>
  </si>
  <si>
    <t>#Pinterest and #Airbnb Teamed Up on a Spring and Summer #TravelGuides</t>
  </si>
  <si>
    <t>LA, California</t>
  </si>
  <si>
    <t>I am an uplifter, an explorer + a vitality advocate. I prepare + execute BD + marketing strategies for companies within advertising, media + entertainment</t>
  </si>
  <si>
    <t>Be the brightest star in the sky  #Airbnb #airbnbaustralia #airbnbhost #bnbhostguru</t>
  </si>
  <si>
    <t>I love the view from the balcony of my bed and breakfast. Spring has sprung in Oklahoma City and the flowers are in bloom. #spring #nature #AirBnB</t>
  </si>
  <si>
    <t>Tucker Ballister</t>
  </si>
  <si>
    <t>In this post, we take you through a few of the unexpected events that tested our mettle and increased our experience and comfort with property management.#airbnb #PropertyManagement</t>
  </si>
  <si>
    <t>Truckee, CA, United States</t>
  </si>
  <si>
    <t>Freelance Writer + Outdoor Guide | Link to The Backpack Guide: http://thebackpackguide.com | Link to Ballister Writing below.</t>
  </si>
  <si>
    <t>Join AirDNA CEO @scottshatford at the virtual Airbnb Mastery Summit this Thursday, March 21st to get actionable insights for starting or scaling your short-term rental business. Get your FREE ticket here:  #airbnb #homeaway</t>
  </si>
  <si>
    <t>Catalyst</t>
  </si>
  <si>
    <t>The new bill would add a suite of costly new rules that threaten to bring Arizona’s budding home-based industry to its knees.  @Airbnb @NickZaiac #vacationrentals #Airbnb</t>
  </si>
  <si>
    <t>Catalyst brings non-partisan, market-based, and community-oriented solutions to young professionals.</t>
  </si>
  <si>
    <t>Willow Creek Farm &amp; Winery</t>
  </si>
  <si>
    <t>168 Stevens St. West Cape May</t>
  </si>
  <si>
    <t>Our winery is now open everyday all year round for wine, tapas, tastings, vineyard tours, and private wine events. Call 609.770.8782 for more info!</t>
  </si>
  <si>
    <t>💲55 AIRBNB COUPON CODE 💵💲✈️💵 Here’s your chance for a free credit coupon discount and codes to travel for FREE. Click the link NOW. Please DM me if you have any issues. #airbnb #airbnbcode #airbnbdiscount #airbnbpromo #airbnbfree</t>
  </si>
  <si>
    <t>Aaron Best</t>
  </si>
  <si>
    <t>We had an #AirBnB "specialist" call us on 1 of downtown rental ads. He was going to offer to help us out &amp; get steady #rent at a premium $$$, if we accepted him as our #tenant. Funny this property already had some visionary illegally #subleasing it. We evicted him #scalper #vanre</t>
  </si>
  <si>
    <t>Husband | Father | Real Estate Office Co-Owner | Associate Broker | REALTOR® | Property Manager</t>
  </si>
  <si>
    <t>Look 👀 we know #insurance can be CONFUSING 😖 and nobody wants that 👉 #click to download your #free info-graphic to help better understand the difference between host liability &amp; commercial liability  #vacationrental #airbnb #bookdirect #TuesdayThoughts</t>
  </si>
  <si>
    <t>Another wonderful review! We love hosting families! Thinking about a trip to #Houston ? Our #Airbnb is ready!</t>
  </si>
  <si>
    <t>#MustSee Visit Zagreb 360. It's really something what you must see in Zagreb. . . #Rooftop #sky_high_architecture #skyzone #zagrebfromthesky #airbnb #hostagram #Visit #VisitZagreb #Coffee #coffeebreak #Enjoy #enjoythejourney</t>
  </si>
  <si>
    <t>Standing tall and proud. 😍 Via @beautyofhouses Visit ➡  ⬅ to learn how to profit from investment properties that you don't even need to own. #airbnb #vacationrental</t>
  </si>
  <si>
    <t>#mustsee Visit Zagreb 360. It's really something what you must see in Zagreb. . . #rooftop #sky_high_architecture #skyzone #zagrebfromthesky #airbnb #hostagram #visit #visitzagreb #coffee…</t>
  </si>
  <si>
    <t>Never dreamed my Airbnb would be at 100% occupancy since the day I listed it this February and April is filling up fast! #airbnb #whatabargain #vacationrental @ Mesa, Arizona</t>
  </si>
  <si>
    <t>McCaffrey Electrical 🏴󠁧󠁢󠁳󠁣󠁴󠁿</t>
  </si>
  <si>
    <t>Electric panel heaters for air’b’n’b customer in Glasgow.. They said it couldn’t be done ✔️🏴󠁧󠁢󠁳󠁣󠁴󠁿👍🏻@Airbnb @nest #nest #nestinstallers #airbnb #glasgow</t>
  </si>
  <si>
    <t>Smart Devices &amp; HVAC Controls Electrician. #NestProElite #nest #glasgow #edinburgh #nesthello #nestthermost Call:07841756851 Email:mccaffreyelectrical@gmail.com</t>
  </si>
  <si>
    <t>Who’s ready for a #summer #vacation and Palm Beach @MoodyGardens?!  #AirBnB #travel #Galveston #Houston #Texas</t>
  </si>
  <si>
    <t>Chef Tracey Callahan</t>
  </si>
  <si>
    <t>Another arrangement of Today’s harvest. Tomatoes 3 different kinds, jalapeños of course, purple green beans, oregano. #grow #your #own #floridafresh. #wondergrottole #airbnb #matera #italia</t>
  </si>
  <si>
    <t>San Antonio, Texas</t>
  </si>
  <si>
    <t>210.710.1456 tracey@thethetraveledchef.com. http://fb.me/TheTraveledChef</t>
  </si>
  <si>
    <t>Forsyth County's special called meeting on #ShortTermRentals is nearing the end of it's third hour, with the back-and-forth conversations still in progress. Commissioner Semanson says the meeting will end at 5 P.M. regardless of any resolution. #Airbnb @11AliveNews</t>
  </si>
  <si>
    <t>We welcome our furry friends to stay at our luxurious self catering beach fronted holiday home in cornwall #dogholidays #furryfriend #petspyjamas #staycation #airbnb #familyholiday…</t>
  </si>
  <si>
    <t>Sara Beth Wade</t>
  </si>
  <si>
    <t>I've also hung out with this handsome guy. #birthdayweek #airbnb #mainecoon</t>
  </si>
  <si>
    <t>World Traveler stuck at a desk</t>
  </si>
  <si>
    <t>Today’s harvest. Tomatoes 3 different kinds, jalapeños of course, purple green beans, oregano. #grow #your #own #floridafresh. #wondergrottole #airbnb #matera #italia</t>
  </si>
  <si>
    <t>Did you know, Pineapples take a very long time to harvest? One #pineapple plant grows just one pineapple at a time, &amp; it takes 18 - 24 months per pineapple! #boundlesshawaii #pineapples #hawaii #airbnb #luxuryrentals</t>
  </si>
  <si>
    <t>Travel and get $55 off! Click Here:  #AirBnB #Travel #Discount</t>
  </si>
  <si>
    <t>Lucky lady, loving wife &amp; lifestyle blogger. Estate Sale Aficionado, cannabis advocate. http://MargiesMountainView.com</t>
  </si>
  <si>
    <t>Elite Rv Rentals</t>
  </si>
  <si>
    <t>Planning a trip to Phoenix? Book with Elite Rv Rentals today! 623-980-1116 #TravelTuesday #airbnb #affordable #adventure #beach #vacation #getaway #explore</t>
  </si>
  <si>
    <t>Elite RV Rentals is a family owned rental company that caters to families, individuals and groups looking for a stress free vacation! Book today 623-980-1116</t>
  </si>
  <si>
    <t>Coach Mikey</t>
  </si>
  <si>
    <t>| Success Coach ¦ Trader ¦ Investor ¦ God ¦ Acts 20:35 | ⚜️I coach people to financial freedom⚜️</t>
  </si>
  <si>
    <t>SawgrassTechnologies</t>
  </si>
  <si>
    <t>Testing out new pet designs in #CreativeStudio! . . . #airbnb #sublimation #Hospitality #sawgrassink</t>
  </si>
  <si>
    <t>Charleston, South Carolina</t>
  </si>
  <si>
    <t>Sawgrass is a dynamic, global industry leader in producing high quality digital ink technologies for businesses in consumer and industrial markets.</t>
  </si>
  <si>
    <t>Nadir Real Estate</t>
  </si>
  <si>
    <t>Airbnb Signs Agreement to Acquire HotelTonight | @hotelbusiness @Airbnb has signed an agreement to acquire @HotelTonight a last-minute hotel-booking service. 🏨 🧐 Comes after launch of Airbnb + 🏤 __ #AirBnB #HotelTonight #Combine #ReImagine #Travel</t>
  </si>
  <si>
    <t>RE/MAX | On The Lake &amp; Northwest | REALTOR ®| Residential &amp; Commercial | Sales | Leasing | Development | Service to our CITY! #NadirRealEstate 206-407-4189</t>
  </si>
  <si>
    <t>Great #Austin #TX #Apartment on #Airbnb: BEST Location, Lovely home, Walk to Everything!, sleeps 12</t>
  </si>
  <si>
    <t>Amazing Day in Paradise 🏖️😎 VallartaStays - Hotels, Condos &amp; Villas Vacation Rentals Dream Team  #VallartaStays #PuertoVallarta #Airbnb #Expedia #PayPal #Hotel #SemanaSanta #VallartaPride #19Mar #Mexico #FelizMartes @TurismoGobPV @TurismoPV @TurismoUdeG</t>
  </si>
  <si>
    <t>We love happy customers!! ❤️ Come see what our overnight stays are all about! #mandrnightlyrentals #airbnb #happycustomer</t>
  </si>
  <si>
    <t>Learn about how you can be one in Airbnb listing? Visit  #airbnb #airbnbhost #airbnbexperience #airbnbcoupon #airbnbexperiences #airbnbhomes #airbnbguest #bnb #bnbreadathon #moneygram #moneymotivated #entrepreneurship #unitedstates #businesstips #inspire</t>
  </si>
  <si>
    <t>kunal</t>
  </si>
  <si>
    <t>#Airbnb maybe eyeing a deal with homegrown hospitality unicorn #OYO to enter the hotel business, in India and #china according to a media report. The news comes just weeks after Airbnb bought US hotel booking #startup HotelTonight for more than $400 Mn.</t>
  </si>
  <si>
    <t>Founder @JoinTGCINDIA Social Entrepreneur | IIT Delhi | UN Volunteer | Enthusiastic ! passionate ! Learning Social, Political, Economical &amp; Environmental Issues</t>
  </si>
  <si>
    <t>LA Village</t>
  </si>
  <si>
    <t>Do you have plans for #SpringBreak? How about #LakeArrowhead? From #cabins to #castles #hotel rooms to #airbnb and everything in between! Come on up! #EasterEgg Hunt on Saturday, April 20th!</t>
  </si>
  <si>
    <t>Shop, dine and be entertained at Lake Arrowhead Village, a jewel in the mountains of Southern California. Year round concerts and events!</t>
  </si>
  <si>
    <t>ThePorshaEdmun</t>
  </si>
  <si>
    <t>Have to get some makeup removal wipes this the second set of towels Women do better. Stop staining my MF towels. Who doesn’t travel with makeup removal wipes. Clearly take care of your face. Ugh 😑 #Airbnb</t>
  </si>
  <si>
    <t>#UNTAlumni 🎓• ✊🏾• I Buy Houses in Dallas, TX 📍 Cash 214-702-8106 • IG @theporshaedmun • Real Estate Investor 🏠 • Entrepreneur 💰•</t>
  </si>
  <si>
    <t>Time for the special called meeting discussing short-term rentals. Watch it live at . #ShortTermRental #Airbnb #CummingGA #ForsythCountyGA #MyCummingNews #WhereAtlantaSpeaks #MetroAtlanta #ATL #Atlanta #11Alive @11AliveNews</t>
  </si>
  <si>
    <t>Some simple changes to your rental can turn it into an attractive option for business travelers. Discover what business travelers expect from #Airbnb accommodations and how you can win more bookings from this category of guests 👇</t>
  </si>
  <si>
    <t>Solar Dom Silvestre</t>
  </si>
  <si>
    <t>6230-160 Castelo Novo, Fundão-Portugal</t>
  </si>
  <si>
    <t>Bed and Breakfast (early 17th c) For reservations: Tel: +351932554014 &amp; solardomsilvestre@gmail.com / GPS: 40º04´36.96”N - 7º29´42.68”</t>
  </si>
  <si>
    <t>Established in 1876 the #historical Grace Episcopal #Church has been through a lot, even surviving Storm of 1900. #Galveston has many beautiful places to visit and worship on #vacation. Come visit at our #AirBnB listing:  #travel #HOUSTON #Texas</t>
  </si>
  <si>
    <t>Coille Bheag</t>
  </si>
  <si>
    <t>Due to a cancellation we have four days y free in The Lodge! March 24-27 £65 per night (self-catering). Sleeps 4. Visit  or check us out on #Airbnb at  #lateavailability #scotland #scottishhighlands #NC500</t>
  </si>
  <si>
    <t>Wester Ross, Scotland</t>
  </si>
  <si>
    <t>Enjoy panoramic #mountain views on our lochside croft in the #ScottishHighlands. Stay in our crofter's #cottage or luxurious lodge! We're an #Airbnb #Superhost</t>
  </si>
  <si>
    <t>Liberty Vacation Rentals</t>
  </si>
  <si>
    <t>Spring Break at the Lake! Come stay at Liberty Vacation Rentals and take %15 off with code SPRING15  #lakepowell #springbreak2019 #bookdirect #savemoney #travel #holidays #getaway #utah #arizona 👍🏡🏞🏜 #airbnb</t>
  </si>
  <si>
    <t>Big Water, UT 84741</t>
  </si>
  <si>
    <t>A great place to rest in the wild west.🌵 #AIRBNB #superhost🌟4.9 by Lake Powell w/ wifi, kitchen, laundry, memory foam beds and private or shared options. 🏜</t>
  </si>
  <si>
    <t>Wild 😜Card 🃏Miss Myrtle 🌸</t>
  </si>
  <si>
    <t>#Travel #Airbnb use my link to save!</t>
  </si>
  <si>
    <t>Little River, SC</t>
  </si>
  <si>
    <t>🃏#BlackjackDealer 🍺#Bartender 🦀#Server 🥊#amateurboxer 🤼‍♀️#IndyWrestler 🎥 WCRD - Wild Card TV 🖥 ✈️ 🧳 📧 BookMissMyrtle@gmail.com</t>
  </si>
  <si>
    <t>Spitzen specializes in making sure your vacation rental is spotless for your next guest! #spitzen #spitzencleaning #cleaningservice #airbnb #vacationrental #yyj #victorianc</t>
  </si>
  <si>
    <t>#Airbnb #Travel #Host use my link to make money</t>
  </si>
  <si>
    <t>Attorney Referral Service</t>
  </si>
  <si>
    <t>Here’s how to research ahead of your stay to minimize the chance of nasty last-minute surprises👇 (via @lifehacker) #airbnb #locallaws</t>
  </si>
  <si>
    <t>Tarzana, CA 91356</t>
  </si>
  <si>
    <t>Find San Fernando Valley #Attorneys in Los Angeles and get up to 30 minutes of FREE consultation ⚖️ Call 818-697-1426</t>
  </si>
  <si>
    <t>Now offering a new and TOTALLY FREE website where you can post your classified ads! Ready to see what all the hype is about? Please visit us at  #tbe #tb #emacity #tbt #newsite #freedatingsite #airbnb #realestate #ads #classifiedads #madeinusa #socialmedia</t>
  </si>
  <si>
    <t>Virginia Festival of the Book begins tomorrow! Book your stay with us! We are located right outside of Chatlottesville.  #virginiafestivalofthebook #cville #staywithus #books #reading📖 #seeyousoon #booking.com #airbnb #vrbo #homeaway #tripadvisor</t>
  </si>
  <si>
    <t>Studio APL. 力口建築</t>
  </si>
  <si>
    <t>20190319-sky lights ! #airbnb #renovation #studioapl #力口建築</t>
  </si>
  <si>
    <t>Taipei City, Taiwan</t>
  </si>
  <si>
    <t>jan levie</t>
  </si>
  <si>
    <t>#AirBnB - people, if your place is not acceptable, you have only up to 24 hours after booking to file your complaint. #disappointed.</t>
  </si>
  <si>
    <t>atlanta, georgia, usa</t>
  </si>
  <si>
    <t>The only thing people will remember about your event is how it made them feel. http://www.facebook.com/handyentertainment</t>
  </si>
  <si>
    <t>Veronica Brezina-Smith</t>
  </si>
  <si>
    <t>Manatee County explores working with #Airbnb, collecting taxes</t>
  </si>
  <si>
    <t>Tampa, Florida</t>
  </si>
  <si>
    <t>I cover tourism, airports, ports, transit and health care. Have a story? Email me vbrezina@bizjournals.com or call 813-342-2468</t>
  </si>
  <si>
    <t>El Escondite, Zihuatanejo</t>
  </si>
  <si>
    <t>Last minute cancellation makes these 2 comfortable casitas available to rent as of today. Just 1 block to the best beach in Zihuatanejo!  and  … #zihuatanejo #ixtapa #vrbo #homeaway #tripadvisor #casita #rental #airbnb #mexico</t>
  </si>
  <si>
    <t>Alison Heinrich</t>
  </si>
  <si>
    <t>Extended ski season means more time to hit the slopes. My @Airbnb has openings in April! #visitcolorado #skicolorado #Airbnb #vacationrental #Colorado #winterpark #homeawayfromhome</t>
  </si>
  <si>
    <t>Loving life in Denver, CO. Once a Bison, Always a Bison</t>
  </si>
  <si>
    <t>In a First, Palestinians Challenge Israel’s Settlement Enterprise—in a US Court via @thenation  #Israel #Palestine #Airbnb #BDS</t>
  </si>
  <si>
    <t>Some top tips!  #cleaning #clean #home #office #pub #restaurant #holidaylet #airbnb #ecofriendly #bredonhill #cotswolds</t>
  </si>
  <si>
    <t>Just Pinned to PINWORTHY: TRAVEL :  #travel #tlpicks #travelblogger #travelguide Airbnb has a nice incentive for new users – if you sign up through an existing user, you'll get a discount on your booking. #travel #traveldeals #airbnb #discount #coupon #co…</t>
  </si>
  <si>
    <t>Another happy #AirBnB customer had a great #vacation at our place in #Galveston #Texas! Our fifth reviews puts us in the “work collection.” #Superhost here we come! See our house:  #travel #HOUSTON #beach #5Stars</t>
  </si>
  <si>
    <t>Adrian Dan Pop</t>
  </si>
  <si>
    <t>more #airbnb experience for me and my friends #travel #visitfinland #visitfinland #VisitRwanda #visitlondon #baiamare #maramures #michelinguidenordic</t>
  </si>
  <si>
    <t>Baia Mare, Maramures</t>
  </si>
  <si>
    <t>World Peace Forum - Secretary General #WorldPeace and Rotaract Global MUN Rotary programme coordinator</t>
  </si>
  <si>
    <t>Booking a trip to #Atlanta and need a #vacationrental #vacationhome #Airbnb #booknow with us 1 bed condo downtown #Atlanta #baecation #vacation #vacationdestination #fun #tourist #goodtimes #memories #GeorgiaAquarium #atlantazoo #cocacolaatlanta #617atlrental</t>
  </si>
  <si>
    <t>Traveling with your friends to #Atlanta and need a #vacationrental #vacationhome book with us 4bed 2bath mins from the airport and miles from downtown #Atlanta #girlstrip #bacheloretteparty #fun #tourist #womenwhotravel #businesstrip #businesstravel #Airbnb</t>
  </si>
  <si>
    <t>Bees Homes</t>
  </si>
  <si>
    <t>Bees Homes is at the @vrma European conference. Always learning about what services we can advise our clients. It's not just about selling but how we can help them through their journey 😊🐝 #beforeduringandafter #beeshomes #propertymatchmakers #properties #airbnb #guesty</t>
  </si>
  <si>
    <t>Eastbourne, England</t>
  </si>
  <si>
    <t>"Taking the sting out of buying and selling property!" Selling property along the #SussexCoast #propertymatchmakers 01323 332344</t>
  </si>
  <si>
    <t>looking for a #vacationrental #vacationhome #Airbnb #booknow 3 bed 2bath mins from the airport and a few miles from downtown #Atlanta and get that at home feel #familytravel #familytrips #familyvacation</t>
  </si>
  <si>
    <t>MorjimSunsetGesthous</t>
  </si>
  <si>
    <t>Airbnb property on the Morjim Beach, North Goa with private kitchen #airbnb #morjim #Apartment #bedandbreakfast #morjimbeach #goa What do you think?</t>
  </si>
  <si>
    <t>Morjim, Goa, India</t>
  </si>
  <si>
    <t>Morjim Sunset Guesthouse: Budget beach hotel near Morjim beach North Goa. Perfect for families, couples. Rooms with kitchen. Website: http://morjimsunset.com</t>
  </si>
  <si>
    <t>Less is more when we design! . . . . . #AlWasl #Dubai #FrankPorterDesign #villa #minimalistdesign #luxurylife #moderndesign #shortterm #stylish #design #interiors #interiordesign #airbnb #airbnbmanagement #holidayhome #vacationhome #vacation #propertymanagement #frankporterhttps:</t>
  </si>
  <si>
    <t>Less is more when we design! . . . . . #AlWasl #Dubai #FrankPorterDesign #villa #minimalistdesign #luxurylife #moderndesign #shortterm #stylish #design #interiors #interiordesign #airbnb…</t>
  </si>
  <si>
    <t>Sylvia Pond</t>
  </si>
  <si>
    <t>Some people travel from Kitchener abroad and some people come from abroad to Kitchener... And for those coming to Kitchener looking for unique and beautiful accommodations they may end up choosing this... The Elm House. Coming soon to Airbnb... #airbnb #kwawesome #photography</t>
  </si>
  <si>
    <t>Waterloo</t>
  </si>
  <si>
    <t>Photography, Music, Cheese, Travel, and Happiness everyday!</t>
  </si>
  <si>
    <t>Alcazar Court</t>
  </si>
  <si>
    <t>Alcazar Court - Five 1924 Bungalows with modern and vintage touches. Come Stay With Us - Everyone is Welcome Here!  #AirBnb #alcazarcourt #WeLoveItHere #SanDiego #California #fivestar #Vacation #VintageTravel #HeritageTravel #hospitality #touristswelcome</t>
  </si>
  <si>
    <t>Alcazar Court Bungalows - Come Stay With Us - Everyone is Welcome Here! 5 1924 bungalow vacation rentals with vintage &amp; modern touches. #Airbnb #Superhost #Plus</t>
  </si>
  <si>
    <t>Michelle Jacobson</t>
  </si>
  <si>
    <t>Garage - ADU conversion, yes please! If you are interested in a project like this, reach out for local resources! . . . . . #denverrealestate #denverrealtor #adu #accessorydwellingunit #motherinlawsuite #airbnb...</t>
  </si>
  <si>
    <t>Denver 80204</t>
  </si>
  <si>
    <t>Sustainable Designer</t>
  </si>
  <si>
    <t>Zoned 2 units, #AirBnB #ShortTermRental #FirstTimeHomeBuyer #Skyland #PriceReduction 4BR/2BA 1600 SF</t>
  </si>
  <si>
    <t>#Airbnb in #Vancouver - ICYMI, the website doesn't verify its users' identities. The strangers in your rental or condo building? Anonymous, unverified, undocumented customers. The 'hosts' who use your building to serve them? Same.</t>
  </si>
  <si>
    <t>Now this is service! Let us bring all of the baby gear you need and have it waiting for you when you get to your hotel room (or vacation rental). #babyquip #airbnb #babygeardelivery #toys #rentbabyequipment #packlight #family #baby #travelwithbaby #travelwithkids #rentinstead</t>
  </si>
  <si>
    <t>Check out #Airbnb the next time you want to see where travel can take you! #OBX #travel</t>
  </si>
  <si>
    <t>First Time Airbnb $55 coupon promo referral code :) Get your discount credit on your first trip Click the link NOW 💵💵💵—-&gt;✈️ #airbnb #airbnbcode #airbnbdiscount #vacation #trips #travel #getaway</t>
  </si>
  <si>
    <t>Ryan Paul Heyworth</t>
  </si>
  <si>
    <t>I thought Airbnb was 'Pay Before You Stay'? | BBC News - #Airbnb host jailed for killing guest over unpaid bill</t>
  </si>
  <si>
    <t>Technologist, Futurist and Educationist</t>
  </si>
  <si>
    <t>Anthony Jury</t>
  </si>
  <si>
    <t>The Day the South Korean Police came Barging into my #Airbnb Apartment</t>
  </si>
  <si>
    <t>Western Australia, Australia</t>
  </si>
  <si>
    <t>G'day, it's Anthony Jury, your true blue Fair Dinkum traveller, venturing through Australia and Asia. Travel blogger/ travel writer/ travel consultant.</t>
  </si>
  <si>
    <t>Moh'd Jebrini</t>
  </si>
  <si>
    <t>We just released the best places to invest in Real Estate section for #Airbnb #HomeAway &amp; traditional rental strategies. #realestateinvesting #realtor follow the link for details</t>
  </si>
  <si>
    <t>Entrepreneur, cofounder/CTO @Mashvisor, father, technologist, founder of @JebriniTech.</t>
  </si>
  <si>
    <t>George Ohan</t>
  </si>
  <si>
    <t>Puerto Rico, Air BnB hosts must consider maintenance on house fans often. 1 minute blog read. &gt;&amp;gt; Click now.  #AirBnBPuertoRico #PuertoRico #AirBnB #PuertoRicoProperty #PropertyManager</t>
  </si>
  <si>
    <t>#GeorgeOhanBusinessConsulting *Intelligence is attractive #PuertoRico *PositiveVibes #Veteran #Armenian #UCLA #Hollywood *Message Me - "Whatever it takes!"</t>
  </si>
  <si>
    <t>Do you need a Property manager for Air BnB host? Housekeeping, Maintenance, Marketing, and more.  #AirBnBPuertoRico #PuertoRico #AirBnB #PuertoRicoProperty #PropertyManager</t>
  </si>
  <si>
    <t>Stunning shots #comfortcottagehealing #visitwales #dogfriendly #TheDogsWithMe #alpacas #ArtsWales #SunDogs #Airbnb #yell #weloveaberystwyth RT @FrankMooreB2BW: On this day last year with "The Beast from the East" Mid-Wales @ruthwignall @Natures_Voice @wildlife_uk @NatureUK @Britnatureguide @BTO_GBW</t>
  </si>
  <si>
    <t>Palestinians intervene to sue Israeli settlers in #Airbnb lawsuit – Mondoweiss #Israel #Palestine #settlers</t>
  </si>
  <si>
    <t>Airbnb host who killed guest in ‘brutal’ attack over unpaid £113 bill jailed for 11 years  #Property #Rentals #Airbnb</t>
  </si>
  <si>
    <t>MICHAEL DISALVO</t>
  </si>
  <si>
    <t>The #Ottawa Real Estate Market is heating up. Contact us for a free house appraisal. Have you thought of using the equity in your house to purchase an investment property? #Retirement #airbnb #DiSalvoRealEstateGroup</t>
  </si>
  <si>
    <t>Small Business Advisor, Real Estate Agent.</t>
  </si>
  <si>
    <t>Scintilla</t>
  </si>
  <si>
    <t>Why I'll never use #AirBnB ever. They put a SEVENTEEN THOUSAND DOLLAR CHARGE on her credit card -- when she wasn't using #airbnb in any way. For a week, they've REFUSED to discuss this with her or her bank! TIME FOR LAWYERS AND THE POLICE, by god. #ShutEmDown #THIEVES</t>
  </si>
  <si>
    <t>Opposing white supremacy, fascism, &amp; terrorist tactics by any religion or organization</t>
  </si>
  <si>
    <t>New York City Wired</t>
  </si>
  <si>
    <t>#watch last week’s episode of NYC Wired Ep4 #Startups, #GoldmanSachs, #Airbnb  via @YouTube</t>
  </si>
  <si>
    <t>Breaking NYC Tech Business News + Events + Culture | #Blockchain #CRE #Founders #NYCTech #GlobalTech | http://NewYorkCityWired.com</t>
  </si>
  <si>
    <t>IBTimes India</t>
  </si>
  <si>
    <t>Airbnb host 'choked guest to death' over failing to pay $210 rent; sent to 11 years in jail #Airbnb #Melbourne</t>
  </si>
  <si>
    <t>International Business Times | India Edition | Indian News for Global news consumer | Follow- http://fb.com/ibtimes.india http://instagram.com/ibtimes_india</t>
  </si>
  <si>
    <t>Erik Pragt</t>
  </si>
  <si>
    <t>#Airbnb's date picker is, well, picky...</t>
  </si>
  <si>
    <t>Dorset Dog Holidays</t>
  </si>
  <si>
    <t>I wish everyone knew this!! Please folks! Don't use #airbnb #homeaway #Expedia and the other big #holiday listing sites - they all charge huge fees! (Which reminds me - we're offering 10% off #Easter when you #bookdirect !)  RT @readydoggygo: We know that #UK #dogfriendly #holidaycottage owners #booking rates are 10% to 25% cheaper when you #book #cottages with #ownersdirect. We follow many #petfriendly #holidaycottages. Search and book your #holiday #cottage today :-)</t>
  </si>
  <si>
    <t>Weymouth, England</t>
  </si>
  <si>
    <t>2 #Familyfriendly #Dogfriendly #cottages in #Dorset. #CornerCottage in #Osmington Sleeps 8. #Mayfield in #Weymouth Sleeps 4.</t>
  </si>
  <si>
    <t>Cash from short-term rentals in Canada spikes 940% in four years #RealEstate #Investing #Mortgage #Housing #Realtor #property #REINON #Ontario #AIRBNB</t>
  </si>
  <si>
    <t>Catala Consulting</t>
  </si>
  <si>
    <t>Are Airbnb and Google revolutionising hotel distribution? One year on #airbnb #google #hotel #technology</t>
  </si>
  <si>
    <t>New Yields For Hospitality Pros | As a specialised #consultancy, we provide revenue solutions for #hospitality businesses big and small | #DataAnalytics #Hotel</t>
  </si>
  <si>
    <t>Good start on the blue Shasta Astrodome paint job. #spot77 #realestate #renovations #urbanjungle #1963 #tinyhouse #airbnb #camping #midcenturymodern #vintagetrailer #glamping…</t>
  </si>
  <si>
    <t>Looking for a #vacationrental #vacationhome if traveling to #Atlanta 1bed condo in downtown #Atlanta #booknow #Airbnb #businesstravel #businesstrip #business #businessmen #BusinessWoman click the link below</t>
  </si>
  <si>
    <t>Sanding &amp; Painting Shasta Astrodome Camper #spot77 #realestate #renovations #urbanjungle #1963 #tinyhouse #airbnb #camping #midcenturymodern</t>
  </si>
  <si>
    <t>Barely Visible Shasta Logo on my Vintage Shasta Astrodome Camper. #spot77 #realestate #renovations #urbanjungle #1963 #tinyhouse #airbnb #camping #midcenturymodern</t>
  </si>
  <si>
    <t>Marlène Sellebråten</t>
  </si>
  <si>
    <t>Also, indeed, there is no reason why we should not move towards a non-ownership model for digital services in the same way we are moving away from ownership of physical products, think #Uber, #Voi, #Airbnb #webbdagarna</t>
  </si>
  <si>
    <t>Digital Content strategist/Journo/analyst. #theentrepreneursguide at @investstockholm @SthlmInno Horizon2020 expert. Sociology &amp; gender student.</t>
  </si>
  <si>
    <t>bundleithome</t>
  </si>
  <si>
    <t>Albany, NY</t>
  </si>
  <si>
    <t>a blog dedicated to all aspects of architecture and interior design</t>
  </si>
  <si>
    <t>Harvard Business</t>
  </si>
  <si>
    <t>How well is #Airbnb is managing growth amid backlash from cities like #NYC? Does Heinz’s controversial zero-based budgeting approach to #management work? These questions are answered on the newest episode of #HBSAfterHours:</t>
  </si>
  <si>
    <t>Boston, MA USA</t>
  </si>
  <si>
    <t>Harvard Business School -- educating leaders who make a difference in the world. This is an official Harvard Business School-managed account.</t>
  </si>
  <si>
    <t>Getting evicted by Airbnb? Make copy of key and give it out to entire neighborhood. Trash apartment before you leave. Take revenge any possible way you can! #antireport #airbnb</t>
  </si>
  <si>
    <t>Small details make the difference🧡🌿 # # # #fotografo #arquitectura #architecture #inmobiliaria #airbnb #hotel #villas #architecturephotography #archilovers #arquitecto #realestate #realtor #granada #malaga #marbella #spain #luxuryhomes</t>
  </si>
  <si>
    <t>Rebecca Skevaki who runs the "Sweet Exarcheia" Airbnb experience is a wealthy Australian who runs Airbnb properties and Urban tours in Greece. These are the type of people exploiting this neighborhood #airbnb #antireport</t>
  </si>
  <si>
    <t>Little Loft posy. Saying goodbye to Robert from Germany, tomorrow and welcoming Metta from Canberra same day!! . #busybee #airbnb #newguest #attheloft @ Lake George</t>
  </si>
  <si>
    <t>#Happy Days with us! :) #Travel #SanAndrés #Colombia #Buddhavilla #Caribbean #traveltips #traveltheworld #airbnb #Caribbeanlife #IslaDeSanAndrés #Hostel #rooms #Booking #travelling #poolside #airbnbexperiences #seaside #swimmingpool #Colombian</t>
  </si>
  <si>
    <t>We’ve opened our first #airbnb key exchange store in #Lyon! Right in the heart of the city and moments away from the historic Vieux Lyon 🇫🇷 head to  to see this and our other locations</t>
  </si>
  <si>
    <t>http://KeyNest.com provides smart, secure and hassle-free key management solutions through its network of 1500 Nests across the UK 🔑</t>
  </si>
  <si>
    <t>Nicki Soffe</t>
  </si>
  <si>
    <t>Will #Google become our #travel agent? #disruption #expedia #airbnb #OTA</t>
  </si>
  <si>
    <t>B2B Marketing Leader, Avid reader, Coffee Lover, Arsenal fan</t>
  </si>
  <si>
    <t>Louise Elizabeth</t>
  </si>
  <si>
    <t>Save up to $75 when staying in an Airbnb home &amp; Airbnb experience! For more information check out my Airbnb Coupon Code 2019 blog #airbnb #airbnbcoupon #airbnbexperience #airbnbhost…</t>
  </si>
  <si>
    <t>💰#Bitcoin/#Cryptocurrency Investor 🏡 Property Investor 📺 Subscribe to my #YouTube Channel Where I Provide Tips, Reviews &amp; Tutorials👇</t>
  </si>
  <si>
    <t>Thank all my guests who came for "Le Suite 491 Studio" and trusted me. I am so proud and happy for receiving these lovely reviews from my #guests 💖💪  #airbnb #iWillBeAsuperhost #tenerife #CostaAdeje #apartments #holidayrental #vacationhome #VisitTenerife</t>
  </si>
  <si>
    <t>maxilaria.com.gr</t>
  </si>
  <si>
    <t>36 χλμ.λεωφόρος πόρτο ράφτη</t>
  </si>
  <si>
    <t>ΒΙΟΤΕΧΝΙΑ ΜΑΞΙΛΑΡΙΩΝ. 2299063484. 6932442857. emaxilaria@gmail.com</t>
  </si>
  <si>
    <t>Damian Nixey</t>
  </si>
  <si>
    <t>Sign up for #Airbnb with my link for $55 AUD off your first trip. Winner, winner, chicken dinner! 🍗</t>
  </si>
  <si>
    <t>👽Co-founder @WhiteRoninFilms | 🎥 Digital Director @causefilmfest | 🇦🇺 rep @howellmgmt | info@howellmgmt.com</t>
  </si>
  <si>
    <t>This bijou studio offers the ideal place for 1 or 2 guests to relax, eat and sleep in this bright, airy space ✨ Read more about this property here:  #airbnb #propertymanagement #londonproperty</t>
  </si>
  <si>
    <t>The latest image from the GowerLive #webcam on the roof 730RocksMumbles #AirBnB. Book at  #Mumbles #Swansea #Gower #travel. Watch live at  #124</t>
  </si>
  <si>
    <t>A Closer Look at Sonder’s Tech-Focused Bet on Next-Gen Rentals - Francis Davidson-Tanguay, Sonder’s 26-year-old founder and CEO, talked in an interview about his company. Read more at  #servicedapartments #servicedapartmentsnews #airbnb</t>
  </si>
  <si>
    <t>You know what goes really well with #tea!! Plum tarts😍 Have you tried ours?! You should! Come and grab a slice😋 #maisonvie #london #kilburn #nw6 #frenchcafe #frenchbakery #frenchrestaurant #ICMP #airbnb #londonfoodie #londonfood #londoncafe #londonbakery #londonrestaurant</t>
  </si>
  <si>
    <t>MIH Property Mgmt</t>
  </si>
  <si>
    <t>#Airbnb-style lets slammed as noisy, irritating and with too many parties  #Property #PropertyNews #PropertyManagers</t>
  </si>
  <si>
    <t>#London #PropertyManagement Company founded by Sarah Fisher. Dedicated to providing professional, reliable management of #commercial &amp; #residential properties.</t>
  </si>
  <si>
    <t>Serena Martin</t>
  </si>
  <si>
    <t>What is the process and cost of developing an #App like #Airbnb? #MobileApp</t>
  </si>
  <si>
    <t>Gold Coast, Queensland, Australia</t>
  </si>
  <si>
    <t>Hey, I'm Serena. Passionate #AndroidDeveloper. I love building massive Twitter followings. Expert in all aspects of #MobileApplicationDevelopment.</t>
  </si>
  <si>
    <t>Rebeca Anderson</t>
  </si>
  <si>
    <t>How much would it cost to develop an App similar to #Airbnb? #MobileApp #AppDevelopment</t>
  </si>
  <si>
    <t>Darlington, England</t>
  </si>
  <si>
    <t>Accomplished #Mobile #Application #Developer who is able to create mobile app for #Android as well as #iOS. Developing apps based on customer specifications.</t>
  </si>
  <si>
    <t>Just happening at @vrma Europe conference in #Prague, #Czechia: @Airbnb's Hadi Moussa speaking about the future of #tourism, #hospitality, end-to-end #travel strategy, #SharingEconomy, #entrepreneurship and #startups around #Airbnb.</t>
  </si>
  <si>
    <t>Sanjay Gupta</t>
  </si>
  <si>
    <t>So, #Marriott isn't exactly getting disrupted by #Airbnb, right? Or is it a case of 'The incumbents fight back'? #digital #disruption #Hospitality RT @WSJ: Marriott said it is planning to open more than 1,700 hotels over the next three years</t>
  </si>
  <si>
    <t>Writer-Editor; Author of #StringsOfTheSoul; #Tech #Meditation #Humor; currently @FactorDaily; ex-@livemint, ex-@indiatimes, ex-cetera! Views personal</t>
  </si>
  <si>
    <t>Have a great night guys #comfortcottagehealing #visitwales #dogfriendly #TheDogsWithMe #alpacas #ArtsWales #SunDogs #Airbnb #yell #weloveaberystwyth RT @TheSunDogs1: Live at The Coach, Fishguard this Saturday 9PM @ItsYourWales @EventsNWales @ShoutOutWales @fishguardbay @fishguardpembs @fly2wales @ArtsWales</t>
  </si>
  <si>
    <t>Great place, well worth a visit #comfortcottagehealing #VisitWales #Dogfriendly #TheDogsWithMe #alpacas #ArtsWales #SunDogs #Airbnb #yell #weloveaberystwyth RT @visitwales: ⚓️️Descending into the harbour at Porthgain. Once a small commercial harbour used for exporting stone from the nearby quarry, Porthgain is now a popular tourist destination with a wealth of mining history. 📸 Richie Poor</t>
  </si>
  <si>
    <t>All happiness depends on a leisurely #breakfast😍 #maisonvie #london #kilburn #nw6 #frenchcafe #frenchbakery #frenchrestaurant #ICMP #airbnb #londonfoodie #londonfood #londoncafe #londonbakery #londonrestaurant #delicious #yummy #tasty #queenspark #southhamstead #westhamstead</t>
  </si>
  <si>
    <t>Check our listing on airbnb #travel #holiday #airbnb</t>
  </si>
  <si>
    <t>ÓDúláinne</t>
  </si>
  <si>
    <t>#Airbnb unpaid bill 🤐</t>
  </si>
  <si>
    <t>Man for all Seasons - sharing views on - Tunes, travel, trivia, tidbits, theology, technology, trends, theatre, theories, tools, tipples &amp; the table........</t>
  </si>
  <si>
    <t>Paul Ranson</t>
  </si>
  <si>
    <t>Brilliant article on marketing your #airbnb RT @APyramidProject:</t>
  </si>
  <si>
    <t>Warwick, England</t>
  </si>
  <si>
    <t>Airbnb Super Host and Super Fan. Qualified MBA at Warwick Business School. Love eating travelling and partner Lynnie oh and my Jackapoo dog Max.</t>
  </si>
  <si>
    <t>Bed &amp; Stay is a beautiful 3 story house perfect to host groups up to 12 people. Book us now here #AIRBNB :  #familytravel #travel #japan #airbnbjapan #airbnbtokyo #travel #traveling #trip #budgetrip</t>
  </si>
  <si>
    <t>arka das</t>
  </si>
  <si>
    <t>Once we see all the big players like #airbnb #Shopify are depending on #RubyonRails, we feel comfortable and confident. No wonder, we have been able to deliver great products at  RT @dreamtoipo: We love Ruby on Rails and count on this amazing tech stack to build powerful softwares. Now, when the client asks, why Ruby on Rails, sometimes, without showing them the advantages, we share this blog with them.  #Tech #Apps #Products #RubyonRails #Ruby</t>
  </si>
  <si>
    <t>Helping #startups to connect with https://www.dreamtoipo.com/ and build their #products &amp; #apps. An obsessive writer, fanboy of #HelpfulMarketing and #SethGodin</t>
  </si>
  <si>
    <t>Korrey Laderoute</t>
  </si>
  <si>
    <t>" #Airbnb said it was "deeply saddened and outraged" by the case, and that it had removed the listing from its site." BBC News - Airbnb host jailed for killing guest over unpaid bill</t>
  </si>
  <si>
    <t>Sooke, BC</t>
  </si>
  <si>
    <t>Strong writing skills have always been my weapon of choice.I wield my pen better than my tongue when it comes to communication and I compose what I want to read</t>
  </si>
  <si>
    <t>DealStreetAsia</t>
  </si>
  <si>
    <t>#Airbnb said to mull investing in India’s @oyorooms to expand footprint</t>
  </si>
  <si>
    <t>Financial news &amp; intelligence platform. Follow @DSA_Events to receive updates about our conferences.</t>
  </si>
  <si>
    <t>An #Australian #Airbnb host on March 19 was #jailed to 11 years after he admitted to killing a guest who could not afford to pay the bill at his home near #Melbourne.</t>
  </si>
  <si>
    <t>Woodbine Cottage</t>
  </si>
  <si>
    <t>The bookings are coming in thick and fast now for Woodbine Cottage. More and more people getting the chance to see our special little island. #travel #airbnb #family #holiday #Essex #london #news</t>
  </si>
  <si>
    <t>West Mersea, England</t>
  </si>
  <si>
    <t>A gorgeous, cosy holiday cottage in the secret hide away - Mersea island. Stay at Woodbine Cottage and watch your stresses melt away.</t>
  </si>
  <si>
    <t>WANT YOUR FREE AIRBNB! Here’s your chance for a free credit coupon and codes to travel for FREE. Click the link NOW. Please DM me if you have any issues. #airbnb #airbnbcode #airbnbdiscount #airbnbpromo #airbnbfree</t>
  </si>
  <si>
    <t>If you don't have a tenacious hold to your business you'll never succeed in life, therefore you never achieve a success. #productive #motivation #100DaysOfCode #JavaScript #success #business #css #react #nodejs #airbnb #google #ilonmask #dream #forward #photo #money #rd #nyc</t>
  </si>
  <si>
    <t>Have you tried Tsukemen? Time to do it in #Tokyo. Book your stay in #tokyo with us here #AIRBNB :  #familytravel #travel #japan #airbnbjapan #airbnbtokyo #travel #traveling #trip #budgetrip RT @TimeOutTokyo: Not all ramen are served in soup. Tsukemen, or dipping noodles, are equally popular and these restaurants serve the best in town.</t>
  </si>
  <si>
    <t>Check the places you can see the cherry blossoms. Time to book your stay in #tokyo with us here #AIRBNB :  #familytravel #travel #japan #airbnbjapan #airbnbtokyo #travel #traveling #trip #budgetrip RT @TimeOutTokyo: Where to see cherry blossoms in Japan if you missed it in Tokyo.</t>
  </si>
  <si>
    <t>TOP 12 most USELESS ADVICE by motivational speakers  #Airbnb #airbnbaustralia #airbnbhost #bnbhostguru</t>
  </si>
  <si>
    <t>New Straits Times</t>
  </si>
  <si>
    <t>#NSTworld: An Australian man was sentenced to 11 years in prison on Tuesday for killing a man for failing to pay charges on a room he found on #Airbnb.</t>
  </si>
  <si>
    <t>News, views and up-to-date reports from Malaysia's premier news source. All that and more at http://www.nst.com.my</t>
  </si>
  <si>
    <t>#HappyTuesday This weekend is going to be great. So many things to do in #tokyo. Book your stay with us here #AIRBNB :  #familytravel #travel #japan #airbnbjapan #airbnbtokyo #travel #traveling #trip #budgetrip RT @TokyoCheapo: What's on in Tokyo this week?</t>
  </si>
  <si>
    <t>First Time Airbnb $55 ✈️💲✈️ coupon promo referral code :) Get your discount credit on your first trip Click the link NOW 💸—-&gt;✈️ #airbnb #airbnbcode #airbnbdiscount #vacation #trips #travel #getaway</t>
  </si>
  <si>
    <t>ꜱᴀᴍᴀɴᴛʜᴀ ʙᴀʀɴᴀʀᴅ</t>
  </si>
  <si>
    <t>Thank you #airbnbexperiences and #TSGNSummit for an epic afternoon exploring San Francisco Chinatown! 🥢🥡🥠 Special thanks to Jessemin (#Airbnb) and Lois (Chinese Culture Center of San Francisco) for a very well spent afternoon!</t>
  </si>
  <si>
    <t>ꜱᴇʀᴠɪɴɢ ɴᴘᴏꜱ ᴀᴄʀᴏꜱꜱ ꜱᴏᴜᴛʜᴇʀɴ ᴀꜰʀɪᴄᴀ ᴡɪᴛʜ ᴛᴇᴄʜ &amp; ꜱᴏꜰᴛᴡᴀʀᴇ ᴄᴀᴘᴀᴄɪᴛʏ ʙᴜɪʟᴅɪɴɢ ᴛʜʀᴏᴜɢʜ: @ᴘʜᴀᴍʙᴀɴᴏᴛᴇᴄʜ | #ᴘʜᴀᴍʙᴀɴᴏᴛᴇᴄʜ | #ᴛᴇᴄʜ2ᴇɴᴅɢʙᴠ | #ᴛʜᴇᴍʙᴀꜱᴏᴜᴛʜᴇʀɴᴀꜰʀɪᴄᴀ 💻</t>
  </si>
  <si>
    <t>Khalid A</t>
  </si>
  <si>
    <t xml:space="preserve">AlKhawaneej - Dubai </t>
  </si>
  <si>
    <t>In Malaysia, Airbnb is not a transparent website, with no platform accountability and its pursuit of profits put before local laws and regulations. #malaysia #travel #airbnb #illegalhotels #KL #regulations #ota #str #unlicencedhotels</t>
  </si>
  <si>
    <t>$55 ❤️🧡💙💜💚 Airbnb code coupon promo discount first. $55 OFF CLICK LINK NOW! Try it. Please DM me if you have any issues. #airbnb #airbnbcode #airbnbdiscount #airbnbpromo #airbnbcoupon #WarrenTownHall #911onFOX</t>
  </si>
  <si>
    <t>Michelle Benedict 🏕</t>
  </si>
  <si>
    <t>Just the backyard of my Airbnb... 🌲🏔❤️ #nofilter #alpineglow #sunsets #epicdrives #hoodriver #airbnb @ Hood River, Oregon</t>
  </si>
  <si>
    <t>St Charles, MO</t>
  </si>
  <si>
    <t>Program Director - Be Mindful, Owner - Mindful Transformations, Mom, Educator, TEDx Speaker, Wannabe World Changer</t>
  </si>
  <si>
    <t>Did you know that micro #homes are one of the most popular categories on #Airbnb, and #bookings are soaring by 125% year on year?😃🏡 If you've yet to visit one, check out this beautiful #studio in #Sydney on  #madecomfy #melbourne #brisbane #airbnb</t>
  </si>
  <si>
    <t>Large 5Star #Florida #vacationhome with prival pool on #Airbnb Tropical #TommyBahama style - #VRBO March 18, 2019 at 10:00PM</t>
  </si>
  <si>
    <t>Airbnb $55 ❤️🧡💙💜💸💲💵🗺 coupon promo referral code :) Get your discount credit on your first trip Click the link NOW 💸💸💸—-&gt;✈️ #airbnb #airbnbcode #airbnbdiscount #vacation #trips #travel #getaway</t>
  </si>
  <si>
    <t>Grimm Dog's clawfoot tub is looking sharp today! #realestate #renovations #flipping #ibuyhouses #cashflow #airbnb #spot77</t>
  </si>
  <si>
    <t>Congratulations to @Team_pshomes @michelleqsells 1127 Mesquite is in escrow #indio #bermudadunes #suncity #indianwells #laquinta #cathedralcity# cathedralcitycove #palmdesert #ranchomirage #palmsprings #yuccavalley #morongovalley #joshuatree #jtnp #airbnb #stagecoach #coachella</t>
  </si>
  <si>
    <t>Businessfuels</t>
  </si>
  <si>
    <t>The #Airbnb Journey Presently valued more than US$31 billion, it's anything but difficult to hold Airbnb in highest of regards. All things considered, the trio that established Airbnb transformed the possibility of "shared living".See</t>
  </si>
  <si>
    <t>Nagpur, India</t>
  </si>
  <si>
    <t>BF fastest emerging &amp; distinctive platforms for entrepreneurs, We seek to promote start-up stories &amp; other industry info, which will help you to shape your Idea</t>
  </si>
  <si>
    <t>Daniel Lee Gray</t>
  </si>
  <si>
    <t>We ate, we drank and we learned about Korea on the Airbnb food tour. Check out eat with a famed foodie at Airbnb experiences! #airbnb #beer #icecreambeer #seouleats #koreafood…</t>
  </si>
  <si>
    <t>Seoul, South Korea</t>
  </si>
  <si>
    <t>Foodie in Korea. Food Writer, Photographer &amp; Restaurant Critic. Gives foodie experience tours. Husband and Father.</t>
  </si>
  <si>
    <t>$55 ❤️🧡💚💙💜💸💲💵✈️ Airbnb code coupon promo discount first. $55 OFF CLICK LINK NOW! Try it. Please DM me if you have any issues. #airbnb #airbnbcode #airbnbdiscount #airbnbpromo #airbnbcoupon</t>
  </si>
  <si>
    <t>Developer's Espresso</t>
  </si>
  <si>
    <t>How Airbnb Simplified the Kubernetes Workflow for 1000+ Engineers  #Kubernetes #airbnb #chefcookbook #helm #kustomize #kapitan #kubectl #devops #infrasfructureascode #continuousdeployment #cicd configurationmanagement #cloud</t>
  </si>
  <si>
    <t>Loves code and coffee! #OpenSource #Cloud #Microservices #DevOps #SRE #MachineLearning #CodeQuality #SoftwareDesign #DistributedSystems</t>
  </si>
  <si>
    <t>What to measure re: effectiveness of your #AirBnb enforcement policy: number of active listings. RT @rohanarezel: @CityofVancouver puts out a press release saying they're pleased with the enforcement showing impressive looking numbers. But as I keep demonstrating everyday, they've had zero impact on the ground. The number of listings have shot up by a thousand within six months.</t>
  </si>
  <si>
    <t>#NSTOpinion: "Any form of regulation must work effectively and serve the public interest." #airbnb</t>
  </si>
  <si>
    <t>7News Yahoo7</t>
  </si>
  <si>
    <t>The Melbourne man was angry that the #Airbnb guest owed him $210 for an unpair bill. #AusNews</t>
  </si>
  <si>
    <t>@7NewsSydney @7NewsMelbourne @7NewsBrisbane @7NewsAdelaide @7NewsPerth http://au.news.yahoo.com</t>
  </si>
  <si>
    <t>Harold Gardner</t>
  </si>
  <si>
    <t>#Airbnb and #MiamiBeach Are at War. #Travelers Are Caught in the Crossfire.  #Bookingcom, #VRBO, #HomeAway, #FlipKey</t>
  </si>
  <si>
    <t>Just a simple country boy doing the best I can in the big city! I #followback</t>
  </si>
  <si>
    <t>#BagChucker in #Smashville 🏒😃👍 #Preds #MILhockey #Airbnb #SouthNashville 😂 Hey @emilyristow! @Shoehoo</t>
  </si>
  <si>
    <t>Kristina</t>
  </si>
  <si>
    <t>Prepare for an onslaught of new content. This adorable #airbnb housed mlrockot and I for a creative collaboration #girlstrip #stoneycabin #yuccavalley #joshuatree #highdesert #redwalls…</t>
  </si>
  <si>
    <t>Playa del Rey, Los Angeles</t>
  </si>
  <si>
    <t>Photographer for hire. All Los Angeles and beyond.</t>
  </si>
  <si>
    <t>Emma Lee Creative</t>
  </si>
  <si>
    <t>Vacation is just a short way of saying I’m working from a long way away from the home office. . . . #florida #visitflorida #portstlucie #airbnb #photographer #travelphotography…</t>
  </si>
  <si>
    <t>Des Moines, IA</t>
  </si>
  <si>
    <t>Iowa-based graphic designer, photographer, and copywriter. Let's get to play.</t>
  </si>
  <si>
    <t>Kari</t>
  </si>
  <si>
    <t>🛏️ Nothing clears a head like a comfy bed!⁣ ⁣ I think this #Airbnb near #JoshuaTree gave me the most peaceful sleep I've ever had! ⁣ Where did you experience the best sleep of your life? Any hotel/Airbnb recommendations? Please share!⁣</t>
  </si>
  <si>
    <t>Build a life so good you never need a vacation — but take one anyway.⁣ ⁣ 💥Me = Writing, Travel, and Fashion. I buy candy in bulk⁣. ⁣</t>
  </si>
  <si>
    <t>Millennials use #Airbnb like they use #Uber &amp; #lyft they are our best customers</t>
  </si>
  <si>
    <t>Lover of God, Future EFT practitioner | Public Relations | sparkly things | Student Exchange | 2004 Mother of the Year for the City of Chesapeake, VA</t>
  </si>
  <si>
    <t>Rockies Property</t>
  </si>
  <si>
    <t>List your #Airbnb to make more money:</t>
  </si>
  <si>
    <t>Silverthorne, CO</t>
  </si>
  <si>
    <t>We Provide Residential Services for Summit County, CO. Lawn Care and Landscaping, Home Checks, Home Repairs, Rental Property Management and Handyman Services.</t>
  </si>
  <si>
    <t>Need a place to stay while Totslly Beachin is under Reno? #staysaltyporta is your place! #follow #staysaltyporta #vrbo #airbnb #beachhouse #sleeps12 #boardwalk…</t>
  </si>
  <si>
    <t>Leona Partis-Realtor-Your Inspiration Agent</t>
  </si>
  <si>
    <t>Offering breakfast is a good way to be a great #Airbnb host. #REinvesting</t>
  </si>
  <si>
    <t>Waldorf, MD</t>
  </si>
  <si>
    <t>I specialize in residential home sales, purchases, &amp; military relocations. I am dedicated to assisting you find the right home &amp; building lasting relationships.</t>
  </si>
  <si>
    <t>There's still time Ruth! #comfortcottagehealing #VisitWales #Dogfriendly #TheDogsWithMe #alpacas #ArtsWales #SunDogs #Airbnb #yell #weloveaberystwyth RT @ruthwignall: @FrankMooreB2BW @DerekTheWeather @StormHour @MidWalesMyWay @VisitMidWales So glad that beast has stayed east this year! 😉 xx</t>
  </si>
  <si>
    <t>Rev. Caroline Beckett</t>
  </si>
  <si>
    <t>Lovely weekend away. Mix of bright, warm weather, &amp; wet &amp;amp; windy. Hubby won 2x first class train tickets to York in a competition, though, so our travel up was relaxing with free food &amp;amp; whiskey. #HowTheOtherHalfLives Then a great #airbnb at less than £30 a night for us both. #Win</t>
  </si>
  <si>
    <t>Colchester, England</t>
  </si>
  <si>
    <t>Mum of 2 #widowed &amp; remarried to @Mike_Beckett; irrepressibly #hopeful. Love #God &amp; others, #transformational relational theopraxis #CitizensUK #Greenbelt #CofE</t>
  </si>
  <si>
    <t>Save Energy! #HomeDepot #energy #gogreen #green #hvac #thermostat #smallbiz #realtor #facilities #realestate #cre #REO #MN #NYC #TN #FL #Construction #RealEstate #building #carbon #airbnb #BIM #housing #Retail #verizon #ATT #sprint</t>
  </si>
  <si>
    <t>So excited that we got our #airbnb all booked for St. Simons next week for my birthday 🤗🤗🤗 #birthdaytrip #minivacation</t>
  </si>
  <si>
    <t>#WalkEDAway 🌟🌟🌟❌</t>
  </si>
  <si>
    <t>Ok I may get some hate here from my fellow conservatives and TBH I haven't yet read the transcripts but as someone who runs an AIRBNB, I would NEVER discriminate, not my business. My question is why did it get beyond #AIRBNB policy? Possibly grandstanding? RT @NBCNightlyNews: Supreme Court declines to hear challenge to lower court ruling that found that the owner of a Hawaii bed and breakfast violated a state anti-discrimination law by turning away a lesbian couple, citing Christian beliefs.</t>
  </si>
  <si>
    <t>~RIP Gumby, will never forget you E. #WWG1WGA #Q #KAG2020 Trump supporter #DrainTheSwamp Liberalism is a disease, seek help RT🚫endorse #JFK, an inside job.</t>
  </si>
  <si>
    <t>Canadian Tourism College</t>
  </si>
  <si>
    <t>Planning a #vacation? Check out our latest blog for why we think booking with @Airbnb is your best bet for accommodations and experiences!  #Airbnb</t>
  </si>
  <si>
    <t>Vancouver and Surrey, BC</t>
  </si>
  <si>
    <t>Canadian Tourism College | Travel | Tourism | Hospitality | Flight Attendant career training since 1980. Where will your education take you?</t>
  </si>
  <si>
    <t>Linda Hemby</t>
  </si>
  <si>
    <t>#Palestinians seek to join US lawsuit against #Airbnb, say settlement listings are #warcrimes  via @MiddleEastEye</t>
  </si>
  <si>
    <t>El Salvador/Charlottesville</t>
  </si>
  <si>
    <t>Political Sociologist &amp; lifelong Human Rights Activist. Twitter focus: MENA, Turkey &amp; Afghanistan. Art as Protest.</t>
  </si>
  <si>
    <t>Travel Instinct</t>
  </si>
  <si>
    <t>📹 Video: Posh Pods and Cool Capsules. #CapsuleHotel #Sydney #Asia #Japan #Hotels #Airbnb #PodHotel #Backpackers #Tourism #BudgetTravel #TravelTuesday #Travel</t>
  </si>
  <si>
    <t>#Travel #Food #Experiences Authentic, reliable travel content by @Bern_Oz</t>
  </si>
  <si>
    <t>Looking to travel - use my airbnb code and get some $ #airbnb #code</t>
  </si>
  <si>
    <t>A @JohnsHopkinsSPH study of ~400k #Airbnb listings in 43 intl. cities found only 63% had smoke alarms... and only 46% of listings which allowed smoking! Via @SafePhD @acgielen @ryan_david  #airbnbsafety #vacationrental</t>
  </si>
  <si>
    <t>C.J. Clover</t>
  </si>
  <si>
    <t>Good thread. #Palestine #FreePalestine #IllegalOccupation #airbnb RT @dialash: BREAKING: Today, Palestinians sought to intervene in a lawsuit that a group of settlers filed against Airbnb. The settlers claimed discrimination, and our clients set the record straight. They charge the settlers w/ war crimes, crimes against humanity...</t>
  </si>
  <si>
    <t>Aspiring Bull-Moose</t>
  </si>
  <si>
    <t>Good morning Tokyo vacation rental 👄 #airbnb coming soon keep you posted If you heading4 Moomin valley (*^▽^)/★*☆♪</t>
  </si>
  <si>
    <t>Roy Steele</t>
  </si>
  <si>
    <t>Thank You @airbnb An estimated 100,000 homes are sitting empty in the San Francisco Bay Area #SanFrancisco #airbnb #housing #HousingCrisis</t>
  </si>
  <si>
    <t>Gay, Blogger, Queer Activist, LGBT Equality Advocate, Anti-bullying Evangelist and Political Meteorologist. #ResistTrump http://about.me/RoySteele</t>
  </si>
  <si>
    <t>Tina Butler</t>
  </si>
  <si>
    <t>Oklahoma</t>
  </si>
  <si>
    <t>Maria Peagler</t>
  </si>
  <si>
    <t>CASE STUDY: how we keep this 10-property 300-acre resort booked every weekend -  #vacationrental #propertymarketing #airbnb #vrbo #tripadvisor #homeaway</t>
  </si>
  <si>
    <t>Jasper, GA</t>
  </si>
  <si>
    <t>CEO of Socialmediaonlineclasses, award-winning publisher, author, social media expert, tech training veteran. Artist, quilter @colormaster, wife, mom of 2.</t>
  </si>
  <si>
    <t>Great day at toccoa River Swinging Bridge! #ferngullycove #airbnb #ferngully_cove #weekendgetaway #airbnbsuperhost #visitsuches #vacationrental #tinycabinrental…</t>
  </si>
  <si>
    <t>What’s up with YC? Plus, mobility layoffs and #Airbnb’s grand plans #ecommerce #IPO</t>
  </si>
  <si>
    <t>The Warfel Gardin Group, Keller Williams Realty</t>
  </si>
  <si>
    <t>Timing is essential when it comes to being an #Airbnb host. #REtips</t>
  </si>
  <si>
    <t>Lic # 01437945, 01938063. Keeping you updated with San Jose California real estate news &amp; market information! Thanks for following!</t>
  </si>
  <si>
    <t>Helen Gray</t>
  </si>
  <si>
    <t>Love this! "The Green Lodge Aviemore - 5⭐️ luxury in the woods - Houses for Rent in Coylumbridge #Travel" @airbnb  Full disclosure- I run this &amp; I'm testing something with this tweet. But it's still a really great place to stay! #airbnb #aviemore</t>
  </si>
  <si>
    <t>east coast of Scotland</t>
  </si>
  <si>
    <t>When modern architecture goes outside</t>
  </si>
  <si>
    <t>@ClagganMill🌟🌟🌟🌟🌟</t>
  </si>
  <si>
    <t>Our first guests for 2019 just left &amp; it's our 20th #airbnb review &amp;amp; another straight 5 🌟 for Claggan Mill - for Accuracy Cleanliness Communication Check-in Location &amp;amp; Value for Money. Check us out here #Donegal</t>
  </si>
  <si>
    <t>Donegal, Ireland</t>
  </si>
  <si>
    <t>Stunning, 200 year old character Airbnb Superhost home uniquely located on Gartan Lake near #Glenveagh in Co Donegal, Ireland.</t>
  </si>
  <si>
    <t>Beautiful daffodils along the pathway to the private guest suite 🌸 We are surrounded by pure beauty. Come see for yourself!  #beauty #visitvirginia #visitpalmyrava #privateguestsuit #deerhideoutretreat #vist #stayhere #airbnb #guesthouse #seeforyourself</t>
  </si>
  <si>
    <t>Sara Al-Bostanji</t>
  </si>
  <si>
    <t>Palestinians intervene to sue settlers in #airbnb lawsuit</t>
  </si>
  <si>
    <t>community lawyer, equal parts sister and daughter, third culture kid</t>
  </si>
  <si>
    <t>Brooklyn's finest. ❤ Visit ➡  ⬅ to learn how to profit from investment properties that you don't even need to own. #airbnb #vacationrental</t>
  </si>
  <si>
    <t>OH hello Monday, didn't expect to see you so soon. It's okay, we won't tell your boss if you spend your day booking your next trip to Hawaii with @boundlesshawaii 📷: @nainoalanger #airbnb #luxuryrentals #mondaymotivation #islandparadise</t>
  </si>
  <si>
    <t>Kim Bolleby</t>
  </si>
  <si>
    <t>AirBNB discount promo code!  #Retweet #airbnb #40dollarOff</t>
  </si>
  <si>
    <t>sweden</t>
  </si>
  <si>
    <t>I get the oppertunity to travel around the world just because of bowling and wants to promote how amazing this SPORT can be, going through failures and success.</t>
  </si>
  <si>
    <t>Rania Olayan</t>
  </si>
  <si>
    <t>When it comes to short term rentals, #Airbnb is king, and realtors with attitude lose big time every time.</t>
  </si>
  <si>
    <t>Luxury Real Estate Licensed Realtor #los_angeles 🔸amateur photographer 🔸animal lover 📝 Keller Williams Beverly Hills 📝Sell/Buy/Investment ☎ 424.382.9165</t>
  </si>
  <si>
    <t>"I can’t say enough good things about my stay on the boat. The location is fantastic, the boat itself is very nice and I was able to sleep like a baby. Thanks Gia for creating an excellent and very unique experience!!" #airbnb #OBX</t>
  </si>
  <si>
    <t>My #company has been compared to industry giants like #Uber and #AirBnB. We totally revolutionized the #networking industry with 100% direct pay and systems like no other. Find out more...</t>
  </si>
  <si>
    <t>Tiny Homes Of Maine</t>
  </si>
  <si>
    <t>New #tinyhome designs rolling out! This #airbnb heading to oldcrowranch shortly where you can book your #farmstay to experience #tinylife and/or #mainefarm life.…</t>
  </si>
  <si>
    <t>Windham, ME</t>
  </si>
  <si>
    <t>A tiny home company located in Windham, Maine. We work with clients to create a custom quality tiny home while trying to stay within your budget.</t>
  </si>
  <si>
    <t>Michele Sardy</t>
  </si>
  <si>
    <t>I’m fair puckled at the idea. Running a bookstore, holding little gatherings and ALL in Scotland. Och aye!! #Scotland #airbnb #books #travel RT @henderstu: This is the single greatest thing I have yet encountered. I will dream of it tonight.</t>
  </si>
  <si>
    <t>T.dot</t>
  </si>
  <si>
    <t>🇩🇰🇨🇦Travel. Libations. Photography. Observations. Language. Humour. Music. Writing. Puns. Food. Random Thoughts. Poetry. Love. Art. Film &amp; Spirituality.</t>
  </si>
  <si>
    <t>Palestinians seek to join US lawsuit against #Airbnb, say settlement listings are war crime -  #Palestine</t>
  </si>
  <si>
    <t>Butler's Guest House in Aberdeen city center has standard &amp; en-suite rooms. Located close to shops, theater entertainment, restaurants, pubs, railway, bus and ferry terminals  #bnb #bandb #accommodation #airbnb #accommodation #Aberdeen Scotland</t>
  </si>
  <si>
    <t>LittleFishStudio</t>
  </si>
  <si>
    <t>I’m just back from #glasgow where I had a fine old time, I really enjoyed drawing something so urban from the flat we stayed at #airbnb #art #urbansketching #riverclyde #dailysketch #pencildrawing #lovelyflat #gorgeousview</t>
  </si>
  <si>
    <t>Scottish Highlands</t>
  </si>
  <si>
    <t>Mother, artist, librarian, interested in arts and crafts and anything Scottish. Reader of books and consumer of Internet media.</t>
  </si>
  <si>
    <t>#Airbnb Inc. and Expedia Group Inc.’s #HomeAway failed to persuade a U.S. court of appeals to strike down a Santa Monica law that makes the companies liable for illicit rentals in the Southern California beach city (via @business)</t>
  </si>
  <si>
    <t>It's not too late to book for April and Easter, but filling up fast!  #zihuatanejo #ixtapa #vrbo #homeaway #tripadvisor #casa #casita #rental #airbnb</t>
  </si>
  <si>
    <t>Leah A</t>
  </si>
  <si>
    <t>#Airbnb to buy #HotelTonight in its biggest #acquisition yet</t>
  </si>
  <si>
    <t>USA 🇺🇸✈️ LATAM🌎 ✈️ OZ 🇦🇺</t>
  </si>
  <si>
    <t>native Angeleno | perpetual jetsetter | coffee &amp; wine addict | aspiring foodie | event planner &amp; marketer | bookworm | group fitness fan | sun chaser</t>
  </si>
  <si>
    <t>Antonio Vendramin</t>
  </si>
  <si>
    <t>❤️ this @RosePillay1: Important2reconsider the past advice we’ve been given. Don’t get into a stranger’s car (#uber #lyft) don’t go into a stranger’s home (#airbnb)&amp;don’t talk2strangers (all things #socialmedia). Mostly, an expansive PLN challenges you&amp;amp;opens you to possibilities! RT @RosePillay1: Hello Stranger!  via @RosePillay1</t>
  </si>
  <si>
    <t>Langley, B.C., Canada</t>
  </si>
  <si>
    <t>Always Failing-Always Learning! Dist. Principal, Communicating Student Learning, Surrey, Canada. ❤Family-Hiking-Running-Camping-🐶. Tweets/opinions are my own.</t>
  </si>
  <si>
    <t>kevin whitelaw 💚</t>
  </si>
  <si>
    <t>Parking #airbnb style @FlatsRuin in an #Edinburgh residential area @leithsworstpark</t>
  </si>
  <si>
    <t>Joined the Scottish Green Party as they are leading the change in creating a better kind of politics and fairer society</t>
  </si>
  <si>
    <t>Join the next art tour Experience on #Airbnb :  #Mayfair #ArtTour #Experience</t>
  </si>
  <si>
    <t>I’m just back from #glasgow where I had a fine old time, I really enjoyed drawing something so urban from the flat we stayed at #airbnb #art #artistoninstagram. #urbansketching…</t>
  </si>
  <si>
    <t>Mareks Matisons™ 🇱🇻</t>
  </si>
  <si>
    <t>Want #Discount for your first stay with Airbnb? Sign up at #OneNightAirbnb  :) Enjoyed my trip to #barcelona recently - stayed at #AirBNB flat near #BCN🇪🇸 foodie paradise - famous pintxos street Carrer de Blai.</t>
  </si>
  <si>
    <t>Rīga, Latvia</t>
  </si>
  <si>
    <t>PR practitioner Startups / Apps / Influencers / Challenges | Social Media Mapper 24/7 | Volunteer &amp; co-founder ☂ #Startups #TīklaVīzija http://about.me/marruciic</t>
  </si>
  <si>
    <t>Neptune Cottage Whitstable</t>
  </si>
  <si>
    <t>Neptune Cottage is ready to welcome tomorrow’s family! pristinecleankent I think mrshinchhome would approve! #whitstable #midweekbreak #travelwithkids #airbnb #airbnbsuperhost #hincharmy.…</t>
  </si>
  <si>
    <t>Whitstable</t>
  </si>
  <si>
    <t>Beautiful 3 bed fisherman’s cottage in Whitstable famous for Oysters. 2 mins beach, high street, station. Comfy beds, lovely garden, wood-burner.</t>
  </si>
  <si>
    <t>Community Bookshop</t>
  </si>
  <si>
    <t>Experience running a bookshop in London "We will also tell you of scams to avoid, customers that are not all they seem, but also hidden benefits and windfalls that a bookshop attracts. "  #airbnb</t>
  </si>
  <si>
    <t>Kilburn, London</t>
  </si>
  <si>
    <t>Books and language, history, life</t>
  </si>
  <si>
    <t>Cathy Stadler</t>
  </si>
  <si>
    <t>Our Airbnb was just accepted to Airbnb Plus ! #airbnb #plus #beautiful #kommetjie #beach #holiday #southafrica #secret #spaces #westerncape #seaside #accommodation #kommetjie</t>
  </si>
  <si>
    <t>Digital marketing, music and comedy rock. https://m.youtube.com/watch?v=-x16HAravEY</t>
  </si>
  <si>
    <t>.@Google unveils hotel search, booking website — #GoogleHotels. Find out more about its features and how it is in direct competition with #AirBnB:</t>
  </si>
  <si>
    <t>Mark Dummett</t>
  </si>
  <si>
    <t>Arsenal, London</t>
  </si>
  <si>
    <t>@Amnesty Business &amp; Human Rights researcher. #bizhumanrights. Views mine.</t>
  </si>
  <si>
    <t>Bhavya Minocha</t>
  </si>
  <si>
    <t>Throwback to when I was in SF w/maharaj_arumugam 😁❤️ . . . #travelgram #travelblog #design #art #travelphotography #instatravel #airbnb #instaartist #artist #illustrationoftheday…</t>
  </si>
  <si>
    <t>Bangalore</t>
  </si>
  <si>
    <t>Design at Adobe • Illustrator / Documenting experiments 💌 hellowork.bhavya@gmail.com</t>
  </si>
  <si>
    <t>9. Okinawa - The Grand Finale /Be. Okinawa  #Okinawa #Japan #Tourism #Travel #Airbnb #Pocketalk</t>
  </si>
  <si>
    <t>#2019April13thOKINAWA 「Ryukyu Sea Fire Festival🎆」 TICKET INFO About sale of fireworks viewing ticket  #Okinawa #Japan #Travel #Airbnb #Ginowan #Tourism #Pocketalk #Night #Entertainment #Art #Fireworks</t>
  </si>
  <si>
    <t>#2019April12thOKINAWA 「Comic Dojo TEE🥋Family」 PM17:00〜 PM20:00〜 Experience the weightlessness performance at close range  #Okinawa #Japan #Travel #Airbnb #Naha #Tourism #Pocketalk #Nonverbal #Entertainment #TEEFamily #THEKINGOFFIGHTERS🔥</t>
  </si>
  <si>
    <t>Bangladesh News 24</t>
  </si>
  <si>
    <t>Airbnb reverses decision to remove Israeli West Bank homes from website: The company decided to list the Jewish settler homes to settle a lawsuit from Israeli lawyers on behalf of property hosts The US home-sharing…  #Airbnb #Palestinianterritories</t>
  </si>
  <si>
    <t>#Bangladesh #News 24 is the 1st #Independent #news #aggregator @Twitter. We cover more than 💯 #trusted #global #news #brands.</t>
  </si>
  <si>
    <t>Vas</t>
  </si>
  <si>
    <t>Airbnb reverses ban on West Bank settlement listings..#Airbnb..#Israel</t>
  </si>
  <si>
    <t>artromancephotographywritingspiritual</t>
  </si>
  <si>
    <t>researcher | urban geographer | http://metstrat.ca | @fairbnbcanada | @blocksidewalk</t>
  </si>
  <si>
    <t>Protein biochemist and cancer researcher.</t>
  </si>
  <si>
    <t>Irvine, CA</t>
  </si>
  <si>
    <t>Cosy Dragons offers high quality short term accommodation in Abergavenny, Abertillery &amp; Pembroke. A home from home for guests, be it business or pleasure.</t>
  </si>
  <si>
    <t>Beansfotos</t>
  </si>
  <si>
    <t>Photography by @Beans_fotos_ #SuperCrop Full images found in my FOTOFOLIO on my website. -- 💃: @_sam_i_kat_ #flyin 💄: @makeupbylittleemily -- #skin #sexi #neworleans #poseking #beansbabe #teambeans #blonde #stockings #white #lingerie #airbnb #hairfli…</t>
  </si>
  <si>
    <t>Photographer for hire. Info on shooting at my website or email me at mail@beansfotos.com</t>
  </si>
  <si>
    <t>Michael</t>
  </si>
  <si>
    <t>🚨🚨Faith Goldy Banned From Facebook, Instragram &amp; AirBnB! Unpersoning Conti...  #FaithGoldy 🚨🚨The Fascists strike again #Facebook #Instagram #AirBnB</t>
  </si>
  <si>
    <t>near Munich, Germany</t>
  </si>
  <si>
    <t>Qualitymanagement, ex-GER Army https://gab.ai/RatInYourBoot. PRO: GER🇩🇪,#AfD, 🇦🇹,🇨🇭,#MAGA-🇺🇸,🇮🇱,🇬🇧,🇭🇺,🇵🇱,🇨🇿 ANTI: #MerkelRegime, Islam, EU, UN, Leftards/Greens/SJW's</t>
  </si>
  <si>
    <t>Writer-editor, @IDF-trained specialist in search and rescue, truth advocate.</t>
  </si>
  <si>
    <t>UNRESERVED</t>
  </si>
  <si>
    <t>Do you have what it takes to be the Mona Lisa's perfect guest? There's only one way to find out:  📸: @AFP. #unreserved #unreservedmedia #ttot @Airbnb #passionpassport #Airbnb @MuseeLouvre @MuseeLouvreLens #TravelTips</t>
  </si>
  <si>
    <t>Kuala Lumpur Federal Territory</t>
  </si>
  <si>
    <t>Examining culture, life, and current affairs in Southeast Asia. Intelligence is sexy.</t>
  </si>
  <si>
    <t>alex</t>
  </si>
  <si>
    <t>Rockets in the playoffs going to bring some travelers to Houston 👀 #airbnb</t>
  </si>
  <si>
    <t>penn state alum | security consultant | IG @scolyke</t>
  </si>
  <si>
    <t>Airbnb reverses ban on West Bank listings: Airbnb is changing course on its earlier decision to ban listings for Israeli settlements in the West Bank. As part of a settlement with a pro-Israel law organization that had sued over…  #accommodation #airbnb</t>
  </si>
  <si>
    <t>Travel Blogger | Travel meets social justice, sustainability, human rights, dance, and more | She/her/they/them</t>
  </si>
  <si>
    <t>Kevin Tang</t>
  </si>
  <si>
    <t>#Airbnb Cancels Ban on #WestBank Listings, Opts to Donate Proceeds to Aid Groups:  via @SputnikInt #israel #palestine #BDS #freepalestine</t>
  </si>
  <si>
    <t>Brampton, Ontario</t>
  </si>
  <si>
    <t>Libertarian, Anarchist, Truther, Pro-freedom, Spiritual, Geo-political observer, De-occultist in training.</t>
  </si>
  <si>
    <t>UCSB IT Security</t>
  </si>
  <si>
    <t>#Airbnb says sorry after man detects #hidden #camera with #network #scan  @cal_csic #ucsbinfosec #ucsb #ITsecurity #cybersecurity #phishing #scams #cyberattack #cyberaware #security #tech #iot #hacker #hacking #cyber</t>
  </si>
  <si>
    <t>Isla Vista, CA</t>
  </si>
  <si>
    <t>Welcome to the official Twitter account for the #UCSB Information Security Office. Working to keep #UCSBGauchos safe from Cyber Security threats and crimes.</t>
  </si>
  <si>
    <t>Social Action to Perfect the World, Scaling Good. Education, Health, Innovative Technology. Student of the Rebbe, Rabbi Menachem Schneerson of righteous memory</t>
  </si>
  <si>
    <t>Deft #retech lab from the uncharted tundra. Infinitely curious. Tweets are not endorsements. They're marriage proposals.</t>
  </si>
  <si>
    <t>#Israel 🇮🇱 #USA 🇺🇸 Anti #BDS #ANTIZIONISM=#ANTISEMITISM FB @therealroseanne @RyanAFournier BB @georgegalloway #IsraelToTheMoon</t>
  </si>
  <si>
    <t>Indigenous Jew. Salt of the land. Assemblyman in Shomron, the Heartland of Israel. Blocked by @BarakRavid</t>
  </si>
  <si>
    <t>One of a kind experiences with Portland’s favorite local guide. Let me Lyft you around town! 🌲🍩 📸 🚕</t>
  </si>
  <si>
    <t>Over a few hills, along a gravel road, hidden away from the hustle and bustle of the world, lies a secret rural getaway. Stay tuned for my Coon Rapids Airbnb story in Friday's addition of the @carrollspaper. #airbnb #coonrapids #Iowa #Midwest #travel #reporter</t>
  </si>
  <si>
    <t>Enjoy great hospitality and a relaxing stay with us. Visit  and make your reservations!🏢🏘️🛋️🛏️ #hostly #hostlyChicago #airbnbhomes #airbnbchicago #chicagoairbnb #airbnb #airbnbexperience</t>
  </si>
  <si>
    <t>Wexford man marooned in Dublin. Likes Tech, Politics, Social topics, Great Food &amp; Wine. Proudly grew up in a great Council Estate &amp; now conquering South Dublin.</t>
  </si>
  <si>
    <t>✨</t>
  </si>
  <si>
    <t>Traveling to santo domingo and looking for a place to stay? This is just the place. Good location with awesome amenities and good prices for up to 6 people. Link in bio!!!! • • #airbnb…</t>
  </si>
  <si>
    <t>TechEBlog</t>
  </si>
  <si>
    <t>This #Airbnb located inside the #Louvre's glass pyramid just might be the coolest ever.  #travel #luxury #design #geek</t>
  </si>
  <si>
    <t>Providing subscribers with the latest technology, gadget, and geek-related links on the web.</t>
  </si>
  <si>
    <t>It is literally true that you can succeed best and quickest by helping others to succeed. 📈 Visit Us ➡  ⬅ to learn how to profit from investment properties that you don't even need to own. #airbnb #vacationrental #luxurylisting</t>
  </si>
  <si>
    <t>Nigeria Circle News</t>
  </si>
  <si>
    <t>Tourist family finds livestreaming hidden camera in Irish Airbnb  #airbnb #bizarre #hospitality #hospitalityservices #ireland #lodging #odd #oddnews #rentals #safetytips #tourism #tourists #traveltips #usnews #vacation</t>
  </si>
  <si>
    <t>Houston, Texas, USA</t>
  </si>
  <si>
    <t>Breaking News from worldwide Nigerian Diaspora. Nigeria Circle News (NCN) network, journalistic excellence, without bias or a political agenda.</t>
  </si>
  <si>
    <t>the four on 9&amp;10 News</t>
  </si>
  <si>
    <t>A “night at the museum” is not just the name of a movie, it could be your reality! Airbnb is partnering with the Louvre for a contest to send two people to the famous Paris museum. Learn more here! #MonaLisa #paris #airbnb</t>
  </si>
  <si>
    <t>‘the four’ on 9&amp;10 News brings you stories that are important to you, including local features, hot topics &amp; community events. #910News #thefour #NoMI</t>
  </si>
  <si>
    <t>Igor Fernandes</t>
  </si>
  <si>
    <t>With @ChipConley, author of Wisdom @ Work and former global head of hospitality and strategy for #Airbnb at the Toronto Region Board of Trade. @TorontoRBOT @WTC_TO #Entrepreneurship #Workplace</t>
  </si>
  <si>
    <t>Public relations professional and content creator. I come up with names for nameless things. Communications intern || @TorontoRBOT</t>
  </si>
  <si>
    <t>Airbnb is turning the Louvre into a hotel so you can have a sleepover with the 🖼️ Mona Lisa  @TravelLeisure #art #luxury #museum #luxurytravel #Louvre #airbnb #Paris</t>
  </si>
  <si>
    <t>John Cunningham</t>
  </si>
  <si>
    <t>7 Ways to Save Money With Your Home  #realestate #reale estate #property #Airbnb #Buying #Savemoney #Yourhouse #Renting</t>
  </si>
  <si>
    <t>Phoenix Arizona</t>
  </si>
  <si>
    <t>Cynthia Brown</t>
  </si>
  <si>
    <t>When it comes to renting out a house on #Airbnb, quality photos matter. #rentalproperty  #lovewhereyoulive #StSimonsIsland #SeaIsland #WeAreLocal #WeAreGlobal</t>
  </si>
  <si>
    <t>Brunswick, GA</t>
  </si>
  <si>
    <t>Licensed November 1998</t>
  </si>
  <si>
    <t>Check out our crash pad located minutes away from #KirtlandAFB! It comes loaded with furniture, full-size kitchen, and a hot tub!  #realestate #crashpad #airbnb #hotel #militarylodging #design #decorator #crashlife #C130 #CV22 #Huey #militarycrashpad</t>
  </si>
  <si>
    <t>#Airbnbexperiences Soak up the #sun, #sand, &amp; #saltair as you enjoy a classically instructed #Pilates mat class on the #Beach in #Kill Devil Hills, NC! Check out #Airbnb</t>
  </si>
  <si>
    <t>Get that 💵💵 from your investment. . #homeaway #airbnbphoto #interiordesign #vacation #realestate #adventure #superhost #airbnb #airbnbhomes #vrbo #trip #airbnbhost #travelphotography #travel #love #instatravel #holiday #travelblogger #vacationrental</t>
  </si>
  <si>
    <t>We knew we needed to get out' - Irish family find eight hidden cameras in their holiday Airbnb  #airbnb</t>
  </si>
  <si>
    <t>No trip to Scotland would be complete without a visit to #LochNess so if you’d like to get away from it all for a few days get in touch to book your stay... We’re only a 40 min drive from @INVAirport #FoyersLodge #SouthLochNessTrail #AirBnb #Highlands #Nessie @visitnessie</t>
  </si>
  <si>
    <t>Short-term rentals rile residents of #Severn #AIRBNB #RealEstate #Investing #Mortgage #Housing #Realtor #REINON #property #Ontario  via @orilliamatters</t>
  </si>
  <si>
    <t>Boone Riddle</t>
  </si>
  <si>
    <t>#steamboatsprings #magicbeans #otp #airbnb #crew #squad #teambean #yeehawtrance @ Steamboat Springs, Colorado</t>
  </si>
  <si>
    <t>Founder/Editor-in-Chief @ColoRockstarsLive Host/Producer @TheChangoDontShow Sen Sourcing Manager @CleanEnergyExperts Volunteer @ArtFromAshes &amp; @BigDogsHugePaws</t>
  </si>
  <si>
    <t>Team Zotti</t>
  </si>
  <si>
    <t>You don't need to sink a lot of money into expensive amenities for a successful #Airbnb rental. #REtips</t>
  </si>
  <si>
    <t>Palmdale, CA</t>
  </si>
  <si>
    <t>Realtors</t>
  </si>
  <si>
    <t>Ever fancied a night at a museum? Airbnb and the Louvre are teaming up to make your dream come true. You have until Friday to enter the contest and get a chance to spend the best night ever inside the Louvre.  #airbnb #travel #contest #louvre #paris</t>
  </si>
  <si>
    <t>Come to NYC for Memorial Day &amp; stay at this Airbnb! Enjoy trendy restaurants, great nightlife &amp;amp; NYC Vibe of the East Village. It's where NYC goes to play! #hotel #Airbnb #MemorialDay Join Airbnb &amp;amp; save money with this link:   …</t>
  </si>
  <si>
    <t>Assist America</t>
  </si>
  <si>
    <t>Princeton, New Jersey</t>
  </si>
  <si>
    <t>Assist America is the premier provider of global emergency services through group benefits programs.</t>
  </si>
  <si>
    <t>Looking forward to it #comfortcottagehealing #visitwales #dogfriendly #TheDogsWithMe #alpacas #ArtsWales #SunDogs #Airbnb #yell RT @ruthwignall: We're almost there! And what a year this is going to be! Happy #100th ! xxx</t>
  </si>
  <si>
    <t>Deborah Quinney</t>
  </si>
  <si>
    <t>30 miles north of London UK</t>
  </si>
  <si>
    <t>female with eyes and ears</t>
  </si>
  <si>
    <t>MtVernonTriangle</t>
  </si>
  <si>
    <t>As a reminder, Airbnb is not permitted here at our community. If you see or hear of something please let us know. Thank you for your cooperation! #reminder #airbnb #thankyou #meridianmtvernon</t>
  </si>
  <si>
    <t>Luxury apartment community located in the heart of DC. Conveniently located between the Mt. Vernon, Gallery Place, and Judiciary Square metro stations.</t>
  </si>
  <si>
    <t>TrendScout</t>
  </si>
  <si>
    <t>Sometimes raising capital is almost impossible for early stage #startups. We’ve seen companies struggle to raise even small amounts of money. Fortunately, these startups tend to #prevail in the end, despite this apparent disadvantage. Think #AirBNB and Alibaba #determination</t>
  </si>
  <si>
    <t>INVEST IN UK’S MOST PROMISING TECH STARTUPS. We give investors a chance to buy shares in technology companies that are not yet public (Pre-IPO). 0203 372 4223</t>
  </si>
  <si>
    <t>A home built into a mountain? A “treehouse castle?” It would be worth getting on the waiting list to crash in one of these Boulder Airbnbs! #iloveboulder #airbnb #coloradovacation #coolest #buttonbuttonre #boulderco #colorado #trip #vacation #airbnb</t>
  </si>
  <si>
    <t>Quik Favor</t>
  </si>
  <si>
    <t>Save time and let us #pickup your meals, snacks, travel goodies and more! We #deliver! Do more, see more and leave the rest to us! 📲 DOWNLOAD the Quik Favor App today! #needafavor #justask #airbnb #traveling #lalife #losangeles #hotel #living #explore</t>
  </si>
  <si>
    <t>Operational since 2016 Providing personalized concierge services that are convenient, efficient and reliable. We specialize in ON DEMAND pick up and delivery.</t>
  </si>
  <si>
    <t>Chris Rock Choir</t>
  </si>
  <si>
    <t>XENON</t>
  </si>
  <si>
    <t>Google ban #econolodge and the longest entity and #airbnb</t>
  </si>
  <si>
    <t>Marcus Jonathan Gimblet | Datpiff: Kreativ. | Tumblr:Gxth730 | thevenusprojectmarcus@gmail.com. | xenonspooky@gmail.com | http://Audiomack.com/kreativisionz</t>
  </si>
  <si>
    <t>Maya Viswanath</t>
  </si>
  <si>
    <t>I picked this #airbnb and I look mighty pleased about it. 📷 by glagnese @ Malasaña, Madrid</t>
  </si>
  <si>
    <t>Marblehead, MA</t>
  </si>
  <si>
    <t>I love fish tacos.</t>
  </si>
  <si>
    <t>$55 ❤️💙💜💚💵💲💸✈️🧡⚠️🔥 Airbnb code coupon promo discount first. $55 OFF CLICK LINK NOW! Try it. Please DM me if you have any issues. #airbnb #airbnbcode #airbnbdiscount #airbnbpromo #airbnbcoupon</t>
  </si>
  <si>
    <t>News 6 WKMG</t>
  </si>
  <si>
    <t>POPULAR AIRBNB RENTAL | Tucked away near Lake Harney sits 25 acres dubbed "Danville" that has quickly become one of the most popular spots for #Airbnb renters.</t>
  </si>
  <si>
    <t>Central Florida @CBSnews affiliate. Tweeting updates from News 6 and http://www.clickorlando.com.</t>
  </si>
  <si>
    <t>Margy Waller 🤹🏼‍♀️</t>
  </si>
  <si>
    <t>Check it @CityOfCincy #Airbnb @airbnbwatch RT @airbnbwatch: .@Airbnb is fighting a losing battle against residents of communities and the U.S. Court of Appeals. People prefer safety over short-term rentals.</t>
  </si>
  <si>
    <t>Telling the stories of arts and people and places—former Visiting Fellow at Brookings Institution and Senior Advisor in Clinton-Gore White House.</t>
  </si>
  <si>
    <t>Rashid Matthews-Hall</t>
  </si>
  <si>
    <t>#Repost seaestavilla_airbnb ・・・ 💙 I'd say she's living her #bestlifeever 🧜🏼‍♀️ 💦 💙 @trvlprincess1 🇯🇲 💚 🇯🇲 . Follow 👉🏽 seaestavilla_airbnb 💛 🌼 💛 🌼 💛 🌼 . #airbnb #villarental…</t>
  </si>
  <si>
    <t>Jamaica/ Japan/ Canada/ USA</t>
  </si>
  <si>
    <t>Proud Jamaican🇯🇲柔術/ Multiple time Ibjjf &amp; Asjjf 🥇 @blackkingsnyc @defensesoap @flowathletics @darkironfitness @monkey_tape /rhall427@gmail.com</t>
  </si>
  <si>
    <t>Tell us the story you lived when you visited our TJ location 📍⁣ -⁣ Photo Credit: @cristhian.santoyo⁣ ___⁣ #webunkyou • #SanDiego • #airbnb • #QueSeaUnGranDia</t>
  </si>
  <si>
    <t>Come and stay! #tripadvisor #airbnb #homeaway #bookingcom #shortstay #minibreak #holiday #spring #perfect #fivestar #cartmel #lakedistrict @ Cartmel, Lake District</t>
  </si>
  <si>
    <t>My AirBnB Guest are great Jonathan Conway From Australia . . #portrait #airbnb #guest #airbnbguest #airbnbexperience #headshot #canon_photos #canon_photos_daily #adobe #lightroom #bnw #blackandwhite #blackandwhitephotography #noiretblanc</t>
  </si>
  <si>
    <t>Seat 2A Suite</t>
  </si>
  <si>
    <t>#chase offers once again has some great savings for #airbnb and #hyatt Make sure to log in to your Chase account and add these offers!</t>
  </si>
  <si>
    <t>Traveling the world, CONFIRMED. Traveling with miles and points is easier than you think... We can help you book the trip of a lifetime using everyday points</t>
  </si>
  <si>
    <t>Miche</t>
  </si>
  <si>
    <t>Family finds hidden camera after settling into their #Airbnb  via @IOL</t>
  </si>
  <si>
    <t>JHB</t>
  </si>
  <si>
    <t>events,marketing, #Blogger. Life is colourful!</t>
  </si>
  <si>
    <t>Jamie Schultz</t>
  </si>
  <si>
    <t>I don't think our #airbnb guests realize I'm home. They are currently in the bathroom singing an entire medley of duets (all Disney &amp; musical theater selections). I love them. 10/10 would host again.</t>
  </si>
  <si>
    <t>2 parts whimsy, 1 part sass. 50% Hufflepuff. 50% Ravenclaw. ✍️ 🤓 Proud member of SCBWI, 12X12, and Storyteller Academy.</t>
  </si>
  <si>
    <t>A few little touches can go a long way  #Airbnb #Liverpool #Accommodation</t>
  </si>
  <si>
    <t>Anita MN Johnson</t>
  </si>
  <si>
    <t>#RedwoodCity #California Great Guest House in the heart of Silicon Valley has openings in April and May #BookDirect or #Airbnb #VRBO #Homeaway   or</t>
  </si>
  <si>
    <t>San Francisco Bay Area</t>
  </si>
  <si>
    <t>Anita's Guest House, Mid-Peninsula, Redwood City, Organic, Baking, Gardening, Technology</t>
  </si>
  <si>
    <t>SP+ Toronto</t>
  </si>
  <si>
    <t>Renting an Air B &amp; B at #Waterclub Condos at York &amp;amp; Queens Quay? Parking not available? Park with us right across the lane way, daily rates and overnight parking available #200QueensQuay ➡️ #AirBnB #parking #WaterClubCondos #parking</t>
  </si>
  <si>
    <t>Official account for SP+ Parking Toronto.</t>
  </si>
  <si>
    <t>Want to see the world's best vacation listings and hear short-term rental insights from our CEO @scottshatford? Tune into HandMade Hotels on @bemakeful:  #airbnb #homeaway #vrbo</t>
  </si>
  <si>
    <t>Just a Bed on #Airbnb ... on #Crete</t>
  </si>
  <si>
    <t>J.L. Jarvis, Writer</t>
  </si>
  <si>
    <t>This is so creepy. And Airbnb allows it! #airbnb #travel #traveltips</t>
  </si>
  <si>
    <t>Left-handed opera singer/lawyer/teacher who writes books.</t>
  </si>
  <si>
    <t>Emilee Walch</t>
  </si>
  <si>
    <t>Looking through old photos, I’d forgotten about this adorable @airbnb we stayed in for a weekend ski trip back in February. That Mad Men/sunken living room vibe was 🙌🏼 clutch. #saugerties #upstatenewyork #airbnb #sunkenlivingroom #🦌 #skitriplodging …</t>
  </si>
  <si>
    <t>Product Manager @Jetty. Part time caterer. Full time overly enthusiastic dog mom. @CF_Foundation advocate &amp; team leader, Manhattan chapter.</t>
  </si>
  <si>
    <t>LB Daily News</t>
  </si>
  <si>
    <t>LIFESTYLE - Airbnb now collecting Long Beach hotel taxes from visitors – LB DAILY NEWS  #LongBeach #airbnb @presstelegram</t>
  </si>
  <si>
    <t>Digital News Daily... #LongBeach</t>
  </si>
  <si>
    <t>FREE AIRBNB 💲55 DISCOUNT CODE. Here’s your chance for a free credit coupon and codes to travel for FREE. Click the link NOW. Please DM me if you have any issues. #airbnb #airbnbcode #airbnbdiscount #airbnbpromo #airbnbfree</t>
  </si>
  <si>
    <t>We LOVE what we do and our guests enjoy staying with us! Book today to enjoy the one of a kind experience when staying one of our Barefoot Vacation Rentals. #Bookdirect #bookdirectly #Vacationrentals #Airbnb #VRBO #SanDiegoVacationRental #managmentcompany #vacation</t>
  </si>
  <si>
    <t>Paybase</t>
  </si>
  <si>
    <t>Do you agree with @Airbnb co-founder @jgebbia ? At @paybase we share this view, which is why we not only support #SharingEconomy businesses, but improve them, allowing them to leverage payments to their advantage. Find out more about us here ! #airbnb</t>
  </si>
  <si>
    <t>The payments solution that transforms your business, making payments a part of your value proposition instead of a painful afterthought.</t>
  </si>
  <si>
    <t>Here's what @cityofvancouver is up against:     Four #AirBNB​s, one host. @VancityGillian, which #Strathcona #STR is your primary residence? The other one's illegal. #vanre</t>
  </si>
  <si>
    <t>Munich Re, US</t>
  </si>
  <si>
    <t>In 2016, close to 80m travelers checked into an #Airbnb. Are you and your home protected when you host guests? Munich Re’s new U.S. personal lines #homesharing coverage helps protect hosts and their homes  #vacationrental #VRBO</t>
  </si>
  <si>
    <t>As member of Munich Re's US organization, we offer financial strength &amp; stability that comes w/being part of world's preeminent insurance &amp; reinsurance brand.</t>
  </si>
  <si>
    <t>Minneapolis Getaways</t>
  </si>
  <si>
    <t>We’ve got @UVAMensHoops guests staying at one @AirBnb &amp; @TexasTechMBB guests staying at our other #airbnb!!! Going to be an awesome night here in #Minneapolis. Let’s do this! @NCAA #Championship #travel #basketball #virginia #texas #Cavaliers #RedRaiders #WAHOOWA @UVA @TexasTech</t>
  </si>
  <si>
    <t>Our luxury homes and warm hospitality will bring ease and comfort to your travels! Come and let us take care of the details for you. Superhosts @Airbnb</t>
  </si>
  <si>
    <t>Bellavista Lerici</t>
  </si>
  <si>
    <t>Ready for planning your perfect beach holiday in Italy? Link in bio 🔝 ☀️🌊 #ecodelmare #lerici #liguria #bellavistalerici #airbnb #airbnbitaly #travel #cinqueterre #ig_liguria #qualitytime #bayofpoets #golfodeipoeti #visititalia #italianlandscape #igersitalia #top_italia_phot…</t>
  </si>
  <si>
    <t>Lerici, Liguria</t>
  </si>
  <si>
    <t>Holiday Apartment Rentals in the most beautiful Italian coast of Lerici, known as the Bay of Poets - AirBnB Host</t>
  </si>
  <si>
    <t>Our beautiful coast. Today ☀️🐟 #lerici #liguria #bellavistalerici #airbnb #airbnbitaly #travel #cinqueterre #ig_liguria #qualitytime #bayofpoets #golfodeipoeti #visititalia #italianlandscape #igersitalia #top_italia_photo #beautifuldestinations #holiday #instatravel #bestita…</t>
  </si>
  <si>
    <t>Concept2Completion</t>
  </si>
  <si>
    <t>Josh Dhaliwal ★★★</t>
  </si>
  <si>
    <t>Use this link to get £25 off your first #airbnb stay</t>
  </si>
  <si>
    <t>Michelmersh, England</t>
  </si>
  <si>
    <t>Dad | Husband | Head of Sales | #iPresentApp #SalesEnablement #SaaS #B2B http://www.linkedin.com/in/joshdhaliwal1 Opinions are my own, not views of iPresent</t>
  </si>
  <si>
    <t>Midtown Lofts</t>
  </si>
  <si>
    <t>Hop onto  and book today! #Airbnb #perfectgetaway</t>
  </si>
  <si>
    <t>Indiana</t>
  </si>
  <si>
    <t>Midtown Lofts is located just blocks from IU Campus! http://www.hunterbloomington.com</t>
  </si>
  <si>
    <t>Townhouses on 10th</t>
  </si>
  <si>
    <t>Housing near IU with access to TWO 24 hour Gyms and a Resort Style Pool.</t>
  </si>
  <si>
    <t>CO Tiny House Fest</t>
  </si>
  <si>
    <t>This cute little tiny house is the most sought after #airbnb in Tennessee. . . Pic found on Airbnb . . #tinyhouseonwheels #tinyhouse #tinyhome #tinyhousemovement #smallspaces #construction #rvlife #builder #vanlife #campers #wanderlust #minimalism #diy #…</t>
  </si>
  <si>
    <t>Brighton, Colorado</t>
  </si>
  <si>
    <t>Join us June 21-23 2019 at the Adams County Fairgrounds to learn, experience or start living tiny! #colotinyfest #tinyfestival</t>
  </si>
  <si>
    <t>CreativeConstruction</t>
  </si>
  <si>
    <t>Madrid Bans #Airbnb Apartments That Don’t Have Private Entrances  #realestate #regulation</t>
  </si>
  <si>
    <t>Wir helfen Organisationen dabei, digitale Potenziale systematisch zu erschließen und zu entwickeln http://www.creativeconstruction.de/impressum/</t>
  </si>
  <si>
    <t>Midwest Coast Capital</t>
  </si>
  <si>
    <t>Ever wonder what corruption looks like? It's the city of Chicago, state of Illinois and Cook county tripling down on the same #Airbnb accommodation tax because the #Hilton family bought them a nice dinner #Taxationistheft</t>
  </si>
  <si>
    <t>Assistant to the Regional Manager Finance Twitter. You can find me in St. Louis rolling on dubs</t>
  </si>
  <si>
    <t>Live the dream (if your Airbnb is managed correctly), read the blog on  - Tip No 4 Hire A Cleaning Service #cleaningservice #clean #airbnb #holidaylets #cotswolds #gloucestershire #worcestershire</t>
  </si>
  <si>
    <t>How does a @Airbnb list places in Chicago for $500 a night then add another 70% in taxes and fees? #Airbnb #DeceptivePricing #USRetailPricingLawsAndRegulations</t>
  </si>
  <si>
    <t>#Airbnb in #Ottawa - @Fairbnbcanada keeps Canadians informed on Airbnb-type dealings. RT @Fairbnbcanada: Friends, our coalition releases new research on #ottcity. Interested what #Airbnb does to #Ottawa's housing market? Come &amp; join @ACORNOttawa's city wide rep Blaine Cameron, Councillors @MathieuFleury &amp;amp; @cmckenney, &amp;amp; @Fairbnbcanada's @twieditz in Ottawa. #onpoli #affordablehousing</t>
  </si>
  <si>
    <t>Tom Slee</t>
  </si>
  <si>
    <t>Good to see @Fairbnbcanada taking what they have learned in Toronto to other cities. #Ottawa #airbnb RT @Fairbnbcanada: Friends, our coalition releases new research on #ottcity. Interested what #Airbnb does to #Ottawa's housing market? Come &amp; join @ACORNOttawa's city wide rep Blaine Cameron, Councillors @MathieuFleury &amp;amp; @cmckenney, &amp;amp; @Fairbnbcanada's @twieditz in Ottawa. #onpoli #affordablehousing</t>
  </si>
  <si>
    <t>Waterloo, Ontario, Canada</t>
  </si>
  <si>
    <t>Mostly critical takes on technology. Views are my own and do not represent my employer.</t>
  </si>
  <si>
    <t>It's Holiday Scottsdale's anniversary. Book a stay between now and August 31, 2019 to receive a FREE #Starbucks gift card at check in. Offer ends April 30, 2019. #Vrbo #Airbnb #FreeCoffee</t>
  </si>
  <si>
    <t>Vance Bell</t>
  </si>
  <si>
    <t>How to increase your chances of finding a hidden camera (in your next #Airbnb) – sixfortwelve</t>
  </si>
  <si>
    <t>Freelance consultant providing web design, development and online marketing. Owner http://pixelengine.net.</t>
  </si>
  <si>
    <t>Angelina Sandoval</t>
  </si>
  <si>
    <t>#NewListing Currently operating as an Extremely successful #AirBnB in the heart of Abq. This can easily be converted back to a single family home w/casita. Tastefully updated with modern features, that do not take away from the charming details this #Historic home offers. #R1NM</t>
  </si>
  <si>
    <t>NEW Mexico yes we R in the US!</t>
  </si>
  <si>
    <t>Wifey, mommy of 5 miracles. I wish you my kind of happiness. Make the most of today it could be your last! There is no LEFT or RIGHT we are all AMERICANS!</t>
  </si>
  <si>
    <t>Vladi Vostok</t>
  </si>
  <si>
    <t>Van Gogh's Famous Bedroom Can Now Be Rented on AirBnb #airbnb</t>
  </si>
  <si>
    <t>Beograd</t>
  </si>
  <si>
    <t>Artist, love urban art, vintage soul. Ljubitelj nekih davno potisnutih i pomalo zaboravljenih vremena.</t>
  </si>
  <si>
    <t>Thanks @CNN for mentioning Fing App as a top tool for travellers staying in hotels &amp; rental properties #Airbnb #hiddencamera</t>
  </si>
  <si>
    <t>Anjanette Fountain</t>
  </si>
  <si>
    <t>Another real estate deal CLOSED! #praisegod #realestate #atlantarealestate #atlantainvestor #investor #atlantaproperties #exitstrategy #airbnb #cashbuyers #cashbuyer @…</t>
  </si>
  <si>
    <t xml:space="preserve">Atlanta, Georgia </t>
  </si>
  <si>
    <t>Love real estate, interior design and fashion!</t>
  </si>
  <si>
    <t>Nothing less than war against this company. Here's how many people are no longer on rental leases. #airbnb #exarheia #athens #koukaki #antireport</t>
  </si>
  <si>
    <t>Friends, our coalition releases new research on #ottcity. Interested what #Airbnb does to #Ottawa's housing market? Come &amp; join @ACORNOttawa's city wide rep Blaine Cameron, Councillors @MathieuFleury &amp;amp; @cmckenney, &amp;amp; @Fairbnbcanada's @twieditz in Ottawa. #onpoli #affordablehousing</t>
  </si>
  <si>
    <t>This cute little tiny house is the most sought after #airbnb in Tennessee. . . Pic found on Airbnb . . #tinyhouseonwheels #tinyhouse #tinyhome #tinyhousemovement #smallspaces #construction…</t>
  </si>
  <si>
    <t>"My #Airbnb #habit left me sleeping under my desk, but it saved my #career" | @guardian #work #life #balance #shorttermrentals #vacationrentals #propertymanagement #accomodation #rentals #travel #tourism Read article:</t>
  </si>
  <si>
    <t>Well there you have it. Best weekend get away fir our anniversary ( or reason really ) take it from Kelsey and Cody #getaway #weekend #review #airbnb #anniversary #gotowv…</t>
  </si>
  <si>
    <t>Villa G Denver</t>
  </si>
  <si>
    <t>We have Great specials this month for staying at Villa G! For 2 people (One bedroom) $195 a night, 4 people (two bedrooms) 220 a night and for 6 people (Three bedrooms) 255 a night. Come check out our new prices. #vacationrental #Denver #VRBO #airbnb</t>
  </si>
  <si>
    <t>Denver, Co</t>
  </si>
  <si>
    <t>Experience the Magic of Villa G! 5 Star rating! Rated Number #1 on Homeaway for Denver with 71 Five star reviews #Best #vacation #rental #Denver</t>
  </si>
  <si>
    <t>Mic Drop from @AnthonyHotels 🎤 #insurance #airbnb #vrbo #vacationrental #bookdirect #vacationrentals #cbizvri #liabilityinsurance #MondayMotivation #businesstips #homeowner #propertyowner #vacationrentalinsurance @MediaplanetUSA @travelchannel</t>
  </si>
  <si>
    <t>Don’t do hotels. Have freedom with an Airbnb! Sign up with the coupon link below to receive a $55 ✈️💸🗺 discount code with your first Airbnb. Please DM me if you have any issues. #airbnb #airbnbcode #airbnbdiscount #airbnbpromo #airbnbfree</t>
  </si>
  <si>
    <t>Alpha Data</t>
  </si>
  <si>
    <t>Abu Dhabi | Dubai | Qatar</t>
  </si>
  <si>
    <t>The leading System Integrator with over 30 years track record.</t>
  </si>
  <si>
    <t>Fyro</t>
  </si>
  <si>
    <t>You guys, if you need to travel, and need your own space, try #airbnb . It's better and usually cheaper than a hotel. And the two times I've used airbnb, have been great experiences.  Best choice you can do for your travels. :)</t>
  </si>
  <si>
    <t>Live Streamer, Web Comic Creator, bad at both, enjoy doing it. Part of the awesome @STRECONN community! :)</t>
  </si>
  <si>
    <t>Yes, please. . . #timeout #onthebeach #timeoutchair #seeyouontheisland #portaransas #airbnb #vrbo #beachhappyporta #imintrouble #needavacation #attitudeadjustment #beachtime…</t>
  </si>
  <si>
    <t>pizZa slut</t>
  </si>
  <si>
    <t>Harold and Larry lovers and friends #Harold #Larry #haroldandlarry #crackheadlarry #crack #airbnb #lovers</t>
  </si>
  <si>
    <t>Pizza Slut 🤤🍕 like to make weird videos cause I crack myself up so hopefully you guys can get a laugh out of them too 😂</t>
  </si>
  <si>
    <t>Where are we off to now</t>
  </si>
  <si>
    <t>You ever get a bad feeling about an #airbnb until you get inside... this was our first impression of ours in #Wroclaw. But inside the apartment was beautiful. Bit noisy at night with one of the main streets below it, but spotless inside. #familytravel #dontjudgeabookbyitscover</t>
  </si>
  <si>
    <t>Northern Ireland</t>
  </si>
  <si>
    <t>Two adults, 1 child and a dog. Looking to see the world and enjoy our country as well! Latest -Poland (Gdansk). Next - Belgium (Undecided)</t>
  </si>
  <si>
    <t>First impressions count, therefore we've put together a guide on how to create a welcoming entrance with colour, lighting and furniture.  #airbnb #hallway #modishliving #stairway #declutter</t>
  </si>
  <si>
    <t>j</t>
  </si>
  <si>
    <t>Hey, hey! If you’re looking for #airbnb discounts or to travel for the holidays, use my code! 😊 airbnb discount / Airbnb credit /Airbnb code / Airbnb coupon Sign up with my link &amp; you’ll get $40 off when you book for the first time:</t>
  </si>
  <si>
    <t>somewhere in california</t>
  </si>
  <si>
    <t>• growing • poshmark code: jaynness • postmates code: 4jsc1 • airbnb promo code linked below!</t>
  </si>
  <si>
    <t>Short-term property rentals not permitted in #Caledon, but they're popping up on #Airbnb, #Kijiji anyway</t>
  </si>
  <si>
    <t>Caribbean LifeLink</t>
  </si>
  <si>
    <t>The Perfect spot!!!! #airbnb #cancun #playa #beach #superhost #goodvibes #sunset</t>
  </si>
  <si>
    <t>Administración de propiedades. Rentas vacacionales. Tour's</t>
  </si>
  <si>
    <t>In case you missed it, check out "Want to start an Airbnb? Do your research first"  #montrealhomes #montrealrealestate #Airbnb</t>
  </si>
  <si>
    <t>Without a legal agreement that is truly enforceable, the growth of unlawful listings on platforms like #Airbnb will continue. Let’s strive for better and hold these platforms accountable. /via @globeandmail  #FairRules</t>
  </si>
  <si>
    <t>Don’t book your Airbnb without using this $55 referral coupon code! Click the link down below for your first $55 💵❤️💵 Airbnb discount now! Please DM me if you have any issues. #airbnb #airbnbcode #airbnbdiscount #airbnbpromo #airbnbfree</t>
  </si>
  <si>
    <t>Amsterdam Attempts to Regulate Airbnb and Short-Term Rentals to Stop Booming Property Prices. #airbnb #shorttermrental #propertymanagement #vacationrental</t>
  </si>
  <si>
    <t>globalhelpswap</t>
  </si>
  <si>
    <t>Who would love to do this? Airbnb is offering the chance to sleep in the Louvre's glass pyramid  #airbnb #paris #louvre</t>
  </si>
  <si>
    <t>Award Winning #TravelBloggers that focus on Culture &amp; Adventure for the Responsible Traveller. #travel #volunteering #adventuretravel #responsibletourism</t>
  </si>
  <si>
    <t>Tim Maher</t>
  </si>
  <si>
    <t>The cushion at our #airbnb apartment, from our recent visit to Málaga to celebrate our 20th wedding anniversary, captured the right mood. ⠀ ⠀ Sony A7R3 ⋮ Sony FE 24-105mm f/4 ⋮ f/5@50th ⋮ ISO 1000 ⋮ + 0.3 EV ⠀ ⠀ #everythingforlove #lovestory #pil…</t>
  </si>
  <si>
    <t>Helsinki</t>
  </si>
  <si>
    <t>Professionally, a Photographer &amp; Videographer. Emotionally, stable. Ethically, trying hard. Tastes, diverse.</t>
  </si>
  <si>
    <t>Aromatherapy Toronto</t>
  </si>
  <si>
    <t>"Short-Term Rentals: Currently, short-term rentals are not permitted in Toronto."  #airbnb great cos i cannot find housing at all</t>
  </si>
  <si>
    <t>Natural perfume with essential oils, plant science, social change, womens' issues, PTSD, cannabis. Handmade items and products in my etsy!</t>
  </si>
  <si>
    <t>When your guest brings the fresh Barramundi to cook for dinner #Airbnb #Nhill #freshfish @ Wendy's Retreat Nhill</t>
  </si>
  <si>
    <t>💲55 FREE AIRBNB COUPON CODE ✈️🗺💸. Here’s your chance for a free credit coupon and codes to travel for FREE. Click the link NOW. Please DM me if you have any issues. #airbnb #airbnbcode #airbnbdiscount #airbnbpromo #airbnbfree</t>
  </si>
  <si>
    <t>KREIA</t>
  </si>
  <si>
    <t>Through meetings, workshops and exclusive content, KREIA networks and educates real estate investors in Kentucky and southern Indiana.</t>
  </si>
  <si>
    <t>From bedroom supplies to bathroom essentials, we've got you covered. We supply a complete range of hotel-quality bed linen sets, toiletries and more! #hospitality #airbnb #servicedapartments #london</t>
  </si>
  <si>
    <t>Jonathan Petramala</t>
  </si>
  <si>
    <t>I just had my final guests at a property I sold. Some of the worst ever. Scathing review forthcoming and thankful I sold the property so I don't have to deal with such disrespectful and rude guests again. #superhost #airbnb</t>
  </si>
  <si>
    <t>St. Petersburg, Fl</t>
  </si>
  <si>
    <t>National Weather Reporter for @accuweather @breakingweather AirBnB Superhost. Boater, advanced SCUBA diver, traveler, explorer.</t>
  </si>
  <si>
    <t>Dream Destinations Travel and Tourism LLC has got a habit that would make you satisfied! Be assisted by a Superhost!!! For booking: ✔AIRBNB- ⠀ ✔⠀ ✔HOMEAWAYhttps://buff.ly/2DpFuDU #AIRBNBsuperhost #AIRBNB #dubaimarina</t>
  </si>
  <si>
    <t>Mark J. Fletcher ENP</t>
  </si>
  <si>
    <t>My first #Airbnb stay ever, and THIS is what I wake up to for just $80 a night. Two BR two bath condo only 5 miles from the office. WOW!</t>
  </si>
  <si>
    <t>Morristown, NJ - USA</t>
  </si>
  <si>
    <t>Chief Architect - Worldwide Public Safety Solutions @Avaya, Intraprenuer, Blogger, Podcaster and Dad. Any tweets with my personal opinions are signed -MF</t>
  </si>
  <si>
    <t>Family’s Airbnb horror as they discover secret camera filming them. Yes, this may happen in any part of the world (including #HongKong) #DiscoverHongKong #HK #HKG #hktravel #airbnb #travel #trip #holiday  via @MailOnline</t>
  </si>
  <si>
    <t>First Time Airbnb 💲55 coupon promo referral code :) ✈️❤️✈️ Get your discount credit on your first trip Click the link NOW 💵💵💵—-&gt;✈️ #airbnb #airbnbcode #airbnbdiscount #vacation #trips #travel #getaway</t>
  </si>
  <si>
    <t>Merton Gaudette</t>
  </si>
  <si>
    <t>#Privacy #Surveillance They were settling into their #Airbnb. Then they found a #HiddenCamera..  via @GoogleNews</t>
  </si>
  <si>
    <t>SOUTHERN CALIFORNIA</t>
  </si>
  <si>
    <t>INTERESTED IN NEWS/ INDEPENDENT MEDIA, PROGRESSIVE POLITICS AND PHOTOGRAPHY. I don't buy Followers. No lists pls.</t>
  </si>
  <si>
    <t>Interested in Airbnb-ing your home in Dubai? Know all about how to go about it! #airbnb #dubai</t>
  </si>
  <si>
    <t>💲55 ❤️🧡💙💜💚💸💲✈️🙌🏽⚠️ Airbnb code coupon promo discount first. $55 OFF CLICK LINK NOW! Try it. Please DM me if you have any issues. #airbnb #airbnbcode #airbnbdiscount #airbnbpromo #airbnbcoupon</t>
  </si>
  <si>
    <t>When you get those red sunsets...no where we'd rather be! 💕 Who else enjoyed Friday &amp; Saturday evening's sunsets in @GoStrandhill? #Strandhill #strandhillmoments #choosesligo #Sligo #airbnb</t>
  </si>
  <si>
    <t>How to spot hidden spy cameras in Airbnbs  #Airbnb #Hoteliers</t>
  </si>
  <si>
    <t>Lovely bright space with private garden. Fully equipped kitchen, dining area, comfy sofas, flat screen TV, bathroom and bedroom with large bed ✨ Read more about this space here 👇  #airbnb #property #PropertyManagement #PropertyManagers</t>
  </si>
  <si>
    <t>Offering your Airbnb guests a space to relax and enjoy their morning coffee ☕ or meals is a potential boost for many 5 * reviews. [Small Round Table and 2 Chairs Bistro Set in Blue]  #modishliving #airbnb #host #garden #diningset #outdoordining</t>
  </si>
  <si>
    <t>Allianz Partners</t>
  </si>
  <si>
    <t>#Airbnb: The platform buys out @HotelTonight and branches into the hotel industry  #Hotel #Tourism #Travel</t>
  </si>
  <si>
    <t>Welcome to @Allianz Partners. As the global #leader in #assistance &amp; #insurance solutions, we are dedicated to bringing worldwide protection and care</t>
  </si>
  <si>
    <t>Juan José Calderón Amador</t>
  </si>
  <si>
    <t>What seven years at Airbnb taught me about building a company  by @lennysan #Airbnb #sharingEconomy #GIGeconomy #plataforma #platform #startup #innovation #emprendimiento</t>
  </si>
  <si>
    <t>Sevilla</t>
  </si>
  <si>
    <t>elige la cadena de la vida abc1chde2ghij...✘ⓔ-ⓝⓐⓤⓣⓐ, ⓔ-ⓜⓔⓝⓣⓔ Sevilla ★ blockchain ★ elearning ★Ⓐrⓣ ★ P2P ★ economy★HigherED ★ #laEstacionZ #elmuelledelasal</t>
  </si>
  <si>
    <t>CyberGhost VPN</t>
  </si>
  <si>
    <t>Yet another #hiddencamera found at an #Airbnb. 😐</t>
  </si>
  <si>
    <t>Bucharest, Ro</t>
  </si>
  <si>
    <t>#PrivacyMatters Activists | Internet #Freedom Advocates | Keeping Ghosties safe from prying 👀 24/7 | In the business of setting your digital Self free | No Logs</t>
  </si>
  <si>
    <t>Experience running a bookshop in London. It appears the greatest pleasure comes from selling books to the London public - who'd have guessed?  #airbnb #kilburn #nw6</t>
  </si>
  <si>
    <t>My AirBnB Guest are great Jon Conway From Australia . . #portrait #airbnb #guest #airbnbguest #airbnbexperience #headshot #canon_photos #adobe #lightroom à Emmanuel…</t>
  </si>
  <si>
    <t>Be assisted by a Superhost!!! For booking: ✔AIRBNB- ⠀ ✔Booking.com-⠀ ✔HOMEAWAY- #AIRBNBsuperhostT #AIRBNB #bestplaceindxb #dreamdtravels #UAEDUBAI #dubaistay #dubaimarina #dubailuxuryapartment</t>
  </si>
  <si>
    <t>Karen Roberts</t>
  </si>
  <si>
    <t>Another sector impacted by the third year of rising #businessrates . Many #hotels-particularly in #London will see big rises adding to pressures of rising costs and competition from #airbnb. See @JohnWebberFRICS @Colliers_UK @SebMcCarthy @CityAM today.</t>
  </si>
  <si>
    <t>PR Consultant at Irwin Mitchell, Addington Capital, Colliers Business Rates Team and GN2. Contact: keroberts@btopenworld.com,</t>
  </si>
  <si>
    <t>Happy Monday with us! :) #Travel #SanAndrés #Colombia #Buddhavilla #Caribbean #traveltips #traveltheworld #airbnb #Caribbeanlife #IslaDeSanAndrés #Hostel #rooms #Booking #travelling #poolside #airbnbexperiences #swimmingpool #Colombian @Airbnb</t>
  </si>
  <si>
    <t>[travel opulent box]</t>
  </si>
  <si>
    <t>Hey Guys! Looking for a reliable and Cape Town / Gordons Bay based AirBnB management company. @capeAdvice #airbnb Hit me with great suggestions pls!</t>
  </si>
  <si>
    <t>☆#TravelChatSA Chat (WED7pm)💬 &amp; #TravelChatSAPodcast Nature Enthusiast🌱 Social Media Management📳 Content Creator📸 Marketer💡 Official Media Partner #ARTA19</t>
  </si>
  <si>
    <t>Sasha Crichton</t>
  </si>
  <si>
    <t>Need to rent a car? A dress? Camp site? A boat? Elderly care? Today share economy is so much more than Uber and #Airbnb. I'll leave this here... 101+ #SharingEconomy websites  #accommodation #fashion</t>
  </si>
  <si>
    <t>What if we all lived in our most authenticity state, and the State was authentic? 💜</t>
  </si>
  <si>
    <t>Professional Cleaning Company</t>
  </si>
  <si>
    <t>Bristols Airbnb Specialists #bristol #business #airbnb #excellence #holidaygoals #Specialist</t>
  </si>
  <si>
    <t>Because image is everything</t>
  </si>
  <si>
    <t>The latest image from the GowerLive #webcam on the roof 730RocksMumbles #AirBnB. Book at  #Mumbles #Swansea #Gower #travel. Watch live at  #550</t>
  </si>
  <si>
    <t>Janelle Lewis</t>
  </si>
  <si>
    <t>The first of its kind (for #Airbnb that is) where it has agreed to an info sharing #tax #agreement with Denmark. Effective July 1st, 2019, Airbnb will share information about its users in Denmark to Danish tax authorities to begin collecting #taxes.</t>
  </si>
  <si>
    <t>New York, NY Global</t>
  </si>
  <si>
    <t>NYC #Attorney merging #law #entrepreneurship &amp; #innovation introducing #legal_strategy #legal_planning. All about #startups #SMEs. Contributing to conversations</t>
  </si>
  <si>
    <t>Be one of 5 million annual visitors to experience all that the Lake of the Ozarks has to offer! Check out our vacation rentals here:  #lakeoftheozarks #ozarks #vacation #missouri #travel #VRBO #TripAdvisor #Airbnb #ozark #boating</t>
  </si>
  <si>
    <t>Don’t book your Airbnb without using this 💲55 ✈️💸 referral coupon code! Click the link down below for your first $55 💲💸💲 Airbnb discount now! Please DM me if you have any issues. #airbnb #airbnbcode #airbnbdiscount #airbnbpromo #airbnbfree</t>
  </si>
  <si>
    <t>WoodsTheCleaners</t>
  </si>
  <si>
    <t>Bring in two or more coats and get 20% off the cost of cleaning, T&amp;C's apply. #DryCleaning #laundry #Shifnal #Telford #Bridgnorth #ShirtService #AirBnB #deliveryservice…</t>
  </si>
  <si>
    <t>Shifnal</t>
  </si>
  <si>
    <t>Official Twitter page of Woods. Family owned Established 1997. Cleaners of fine clothes.</t>
  </si>
  <si>
    <t>Monique van der KZN 🇿🇦</t>
  </si>
  <si>
    <t>🌄Drakensberg sunset with last light falling on @cottageimvana . . . . 🏡#CottageImvana #BulwerKZN #DurbanHasMore #airbnb #vacationhome #accommodation #selfcatering #WeDoTourism…</t>
  </si>
  <si>
    <t>KwaZulu, South Africa</t>
  </si>
  <si>
    <t>Influencing travel to KwaZulunatal 🏡Owner/Operator @cottageimvana💚📢#TravelChatSA Host🔝101TravelTweeters of #SouthAfrica 📸Canon📌#BulwerKZN #Drakensberg💘</t>
  </si>
  <si>
    <t>Springtime in #Cartmel at last - doors open and chilled champagne #perfect #shortstay #blueskies #sunshine #tripadvisor #airbnb #homeaway #bookingcom #LakeDistrict #cumbria</t>
  </si>
  <si>
    <t>Read in our blog about the expectations from Airbnb income over the next three years in Greece. 🏨 🔍 📈 💶 🇬🇷  #airbnb #vacationrental #greece #athens #sparrow #thesparrow #management #new #icap #income ##hospitality #hospitalityservices #propertymanager</t>
  </si>
  <si>
    <t>Joe Lebosi</t>
  </si>
  <si>
    <t>trailer to our #vlog #bedifultrip #ikingazmitrip #tokyo coming soon! dont forget to #subscribedaphneiking #youtube now! watch this space! . #airbnb airbnb #klookmy #klook klooktravel_my</t>
  </si>
  <si>
    <t>United States of Joe Lebosi</t>
  </si>
  <si>
    <t>if you dont like my tweets...get the fuck out!</t>
  </si>
  <si>
    <t>Julian Lazarus</t>
  </si>
  <si>
    <t>How Airbnb is taking on local competitors amid push into China #airbnb #China</t>
  </si>
  <si>
    <t>Brighton &amp; Hove - England</t>
  </si>
  <si>
    <t>Previously with Mishon Mackay Land &amp; New Homes. Into Property / Interior Design &amp; Travel ✈️ Married to Dr Philippa Hyman ❤️ of my life with 2 gorgeous 👶</t>
  </si>
  <si>
    <t>Which view would you prefer to wake up to, Mountain's or The Wild Atlantic? We have both! ⛰️🌊⛱️ You are spoilt for choice with our new 2 Bedroom Beachfront Apartment! ⬇️  #Strandhill #Airbnb #Sligo #WildAtlanticWay #mountains</t>
  </si>
  <si>
    <t>Ljubljana castle just behind the our apartment. Book your city trip holiday in this beautiful city.  #hotel #ljubljanastay #airbnb #filippalace #ljubljanastay #booking #centerstay</t>
  </si>
  <si>
    <t>Family finds hidden camera in #Airbnb smoke detector  #travel</t>
  </si>
  <si>
    <t>Don’t do hotels! Have freedom with an Airbnb! Sign up with the coupon link below to receive a $55 💚✈️💚 discount code with your first Airbnb. Please DM me if you have any issues. #airbnb #airbnbcode #airbnbdiscount #airbnbpromo #airbnbfree</t>
  </si>
  <si>
    <t>Mountain View Cottage Self-Catering Accommodation</t>
  </si>
  <si>
    <t>#sandbaai #hermanus #overberg #westerncape #quietplace #countrylife #mountainview #airbnb #april2019 #SouthAfrica ... Love this! "Mountain View Cottage - Houses for Rent in Sandbaai #Travel" @airbnb</t>
  </si>
  <si>
    <t>Hermanus, South Africa</t>
  </si>
  <si>
    <t>Self-catering accommodation in Sandbaai, Hermanus</t>
  </si>
  <si>
    <t>Eduardo Llaurado</t>
  </si>
  <si>
    <t>More than 4 days still no resolution on my problem with my guest @Airbnb @AirbnbHelp #airbnb Airbnb used to step to help and i feel they havent done nothing at all</t>
  </si>
  <si>
    <t>San Marcos, CA</t>
  </si>
  <si>
    <t>PTY 🇵🇦 SAN 🇺🇸 • 👪 Family Man • 🏄‍♂️🏌️🧘🏻‍♂️🏋️‍♀️🏂 Sports Junkie • 🖥🔨🛒 Marketing, Sales, E-Commerce •</t>
  </si>
  <si>
    <t>iProperty Singapore</t>
  </si>
  <si>
    <t>😍😍😍 You can win a sleepover inside the #Louvre! #Paris #airbnb #rent #international</t>
  </si>
  <si>
    <t>http://iProperty.com.sg hosts the largest &amp; most comprehensive online database of properties for sale &amp; rent in Singapore. #ipropertysg</t>
  </si>
  <si>
    <t>Apurv Nagpal</t>
  </si>
  <si>
    <t>Sunrise, sunrise (sing it like #NorahJones) #viewstowakeupto #sunrise #Taormina #Sicilia #Italia #Sicily #Italy #tourism #travel #AirBnB #turismo #FatherSonTrip #travelogue…</t>
  </si>
  <si>
    <t>Film, travel &amp; sport fanatic. Loves &amp; lives life to the fullest ! Author, Eighteen Plus Duets http://www.eighteenplusduets.com/. Also Visiting Faculty, IIM-A</t>
  </si>
  <si>
    <t>WANT YOUR FREE AIRBNB❤️💸❤️ Here’s your chance for a free credit coupon and codes to travel for FREE. Click the link NOW. Please DM me if you have any issues. #airbnb #airbnbcode #airbnbdiscount #airbnbpromo #airbnbfree</t>
  </si>
  <si>
    <t>Bed&amp;Stay is a 3 story house provided with easy access such a ramp and a private elevator. This house can host up to 12 people comfortably. Book your vacations for May now. We have great prices. Book us here: #AIRBNB :  #familytravel #travel #japan</t>
  </si>
  <si>
    <t>Nao</t>
  </si>
  <si>
    <t>Spring has come!!! You can see cherry blossom in Japan!! #airbnb #cherryblossoms #japanesesweets #ashiya #osaka</t>
  </si>
  <si>
    <t>Osaka Japan</t>
  </si>
  <si>
    <t>Let’s make and eat Japanese traditional sweets in Osaka when you come to Japan!</t>
  </si>
  <si>
    <t>Anyone who is considering using Airbnb (either to find a room or to rent out an apartment), should conduct due diligence first, if not, facing a ruined holiday or jail time could coming your way. #airbnb #illegalhotels #worldtrave…</t>
  </si>
  <si>
    <t>It is getting warmer in #Tokyo. May is the perfect time to visit this beautiful city. We have great prices for that month. Book us here: #AIRBNB :  #familytravel #travel #japan #airbnbjapan #airbnbtokyo #travel</t>
  </si>
  <si>
    <t>.@Airbnb to 'check-in' #India’s #Oyo, confirms stake in the #hotel-startup. Details here:  @oyorooms #Airbnb</t>
  </si>
  <si>
    <t>Are you a fan of manga or anime? Madarake is the place to visit and our house is 10 minutes by bus from one of the biggests stores "Mandarake in Nakano Broadway". #AIRBNB :  #familytravel #travel #japan #airbnbjapan #airbnbtokyo #travel RT @LIVEJAPANGuide: "There’s just something about the mixture of nostalgia and discovery inside of #Mandarake’s Galaxy that made us want to keep looking around the store."</t>
  </si>
  <si>
    <t>We have another fun weekend on the way. Take a look of the different activities you can do in #Tokyo this weekend. #AIRBNB :  #familytravel #travel #japan #airbnbjapan #airbnbtokyo #travel RT @TokyoCheapo: Parades, galleries and festivals – this week's top events:</t>
  </si>
  <si>
    <t>Airbnb Guide: How to Use #Airbnb for the First Time #travel  #accommodation</t>
  </si>
  <si>
    <t>#HappyMonday did you know today April 8th is Hachiko's day. Book your trip to Japan and stay with us in #Tokyo. Book our house here #AIRBNB :  #familytravel #travel #japan #airbnbjapan #airbnbtokyo #travel RT @Tokyo_gov: Today is the day that the famous #Hachiko #dog statue was set up in front of #Shibuya Station. Do you know the story behind it? Let us know in the comment section!</t>
  </si>
  <si>
    <t>tomerhs</t>
  </si>
  <si>
    <t>How to spot #hiddenspycameras in #Airbnb lots</t>
  </si>
  <si>
    <t>Dad. Jew. Israeli. Aussie. Tech-savvy.</t>
  </si>
  <si>
    <t>EmilieLessire</t>
  </si>
  <si>
    <t>5 Growth Hacking Strategies You Can Use To Elevate Your Startup  #hacker #marketing #airbnb</t>
  </si>
  <si>
    <t>Bruxelles</t>
  </si>
  <si>
    <t>CEO@Elyxire, accompagne les dirigeants à devenir la référence de leur marché, digital marketing &amp; communication strategy</t>
  </si>
  <si>
    <t>💲55 Airbnb code coupon promo discount first. 💲55 💵✈️💵 OFF CLICK LINK NOW! Try it. Please DM me if you have any issues. #airbnb #airbnbcode #airbnbdiscount #airbnbpromo #airbnbcoupon #WrestleMania</t>
  </si>
  <si>
    <t>ROOMS AVAILABLE FOR TONIGHT #Repost @nanashomes (get_repost) ・・・ Nana's homes is expanding to KLCC - - CONTACT US FOR MORE DETAILS - - #airbnbhost #homestay #hosting #Airbnb…</t>
  </si>
  <si>
    <t>AVAILABLE FOR TONIGHT Our premium room - - - #airbnbhost #homestay #hosting #Airbnb #airbnbmalaysia #airbnbguest #guestairbnb #homeaway #homeawaymalaysia #agoda #hotel #studio…</t>
  </si>
  <si>
    <t>SAVLO</t>
  </si>
  <si>
    <t>Bringing You The Best Night Life Parties And Events For VIP Booths Or Guest List ☎️ 647.667.4612 📧 savageentpromo@gmail.com #Toronto #LinkSavage #NightClub #FridayNights #luxy #events #airbnb #hennessy #moda #rebel</t>
  </si>
  <si>
    <t>FOLLOW 📽SAVAGE.ENT_ ON INSTAGRAM do numbers - beat the odds - Remain humble ❌FLY FRIDAYS INSIDE LUXY EACH AND EVERY FRIDAY‼️ VIP BOOTHS-G-LIST-📲 647.667.4612</t>
  </si>
  <si>
    <t>#WestonsuperMare #Airbnb from £20/night per room - sleeps 2 - View our 2 rooms here: ►  ►  ☀ 5 Star Reviews ☀ ☀ Superhost since 2016 ☀ Read more here ► #bristol #nascar</t>
  </si>
  <si>
    <t>The Wing poaches Snap’s comms director  #Startups #VentureCapital #Airbnb</t>
  </si>
  <si>
    <t>First Airbnb $55 💸💵💸💵 coupon promo referral code :) Get your discount credit on your first trip Click the link NOW —-&gt;✈️ #airbnb #airbnbcode #airbnbdiscount #vacation #trips #travel #getaway #WrestleMania</t>
  </si>
  <si>
    <t>$55 ❤️💲❤️💲❤️💲 Airbnb code coupon promo discount first. $55 OFF CLICK LINK NOW! Try it. Please DM me if you have any issues. #airbnb #airbnbcode #airbnbdiscount #airbnbpromo #airbnbcoupon #WrestleMania #KofiMania #ACMawards</t>
  </si>
  <si>
    <t>DS Laser Engraving</t>
  </si>
  <si>
    <t>This is just one of many custom pieces that we can make. This nature inspired piece of wall art looks great in Airbnb living rooms and hotel cafes. Find out more: #homedecor #dslaserengraving #luxurylifestyle #airbnb #hotel #custom #abundance #decor</t>
  </si>
  <si>
    <t>Mount Shasta, CA</t>
  </si>
  <si>
    <t>Our Services: Engraving🚺Signs🌱Wood Stickers &amp; Labels ♻️Wood Business Cards👔Business &amp; Event Items🏆Trophies &amp; Glass💻Custom Design #DSLaserEngraving #Customize</t>
  </si>
  <si>
    <t>Jennifer Gohring</t>
  </si>
  <si>
    <t>Miss these views and adventures. I think it may be time to plan a trip! #LasVegas #MySecondHome #LasVegasRealEstate #Investor #realestateinvestor #vacationrentals #airbnb #tripadvisor…</t>
  </si>
  <si>
    <t>*Ohio Realtor &amp; Property Manager * (614) 842-7762 *Follow me on Instragram: @ jenngohring</t>
  </si>
  <si>
    <t>Check out this awesome Entire condominium on Airbnb: Live Like Royalty On The Las Vegas Strip!, sleeps 5 #Vegas #LasVegas #Nevada #BasketBall #FootBall #NBA #NHL #NFL #Raiders #Knights #AirBnB</t>
  </si>
  <si>
    <t>Another quote by John Muir. There’s nothing quite like a sunrise or sunset over the mountains. #boone #airbnb #homeaway #sundayquote</t>
  </si>
  <si>
    <t>Large 5Star #Florida #vacationhome with prival pool on #Airbnb Tropical #TommyBahama style - #VRBO April 07, 2019 at 10:00PM</t>
  </si>
  <si>
    <t>DrewMcElroy</t>
  </si>
  <si>
    <t>Use #airbnb if you are host..they condone fraud by hosts. If you are guest, use VRBO...never had a problem with them...in my opinion, @airbnb are not honest or fair...steer clear at all costs.</t>
  </si>
  <si>
    <t>Norris, TN</t>
  </si>
  <si>
    <t>suffering from curiosity</t>
  </si>
  <si>
    <t>angelwolf</t>
  </si>
  <si>
    <t>I've booked an #airbnb for Sept 26th to October 1st for #TwitchconNA!! The next step is to find some airline tickets....</t>
  </si>
  <si>
    <t>Near Austin, TX</t>
  </si>
  <si>
    <t>#TwitchPartner Vainglory/Switch Streamer, #NovaStrong #NovaCC, @HomeDepot Lumber associate. Opinions are my own.</t>
  </si>
  <si>
    <t>spitelee</t>
  </si>
  <si>
    <t>T’d up at this #Airbnb 🔥🤟🏾🖤++</t>
  </si>
  <si>
    <t>Follow my Ig: @spitelee | Artist | Atlanta 📍 | YeaYuh SPITE❗️</t>
  </si>
  <si>
    <t>Simran Anand</t>
  </si>
  <si>
    <t>Lots of gold in this write-up... What seven years at #Airbnb taught me about building a company by @lennysan  #startup #startups</t>
  </si>
  <si>
    <t>Head of Global Marketing Operations &amp; Technology @WeWork</t>
  </si>
  <si>
    <t>Tonight #nyc #brooklyn #airbnb #airbnbexperiences #nightphotography #photoworkshop #phototours #teampixel #iphone #p30pro #canon #nikon #travel #architecture</t>
  </si>
  <si>
    <t>100% in agreement there #comfortcottagehealing #visitwales #dogfriendly #TheDogsWithMe #alpacas #ArtsWales #SunDogs #Airbnb #yell RT @ruthwignall: I honestly don’t think you could beat this part of the world.... wow.... #spring #weather</t>
  </si>
  <si>
    <t>Shasta Evenings Warm Glowy Goodness! #spot77 #realestate #renovations #urbanjungle #tinyhouse #airbnb #camping #shastaastrodome #midcenturymodern #minimalism</t>
  </si>
  <si>
    <t>The diversity that is Wales #comfortcottagehealing #VisitWales #Dogfriendly #TheDogsWithMe #alpacas #ArtsWales #SunDogs #Airbnb #yell RT @visitwales: 😍Here are some of our favourite images shared on Instagram in #Wales this week. 📸Diolch yn fawr | Thank you for tagging #VisitWales #FindYourEpic 📲</t>
  </si>
  <si>
    <t>"Baby" got her wings back today! #shasta #shastaastrodome #tinyhouse #glamping #vintagetrailer #vintageshasta #lovetotravel #ibuyhouses #cashflow #airbnb #spot77</t>
  </si>
  <si>
    <t>Just remembering the beauty from last week in #palmsprings #california #vacation #springbreak #thehappynow #airbnb</t>
  </si>
  <si>
    <t>Laura S.</t>
  </si>
  <si>
    <t>It’s unfortunate that we have to think about this on our travels but everyone should be aware that this does happen, even in extremely safe countries like South Korea. #traveltips #travelsafety #solofemaletraveler #airbnb RT @TravelEditor: Thanks to @CNNTravel for quoting me in this story on hidden cameras in Airbnb/hotel rooms.</t>
  </si>
  <si>
    <t>🗽USA</t>
  </si>
  <si>
    <t>Virtual assistant | travel planner | relocation expert Let me help you travel more. Adventure awaits ➡️https://travelingtck.com/getting-started/</t>
  </si>
  <si>
    <t>Sean Beckingham</t>
  </si>
  <si>
    <t>Heading to #Chicago in May. Where to stay? #airbnb</t>
  </si>
  <si>
    <t>I eat it all 🍽. Leading the charge at food marketing agency @brandandbuzz. My time off includes ⚾️⚾️⚾️</t>
  </si>
  <si>
    <t>Out&amp;About in SEasia</t>
  </si>
  <si>
    <t>Whoa, any #AirBNB host sneaking a camera into my stay will have to pay ME for the privilege! #helloladies #dadbod</t>
  </si>
  <si>
    <t>Citizen of #SoutheastAsia | #travel writer | contributor @tripsavvy_tips @aseantourism @inkglobal | blogger @OverMyDadBodyPH | INTP</t>
  </si>
  <si>
    <t>Silicon Beach Miami</t>
  </si>
  <si>
    <t>Just appalling folks, shame on #airbnb for not reacting sooner to this family’s request RT @kashhill: 1. Book your Airbnb. 2. Check into your Airbnb. 3. Scan your Airbnb's wi-fi network to see if there are any unexpected devices/cameras filming you because that's the world we live in, my friends.</t>
  </si>
  <si>
    <t>We are a startup bringing together likewise individuals to collaborate and share ideas about #security, #privacy &amp; #tech #privacyadvocate &amp; #infosec</t>
  </si>
  <si>
    <t>2desitravelers</t>
  </si>
  <si>
    <t>New vlog is up on our youtube channel !! Please watch !!  #Bdayparty #Fun #dance #drinks #crazyparty #bdaysurprise #bdaycake #crazygirls #airbnb #santabarbara #statestreet #vlog #youtuber #traveler</t>
  </si>
  <si>
    <t>Desi (Indian) Couple who love to travel and explore world. #2desitravelers</t>
  </si>
  <si>
    <t>Brad Williams</t>
  </si>
  <si>
    <t>Arizona</t>
  </si>
  <si>
    <t>I monetize things</t>
  </si>
  <si>
    <t>Michael Alvarez</t>
  </si>
  <si>
    <t>Join @RobinhoodApp and we'll both get a stock like $AAPL, $F, or $S for free. Make sure to use my link.  #cash #cryptotrading #cryptoexchange #airbnb #Lyft #stocks #stockstowatch</t>
  </si>
  <si>
    <t>Long Beach, California</t>
  </si>
  <si>
    <t>California based artist, passionate about art and life. http://www.facebook.com/pages/Michael-Anthony-Alvarez-Art/275240489264519?ref=hl</t>
  </si>
  <si>
    <t>MERCY MONTELONGO 💎</t>
  </si>
  <si>
    <t>When @Airbnb hooks you up. I had so much fun in Rosarito! And this stay was amazing! Definitely want to come back! #memories #Rosarito #AirBnB</t>
  </si>
  <si>
    <t>CALIFORNIA, USA</t>
  </si>
  <si>
    <t>montelongo.mercy@hotmail.com | Mexicana🇲🇽 | Fighter at 🖤 | Dreamer 💫 | Believer 🙏🏼 | Model Mayhem #824031 | Snapchat, FB &amp; IG @#MercyMontelongo |</t>
  </si>
  <si>
    <t>Kidspot</t>
  </si>
  <si>
    <t>Appalled family discovers hidden camera spying on them in @Airbnb property &gt;&amp;gt;&amp;gt;  #airbnb #privacy #KidspotNews</t>
  </si>
  <si>
    <t>http://www.kidspot.com.au. Australia's biggest and best parenting website.</t>
  </si>
  <si>
    <t>Teia B. Collier</t>
  </si>
  <si>
    <t>I can't say that I wouldn't want to do this! Think of the amazing outfits that you could bring with you. #louvre #airbnb</t>
  </si>
  <si>
    <t>The One and Only Texas</t>
  </si>
  <si>
    <t>Writer. Mama. Maker. Texan. Coach. Philanthropist. Epicurean. Globetrekker. Owner at Dallas Single Mom @DFWSingleMom Eternal optimist &amp; cheerful romantic.</t>
  </si>
  <si>
    <t>Another #beautiful #day in #puertomorelos #youshouldbehere #fishing  Link in bio #mexico #casadelosviajeros #vacationrental #airbnb #vrbo #homeaway #doyoutravel #travelandlife #traveldeeper #travel #travelphotography #travelblogger #vacationmode #vacatio…</t>
  </si>
  <si>
    <t>Johnny Car</t>
  </si>
  <si>
    <t>Gets a $20 reservation on #AirBNB spends $50 preparing. 🤦‍♂️</t>
  </si>
  <si>
    <t>Artesia, New Mexico</t>
  </si>
  <si>
    <t> Musician - #Signed</t>
  </si>
  <si>
    <t>#airbnb ranks #winnipeg in the top 19 destinations to visit. When you come to Winnipeg and need a place to stay, check out our listings:</t>
  </si>
  <si>
    <t>Another #beautiful #day in #puertomorelos #youshouldbehere #fishing  Link in bio #mexico #casadelosviajeros #vacationrental #airbnb #vrbo #homeaway #doyoutravel #travelandlife #traveldeeper #travel #travelphotography #travelblogg…</t>
  </si>
  <si>
    <t>Hey we’re on #springbreak #bingewatch our show NYC Wired Ep4 Startups, Goldman Sachs, Airbnb  via @YouTube #airbnb #startups #pressplay #barnesandnoble #GoldmanSachs</t>
  </si>
  <si>
    <t>Catching fireflies while my California Bear strolls along in our artistically expressive #airbnb What a lovely way to light up our Sunday sky.</t>
  </si>
  <si>
    <t>Susan</t>
  </si>
  <si>
    <t>This thing here,cures many depression 😍 #moneymotivated #forexlifestyle #legitmoney #getpaid #forex #fashionnova #airbnb</t>
  </si>
  <si>
    <t>It's @NationalBeerDay 🍻! This #superhost is celebrating with not one, but two flavors of Catharina Sour by Lohn Bier! Gifts from #Airbnb guests from Brazil. Which do you prefer, Bergamota? Or Jabuticaba? Enjoy! 🇹🇹🇬🇩💛🇧🇷</t>
  </si>
  <si>
    <t>Jessica Gold</t>
  </si>
  <si>
    <t>#Airbnb is picking one couple to sleep over in the world’s most famous museum</t>
  </si>
  <si>
    <t>Charleston SC</t>
  </si>
  <si>
    <t>#DigitalMarketing Strategist 💻📸🎥💡 #ContentMarketing | #Branding | #SEO | #WebDesign | #Blogger | #AI | #Technology #LifeIsTooShortToBeNormal💞</t>
  </si>
  <si>
    <t>Sharmeen Suleman</t>
  </si>
  <si>
    <t>#airbnb is an increasingly popular choice for #families. Here's my review of where we stayed in #Agadir. Why not try AirArabia's✈ new direct #flights to Agadir from Manchester &amp; Birmingham? #MakeMemoriesInMorocco 🇲🇦 @Airbnb @MuchMorocco @airarabiagroup</t>
  </si>
  <si>
    <t>We ❤️TRAVEL 🏝️ &amp; we LOVE Morocco. We love to SHARE our #moneysaving tips, our #familytravel tricks &amp; #deals, so families can plan their perfect family holiday</t>
  </si>
  <si>
    <t>Sara C. Crotts</t>
  </si>
  <si>
    <t>This weeks Airbnb is AWESOME!! It’s like living in the trees! #california #bayarea #trees #nature #airbnb #travel #gypsy #oakland @ Oakland, California</t>
  </si>
  <si>
    <t>Fort Smith, AR</t>
  </si>
  <si>
    <t>Irie Vybez Gear</t>
  </si>
  <si>
    <t>This has to be the best airbnb ever! You may want to check this out!!😍 #airbnb #airbnburn #bestairbnb #outdoors #outdoorfun #mountains #valleyofthekings #cannabisculture #CannabisCommunity #retreat #roomview #Homecoming #GoodVibes #PositiveVibes #Reggae RT @DennisA79329307: @IrieVybezGear @GVMusicFest Come and see for yourselves...🧙‍♂️I run a cannabis retreat! @GVMusicFest stuff man!👆💖🧙‍♂️🎸🎸🎸🎸</t>
  </si>
  <si>
    <t>Reggae T-shirts!🎽 I make tees for good reggae vibes!🔥🔥🔥 Stay positive and listen to reggae! 🎵 #reggae #CraftBeer #beer #reggaefest #reggaemusic #BobMarley</t>
  </si>
  <si>
    <t>Todd Wilkerson</t>
  </si>
  <si>
    <t>This can happen in any country where #AirBnB is offered: you probably will be recorded without your knowledge! I'll stick to nice #hotels, thanks! &gt;&amp;gt;&amp;gt; Family finds #hiddencamera #livestreaming from their Airbnb in Ireland @CNN</t>
  </si>
  <si>
    <t>Follow @ShutterShades! 😎🍾</t>
  </si>
  <si>
    <t>Good morning from Tokyo vacation rental land load 👄 #airbnb 100% law-abiding🚲</t>
  </si>
  <si>
    <t>Airbnb meets the Ribble Valley, what a winning combination 🙌🏻 #airbnb #airbnbribblevalley #ribblevalley #waddington #clitheroe #photography #shoot #interiordesign #worldofinteriors #interiors #light #space #stayhere #visitus #holiday #freelancephotographer #likewhatyousee #hireme</t>
  </si>
  <si>
    <t>Sign up for AirBnB here &amp; get $40 off your 1st adventure.  #airbnb #travel #touristlife</t>
  </si>
  <si>
    <t>Y’all, nashvilleslilliepad got some accessories this weekend! New, full pics coming later in the week! 😊 #nashville #airbnb #musiccity #nashvilleairbnb @ Nashville, Tennessee</t>
  </si>
  <si>
    <t>I feel like a guest has to be an absolute disaster to got a bad review from a host. We’ve exchanged strongly worded emails with a guest but would tend to keep it private. #Airbnb #SuperHost</t>
  </si>
  <si>
    <t>Our great #airbnb guests just checked out and they loved it We are so happy to be able to provide a #beautifulplaces for your enjoyment!!! Now let’s right it up and make it perfect for our next guest checking...</t>
  </si>
  <si>
    <t>Perfect Coffee Nooks make a great AirBnb experience! What do you need on your vacations? #spitzen #vacation #cleaningservice #airbnb #airbnbcleaning</t>
  </si>
  <si>
    <t>Did you know we manage homes in San Diego, CA too? Visit our website for great local places to visit! #San Diego #airbnb #propertymanagement #vacationrental #vacation #beach #vrbo #sun #sand #travel #bookdirect #military #destination</t>
  </si>
  <si>
    <t>Carl Norman</t>
  </si>
  <si>
    <t>I’m getting bloody close to this super host thingy!! 🙏🙏 Another satisfied guest and a very happy host (me) 😂😂 #superhost #airbnb #booking.com @ Liverpool</t>
  </si>
  <si>
    <t>Liverpool UK</t>
  </si>
  <si>
    <t>Director</t>
  </si>
  <si>
    <t>Darci Bianchi</t>
  </si>
  <si>
    <t>I am getting good at this. Thanks Joan McMullen for all your help. #DIY #POCONOS #AIRBNB #JIMTHORPE</t>
  </si>
  <si>
    <t>Stay at home mom rocking her network marketing business with Nerium International. .having a blast, making money, and helping others do the same!</t>
  </si>
  <si>
    <t>Ari Kukkonen</t>
  </si>
  <si>
    <t>Digital Exile: How I Got Banned for Life from #AirBnB by Jackson Cunningham</t>
  </si>
  <si>
    <t>Southern Finland</t>
  </si>
  <si>
    <t>in 1984, facts do not matter. Discord#5447</t>
  </si>
  <si>
    <t>More great feedback for our Yorkshire getaway 👍  #airbnb #yorkshire #wetherby #clifford #bostonspa #holidaycottage #holidays</t>
  </si>
  <si>
    <t>BishopCook 🎮</t>
  </si>
  <si>
    <t>They were settling into their Airbnb. Then they found a hidden camera. #airbnb #hiddencamera</t>
  </si>
  <si>
    <t>Tennessee, USA</t>
  </si>
  <si>
    <t>#Gaming for solace | @USMC Vet | Sponsored by @kscfoundation | @FadeGrips Use Code: BC05 | Business Inquiry: bishopcook1@outlook.com</t>
  </si>
  <si>
    <t>#EmpoweredWomenEntrepreneursDay @VenicePeach is the hardest working, most creative #photographer for her co in #Derry and co-founder of a new co @airbandme - for your #airbnb needs!</t>
  </si>
  <si>
    <t>Would you book a #tinyhouse for your next vacation? #Airbnb #nashville</t>
  </si>
  <si>
    <t>In an era of #surveillance...what should you expect from your next #AirBnB or #VRBO? Check out our blog to find out:</t>
  </si>
  <si>
    <t>larry kwirirayi</t>
  </si>
  <si>
    <t>Not easy to start an #airbnb because accommodation is already hard. RT @MoeChanda: How about individuals or communities start a line of #airbnb ..Good business opportunities Bulawayo and surrounding areas ..cheaper and sustainable ,cater to conference patrons too,plenty workshops even after #ZITF ... @Airbnb @ZtaUpdates @buhle_matsha @CurateZim</t>
  </si>
  <si>
    <t>Zimbabwe</t>
  </si>
  <si>
    <t>Writer | Author | Blogger | Podcaster | Radio &amp; TV Producer/Presenter | Poet | Actor | Digital Strategist | Social Media Dude |Media Manager | Former Baby</t>
  </si>
  <si>
    <t>Airbnb Plus Is for People Who Like Hotels  @CNTraveler #travel #Airbnb</t>
  </si>
  <si>
    <t>Michal Bryxí</t>
  </si>
  <si>
    <t>How can you ever blame users for falling for this #AirBnB #phishing #scam? I said that many times and will repeat it gladly again: IT as an industry is trying to pretend that things are safe. 4096bit SSL is nice, but useless when **we** (IT) allow users to f*ckup.</t>
  </si>
  <si>
    <t>- bike 🚴 - run 🏃🏻‍ - climb 🧗 - travel 🌍 - enjoy life 💚 IT guy with the need to live fully.</t>
  </si>
  <si>
    <t>I'm loving it!!💚💛❤️ #SundayThoughts #SundayMotivation #SundayMorning #NationalBeerDay #marijuanastocks #WeedLover #weedlife #weedstagram #gvmf #GanjaLegalizada #LegalizeIt #LEGALIZE #LegalizeAmerica #Growearth #Reggae #rock #rockmusic #Reggaezone #airbnb #goodvibesmusicfest RT @DennisA79329307: Ol Wizard🧙‍♂️has beed busting dirt into SOIL, &amp; making places for Cannabis's to live in... Look at that 100 Gallon POT! This is one of three groves I will be growing this year #CannabisCommunity Its all @GVMusicFest material! Come to next years Good Vibes Music Fest and gets some🧙‍♂️</t>
  </si>
  <si>
    <t>$55 ❤️🧡💙💜💚💸💵⚠️💲✈️Airbnb code coupon promo discount first. $55 OFF CLICK LINK NOW! Try it. Please DM me if you have any issues. #airbnb #airbnbcode #airbnbdiscount #airbnbpromo #airbnbcoupon #boywithluv #NationalBeerDay #SundayMorning #Halsey</t>
  </si>
  <si>
    <t>Geoffrey Chaudoir</t>
  </si>
  <si>
    <t>Guest finds hidden surveillance camera in his #airbnb rental, leaves immediately. Airbnb treats incident as a canceled booking</t>
  </si>
  <si>
    <t>digital media expert</t>
  </si>
  <si>
    <t>Mieke Elewaut</t>
  </si>
  <si>
    <t>Does anybody have an experience staking at an #airbnb ? Concidering staying in one of them and i want To make sure they’re not fishy. How does checkin and checkout work? And how do you pay for it? Upon arrival or in advance? Xx</t>
  </si>
  <si>
    <t>23 • AP holder at DLP • cast member 2018 • Professional Binge Watcher and theatre geek</t>
  </si>
  <si>
    <t>Happy world health day🙌😊 #maisonvie #london #kilburn #nw6 #frenchcafe #frenchbakery #frenchrestaurant #ICMP #airbnb #londonfoodie #londonfood #londoncafe #londonbakery #londonrestaurant #delicious #yummy #tasty #queenspark #southhamstead #westhamstead #food #thirsty #drink</t>
  </si>
  <si>
    <t>If you need me today, I will be right here... all day!!! With a forecasted high of 77° this is going to be a beautiful day!!! Let us help you find your perfect getaway! Come stay with us.  #vacationinsedona #vrbo #airbnb #experi…</t>
  </si>
  <si>
    <t>Justin R. Clark</t>
  </si>
  <si>
    <t>This looks like a beautiful place to travel. #StThomas #Travel #Airbnb #Trending #JCA</t>
  </si>
  <si>
    <t>Orlando,FL</t>
  </si>
  <si>
    <t>Attorney and host of Behind the Law with Justin Clark on television and radio stations near you. ESPN Radio. University of Tennessee/New England School of Law</t>
  </si>
  <si>
    <t>ᴛʳᵃᵛᵉˡ ɢᵘʳᵘ🇺🇬</t>
  </si>
  <si>
    <t>Looking for accommodation right in the center of town? #Maribel_Homes got you covered right on Mawanda Rd in Kamwokya, Kampala. Find us on #Airbnb and Facebook as #Maribel_Homes.</t>
  </si>
  <si>
    <t>Kampala</t>
  </si>
  <si>
    <t>Itinerary Concepts</t>
  </si>
  <si>
    <t>This is #skolapartments 534C 1 bedroom #beachfront #corner with amazing views and all day sun ☀️ 😎☀️🏖🌴🌅😎 #marbella #marbellaholidays #vacation #holiday #holidayrental #vacationrental #skolmarbella #best_airbnb #airbnb #view #sun #sea #bookyourholiday #lifeisbetteratthebeach</t>
  </si>
  <si>
    <t>Michel Sakr</t>
  </si>
  <si>
    <t>#AirBnB disrupting the hospitality #Uber disrupting the transport #Amazon disrupting the retail #AWS &amp; #Azure disrupting the IT infra #Netflix disrupting the movie and cable businesses #Upwork disrupting the workplace Now will @sqcrypto poise to disrupt parts of the financial?</t>
  </si>
  <si>
    <t>IT executive &amp; consultant. Focus➡️#Cloud #Fintech #Telecom #ICT #BlockChain - RT&amp;Ts related to roots &amp; life in #Canada 🇨🇦,Founder of MSS Consulting</t>
  </si>
  <si>
    <t>$55 AIRBNB COUPON CODE ❤️💵✈️💵❤️Here’s your chance for a free credit coupon discount and codes to travel for FREE. Click the link NOW. Please DM me if you have any issues. #airbnb #airbnbcode #airbnbdiscount #airbnbpromo #airbnbfree</t>
  </si>
  <si>
    <t>Check out this awesome Entire condominium on Airbnb: Live Like Royalty On The Las Vegas Strip!, sleeps 5 #Vegas #Boxing #Raiders #VGK #BasketBall #AirBnB #WSOP #Poker</t>
  </si>
  <si>
    <t>“I only went out for a walk and finally concluded to stay out till sundown, for going out, I found, was really going in.” ― John Muir,⠀ #proudlyswazi #eSwatini #Swaziland #Manzini proudlyswazi #mountaininn #airbnb #beautifuldestination #cinematography #blackart #African</t>
  </si>
  <si>
    <t>#airbnb manipulates reviews. Be careful.</t>
  </si>
  <si>
    <t>Consultant Owen</t>
  </si>
  <si>
    <t>Great article on 'Mapping The Dominance Of Airbnb On Athens' by @SotSideris  It reminds me of the work CDO Partners did last year , where we created a visualised Airbnb dominance map of London.  #airbnb #mapping #visualisation</t>
  </si>
  <si>
    <t>https://www.linkedin.com/in/owen-eszeki-547a4113/</t>
  </si>
  <si>
    <t>Brigitte Bouquet</t>
  </si>
  <si>
    <t>•how about YOU having your breakfast here? sipping your coffee or tea from a Wobbly😉😍👌🏽finally..... 🤸🏽‍♂️it’s official; our garden floor studio listed on #airbnb - link in my profile -…</t>
  </si>
  <si>
    <t>Brooklyn - Andes NY</t>
  </si>
  <si>
    <t>mud- clay- ceramics- shooting pics with dirty hands- NYC and everything in between - last seen on @WolfiesHill</t>
  </si>
  <si>
    <t>Saying goodbye to the absolutely stunning @Minh_Ly_Model, it was a great experience for me and I do hope our paths will cross again sometime 😃❤📸🙏 #photoshoot #photography #airbnb…</t>
  </si>
  <si>
    <t>Brick Layer</t>
  </si>
  <si>
    <t>The Secret Trust Scores Companies Use to Judge Us All #interesting #sift #tech #SiliconValley ⁦@Airbnb⁩ ⁦@Instacart⁩ #airbnb #instacart #privacy</t>
  </si>
  <si>
    <t>Tweets are stuff I’d like to read or re-read at some point. Not endorsements. Finance is fun. I like ideas, not politics. P.S. We live in a simulation.</t>
  </si>
  <si>
    <t>First Time Airbnb $55 coupon promo referral code :) Get your discount credit on your first trip Click the link NOW 💵💜💵💜💵—-&gt;✈️ #airbnb #airbnbcode #airbnbdiscount #vacation #trips #travel #getaway</t>
  </si>
  <si>
    <t>Cheap mattresses impress in latest @WhichUK tests:  #goodnight #sleeping #guestready #holidayhome #holidayhomes #airbnb</t>
  </si>
  <si>
    <t>Cyprus Property News</t>
  </si>
  <si>
    <t>Cyprus hotels pushing for Airbnb legislation #airbnb #Cyprushotels #legislation #strictregulations</t>
  </si>
  <si>
    <t>Limassol - Cyprus</t>
  </si>
  <si>
    <t>Cyprus' leading on-line resource for overseas home buyers &amp; property investors brings you the latest news and analysis of events shaping the real estate market.</t>
  </si>
  <si>
    <t>Verna Smith</t>
  </si>
  <si>
    <t>Peeping Toms everywhere? Yes. Family finds hidden camera livestreaming from their #Airbnb in Ireland</t>
  </si>
  <si>
    <t>#journalist, Passion: #politics /#media. #SyracuseUAlum. Remains a sceptic despite...! Admires growth/determinat’n. TheClipBoard@gmail.com</t>
  </si>
  <si>
    <t>💎 NMOTION  {$XRP} TRAVEL 💎</t>
  </si>
  <si>
    <t>Oh no, sugar high for me at 4am. I’ll be sleeping in a bit on Sunday. Oops. Made good progress sizing out the mock-up for the new smart house smart lights. Two configurations. 6x6x18in. Smaller one 3x3x9in. Full specs undisclosed. #airbnb #travel #blockchain #GTD #productivity</t>
  </si>
  <si>
    <t>✈️We are $XRP and $XYO + $DGB ambassadors. Elite travel tips, fun adventures &amp; we teach "the art of luxury" 💎. #travelhacking #finance #crypto #xrpcommunity</t>
  </si>
  <si>
    <t>Watch your step. #exarcheia #airbnb #athens</t>
  </si>
  <si>
    <t>Sunday is Funday 😝😝😝 #surf #surfschoolbali #airbnb #airbnbhost #airbnbexperience #travelairbnb #bestsurfschoolsbali #surflessonsbali #surfbali #balisurf #bucketlist #surfing #baliwaves…</t>
  </si>
  <si>
    <t>4/8-11 &amp; 13-15 Luxury 1 Bedroom Modern Spacious · Incredible Infinity pool · 2 large, private terraces · air conditioning❄️ · Wifi · full kitchen · ceiling fans · Smart TV  #airbnb #tulum #vacationrental #playadelcarmen #quintanaroo</t>
  </si>
  <si>
    <t>“Everywhere is walking distance if you have the time.” ― Steven Wright ⠀ #proudlyswazi #eSwatini #Swaziland #Manzini proudlyswazi #mountaininn #airbnb #beautifuldestination #cinematography #blackart #African #wonderlust #lonelyplanet #trump #brexit #ethiopia #camping</t>
  </si>
  <si>
    <t>‘We Know Them. We Trust Them.’ #Uber and #Airbnb Alumni Fuel #Tech’s Next Wave. An interesting op-ed on the #SiliconValley #startup &amp; #tech bubble. @eringriffith @nytimes #entrepreneurship #SharingEconomy</t>
  </si>
  <si>
    <t>Mohamed Elemam</t>
  </si>
  <si>
    <t>literally, a night at the museum  #Airbnb #Travel #museum #Louvre #LouvreMuseum #MonaLisa #LaGioconda #LaJoconde #LeonardoDaVinci #DaVinci #Art #Lucky #tourism #tourist #tourists #France #Paris</t>
  </si>
  <si>
    <t>Cairo,Egypt</t>
  </si>
  <si>
    <t>Xennial I had an analog childhood and a digital adulthood &amp; I became a geek and DBA... I don't know what exactly happened but right now I'm in acceptance stage.</t>
  </si>
  <si>
    <t>INVALENCIA</t>
  </si>
  <si>
    <t>Peris i Valero flat! Located in one of the best neighborhoods of Valencia, close to Ruzafa. #invalencia #valencia #ruzafa #russafa #valenciacity #valenciatourism #tourism #flat #flats #airbnb #booking #expedia #valenciabonita #spain #spring #ValenciaSpain</t>
  </si>
  <si>
    <t>Property Manager vacation rentals and Realty. Book with us +34 628871264</t>
  </si>
  <si>
    <t>What's up with the hipster yuppie lookin' bar with the stupid noun &amp; noun name that opened on Zodouchou? Why do I have to walk past it? Is it fair that anyone has to see the hipster idiots inside? #airbnb #touristbar #whereartistsgo #antireport #exarcheia</t>
  </si>
  <si>
    <t>Boris F. Palomá</t>
  </si>
  <si>
    <t>How to find hidden spy cameras in your #Airbnb | CNN Travel</t>
  </si>
  <si>
    <t>GWOT Veteran - Corpsman - Different Breed - Father - Dog Lover, Immigrant, Galan de Vereda, no party affiliation, and I VOTE - Sometimes I Support What I Tweet.</t>
  </si>
  <si>
    <t>💵55💲 FREE AIRBNB COUPON CODE. Here’s your chance for a free credit coupon and codes to travel for FREE. Click the link NOW. Please DM me if you have any issues. #airbnb #airbnbcode #airbnbdiscount #airbnbpromo #airbnbfree</t>
  </si>
  <si>
    <t>Quietness in the centrehttps://www.airbnb.jp/rooms/45618  via Twitter Web Client #airbnb</t>
  </si>
  <si>
    <t>📌You make me very happy with some nice words 😊#review_boulevard ‘s #airbnb #superhost #kortrijk #trendyflat 👍🏼#linkinbio 🙏🏼 @ Kortrijk</t>
  </si>
  <si>
    <t>The London Toolkit</t>
  </si>
  <si>
    <t>We're delighted to partner with #Airbnb to now offer even more #Londonaccommodation options for you. #AirbnbinLondon offers something for every need &amp; budget. Rent rooms or an entire apartment. Discover quirky places to stay &amp;amp; great bargains:  #stayinlondon</t>
  </si>
  <si>
    <t>Guide for independently-minded travellers, enabling an informed visit to London.</t>
  </si>
  <si>
    <t>SanthanamVaidya</t>
  </si>
  <si>
    <t>#Airbnb your reputation st stake. How do you verify your hosts acco? Family’s Airbnb horror as they discover secret camera filming them  via @MailOnline</t>
  </si>
  <si>
    <t>Markets - Investment - Venture Capital - Banking &amp; Capital Market Systems - Management Consulting - Right of centre</t>
  </si>
  <si>
    <t>They all have their own delights to share #comfortcottagehealing #visitwales #dogfriendly #TheDogsWithMe #alpacas #ArtsWales #SunDogs #Airbnb #yell RT @visitwales: 🏞️ #NationalParksWeek is celebrating 70 years of National Parks! ❓Did you know Wales has 3? Which is your favourite? @visitsnowdonia @breconbeaconsnp @pembscoast</t>
  </si>
  <si>
    <t>Beautiful spot #comfortcottagehealing #visitwales #dogfriendly #TheDogsWithMe #alpacas #ArtsWales #SunDogs #Airbnb #yell RT @visitwales: 🏞️ Sgwd Gwladys, Parc Cenedlaethol Bannau Brycheiniog | Brecon Beacons National Park @VisitBeacons 📸 Steve Liddiard</t>
  </si>
  <si>
    <t>You have certainly captured the magic of Caldey #comfortcottagehealing #visitwales #dogfriendly #TheDogsWithMe #alpacas #ArtsWales #SunDogs #Airbnb #yell RT @GDPTenby: sanctity and deity of a monastic island anchored off shore to the sea floor piety *Caldey Island off Tenby Pembrokeshire Wales @ItsYourWales @ThePhotoHour @TenbyOfficial @ruthwignall @WalesCoastPath @Culture_Wales @StormHour @kelseyredmore @visitwales</t>
  </si>
  <si>
    <t>ParisRentAparts</t>
  </si>
  <si>
    <t>A real estate company specialized in short term rental in Paris.</t>
  </si>
  <si>
    <t>Biswajeet Rana</t>
  </si>
  <si>
    <t>Compromised privacy in hotels via spy cams #AirBnB #privacy #hiddencam</t>
  </si>
  <si>
    <t>Works with an Oil Giant, Ex-Athlete, Blogger, Traveler, Photographer &amp; Chai-Samosa addict! Like to see green, love to idle beneath d vast expanse of blue.</t>
  </si>
  <si>
    <t>The latest image from the GowerLive #webcam on the roof 730RocksMumbles #AirBnB. Book at  #Mumbles #Swansea #Gower #travel. Watch live at  #257</t>
  </si>
  <si>
    <t>Should you be hunting for hidden cameras when you stay in an #Airbnb?</t>
  </si>
  <si>
    <t>Yvonne Bray</t>
  </si>
  <si>
    <t>“Locals say they are being pushed out of their city as private developers transform houses into Airbnb properties, hotels and luxury flats.” #Airbnb #rentals #HousingCrisis RT @ReutersWorld: Mayors of the world unite to tackle challenges of mass tourism</t>
  </si>
  <si>
    <t>South Granville, Vancouver, BC</t>
  </si>
  <si>
    <t>Restoring Spirit One Body at a Time. Pilates Specialist for all Bodies &amp; Ages, postural &amp; specialized classes. http://facebook.com/pacificspiritpilates</t>
  </si>
  <si>
    <t>First Time FREE Airbnb coupon code 🧡💸🧡! Sign up with the coupon link below to receive a $55 ❤️💵❤️ discount code with your first Airbnb. Please DM me if you have any issues. #airbnb #airbnbcode #airbnbdiscount #airbnbpromo #airbnbfree</t>
  </si>
  <si>
    <t>Jennifer Churchill</t>
  </si>
  <si>
    <t>I never ever ever enter contests. But I just entered this one. Praying to the #Louvre gods! #Paris #TheLouvre #MuseeDeLouvre #champsélysées #airbnb #contest #weekendgetaway</t>
  </si>
  <si>
    <t>San Francisco, California, USA</t>
  </si>
  <si>
    <t>Mama. Volunteer. Lover of California, Yosemite &amp; Classic Film #TCMParty: 1930s, PreCode. "Movies Are Magic" - a film history book for kids: Now on Amazon!</t>
  </si>
  <si>
    <t>Jeff Meyers</t>
  </si>
  <si>
    <t>#Airbnb cannot be trusted to stop hosts from spying on you with hidden cameras.</t>
  </si>
  <si>
    <t>Filmmaker/Screenwriter/Short stories/Pyrokinetic (shh, it's a secret), &amp; bi bim bop eater. Follow me! https://www.imdb.com/name/nm1595310/?ref_=nv_sr_2</t>
  </si>
  <si>
    <t>⠀“The sky grew darker, painted blue on blue, one stroke at a time, into deeper and deeper shades of night.” ― Haruki Murakami, Dance Dance Dance #proudlyswazi #eSwatini #Swaziland #Manzini proudlyswazi #mountaininn #airbnb #beautifuldestination #cinematography #blackart</t>
  </si>
  <si>
    <t>The Jerusalem Post</t>
  </si>
  <si>
    <t>#airbnb again in hot water.</t>
  </si>
  <si>
    <t>World News from Israel | Too many tweets? Get our daily newsletter: 📩 http://bit.ly/JPostNews | Got a tip? http://bit.ly/JPostTip</t>
  </si>
  <si>
    <t>Marlisa Morales</t>
  </si>
  <si>
    <t>My mom is looking for a house in Colorado !!!! #airbnb wya !</t>
  </si>
  <si>
    <t>Riverside, CA</t>
  </si>
  <si>
    <t>artist • barista</t>
  </si>
  <si>
    <t>Cambopedia</t>
  </si>
  <si>
    <t>#Airbnb homes in #PhnomPenh: Things to Know  #Cambodia</t>
  </si>
  <si>
    <t>A blog about living in Cambodia like a local 🇰🇭 #cambopedia</t>
  </si>
  <si>
    <t>Not too late to book an #airbnb for #weekend1 . airbnb discount - airbnb promo code - airbnb coupon Use this link when you sign up for $40 off your first trip:  RT @jaynness_: Going to #Coachella ? Try booking an airbnb instead of a hotel. Super cute &amp; cheaper! ✨ Sign up for airbnb using the link below for $40 off your first trip:</t>
  </si>
  <si>
    <t>Shakher Saini</t>
  </si>
  <si>
    <t>Please dont use goibibo for ur flight or hotel booking.Choose ny1but not @goibibo #poor #poorcustomerservice #HotelStory #flights #Travel #Traveller #traveltips #HotelMumbai #IPL2019 #SundayMotivation #airport #saynotogoibibo #beautifuldestinations #airbnb #adventure #bangkok</t>
  </si>
  <si>
    <t>Brand Communication | Marketing Professional | Consultant | Traveller | Troller | Blah Blah...| Follow Me☺</t>
  </si>
  <si>
    <t>Ryan Ann Davis</t>
  </si>
  <si>
    <t>Two hours being hung up (many times) and getting no answers from help chat from @Airbnb @AirbnbHelp #airbnb. Seriously worth thinking about before hosting/booking with them. Their customer service is a joke.</t>
  </si>
  <si>
    <t>A voice in connecting audiences with great films, arts, &amp; events. Co-founder &amp; principal @teamsmarthouse. Let us help you launch your next project.</t>
  </si>
  <si>
    <t>Sammi Nguyen</t>
  </si>
  <si>
    <t>Airbnb La Fortuna Costa Rica Tour  via @YouTube #AIRBNB #COSTARICA #COSTARICAVACATION</t>
  </si>
  <si>
    <t>Content Creator: Travel Lifestyle Vlogs on YouTube and Instagram. “LifeWithSammiNguyen”</t>
  </si>
  <si>
    <t>🖤 Lost Soul 🥀</t>
  </si>
  <si>
    <t>When your #Airbnb host snores like a damn grizzly bear 🐻🤦🏽‍♀️💀😩🙄 #KillMe</t>
  </si>
  <si>
    <t>"Alma perdida loca..." #FuckALabel 🏳️‍🌈 | 102018 | She’s solid 😌❤️😈 @ Bae | I found my ☝🏽 &amp; only |</t>
  </si>
  <si>
    <t>The Drunk Decorist 🍷</t>
  </si>
  <si>
    <t>Who needs their Airbnb decorated? Email me. It's in my bio #decorating #decorate #airbnb</t>
  </si>
  <si>
    <t>Drinking &amp; Decorating</t>
  </si>
  <si>
    <t>🎨Serving Up Drinks, DIY &amp; Decor Get Decoratively Intoxicated But Log On Responsibly| 📧Email: thedrunkdecorist@gmail.com | 📍#Washingtondc</t>
  </si>
  <si>
    <t>Neha</t>
  </si>
  <si>
    <t>Win a #Louvre sleepover with #Airbnb</t>
  </si>
  <si>
    <t>Traveller, blogger, #content strategist . Tweets mostly #travel #books #food #blogging #socialmedia #marketing. Personal project: @tobetterlives</t>
  </si>
  <si>
    <t>$55 💙💵💙💵💙 Airbnb code coupon promo discount first. $55 OFF CLICK LINK NOW! Try it. Please DM me if you have any issues. #airbnb #airbnbcode #airbnbdiscount #airbnbpromo #airbnbcoupon #FinalFour️ #TexasTech #WWEHOF #G1Supercard #WreckEm</t>
  </si>
  <si>
    <t>Large 5Star #Florida #vacationhome with prival pool on #Airbnb Tropical #TommyBahama style - #VRBO April 06, 2019 at 10:00PM</t>
  </si>
  <si>
    <t>Arthur K. Fullerton</t>
  </si>
  <si>
    <t>Family finds hidden camera livestreaming from their #Airbnb in Ireland @CNNI</t>
  </si>
  <si>
    <t>Hudson River Valley</t>
  </si>
  <si>
    <t>Build on strengths! Consultant member of APA, IPPA, Lawrenceville School Alumni, Tulane Alumni, UPenn MAPP Alumni, Harvard Business School Alumni Angels NYC</t>
  </si>
  <si>
    <t>Sona Gallatin</t>
  </si>
  <si>
    <t>BEAUTIFUL WIDE BEACH just 200 steps away from the 3 bedroom 2 bath beach house FOR SALE. This is the Silver Strand in Oxnard. Think AirBNB! 132 Moorpark Ave. Oxnard. Call Sona for Appt. CalDRE01488764. KW VIP Props. (818) 261-8306.#airbnb #investment #realestate #silverstrand</t>
  </si>
  <si>
    <t>Our goal as a group is to focus on what is most important to our clients and helping them reach their goals first! pride in what we do with integrity!</t>
  </si>
  <si>
    <t>Bali &amp; World News</t>
  </si>
  <si>
    <t>Should we be searching for hidden spy cameras in Airbnbs and hotels? #Bali #News # Best #Asia #Real #Estate #AIRBNB In the most recent, a family from New Zealand discovered a hidden...</t>
  </si>
  <si>
    <t xml:space="preserve">Bali, Indonesia </t>
  </si>
  <si>
    <t>This weeks Bali News and Views that you can use for pleasure and profit - Now over 1,400,000 Blog Pageviews. Published by Canadian Resident of Bali for 20 Yrs.</t>
  </si>
  <si>
    <t>#Millennials are the biggest consumer group of #Airbnb users. Get your #vacationrental ready for #GenerationY:  #geny #blog</t>
  </si>
  <si>
    <t>Anthony Grace</t>
  </si>
  <si>
    <t>Welcome to the real world #airbnb Some of this article's detection hints are utter bullshit. Talk to a private eye. they were doing this well over 40 years ago.</t>
  </si>
  <si>
    <t>.NET Web Developer in Colorado</t>
  </si>
  <si>
    <t>CleanBeautyBuzzed</t>
  </si>
  <si>
    <t>Washington, USA</t>
  </si>
  <si>
    <t>GOD first! Mother! Clean Beauty 💚 Patriot! 🇺🇸</t>
  </si>
  <si>
    <t>Looking for a vacation close to home? Consider the Lake of the Ozarks! Check out our awesome vacation rentals:  #lakeoftheozarks #ozarks #vacation #missouri #travel #VRBO #TripAdvisor #Airbnb #ozark #boating</t>
  </si>
  <si>
    <t>UniverseNews.Site</t>
  </si>
  <si>
    <t>How to find hidden cameras in your Airbnb #your #airbnb #cameras</t>
  </si>
  <si>
    <t>Türkiye</t>
  </si>
  <si>
    <t>News, World News</t>
  </si>
  <si>
    <t>Iain Fitzgerald</t>
  </si>
  <si>
    <t>Good grief. Real life horror story material! #cinema #film #news #SundayThoughts #airbnb RT @NBCNews: A New Zealand couple on a family trip through Europe said they made a disturbing discovery upon checking into an Airbnb in Ireland in March — a hidden camera was livestreaming their family.</t>
  </si>
  <si>
    <t>The South East, London and Northern Ireland.</t>
  </si>
  <si>
    <t>Actor, director, sometime writer and ex B737 pilot. In constant need of stimulating input. Help! Music, art, film. Trained at East 15. Member of Actors' Equity.</t>
  </si>
  <si>
    <t>Meera Harish</t>
  </si>
  <si>
    <t>Culture, values, rituals, setting the bar high and more! ⁦@lennysan⁩ nails it here! #startups #Leadership #BusinessLeaders #Entrepreneurs #Airbnb What seven years at Airbnb taught me about building a company</t>
  </si>
  <si>
    <t>We were so happy to find that the little Lenten Rose we planted at Fernwood Cabin finally bloomed! #boone #airbnb #homeaway</t>
  </si>
  <si>
    <t>Jaycëë</t>
  </si>
  <si>
    <t>#AirBnB link:  Help me cover the cost for all the trips to our wedding venue 👌🏼</t>
  </si>
  <si>
    <t>Raleigh N.C</t>
  </si>
  <si>
    <t>Firm believer that pineapple belongs on pizza. Avid turn signal user. Hufflepuff. Certified Fiancé. Get Shwifty. Cat Momma.</t>
  </si>
  <si>
    <t>My Letter to the Editor in today’s Globe and Mail. As part of 8 best practices to regulate short-term rentals like #Airbnb, platform accountability is key for Cdn municipalities! Visit  for more info. #FairRules #NoMOU #cdnpoli #vanpoli @CityofVancouver RT @hotelassoc: In this Saturday’s ⁦@globeandmail⁩: A better agreement is an option for Airbnb in Vancouver, says ⁦@AlanaBaker_HAC. ⁩ #FairRules</t>
  </si>
  <si>
    <t>The Dearing Group</t>
  </si>
  <si>
    <t>We support these efforts! #RealEstate #shorttermrentals #STR #airbnb RT @TexansPnRR: Short-term rentals make a MAJOR impact on the Texas economy, supporting more than 35,000 full-time jobs and $3.5 BILLION in economic activity! Tell your Legislator you support a vibrant Texas economy!</t>
  </si>
  <si>
    <t>We focus on projects &amp; services in the renewables &amp; real estate sectors. Sustainability Strategy | Renewables Consulting | Real Estate Development. 512-777-1789</t>
  </si>
  <si>
    <t>7NEWS Adelaide</t>
  </si>
  <si>
    <t>Travellers around the world are discovering hidden cameras inside their Airbnb accommodation. How can you make sure you're safe when travelling? #Airbnb #7NEWS</t>
  </si>
  <si>
    <t>Adelaide, South Australia</t>
  </si>
  <si>
    <t>7NEWS is Adelaide's leading news service, put together by a team of award-winning journalists and camera crews. https://www.facebook.com/7NEWSAdelaide</t>
  </si>
  <si>
    <t>7NEWS Brisbane</t>
  </si>
  <si>
    <t>First for news, sport and weather in Queensland. Weekdays at 4pm, nightly at 6pm. Simulcast on 96.5 FM. Got a news tip? Email 7news@seven.com.au #7NEWS</t>
  </si>
  <si>
    <t>7NEWS Perth</t>
  </si>
  <si>
    <t>First for news in Perth with Rick Ardon, Susannah Carr, @BasilZempilas, @samjolly7news, @AngelaTsun &amp; @adrianbarich | http://facebook.com/7NewsPerth #7News</t>
  </si>
  <si>
    <t>#Vi #homestay breakfasts are the best....#vegan #vacation #airbnb #travel</t>
  </si>
  <si>
    <t>I'm Sam. Sam Hussain</t>
  </si>
  <si>
    <t>Families around the world are reporting holiday horror stories after discovering hidden cameras inside accommodation they booked online through Airbnb. #Airbnb #travelling</t>
  </si>
  <si>
    <t>A good man treats women with honour Filmmaker | Activist | humanitarian</t>
  </si>
  <si>
    <t>Travelers around the world are discovering hidden cameras inside their Airbnb accommodation. How can you make sure you're safe when travelling? #Airbnb #7NEWS</t>
  </si>
  <si>
    <t>7NEWS Melbourne</t>
  </si>
  <si>
    <t>7NEWS is Melbourne's news - nightly at 6.00 with @Peter_Mitchell7 (Sun-Thur) and @mikeamor7 (Fri-Sat).</t>
  </si>
  <si>
    <t>7NEWS Sydney</t>
  </si>
  <si>
    <t>First For News in Sydney with @MarkFerguson_7 @michaelusher @Mel_Mclaughlin @JimWilsonTV @DavidWBrown7 http://facebook.com/7newssydney</t>
  </si>
  <si>
    <t>FDMillet</t>
  </si>
  <si>
    <t>I too, have a horror story with #airbnb. A couple spent 10 years saving for a special trip but found camera hidden at Airbnb in #Ireland. Airbnb just left them hanging. @Airbnb</t>
  </si>
  <si>
    <t>Maine, USA</t>
  </si>
  <si>
    <t>You have to disturb the soil to grow a garden. Same with a mind - a little agitation is good.</t>
  </si>
  <si>
    <t>✅May 5 - 11th AVAILABLE at #BlueMountainLodge #vacationrental #airbnb 4 bd/4.5 ba all master suites slps 12. 🎱Game room, hot tub, private, near Gatlinburg. #BookDirect your family spring 🌷vacation stay in beautiful Smoky Mountains ⛰️.</t>
  </si>
  <si>
    <t>Ireland.#Ireland #WildAtlanticWay #Oceanside #oceans #GlobalWarming #Brexit #BrexitChaos #Easter #Easter2019 #EasterHoliday #EasterBunny #Summer2019 #summerholidays #vacationrental #Vacations #familytravel #TripAdvisor #airbnb #sailing #boating #surfing #seaside #adventureawaits</t>
  </si>
  <si>
    <t>Heather Snowie MUA</t>
  </si>
  <si>
    <t>It’s official! @theccbm is open for business!! This is our other business my husband and I have, (that is just around the corner from our #Airbnb @thetailorsloft) that opened on Friday! We have been blown away with the response we have received - thank y…</t>
  </si>
  <si>
    <t>🇨🇦 Freelance makeup artist based in 🏴󠁧󠁢󠁳󠁣󠁴󠁿 available 🌎 wide. Please contact for availability and rates.</t>
  </si>
  <si>
    <t>Palm Springs Life</t>
  </si>
  <si>
    <t>Have you tried to land a place to stay in the high desert with @Airbnb? The owner of Cohost Collective tells how he meets #millennials’ demands for amenities.  #airbnb #vacation #airbnbhost #airbnbexperience #nature #interiordesign #wanderlust</t>
  </si>
  <si>
    <t>Palm Springs, California</t>
  </si>
  <si>
    <t>Embracing the culture, vibe and people of Greater Palm Springs since 1958 🌵✨ #PSLmagazine #palmspringslife</t>
  </si>
  <si>
    <t>May you find the light at the end of your tunnel. May your health soar and your relationships fill you with joy. #art #airbnb #trees #inthewall #path #health #tunnel #askme #icanhelp @…</t>
  </si>
  <si>
    <t>Get a well-executed rental software with #custom #airbnb #Clone by #ibiixo. With #rental #app by ibiixo, we make sure you have a cutting edge technology. To Know More -  let’s talk more here  #VacationRentalScript #venturecapital</t>
  </si>
  <si>
    <t>Chef Lisa Delgado</t>
  </si>
  <si>
    <t>#AIRBNB BOOKED FOR THE MEMPHIS IN MAY BBQ COMPETITION!!! 2ND YEAR &amp; READY TO KICK ASS! #airbnblove #airbnbchef #bbqcompetition #bbq #memphisinmay @memphisinmay porkvillejusticeleague…</t>
  </si>
  <si>
    <t>Ohio /Puerto Rico</t>
  </si>
  <si>
    <t>Personal/Private Chef , TV Personality, Food Network , Fox 8 , Celebrity Chef, Brand Ambassador, LPD CBD Branding</t>
  </si>
  <si>
    <t>Check out this awesome Entire condominium on Airbnb: Live Like Royalty On The Las Vegas Strip!, sleeps 5 #BasketBall #FinalFour #Boxing #Vegas #WSOP #Poker #AirBnB</t>
  </si>
  <si>
    <t>#AIRBNB BOOKED FOR THE MEMPHIS IN MAY BBQ COMPETITION!!! 2ND YEAR &amp; READY TO KICK ASS!</t>
  </si>
  <si>
    <t>Sean Harrison</t>
  </si>
  <si>
    <t>Airbnb guest found hidden surveillance camera by scanning Wi-Fi network #policy #Airbnb #hiddencamera</t>
  </si>
  <si>
    <t>Director of Engineering @brightflaghq. Previously Consultant @accenture. Views are my own.</t>
  </si>
  <si>
    <t>Albert Fong</t>
  </si>
  <si>
    <t>You don't want to smile at this candid camera: Remember Airbnb stays are at private properties so they're not subject to regulations that hotels are  @marniech @barry_neild #airbnb</t>
  </si>
  <si>
    <t>Marketing dude, tech geek, heavy metal &amp; '80s music junkie. Fascinated by meteorology and all things in the cloud. Opinions are my own.</t>
  </si>
  <si>
    <t>juliet gough</t>
  </si>
  <si>
    <t>Had such a fun #gig with the gorgeous peeps on this job. Now in my #airbnb eating coffee and walnut cake. #winning #singer #dep #faithtour</t>
  </si>
  <si>
    <t>Actress • Model • Singer•Christian • Head of dance @limitless_apa • Keen runner • Instagram: @juliet.gough • Enquries lee@leemorgan.biz</t>
  </si>
  <si>
    <t>Feed your #ocd &amp; follow our Instagram page for #BeforeandAfter pics! #airbnb #pnw #vacation #suncadia #travel #snoqualmie #wildlife #explorewashington #cleaningservice #stuartmountains #hiking #escape #newconstruction #springcleaning #realestate #homeadvisor #maintenance #cwu</t>
  </si>
  <si>
    <t>Property Service Company: General Maintenance &amp; Cleaning</t>
  </si>
  <si>
    <t>Thorsten Lindberger</t>
  </si>
  <si>
    <t>Holy crap, airbnb vs CCTV #airbnb #cctv #wi-fi #camera #airbnbberger</t>
  </si>
  <si>
    <t>Innovationsprophet'</t>
  </si>
  <si>
    <t>SEMLOH REAL ESTATE</t>
  </si>
  <si>
    <t>Family finds hidden camera livestreaming from their #Airbnb in #Ireland.</t>
  </si>
  <si>
    <t>SEMLOH REAL ESTATE, LLC (Est. 2016). Certificate Of Fact Of Good Standing by Wayne Williams, Secretary of State of the state of #Colorado with the Great Seal.</t>
  </si>
  <si>
    <t>#airbnb I can;t see stars associated with reviews, or selectively see reviews with low rating? Did you change something? @Airbnb</t>
  </si>
  <si>
    <t>location viewing 🌍🕶</t>
  </si>
  <si>
    <t>My Mom made a VR tour 👏 @insta360 #vr #airbnb Tour link</t>
  </si>
  <si>
    <t>make &amp; take virtual reality location tours.</t>
  </si>
  <si>
    <t>Storage West West Surprise</t>
  </si>
  <si>
    <t>It may be unusual, but you might have what you need to dive into the exciting world of becoming a verified Airbnb host #HereForYou #General #Business #USA #Jobs #Airbnb #Host</t>
  </si>
  <si>
    <t>Surprise</t>
  </si>
  <si>
    <t>Storage West - West Surprise, AZ. Excellent storage facility in Surprise! Come store with us! We're Here for You.</t>
  </si>
  <si>
    <t>TEJAS KASHYAP</t>
  </si>
  <si>
    <t>How to use metrics to make key decisions about a new product launch? #metrics #experiments #product #uber #airbnb</t>
  </si>
  <si>
    <t>Product Management, Innovation and More</t>
  </si>
  <si>
    <t>Nik Parekh</t>
  </si>
  <si>
    <t>Have you ever dreamed of spending the night in a legendary museum? #Airbnb</t>
  </si>
  <si>
    <t>Service Designer I Strategist I Working with @samsungnext as a Strategy Lead.</t>
  </si>
  <si>
    <t>s o n n y</t>
  </si>
  <si>
    <t>If you are planning to attend the #SomethingintheWater festival and have decided to stay in an @Airbnb home, think twice!! #CorporateThieves #RefundMyDeposit #airbnb #VirginiaBeach #virginia @Pharrell</t>
  </si>
  <si>
    <t>Victoria Huizinga</t>
  </si>
  <si>
    <t>Thinking About Booking With Airbnb? Here is How Our First Time Went  #traveltips #Airbnb</t>
  </si>
  <si>
    <t>Wife, Mom and blogger with a passion to help moms find the time and money they need to pursue their passions while maintaining balance in their lives.</t>
  </si>
  <si>
    <t>fundme</t>
  </si>
  <si>
    <t>We are a tech enabled private money lender.</t>
  </si>
  <si>
    <t>Camille Gizzarelli</t>
  </si>
  <si>
    <t>Who Wouldn't Want to Spend a Night at the Louvre with the Mona Lisa? Enter the Contest! Replying to @artnet @Airbnb @MuseeLouvre @museumchd @Rongreen5 @ChloeLe39602964 @rabbydab76 @clarissarodrigu @claradogbert @softhwant #monalisa #Airbnb #Louvre RT @CGizzarelli: I Entered Contest! Airbnb's Newest Host Is the 'Mona Lisa,' and the Louvre's letting Two Special Guests spend a Night at Her Place | @artnet News  #contest @MuseeLouvre #monalisa @Airbnb #guests</t>
  </si>
  <si>
    <t>New England, USA</t>
  </si>
  <si>
    <t>Art Appreciation editor at BellaOnline, Cosmetics Business Manager, author of THE MAKING of BEAUTY book (pen name Calla Simone). USA Today contributor.</t>
  </si>
  <si>
    <t>sheila callaham</t>
  </si>
  <si>
    <t>In his popular #TedTalk @ChipConley talks about becoming a modern-day elder at #AirBnB after #Millennial cofounders asked him to join the company.</t>
  </si>
  <si>
    <t>I leverage the power of words to influence stakeholders and shape outcomes. http://Forbes.com contributor.</t>
  </si>
  <si>
    <t>Adriana Correa</t>
  </si>
  <si>
    <t>OMG! #Airbnb rental had a camera hidden in the smoke detector directly over the bed.</t>
  </si>
  <si>
    <t>📍Colombian born raised in Chicago working and living in Miami. http://NBCMiami.com/LatinBeat contributor. Media Manager at Telemundo Network.</t>
  </si>
  <si>
    <t>VI Caribbean Homestay! #stt #usvi #airbnb #booknow</t>
  </si>
  <si>
    <t>SWest Surprise</t>
  </si>
  <si>
    <t>Surprise, AZ</t>
  </si>
  <si>
    <t>Storage West Self Storage Surprise, AZ. Excellent storage in Surprise. Come store with us! Mon-Fri, 9am-6pm. Sat, 9am-5pm. We're Here for You.</t>
  </si>
  <si>
    <t>A LuckyLibra</t>
  </si>
  <si>
    <t>#Airbnb need to make it mandatory for host to display the outside of their properties. I pulled up to a whole house in the Hood. #unacceptable #Ridiculous #unsafe</t>
  </si>
  <si>
    <t>Chi-town</t>
  </si>
  <si>
    <t>We Are Not Alike ❤ GROWTH comes with so much SELF benefits! Focusing on GOALS, has gave me the ability to ignore anything that’s not of any value to my WINNINGS</t>
  </si>
  <si>
    <t>Airbnb is an online marketplace which lets people rent out their properties or spare rooms to guests. Learn more about at  #airbnb #travel #vacation #airbnbhost #booking #holiday #airbnbexperience #nature #interiordesign #bedandbreakfast #vacationrental</t>
  </si>
  <si>
    <t>Cancelation policy clearly states I get a full refund 14 days prior to check in date. Refund my deposit!!! @Airbnb #airbnb #corporatethieves #virginiabeach #SomethingintheWater #pharell @WAVY_News @virginianpilot</t>
  </si>
  <si>
    <t>SW Boulder Hwy</t>
  </si>
  <si>
    <t>Going to become an Airbnb host? #HereForYou #General #Business #USA #Jobs #Airbnb #Host</t>
  </si>
  <si>
    <t>Henderson, NV 89015</t>
  </si>
  <si>
    <t>Storage West Self Storage Henderson, NV. RV spaces and storage units available. Come store with us! Hours Mon-Sat, 9.00am to 6:00pm. Closed on major holidays.</t>
  </si>
  <si>
    <t>Sonya</t>
  </si>
  <si>
    <t>Did you know Airbnb has its own magazine? #Airbnb #magazine</t>
  </si>
  <si>
    <t>Huntington Beach, CA</t>
  </si>
  <si>
    <t>Tech Founder, UX Designer Authenticity Coach ✨ Helping People Develop High-Value Brands &amp; Businesses</t>
  </si>
  <si>
    <t>Mylène Colmar</t>
  </si>
  <si>
    <t>#Aruba Extends #Airbnb Agreement  via @TravelPulse #Caribbean</t>
  </si>
  <si>
    <t>Guadeloupe</t>
  </si>
  <si>
    <t>Journaliste · Consultante éditoriale · Caribbean blogger · Créatrice d'@ObjectifBL avec @Axelle971 et de #foodileslemag avec @JessicaBRUDEY</t>
  </si>
  <si>
    <t>John from Alabama. Yeah, that one.</t>
  </si>
  <si>
    <t>Can I #AirBNB my garden shed?</t>
  </si>
  <si>
    <t>Barrow County, Georgia</t>
  </si>
  <si>
    <t>Stage IV Lung Cancer. Diagnosed 12/9/14. I like to live-tweet movies. Snarky. Sometimes a bit of an ass. You know you like it.</t>
  </si>
  <si>
    <t>Becca Doyle</t>
  </si>
  <si>
    <t>Trip to Kauai Day 1: Our #airbnb treated us right the entire week. It was beautiful and had amazing landscaping. The sunset in Kauai, along with the scenary was just breathtaking. I…</t>
  </si>
  <si>
    <t>Tri-Cities, WA</t>
  </si>
  <si>
    <t>Only the special ones get to know me</t>
  </si>
  <si>
    <t>Thank you airbnb for the #surprise #gift 😇🙏 . . . . #Happy #host #superhost #Airbnb #appreciationpost #giftbaskets #Happiness #pleasant #biscuits #mug #giftideas…</t>
  </si>
  <si>
    <t>goa</t>
  </si>
  <si>
    <t>Think less live more and let the life be. Be happy and spread it all the way :-) #trekker #Traveller #Indian #lifeenthusiast #optimistic #foodie #laughingbuddha</t>
  </si>
  <si>
    <t>Thank you airbnb for this surprise gift. 😇🙏 . . . . . . #superhost #Airbnb #airbnbgift #surprise #pleasant #hosting #happy #giftideas #Gifts #mug #biscuits #appreciationpost #appreciate…</t>
  </si>
  <si>
    <t>PMI Corpus Christi</t>
  </si>
  <si>
    <t>What are some of your tips to increase vacation rental bookings? #propertymanagementinc #shorttermrental #investmentproperty #propertymanagement #vacationrental #propertymanager #propertyinvestor #rental #airbnb #vrbo</t>
  </si>
  <si>
    <t>Cor</t>
  </si>
  <si>
    <t>We provide premier residential, commercial, and association property management in the Corpus Christi, TX area. Call us at 361-866-5597</t>
  </si>
  <si>
    <t>Excalibur Insurance</t>
  </si>
  <si>
    <t>51% of #Airbnb rental owners don't know that their insurance won’t protect them against damages caused by renters:</t>
  </si>
  <si>
    <t>Excalibur Insurance Group has been protecting individuals, families, businesses and farmers since 1957. You can reach us at 1-888-298-7343</t>
  </si>
  <si>
    <t>Galvardig</t>
  </si>
  <si>
    <t>Airbnb removes host after family finds hidden camera in their vacation rental  #Airbnb</t>
  </si>
  <si>
    <t>The Great Wall of China</t>
  </si>
  <si>
    <t>The Illuminati made me do this. 👽</t>
  </si>
  <si>
    <t>PMI Indianapolis</t>
  </si>
  <si>
    <t>Getting started on Airbnb can be difficult. Here are 6 steps to get the ball rolling. How did you get started in vacation rentals? • • • #airbnb #propertymanagementinc #pmitravel #vacationrental #shorttermrental #investmentopportunity #rentalincome</t>
  </si>
  <si>
    <t>Noblesville, IN</t>
  </si>
  <si>
    <t>We provide premier residential, commercial, and association property management in the Indianapolis area</t>
  </si>
  <si>
    <t>KAUAI: Plan it first with:  #travelblogger #airbnb #hikekauai #budgettravel #adventuretravel #tripadvisor #alohanorth</t>
  </si>
  <si>
    <t>Tracy wood</t>
  </si>
  <si>
    <t>Newquay, England</t>
  </si>
  <si>
    <t>Mortgage and Protection Adviser. Let me help you get the best products to suit your needs and hopefully save £££’s in the process.</t>
  </si>
  <si>
    <t>Not today, perfect spring day #comfortcottagehealing #visitwales #dogfriendly #TheDogsWithMe #alpacas #ArtsWales #SunDogs #Airbnb #yell RT @ruthwignall: A perfect day for it! #snow #dogsoftwitter</t>
  </si>
  <si>
    <t>Zeke</t>
  </si>
  <si>
    <t>So, anyone can list a house on @Airbnb even if the person listing the house doesn’t own the property! Seriously! Watch out... I may rent your house next! 😂😂 #StupidSite #AirBNB #Sucks #Ass</t>
  </si>
  <si>
    <t>Cordoba, Miami, Minneapolis</t>
  </si>
  <si>
    <t>Engineer, pilot, technologist, breaker of things. I tweet in Spanish/English and sometimes, neither.</t>
  </si>
  <si>
    <t>Not only will you save $$ booking with us directly, but book your stay in the month of April and we will discount your stay an additional $10!!! #Bookdirect #bookdirectly #Vacationrentals #Airbnb #TemeculaVacationRentals #Savingmoney #managmentcompany #vacation #vacationrental</t>
  </si>
  <si>
    <t>Our #highquality #glamping #tents are perfect for #airbnb #host to create an #airbnbexperience.  #bnb #glamping #uk #europe #usa #camping #travel #hotel #resort #hawaii #stargazingtent #stars #nightsky</t>
  </si>
  <si>
    <t>Containerpedia</t>
  </si>
  <si>
    <t>Shipping Container House by Rick Clegg which is used as a rental on Airbnb. #shippingcontainerhouse #realestate #containerhome #upcycled #airbnb #Architect #eco #rental #housing #shippingcontainer #blog #maritime #sustainability #reuse #news #Update</t>
  </si>
  <si>
    <t>The world wide webs first encyclopedia dedicated to shipping containers.</t>
  </si>
  <si>
    <t>Daniele Vincenzoni</t>
  </si>
  <si>
    <t>We’re spending this weekend looking for some new business for our domuscorporate 🌇💰😎 - - #business #businessmen #businessman #Burberry #ootd #guesthouse #airbnbrome #airbnb #rome #roma…</t>
  </si>
  <si>
    <t>Laureato in Marketing&amp;Com d'Impresa, vice-campione del mondo di karate, #HR &amp; #training @ OM Group. Fine dei caratteri. http://danielevincenzoni.wordpress.com</t>
  </si>
  <si>
    <t>$55 Airbnb code coupon promo discount first. $55 OFF CLICK LINK NOW! Try it. Please DM me if you have any issues. #airbnb #airbnbcode #airbnbdiscount #airbnbpromo #airbnbcoupon #SaturdayMorning #90sMusicIn4Words #PaulPierce #SaturdayThoughts</t>
  </si>
  <si>
    <t>Graham Hunt (Valencia Property)</t>
  </si>
  <si>
    <t>Boat for #Airbnb in Valencia Marina 2 bedrooms | Apartment | Beach | #Valencia City Property: 60 m² Price: € 30,000 Euros.</t>
  </si>
  <si>
    <t>Spain-Valencia-La Pobla</t>
  </si>
  <si>
    <t>Making Moving To Valencia Simple http://www.valencia-property.com. See the blog http://www.valencia-property.com/new #Valencia #RealEstate #Spain #BeThe48%</t>
  </si>
  <si>
    <t>Holiday Scottsdale is celebrating its one year anniversary today! Book a stay between now and August 31st and receive a Starbucks gift card when you check in. Offer ends April 30, 2019. #HappyAnniversary #Vrbo #Airbnb #Starbucks</t>
  </si>
  <si>
    <t>PMI Maine</t>
  </si>
  <si>
    <t>We offer premier vacation and short-term property management in and around Portland, ME.</t>
  </si>
  <si>
    <t>Startups Weekly: US companies raised $30B in Q1 2019  #Startups #VentureCapital #Airbnb</t>
  </si>
  <si>
    <t>Don't miss the #Orchid Festival here in #Boquete! La Jungla Experience #airbnb still has availability! Reserve the best AirBnB in Boquete and enjoy the #orquideas! April 12th - 21st. #quepretty! #flowers #expoorquideas #panama #naturaleza #disfrutan</t>
  </si>
  <si>
    <t>$55 💚💸💚💸💚💸 Airbnb code coupon promo discount first. $55 OFF CLICK LINK NOW! Try it. Please DM me if you have any issues. #airbnb #airbnbcode #airbnbdiscount #airbnbpromo #airbnbcoupon #SaturdayMorning #satchat #SaturdayThoughts #SaturdayMotivation</t>
  </si>
  <si>
    <t>Sepp Ruchti</t>
  </si>
  <si>
    <t>Here are some key lessons for companies wanting to emulate the success of Internet marketplaces like #Amazon, #Google, #Uber, and #Airbnb. #platformeconomy #ecosystems #platforms</t>
  </si>
  <si>
    <t>Passionate about financial security for individuals and companies, and how we can create more customer value in financial services</t>
  </si>
  <si>
    <t>#IQ Challenge: Ron booked a bed in a #HK #hostel with #Airbnb. The hostel stated the 8-people #dorm has 3 baths. But when he arrived, he had to wait for an hour with over 40 people for 3 cramped showers. Why? #discoverhk #hktravel #香港 #홍콩 #vacation #backpacker #WanChai #scam</t>
  </si>
  <si>
    <t>Sophie Tacchi</t>
  </si>
  <si>
    <t>#Airbnb hidden #camera: Family finds camera livestreaming from their rental - CNN #privacy</t>
  </si>
  <si>
    <t>#infosec Tweets: views are my own /opinion personnelle #cybersecurity</t>
  </si>
  <si>
    <t>Serena A. Chaudhry</t>
  </si>
  <si>
    <t>Fascinating read which raises some interesting questions around privacy and safety: What Happens If You Find Cameras in Your #Airbnb - The Atlantic</t>
  </si>
  <si>
    <t>London via Baghdad &amp; Jo'burg</t>
  </si>
  <si>
    <t>Editor, Africa Journal @Reuters | Moderator &amp; Speaker | Ex-@BBCWorld | I’m South African-Kenyan-Pakistani-Indian-British | ♥ sunsets | Tweets=my own</t>
  </si>
  <si>
    <t>Domvs</t>
  </si>
  <si>
    <t>Discover this secret gem hidden away on Portland. With a beautiful garden, an immaculately finished three storey property with two annexes!  #DOMVS @FineandCountry #Dorset #Portland #jurassiccoast #Propertyofhtday #Garden #Portland #Wearefamily #Airbnb</t>
  </si>
  <si>
    <t>Dorset</t>
  </si>
  <si>
    <t>Domvs specialises in stand-out properties. From Dorset's stunning Jurassic coastline to its beautiful rolling countryside, we are professionals in property</t>
  </si>
  <si>
    <t>Custom House Signs, Beach House-Lake House Signs Business Signs exclusively designed &amp; created by GREEN COTTAGE DESIGN at ETSY  … Webpage  #SaturdayMotivation #business #airbnb #coastalliving #vrbo #rental #investments #property</t>
  </si>
  <si>
    <t>MaxAgility Corp</t>
  </si>
  <si>
    <t>#Airbnb can’t catch a break! 😳 Article: Family finds #hiddencamera in Airbnb's smoke alarm #airbnbcamera</t>
  </si>
  <si>
    <t>We provide Agile Coaches and deliver the Agile Mentoring Program (AMP) all over the world.</t>
  </si>
  <si>
    <t>Custom House Signs, Beach House Signs, Lake House Signs Business Signs exclusively designed &amp; created by GREEN COTTAGE DESIGN at ETSY  Webpage  #SaturdayMotivation #business #airbnb #coastalliving #vrbo #rental #investments #property</t>
  </si>
  <si>
    <t>Julian_JS_Ellis #FBPE</t>
  </si>
  <si>
    <t>Hope @Airbnb Take this seriously #Airbnb RT @Jalipa: Family finds hidden camera livestreaming from their Airbnb in Ireland - CNN</t>
  </si>
  <si>
    <t>Salisbury, England</t>
  </si>
  <si>
    <t>European, British, English, Wiltshire, Salisbury. Interested in History &amp; Politics. Liberal Democrat. A Citizen of the World &amp; thus Citizen of Nowhere</t>
  </si>
  <si>
    <t>Spend a night in the Louvre in a once-in-a-lifetime Airbnb #travel #airbnb #airbnbexperiences #Paris #Louvre</t>
  </si>
  <si>
    <t>🇪🇺</t>
  </si>
  <si>
    <t>#airbnb hidden camera likely to be on same WiFi network the host provides you. Detect with @fingapp</t>
  </si>
  <si>
    <t>Dingle</t>
  </si>
  <si>
    <t>𝚛𝚞𝚗, 𝚜𝚠𝚒𝚖, 𝚌𝚘𝚍𝚎 𝚌𝚘-𝚏𝚘𝚞𝚗𝚍𝚎𝚛 @𝚜𝚎𝚗𝚜𝚘𝚛𝚙𝚛𝚘 &amp; @𝚍𝚒𝚗𝚐𝚕𝚎𝚍𝚘𝚓𝚘 𝚜𝚘𝚕𝚍 @𝚌𝚊𝚜𝚑𝚋𝚘𝚘𝚔𝚕𝚝𝚍 #𝚖𝚞𝚍𝚒𝚝𝚊 𝚛'𝚍'𝚛𝚍</t>
  </si>
  <si>
    <t>Mark Sharman</t>
  </si>
  <si>
    <t>Wow! How unsafe is #Airbnb</t>
  </si>
  <si>
    <t>Newcastle Australia</t>
  </si>
  <si>
    <t>Enabling clients to understand &amp; grow in the digital age. Head in the Cloud! Turning it to 11.</t>
  </si>
  <si>
    <t>Markus Peter</t>
  </si>
  <si>
    <t>“If people reach perfection they vanish, you know.” ― T.H. White, The Once and Future King #proudlyswazi #eSwatini #Swaziland #Manzini proudlyswazi #mountaininn #airbnb #beautifuldestination #cinematography #blackart #Africania #camping #airbnb #wonderlust #tripstagram #mbabane</t>
  </si>
  <si>
    <t>Mashable Middle East</t>
  </si>
  <si>
    <t>Yes, @Airbnb is totally cool with hosts placing video cameras inside their rentals. And yes, it's creepy as hell. #Airbnb #cameras #privacy #travel #rentals</t>
  </si>
  <si>
    <t>For the superfans. Come and obsess with us.</t>
  </si>
  <si>
    <t>Dr. Marion Thorpe</t>
  </si>
  <si>
    <t>"Airbnb initially didn't ban offender despite rule against undisclosed cameras" #Airbnb #Technology #Surveillance</t>
  </si>
  <si>
    <t>State of Florida Chief Medical Officer (former). MEDICAL DOCTOR with a passion for the US Constitution and American Dream. United We Stand: Let's Heal America!</t>
  </si>
  <si>
    <t>Marc R Gagné MAPP 🍁</t>
  </si>
  <si>
    <t>#DataProtection Commission investigating hidden camera in #Airbnb property -  #privacy</t>
  </si>
  <si>
    <t>Privacy Advocate, #CyberSecurity and Director @GagneLegal, @PACC_CCAP @Magnifintech #Privacy #Fintech #BigData Telos Network #Adjudicator @irish_technews</t>
  </si>
  <si>
    <t>tiniskwerl</t>
  </si>
  <si>
    <t>⚡️The #Louvre is offering you chance to #sleepover in its glass pyramid Louvre in #Paris partnering w/#Airbnb to let a lucky person and guest spend a night at #museum Part of #celebration 30th birthday of Louvre famous glass pyramid  #travel #france</t>
  </si>
  <si>
    <t>Northern California U.S.A.</t>
  </si>
  <si>
    <t>tiny, old, grey, occasionally a bit cranky I Tweet A Lot LIST to Save Timeline</t>
  </si>
  <si>
    <t>How's that for a view 😎🤞 And, thanks to @FlaviaRubino666, we're the first guests at Stefano's #AirBnB in #Taormina 🥂 #travel #tourism #Sicilia #Italia #Sicily #Italy #photography…</t>
  </si>
  <si>
    <t>Pixie Tyne-twiggle</t>
  </si>
  <si>
    <t>Is #airbnb Airbnb Safe? We Analyzed 1021 Horror Stories To Find Out</t>
  </si>
  <si>
    <t>✰ Chenyu 苹果姐姐 ✰</t>
  </si>
  <si>
    <t>You know a house is alive When you can’t help but tear up After absorbing the details Thanks for allowing me to discover homes with so much love for life It’s not just a house, but humanity. #airbnb</t>
  </si>
  <si>
    <t>Artfully translating culture | Author of “606 days without a lease “ 6min documentary video👇</t>
  </si>
  <si>
    <t>Ron Immink</t>
  </si>
  <si>
    <t>Exclusive: #Airbnb will start designing houses in 2019</t>
  </si>
  <si>
    <t>Malaga, Spain</t>
  </si>
  <si>
    <t>Father of two, maverick, speaker, business book geek, entreprenerd, author, blogger, innovator, strategist, CEO and co-founder</t>
  </si>
  <si>
    <t>Butch Saringan</t>
  </si>
  <si>
    <t>Another amazing home from airbnb. Two thumbs up to Daniel and his house. Great place with great amenities. Highly recommended! #airbnb #travelgram #travelphotography #samsunggalaxys8…</t>
  </si>
  <si>
    <t>Leader / Manager / Nurse / Friend / Traveller / Music-Lover / Volleyball / Food lover 🇵🇭 - 🇹🇭 - 🇻🇳 - 🇦🇺 - 🇸🇬 - 🇮🇩 - 🇦🇺 - 🇹🇼 - 🇰🇭</t>
  </si>
  <si>
    <t>Emma Elizabeth Rigby</t>
  </si>
  <si>
    <t>If only I could pack this sofa.... #airbnb #budapest #citybreak @ Budapest, Hungary</t>
  </si>
  <si>
    <t>Love music, travel, films, food &amp; friends. Hate sweet wine &amp; sour people.</t>
  </si>
  <si>
    <t>Roland Schegg</t>
  </si>
  <si>
    <t>#Airbnb to share homeowner info with Danish taxman - The Local  @lorenzoj19 @hotellerie_de @HOTREC_EUROPE</t>
  </si>
  <si>
    <t>Sierre, Switzerland</t>
  </si>
  <si>
    <t>Roland Schegg, Institute of Tourism, HES-SO Valais, Switzerland. Research interests eTourism and tourism. http://www.tourobs.ch / http://www.etourism-monitor.ch</t>
  </si>
  <si>
    <t>Spend the night in the #Louvre’s pyramid, courtesy of #Airbnb  #weekendgetaway</t>
  </si>
  <si>
    <t>Belfast Airbnb</t>
  </si>
  <si>
    <t>Northern Ireland has lots of great beaches, so if it’s relaxation &amp; space to breathe you want on holiday, it’s a great place to visit! Book our holiday cottage via link in bio. #coastalbreak #ukcoast #holidaycottagesuk #Belfast #airbnb #belfastairbnb #beaches #staycationuk</t>
  </si>
  <si>
    <t>Beautiful New-England style #Airbnb in #Belfast, #NorthernIreland, close to city centre &amp; main tourist attractions. NI Tourist Board Certified</t>
  </si>
  <si>
    <t>#airbnb #argeles #rentmyhouse Reservation :</t>
  </si>
  <si>
    <t>… … … HAPPY #SaturdayMorning ! WE'RE TAKING A SHORT BREAK TO CATCH UP WITH ORDERS, BUT WE'LL RETURN VERY SOON! #CUSTOM #PERSONALIZED #SIGNAGE FOR HOME OFFICE #BUSINESS #FARM #BEACH &amp; #LAKE #COTTAGE! TIKI &amp;amp; CABANA #BAR TOO! #Vacation #NY #NJ #Airbnb</t>
  </si>
  <si>
    <t>… … HAPPY #SaturdayMorning ! WE'RE TAKING A SHORT BREAK TO CATCH UP WITH RECENT ORDERS, BUT WE'LL RETURN VERY SOON! #CUSTOM #PERSONALIZED #SIGNAGE FOR HOME OFFICE #BUSINESS #FARM #BEACH &amp; #LAKE #COTTAGE! TIKI &amp;amp; CABANA #BAR TOO! #Vacation #NY #NJ #Airbnb</t>
  </si>
  <si>
    <t>Dr Ian Jenkins</t>
  </si>
  <si>
    <t>Working in Iceland again (UI), nice to be back! Shock of #WOW's demise! BIg hit on employment. 6% drop in #tourists! Very quiet. Predict will plateau at 2.2 million! Laugavegur, many empty shops! No #Uber in Iceland! #Airbnb stabilised. Still very expensive!</t>
  </si>
  <si>
    <t>Wales, Iceland &amp; Switzerland</t>
  </si>
  <si>
    <t>Geographer: Tourism Sustainability/ Risk Consultant &amp; Academic</t>
  </si>
  <si>
    <t>JennyCampbellKlomps</t>
  </si>
  <si>
    <t>Family finds hidden camera livestreaming from their Airbnb in Ireland - CNN #Airbnb #livestreaming #wifi #hiddencamera 😳</t>
  </si>
  <si>
    <t>Kingston Upon Thames</t>
  </si>
  <si>
    <t>Blissfully retired. Was a Reading Helper, Parent Governor, Local Councillor, Stenographer, Servicewoman, Dancer, Fitness Instructor, Fundraiser and . . . ! :D</t>
  </si>
  <si>
    <t>LGM Nutrition Lucy</t>
  </si>
  <si>
    <t>Visiting Brighton &amp; Hove for Easter? Immerse yourself in a traditional Regency Kitchen and leave with your own vegan Easter treats.  #Easter #airbnb #thingstodo #Brighton&amp;amp;Hove #cooking</t>
  </si>
  <si>
    <t>Brighton and Hove</t>
  </si>
  <si>
    <t>Brighton + Hove nutritional therapist specialising in diabetes and hormone balancing to help people become healthy and energetic.</t>
  </si>
  <si>
    <t>Oden</t>
  </si>
  <si>
    <t>Family finds hidden #camera livestreaming from their #Airbnb in #Ireland</t>
  </si>
  <si>
    <t>Helsingborg, Skåne Sweden</t>
  </si>
  <si>
    <t>I´m the god Odin, all people's and gods' father. Follow me to Valhalla (Valhöll) #Antitheism</t>
  </si>
  <si>
    <t>Let food be the medicine and medicine be the food! Come and try one of our #fresh #fruit #platters; A #healthy alternative to biscuits and cakes! #maisonvie #london #kilburn #nw6 #frenchcafe #frenchbakery #frenchrestaurant #ICMP #airbnb #londonfoodie #londoncafe #londonbakery</t>
  </si>
  <si>
    <t>The latest image from the GowerLive #webcam on the roof 730RocksMumbles #AirBnB. Book at  #Mumbles #Swansea #Gower #travel. Watch live at  #16</t>
  </si>
  <si>
    <t>It certainly is #comfortcottagehealing #visitwales #dogfriendly #TheDogsWithMe #alpacas #ArtsWales #SunDogs #Airbnb #yell RT @ruthwignall: Oh what a day! Now this is more like it! See you on @itvanglia at 6pm! xx</t>
  </si>
  <si>
    <t>Book your city trip holiday in this beautiful city.  #hotel #ljubljanastay #airbnb #filippalace #ljubljanastay #booking #centerstay #castle</t>
  </si>
  <si>
    <t>Loving the spring afternoons😊 #maisonvie #london #kilburn #nw6 #frenchcafe #frenchbakery #frenchrestaurant #ICMP #airbnb #londonfoodie #londonfood #londoncafe #londonbakery #londonrestaurant #delicious #yummy #tasty #queenspark #food #drink #coffee #pastry #hungry #momandbaby</t>
  </si>
  <si>
    <t>Tracommy</t>
  </si>
  <si>
    <t>Family finds hidden camera livestreaming from their #Airbnb in Ireland #Travel #ttot</t>
  </si>
  <si>
    <t>Central service desk Germany</t>
  </si>
  <si>
    <t>Tracommy | International Travel Advisers Community. Networking and B2B Platform for travel and tourism professionals. Tweet desk: Michael Gebhardt/Founder.</t>
  </si>
  <si>
    <t>Seoul Village</t>
  </si>
  <si>
    <t>Just in case, after your restrooms &amp; motels, don't forget to check your #Airbnb in #Korea ('Family finds hidden camera livestreaming from their Airbnb in #Ireland')</t>
  </si>
  <si>
    <t>Seoul</t>
  </si>
  <si>
    <t>Welcome to my Korean Errlines, http://SeoulVillage.com: nonsensical, nonessential posts from a nonnative Seoulite. #Urbanism. On Facebook: http://facebook.com/seoulvillage</t>
  </si>
  <si>
    <t>You too guys #comfortcottagehealing #visitwales #dogfriendly #TheDogsWithMe #alpacas #ArtsWales #SunDogs #Airbnb #yell RT @TheSunDogs1: Have a rockin’ weekend everyone🤘🏻</t>
  </si>
  <si>
    <t>J-F Gregoire</t>
  </si>
  <si>
    <t>Family finds hidden camera livestreaming from their #Airbnb in Ireland @CNN #security #IoT #BigData #GDPR #dataprivacy #hack</t>
  </si>
  <si>
    <t>Experienced IT professional. Passionate about Digital Disruptions, New technologies, IT Trends, Gadgets and people. Infrastructure solutions director @DellEMC</t>
  </si>
  <si>
    <t>“I think perfection is ugly. Somewhere in the things humans make, I want to see scars, failure, disorder, distortion.” ― Yohji Yamamoto⠀ #proudlyswazi #eSwatini #Swaziland #Manzini #mountaininn #airbnb #beautifuldestination #cinematography #blackart #African #wonderlust</t>
  </si>
  <si>
    <t>Your own private deck overlooking the creek at Ferngully Cove. Tag a friend who needs to be here right now! #airbnb #ferngully_cove #weekendgetaway #relax #airbnbsuperhost…</t>
  </si>
  <si>
    <t>unminced words</t>
  </si>
  <si>
    <t>Family finds hidden camera livestreaming from Airbnb Ireland #airbnb #travel #vacation #airbnbhost #airbnbexperience #interiordesign #bedandbreakfast #vacationrental #homeaway #airbnbsuperhost #superhost #tripadvisor #trip #vrbo #instatravel #relax</t>
  </si>
  <si>
    <t>I'm a movie and television writer who found a fun way to share some thoughts and weirdness with you. Hope you dig it, shop &amp; share http://www.UnmincedWords.com</t>
  </si>
  <si>
    <t>SeaRanch-AbaloneBay</t>
  </si>
  <si>
    <t>How to Find Hidden Cameras in Your #Airbnb - With the latest news of the NZ family who found live streaming cameras in their Airbnb- this may become the must-have travel skill while on holiday</t>
  </si>
  <si>
    <t>The Sea Ranch, CA</t>
  </si>
  <si>
    <t>Oceanfront dog-passionate vacation rental in Sea Ranch. Enjoy golf, whale watching, diving, fishing, hiking. Owner: Donna Martinez</t>
  </si>
  <si>
    <t>Michael W. Barwick</t>
  </si>
  <si>
    <t>this story does not speak highly of the service provided by @Airbnb. their initial response is unacceptable and the fact that they reinstated the property owners that had the camera is outrageous. I would think twice before using #Airbnb. RT @cnni: Family finds hidden camera livestreaming from their Airbnb in Ireland</t>
  </si>
  <si>
    <t>🥝 🇳🇿🦊 🐻 Kathy🦌🐢🐧🇳🇿 🥝</t>
  </si>
  <si>
    <t>#Airbnb hidden camera: Family finds camera livestreaming from their rental - CNN  Have never used Airbnb bc of discrimination issues but one more reason not to. No recourse for customers.</t>
  </si>
  <si>
    <t>Rhode Island</t>
  </si>
  <si>
    <t>HistoryProf @ CCSU; JD, Duke'92; PhD, Yale'95. Author: Explaining Suicide: Patterns, Motivations &amp; What Notes Reveal. Creator: http://RelationshipTree.org.</t>
  </si>
  <si>
    <t>Greg Hackett</t>
  </si>
  <si>
    <t>WHAT THE ....It seemed like a normal Airbnb — until the Barkers saw themselves on a live video feed #travel_media #Airbnb #travel</t>
  </si>
  <si>
    <t>St Kilda, Victoria, Australia</t>
  </si>
  <si>
    <t>Travel columnist, journo, travel editor, writer, early onset osteoarthritis sufferer, and just trying to be nice to people.</t>
  </si>
  <si>
    <t>Alvin Lim</t>
  </si>
  <si>
    <t>#airbnb please think outside your room. Your ideas are getting stale.</t>
  </si>
  <si>
    <t>Creative Chairman, GPB Shanghai. Just an average man with space dreams.</t>
  </si>
  <si>
    <t>Marketing &amp; Social Media Buzz</t>
  </si>
  <si>
    <t>#Airbnb #guest found hidden #surveillance #camera by scanning #WiFi #network. | Ars Technica  ***** PLUS: Check out today's #Amazon #Deals &amp; #savemoney bigtime.  *****</t>
  </si>
  <si>
    <t>All about social media, marketing, &amp; related topics, + other subjects. Curated/presented by Terry Mansfield. Also see http://paper.li/Go2WebMarketin… #IFB</t>
  </si>
  <si>
    <t>Large 5Star #Florida #vacationhome with prival pool on #Airbnb Tropical #TommyBahama style - #VRBO April 05, 2019 at 10:00PM</t>
  </si>
  <si>
    <t>In Ottawa, the city needs short term rental regulations ASAP, if not Airbnb etc. will give it capital punishments #Airbnb #illegalhotel #housingcrisis #ottawa #canada #travel #tourism #str</t>
  </si>
  <si>
    <t>"The place was much bigger than expected and had all the amenities and was very clean, and most importantly warm on a cold night!" - Guest Review #Bowral #AirBnB</t>
  </si>
  <si>
    <t>Cliff Franks</t>
  </si>
  <si>
    <t>I had the pleasure of shooting this home for a AirBnB listing in Canal Fulton, Ohio. . Look up in AirBnB by "Tandem Trails in Historic Canal Fulton." . #tandemtrails #airbnb #historiccanalfulton #canalfultonairbnb #starkcountyairbnb #Clifffranks #BuckeyeDrone</t>
  </si>
  <si>
    <t>BUCKEYE DRONE EXPLORING THE WORLD FROM THE SKY……</t>
  </si>
  <si>
    <t>Robert James Gabriel 🇨🇦</t>
  </si>
  <si>
    <t>#Airbnb Anyone been in the spot where the landlord rents the hallway to people. Do you report this?</t>
  </si>
  <si>
    <t>🇮🇪 currently in 🇨🇦 I write open source code ⌨️ Made a few things @helperbird - @cleanmyhistory - @hiddencatorgies</t>
  </si>
  <si>
    <t>Family takes photo with hidden camera found in Airbnb - CNN Video #found #airbnb #cnn</t>
  </si>
  <si>
    <t>Family finds hidden #camera livestreaming from their #Airbnb in Ireland</t>
  </si>
  <si>
    <t>Julie Figueroa</t>
  </si>
  <si>
    <t>Family takes photo with hidden camera found in Airbnb - CNN ⁦@austinfig⁩ be careful out there #airbnb</t>
  </si>
  <si>
    <t>BALI SEMINYAK / PETITENGET Some dates still available in April. For further information please click on the airbnb link:  #seminyak #petitenget #bali #beach #villarental #villa #baliholiday #balilife #holiday #travel #luxuryvilla #vacation #airbnb</t>
  </si>
  <si>
    <t>MintPowers</t>
  </si>
  <si>
    <t>Family finds hidden camera livestreaming from their #Airbnb in #Ireland - CNN #GoT</t>
  </si>
  <si>
    <t>Cultural Analyst. Strategist. Ecumenically critical curator. Human, Eco, Screen &amp; Politics passionate. Arts, design, VR, SL love. Be Active. Views r mine.</t>
  </si>
  <si>
    <t>Sam Daniel</t>
  </si>
  <si>
    <t>Published a blog last year + am always happy when I get new followers. I got 3 new ones today and they aren't even family #saminthecity #bake #blog #bnb #bitch #Airbnb #TampaBay</t>
  </si>
  <si>
    <t xml:space="preserve">Tampa Bay, FL </t>
  </si>
  <si>
    <t>Dallas • Cincinnati • Tampa Bay *LIVING LIFE ONE f WORD AT A TIME* #food #fashion #florida #family #forty #fml</t>
  </si>
  <si>
    <t>StarLifestyle</t>
  </si>
  <si>
    <t>In countries where @Airbnb is regulated, there’s usually a limit on rental days for short-stay homes. Is this the best regulatory method? #Airbnb #shortstay #VM2020 #MalaysiaTrulyAsia</t>
  </si>
  <si>
    <t>Petaling Jaya, Malaysia</t>
  </si>
  <si>
    <t>Lifestyle portal of Star Media Group | Feature news on Entertainment, People, Style, Culture, Food, Health, Family, Living and Travel.</t>
  </si>
  <si>
    <t>Kozmic</t>
  </si>
  <si>
    <t>We finally made it. Shout out to this #Airbnb with the cute bunny towels. Eyes ... might be a little much 😅</t>
  </si>
  <si>
    <t>Data Analyst || Variety Streamer || TCG Content Creator (Argent Saga next!) ✉️ ➡️sixsagesgamingtcg@gmail.com streaming M-F @ 9pm EST.</t>
  </si>
  <si>
    <t>$55 ❤️💵❤️💵❤️ AIRBNB COUPON CODE 💵✈️💵 Here’s your chance for a free credit coupon discount and codes to travel for FREE. Click the link NOW. Please DM me if you have any issues. #airbnb #airbnbcode #airbnbdiscount #airbnbpromo #airbnbfree</t>
  </si>
  <si>
    <t>We’re excited about our Spring Condo Upgrade...Sign up to our #Airbnb management service this month &amp; get $500 to SUPER-UPGRADE YOUR AIRBNB!</t>
  </si>
  <si>
    <t>We manage your furnished Airbnb condo in an efficient and affordable way, with our technology &amp; excellent customer service...we are you AirBusyBees!</t>
  </si>
  <si>
    <t>Stephen McPhilemy</t>
  </si>
  <si>
    <t>My humble opinions on ‘ScareBnB’, the #airbnb hidden camera saga</t>
  </si>
  <si>
    <t>TV Tour-Guide. Hotelier. Travel-writer. Rick Steve’s Irish protégé</t>
  </si>
  <si>
    <t>iStonebrookVista</t>
  </si>
  <si>
    <t>Thisworked for me! Book your next #airbnb here and get $45 off your next trip</t>
  </si>
  <si>
    <t>Trelawny, Jamaica</t>
  </si>
  <si>
    <t>Stonebrook Vista is a desirable gated community in #Falmouth, #Jamaica. Home of olympic phenom #UsainBolt, Jamaica Jazz #Festival, a #cruiseship pier.</t>
  </si>
  <si>
    <t>l3onk3rs</t>
  </si>
  <si>
    <t>Spree is an interesting new way to partner up with brand that will make your Airbnb more cozy! looking forward to seeing how this plays out! #shorttermrentals #airbnb #spree #host #shorttermrentaluniveristy</t>
  </si>
  <si>
    <t xml:space="preserve">Toronto </t>
  </si>
  <si>
    <t>Niagara Caribe</t>
  </si>
  <si>
    <t>It worked for me! Book your next #airbnb here and get $45 off your next trip</t>
  </si>
  <si>
    <t>Niagara &amp; the Caribbean</t>
  </si>
  <si>
    <t>The Niagara Caribbean Connection. Connecting Canada's Niagara Region with its Caribbean Family.</t>
  </si>
  <si>
    <t>ROUTz Burlington</t>
  </si>
  <si>
    <t>“When I was young I observed that nine out of every ten things I did were failures, so I did ten times more work”</t>
  </si>
  <si>
    <t>ROUTz Niagara</t>
  </si>
  <si>
    <t>Book your next #airbnb here and get $45 off your next trip</t>
  </si>
  <si>
    <t>Niagara Falls, Ontario</t>
  </si>
  <si>
    <t>Kimspiracy</t>
  </si>
  <si>
    <t>#Airbnb hidden camera: Family finds camera livestreaming from their rental</t>
  </si>
  <si>
    <t xml:space="preserve">Twitter Purgatory </t>
  </si>
  <si>
    <t>‘Censorship is the child of fear and the father of ignorance.’-L. Anderson #dontlearntocode</t>
  </si>
  <si>
    <t>#sunset in #puertomorelos #dove #nofilter #stepstothebeach Link in bio #puertomorelos #mexico #youshouldbehere #casadelosviajeros #vacationrental #airbnb #vrbo #homeaway #doyoutravel #travelandlife #traveldeeper #travel #travelphotography #travelblogger #vacationmode #vaca…</t>
  </si>
  <si>
    <t>Brilliant Nightscapes this Sunday night. Bring a tripod. #Airbnbexperies #nyc #brooklyn #airbnb #nightphotography #photoworkshop #phototours #teampixel #canon #nikon #travel #architecture</t>
  </si>
  <si>
    <t>Happiness is ... ⏰⏰⏰ #holidayrentalagency #holidayrental #airbnb #friyay #WeekendVibes</t>
  </si>
  <si>
    <t>AmericKim</t>
  </si>
  <si>
    <t>So no police report can be filed, ACORN will do nothing. Fingers crossed insurance will@soon be paid on stolen@item #thevolte #Airbnb #fashion</t>
  </si>
  <si>
    <t>I am an American mom, DIYer, blogger who lives in Australia. I love to share the tips and tricks for surviving down under.</t>
  </si>
  <si>
    <t>Do you have the purr-fect home for short term stays? L'Abode are continuing to manage a stunning collection of properties nation wide. Get in touch + have a chat! . . #weekend #luxuryhomes #labodeaccommodation #homehost #airbnb</t>
  </si>
  <si>
    <t>#sunset in #puertomorelos #dove #nofilter #stepstothebeach Link in bio #puertomorelos #mexico #youshouldbehere #casadelosviajeros #vacationrental #airbnb #vrbo #homeaway #doyoutravel #travelandlife #traveldeeper #travel #travelphotography #travelblogge…</t>
  </si>
  <si>
    <t>Website Clones</t>
  </si>
  <si>
    <t>Are you planning to create your own #website and #app like #Airbnb?  #vacationrentals #ondemand #startups #entrepreneur #OpenSource #hotel #booking #tour #trip #Vacations #Business #travel #Bistrostays #atsocialbiz #airbnbclone</t>
  </si>
  <si>
    <t>Rajkot, Gujarat</t>
  </si>
  <si>
    <t>Buy ready-made licensed script of websites #websiteclones OR get it custom developed from #NCrypted.</t>
  </si>
  <si>
    <t>There's always tomorrow, and still we're able to work toward dreams today. I look down and my most creative #airbnb experience has preserved this reminder. A bearnose treasure.</t>
  </si>
  <si>
    <t>Mattias Clymer</t>
  </si>
  <si>
    <t>Short Term Rentals - What you need to know and an investment opportunity that returns 33%! #Airbnb #HarrisonburgVA #VRBO #RockinghamCountyVA #Investment #RealEstate</t>
  </si>
  <si>
    <t>Harrisonburg, VA</t>
  </si>
  <si>
    <t>Mattias Clymer, REALTOR® Funkhouser Real Estate Group 401 University Blvd Harrisonburg, VA 22802 Licensed In The Commonwealth of Virginia</t>
  </si>
  <si>
    <t>Hayley Catt</t>
  </si>
  <si>
    <t>If you've never stayed at an @Airbnb, do yourself a favor and do it! We stayed at one in #Niagara last weekend and were able to relax, chat and enjoy each other's company, which isn't as easy to do in a hotel. Sign up for #AirBNB today:</t>
  </si>
  <si>
    <t>wanderer • saved by grace • single foster mom #cattpartyoftwo • social + photography for @namb_sbc by day • disney travel agent by night • 🤹🏼‍♀️</t>
  </si>
  <si>
    <t>First Time ❤️🧡💙💜💚💵💸✈️⚠️ Airbnb $55 coupon promo referral code :) Get your discount credit on your first trip Click the link NOW 💸💸💸—-&gt;✈️ #airbnb #airbnbcode #airbnbdiscount #vacation #trips #travel #getaway</t>
  </si>
  <si>
    <t>TheUrbanCEO</t>
  </si>
  <si>
    <t>AirBNB Rental in the shadows of downtown Houston coming on market in 2 weeks! #airbnb #visithouston #movetohouston</t>
  </si>
  <si>
    <t>I Design, Build &amp; Renovate Amazing 🏡🏠 in the Hood! / Real Estate Investor 🏚 / Developer 🏘</t>
  </si>
  <si>
    <t>The Annoying Peasant</t>
  </si>
  <si>
    <t>The Barkers checked into an Airbnb — and then discovered they were being watched  #AirBNB #spyware #Ireland</t>
  </si>
  <si>
    <t>Victoria Australia</t>
  </si>
  <si>
    <t>Perspective depends on which side of the barbed wire fence you sit,or indeed,if you are sitting on it! #Atheist #Pict descendant #eclectic</t>
  </si>
  <si>
    <t>An exclusive opportunity with the Airbnb client program is currently available. Help Airbnb hosts and guests have unforgettable trip experiences! Enroll today  . #Airbnb #Opportunity #CallCenter</t>
  </si>
  <si>
    <t>FREE 💲55 AIRBNB COUPON CODE💵💸💵. Here’s your chance for a free credit coupon and codes to travel for FREE. Click the link NOW. Please DM me if you have any issues. #airbnb #airbnbcode #airbnbdiscount #airbnbpromo #airbnbfree</t>
  </si>
  <si>
    <t>La Fête Chic</t>
  </si>
  <si>
    <t>"Frivolité Vendredi" - Friday Frivolity! 5 Unforgettable Paris Sleepovers in case you don’t win that Night at the Louvre:  #Airbnb #TheLouvre #Paris</t>
  </si>
  <si>
    <t>La Fête Chic provides full service event planning, coordination, and floral design.</t>
  </si>
  <si>
    <t>Go on, tell me "Leonard" and "David" are different people:   The @CityofVancouver issued two STR licenses (19-162478, 19-162477) to "Li-Yen Fu" and "Li-Te Fu" three days apart. #vanre #strathcona @ptfry @VanMayorsOffice #AirBNB</t>
  </si>
  <si>
    <t>E.J. Brennan</t>
  </si>
  <si>
    <t>At this point, you can pretty much assume when you rent an @aribnb there are hidden cameras - and #airbnb doesn't really care. Apparently they are using #uber as there ethics model.</t>
  </si>
  <si>
    <t>New England</t>
  </si>
  <si>
    <t>Certified AWS Solution Architect &amp; Developer, C# &amp; .Net / SQL Server developer, API and AWS junkie, Umbraco CMS certified.</t>
  </si>
  <si>
    <t>Surfriders Academy</t>
  </si>
  <si>
    <t>Katie and Max share there experience 😉#surfing #lessons today in #surfcity #huntingtonbeach #surfridersacademysurfschool #ocsurfcoach #vacation #tripadvisor #airbnb #travelstyle #funtimes #goodtimes</t>
  </si>
  <si>
    <t>Huntington Beach</t>
  </si>
  <si>
    <t>Long time ocean resident in the water ! Born and raised to SURF ! I teach surfing professionally,Thank you LORD for giving me Surfing !!!</t>
  </si>
  <si>
    <t>SW Flamingo Rd</t>
  </si>
  <si>
    <t>Are you so ready to become an official Airbnb host? #HereForYou #General #Business #USA #Jobs #Airbnb #Host</t>
  </si>
  <si>
    <t>Las Vegas, NV 89121</t>
  </si>
  <si>
    <t>Storage West Self Storage Las Vegas, NV. Las Vegas mini storage available. Come store with us! Hours: Mon - Sat, 9.00am-6.00pm. Closed on major holidays.</t>
  </si>
  <si>
    <t>LeithDocksHQ</t>
  </si>
  <si>
    <t>#AirBNB’r’s thought their eighties looking sofa was rather uncomfortable so they #flytipped it outside 374 Easter Road (nearest number). @edinhelp could you please come and collect this? @litterfreeleith #Edinburgh #Leith</t>
  </si>
  <si>
    <t>Allison</t>
  </si>
  <si>
    <t>Already know my next 3 nights will ABSOLUTELY suck due to the horrifyingly rude msgs and requests my #AirBNB guest has already started sending me, an hour prior to her arrival.</t>
  </si>
  <si>
    <t>Public figure, therapist, PhD 22. STOP showing my show (all of u!)- after 11 yrs it STILL disrupts/ruins a great deal of my life &amp; it doesn’t feel worth it.</t>
  </si>
  <si>
    <t>“This is not a problem we have ever had before - in fact we have found most #Airbnb hosts and accommodation to be fantastic, so this has been such a shock to us."</t>
  </si>
  <si>
    <t>Josh Minico</t>
  </si>
  <si>
    <t>Anyone know of a good property management company that handles short-term rentals for properties on airbnb, vrbo, and homeaway? #airbnb #vrbo #homeaway #investor #propertymanagers #exprealty #ownit</t>
  </si>
  <si>
    <t>#Airbnb guest found hidden surveillance camera by scanning Wi-Fi network - #cybersecurity #privacy</t>
  </si>
  <si>
    <t>FREE $55 First Time Airbnb COUPON code ❤️💸❤️! Sign up with the coupon link below to receive a $55 discount code with your first Airbnb. Please DM me if you have any issues. #airbnb #airbnbcode #airbnbdiscount #airbnbpromo #airbnbfree</t>
  </si>
  <si>
    <t>Sawyer Sheldon</t>
  </si>
  <si>
    <t>This is just one of many similar stories I have heard, and it makes me think I will probably not stay in #Airbnb's anymore. Family finds hidden camera live streaming from their @Airbnb in Ireland @CNNI</t>
  </si>
  <si>
    <t>Photographer, just trying to make art &amp; a living.</t>
  </si>
  <si>
    <t>Teo</t>
  </si>
  <si>
    <t>A: This is terrifying. Anyone who hides a camera in an #Airbnb deserves to go to jail and be tarred and feathered. So fucking creepy and the lead in to a horror movie. 'Airbnb Has a Hidden-Camera Problem' ~ @sidneyfussell</t>
  </si>
  <si>
    <t>New York City, NY</t>
  </si>
  <si>
    <t>Reposting the best articles on the internet, film reviews, book reviews, a side of jokes, a dash of cat memes. #Astoria #NYC</t>
  </si>
  <si>
    <t>Neal Adkins</t>
  </si>
  <si>
    <t>.@Airbnb customer service is a joke. We had major issues with our #London stay and they did absolutely nothing. Now I read this article and looks like I’m not the only one with crap customer support. #AirBnB #Travel</t>
  </si>
  <si>
    <t>Music | Gaming | Dogs</t>
  </si>
  <si>
    <t>Spring time means we get to fill all our flower pots! These sedum brighten up the entrance to Fernwood Cabin and provide some lovely texture too. @ Deep Gap #airbnb #homeaway #boone</t>
  </si>
  <si>
    <t>Tulip Penney</t>
  </si>
  <si>
    <t>Family finds #hidden #camera in #Airbnb's #smoke #alarm</t>
  </si>
  <si>
    <t>Penchant for poodles. Enjoy good food. Need fitness for fashion. Love culture &amp; travel. Strive for social justice. *NO PORN*</t>
  </si>
  <si>
    <t>Justin S</t>
  </si>
  <si>
    <t>‘We Know Them. We Trust Them.’ #Uber and #Airbnb Alumni #Fuel #Tech’s Next Wave.</t>
  </si>
  <si>
    <t>Justin Shimoon, entrepreneur and creator of @hushedapp - believer of all things private and anonymous.</t>
  </si>
  <si>
    <t>Good morning from Tokyo vacation rental land loaf #airbnb👄</t>
  </si>
  <si>
    <t>AirBnb is on track to be a $3B/year industry. Here are tips to get a bigger piece of the pie.  #airbnb #vrbo #passiveincome #investmentproperty #realestate #moremoney #FridayFeels #dosanddonts #LifeHacks #toptips #Billions #investments #NeedtoKnow #winning</t>
  </si>
  <si>
    <t>J. The Jewish News</t>
  </si>
  <si>
    <t>On our readers' minds this week: &gt; #Airbnb, for and against &amp;gt; #IlhanOmar, for and against &amp;gt; Trump right about #Golan &amp;gt; #AIPAC tilts right</t>
  </si>
  <si>
    <t>J. The Jewish News of Northern California is the Jewish community newspaper of the San Francisco Bay Area and beyond. Most tweets by @davidamwilensky.</t>
  </si>
  <si>
    <t>Storage West Cardiff</t>
  </si>
  <si>
    <t>The truth of being a great Airbnb host. See if it is right for you #HereForYou #General #Business #USA #Jobs #Airbnb #Host</t>
  </si>
  <si>
    <t>Cardiff, CA 92007</t>
  </si>
  <si>
    <t>Storage West Self Storage Cardiff, CA. Come store with us! Located in Cardiff by the Sea, near Encinitas. Hours: Mon - Sat, 9am to 6pm. Closed major holidays.</t>
  </si>
  <si>
    <t>Siobhán O'Dowd</t>
  </si>
  <si>
    <t>Watching @rtenews about covert surveillance in #Airbnb and remembering @damienmulley warned about this weeks ago!</t>
  </si>
  <si>
    <t>Cork (Kerry at heart)</t>
  </si>
  <si>
    <t>Community worker, seeking change, into politics with small 'p'.</t>
  </si>
  <si>
    <t>SpilltoJill</t>
  </si>
  <si>
    <t>Book a #Magical #Getaway at This #HarryPotter-Themed #Airbnb</t>
  </si>
  <si>
    <t>Boynton Beach, Florida</t>
  </si>
  <si>
    <t>loves deliciousness of @charmcityburger &amp; @eljefeluchador &amp; @RebelBoca.</t>
  </si>
  <si>
    <t>CORE_rdg</t>
  </si>
  <si>
    <t>Don’t miss the most recent edition of berksbar with an in-depth article navigating the #airbnb trend in our municipalities co-authored by kozloffstoudt attorneys Joan London and…</t>
  </si>
  <si>
    <t>Reading, PA</t>
  </si>
  <si>
    <t>CORE is an emerging community and economic force. We are dedicated to defining the amazing things that represent Greater Reading. Join us.</t>
  </si>
  <si>
    <t>V Krishnaswamy</t>
  </si>
  <si>
    <t>Airbnb hidden camera: Family finds camera livestreaming from their rental - CNN #airbnb should be taken to the cleaners. I am pissed of these creeps and perverts and @aribnb brushing it off is pits</t>
  </si>
  <si>
    <t>23 Multi-disc Games; 21 Majors; Golf writer/consultant; Author of book 'Sachin Hundred Hundreds Now'; Fmr Sports Editor Indian Express and Pioneer</t>
  </si>
  <si>
    <t>Aimee Mae</t>
  </si>
  <si>
    <t>Meh. I care about stuff.</t>
  </si>
  <si>
    <t>#OBXWIND2019 North America's premiere #windsurfing event is back! Check out #Airbnb for a place to stay while you're here!</t>
  </si>
  <si>
    <t>LAUNDRY</t>
  </si>
  <si>
    <t>Play Ball! #laundryla #airbnb #vector #2d #motiongraphics</t>
  </si>
  <si>
    <t>Artists. Misfits. Wild cards. Experts of the unexpected. We are Laundry, a design, animation &amp; production company.</t>
  </si>
  <si>
    <t>La Casa at Woods Crossing is now accepting reservations.  #airbnb #vrbo #superhosts #MissouriAdventure</t>
  </si>
  <si>
    <t>Heading to #LittleRockAFB for #C130 training? We have several crash pads in the area and we'd love to have you. Relax in style in between classes and flights! #realestate #crashpad #airbnb #hotel #militarylodging #design #decorator #crashlife #corporatehousing #militarycrashpad</t>
  </si>
  <si>
    <t>Heading to #LittleRockAFB for #C130 training? We have several crash pads in the area and we'd love to have you. Relax in style in between classes and flights! #realestate #crashpad #airbnb #hotel #militarylodging #crashlife #furnishedapartment #corporatehousing #militarycrashpad</t>
  </si>
  <si>
    <t>Jara Zeimer</t>
  </si>
  <si>
    <t>I promise I didn’t break into Kylie Jenner's home ••• #Fancy #Aesthetic #KylieJenner #DreamBathroom #Goals #Mirrors #Flowers #AirBnB #IWantThis #TeenModel #ActorsLife #MirrorPic #Vintage #Retro</t>
  </si>
  <si>
    <t>16 year old a-class procrastinator that enjoys pretending to be other people for a living 🥰 @NBCTimeless • @HighCastleTV • @ColonyUSA • @CW_Arrow</t>
  </si>
  <si>
    <t>frank walter</t>
  </si>
  <si>
    <t>Family finds hidden camera livestreaming from their #Airbnb in Ireland. Company mishandled situation. #bad</t>
  </si>
  <si>
    <t>Washington, D.C. area</t>
  </si>
  <si>
    <t>Head of Communications for P4G, a new initiative housed at the World Resources Institute. Views are my own. https://www.linkedin.com/in/fwalterdc/</t>
  </si>
  <si>
    <t>Christopher Kline</t>
  </si>
  <si>
    <t>Check out this awesome Entire apartment on @Airbnb: Private apartment...Minutes from #LU!, sleeps 4 #LibertyUniversity #UniversityofLynchburg #airbnb #shorttermrental #DDay75 #Bedford</t>
  </si>
  <si>
    <t>Lynchburg, VA</t>
  </si>
  <si>
    <t>Adjunct Instructor of #History, #Historian #diplomacy #foreignpolicy #teachonline #highered #realestate #ESL #TEFL- MA, History; MA, Diplomacy; TEFL</t>
  </si>
  <si>
    <t>News Radio 570 WWNC</t>
  </si>
  <si>
    <t>Family Shocked To Find #HiddenCamera In Living Room Of Their #Airbnb</t>
  </si>
  <si>
    <t>Western North Carolina's News &amp; Information Station</t>
  </si>
  <si>
    <t>So Cal Realty &amp; PM</t>
  </si>
  <si>
    <t>The new stadium brings sweeping gentrification. Landlords compete with potential #AirBnB investors looking to host guests of 17 home games ( 2 NFL teams ). Inglewood City Council has a complicated situation to balance. #LosAngelesRams #LosAngelesChargers</t>
  </si>
  <si>
    <t>Southern California</t>
  </si>
  <si>
    <t>So Cal Realty &amp; Property Management Kevin Gibbs | Broker Lic #01860588 SUBSCRIBE http://www.YouTube.com/SoCalRealty</t>
  </si>
  <si>
    <t>Capstone</t>
  </si>
  <si>
    <t>3 things to know about Airbnb's stake in an Indian unicorn | PitchBook  via @PitchBook #mergers #acquisitions #Airbnb</t>
  </si>
  <si>
    <t>Top consulting firm specializing in growth strategies and Mergers &amp; Acquisitions for the middle market. We help companies GROW! Follow our CEO @CapstoneStrat</t>
  </si>
  <si>
    <t>📌Welcome back ! It makes me very happy if my guests are visiting us for the 2nd time ! 👍🏼🚴🏼‍♂️🚴🏻‍♂️🚴🏼‍♂️🚴🏻‍♂️ #deronde #kortrijk #igkortrijk #blvrd15 #airbnb #superguests #superhost…</t>
  </si>
  <si>
    <t>Storage West Phoenix</t>
  </si>
  <si>
    <t>Ever wonder what it takes first to become an Airbnb host? #HereForYou #General #Business #USA #Jobs #Airbnb #Host</t>
  </si>
  <si>
    <t>Phoenix, AZ 85022</t>
  </si>
  <si>
    <t>Storage West Self Storage Phoenix, AZ. Excellent storage in Phoenix. Come store with us! Hours: Mon - Fri, 9am to 6pm. Sat, 9am to 5pm. Closed on major holidays</t>
  </si>
  <si>
    <t>Motofe</t>
  </si>
  <si>
    <t>I’m now wary of #Airbnb so should you @Gidi_Traffic</t>
  </si>
  <si>
    <t>Thanks to Twitter, never before have so many, said so little, so often.</t>
  </si>
  <si>
    <t>LBG</t>
  </si>
  <si>
    <t>Thanks @Ibizarockshotel for being our saving grace when @Airbnb failed us AGAIN! Continuously bad customer service - that’s the last time using #airbnb !</t>
  </si>
  <si>
    <t>Learning how to adult! 😳</t>
  </si>
  <si>
    <t>JAWAHAR CHHODA</t>
  </si>
  <si>
    <t>#Caution #Airbnb #clients. You might be under the #scanner.</t>
  </si>
  <si>
    <t>I am with the media. I have worked with newspapers, magazines, radio and TV.</t>
  </si>
  <si>
    <t>Deirdre Kilroy</t>
  </si>
  <si>
    <t>This will be an interesting one #Airbnb #intermediary #ecommercedirective #article15 RT @finck_m: It looks like AG Szpunar will deliver his opinion in C-390/18 on 30 April. In this case, the #ECJ has to decide whether @Airbnb is an information society service (subject to the E-Commerce Directive) or a real estate brokerage service subject to French law.</t>
  </si>
  <si>
    <t>Technology &amp; Innovation lawyer @Mathesonlaw, personal account focused on #IP, digital single market, technology. Interested in #AI #blockchain &amp; #IoT. 🐛🦋🐞🐝</t>
  </si>
  <si>
    <t>Maître Ashvin Krishna Dwarka - Notaire</t>
  </si>
  <si>
    <t>#AirBnB: formerly an exploiter of loopholes in regulations and #tax laws, now a Revenue Authority assistant 😂. Guess the apostles of #disruption and #disintermediation will all eventually realise that laws and regulations exist for a very valid reason in civilised societies... RT @TaxNotes: The Danish Parliament has finalized a historic agreement with @Airbnb, under which the home-sharing platform will automatically report Danish hosts’ rental income to the tax authority starting in 2021.</t>
  </si>
  <si>
    <t>République de Maurice</t>
  </si>
  <si>
    <t>Ex-@Freshfields (Paris), #Notaire à Maurice, spécialisé en #patrimoine, #DIP et #fiscalité internationale. Auteur, conférencier #tax #Blockchain #LegalTech</t>
  </si>
  <si>
    <t>👩🏻‍💻Ivy Mukherjee</t>
  </si>
  <si>
    <t>Our #airbnb in #Prague - All these furnitures are from the 1860s and gives such a rustic feeling to it 🤯</t>
  </si>
  <si>
    <t>Currently France</t>
  </si>
  <si>
    <t>Ex Product Designer @Shopify (Growth), @Olacabs (Driver-Partners ecosystem) &amp; @Grofers (hyper local delivery)▪️Featured in @womenwhodesign 👩🏽‍💻</t>
  </si>
  <si>
    <t>The English Post</t>
  </si>
  <si>
    <t>Family finds hidden camera livestreaming in #Airbnb</t>
  </si>
  <si>
    <t>Find crispy stories here on The English Post Dot Com. Send your write ups to connectwithep@theenglishpost.com</t>
  </si>
  <si>
    <t>💡Weekly #Airbnb Tips Rainy days can bring down the vacation mood of your guests. An umbrella and a couple of spare rain jackets stored in your rental for such cases can save the day ☔ Discover more tips here:</t>
  </si>
  <si>
    <t>.@Airdna reveals the best places to invest in Europe if you're looking for a vacation rental opportunity:  #airbnb #shorttermrental #vacationrentals</t>
  </si>
  <si>
    <t>#Repost seaestavilla_airbnb ・・・ 🍹✌🏽 GO WHERE THE WiFi IS WEAK AND THE RUM IS STRONG ✌🏽🍹 . FOLLOW👇🏽👇🏽 🇯🇲🌼 👉🏽 seaestavilla_airbnb 👈🏽 #airbnb in #ochoriosjamaica…</t>
  </si>
  <si>
    <t>“Love hard when there is love to be had. Because perfect guys don’t exist, but there’s always one guy that is perfect for you.” ― Bob Marley ⠀ #proudlyswazi #eSwatini #Swaziland #Manzini proudlyswazi #mountaininn #airbnb #beautifuldestination #cinematography #blackart #African</t>
  </si>
  <si>
    <t>Daily Hive Montreal</t>
  </si>
  <si>
    <t>One of the most famous museums in the world is becoming an #Airbnb for one night 😱</t>
  </si>
  <si>
    <t>Connecting you to Montreal. This is your city. | Send us your story: montreal@dailyhive.com | Follow us on Instagram: @dailyhivemontreal</t>
  </si>
  <si>
    <t>From Texas to Beyond</t>
  </si>
  <si>
    <t>Did you know that in addition to our travel blog, we also runs a cozy @Airbnb in #FortWorth, #Texas? Come @VisitFortWorth and stay at our #Airbnb as temporary locals! For more information, click the link below! Hope to see you soon! #VisitTexas #FromTexas</t>
  </si>
  <si>
    <t>Fort Worth, TX</t>
  </si>
  <si>
    <t>Greetings from #Texas! We are Isaac, Rebekah &amp; David &amp; we love sharing our #stories, #adventures &amp; #photography from travels at Home &amp; #Beyond. Explore with us!</t>
  </si>
  <si>
    <t>Adam12Sweathog</t>
  </si>
  <si>
    <t>People finding “hidden” cameras in their #Airbnb should no longer be news. People not finding cameras there ought to be news.</t>
  </si>
  <si>
    <t>ROCK Radio DJ/Newscaster/Voiceover Guy from Raleigh-Buffalo-Rochester-Jersey. And beer. Always beer. http://www.facebook.com/adam1296rock</t>
  </si>
  <si>
    <t>Bernie Leinfelder</t>
  </si>
  <si>
    <t>Family finds hidden camera livestreaming from their Airbnb in Ireland @CNN  #airbnb #secretcamera #privacy #spying #customerservice #inept</t>
  </si>
  <si>
    <t>I'm half bored, half fascinated. - Jesse Eisenberg's character, commenting on Los Angeles (Cafe Society)</t>
  </si>
  <si>
    <t>David Braun</t>
  </si>
  <si>
    <t>CEO &amp; Founder of Capstone (@GrowthEngineers) | Growth Consultant | Author | Speaker | Read my blog at http://SuccessfulAcquisitions.net</t>
  </si>
  <si>
    <t>Daily Hive Vancouver</t>
  </si>
  <si>
    <t>Vancouver</t>
  </si>
  <si>
    <t>The evolution of Vancity Buzz. This is your city. | Send us your story: vancouver@dailyhive.com | Follow us on Instagram: @dailyhivevancouver</t>
  </si>
  <si>
    <t>Book your stay at Bed &amp; Breakfast near Morjim beach Spacious room with kitchen #airbnb #morjimbeach #Travel #goavacation #Goa</t>
  </si>
  <si>
    <t>Mélissa Chouikrat</t>
  </si>
  <si>
    <t>No alarms and no surprises...#airbnb ignored this family’s complaint probably hoping they’d go away. No matter how much they may apologize for their substandard handling of this the lesson learned is that at the core they do not care about people. RT @IrishTimes: Family found hidden live cam in Airbnb in Cork after trying to connect to wifi</t>
  </si>
  <si>
    <t>CISSP, CCSK. Supporter @FirstFortnight, France 🇫🇷 Algeria 🇩🇿Ireland 🇮🇪 voice @SacrebluesBand. Views are my own. Following is not endorsing.</t>
  </si>
  <si>
    <t>Daily Hive Calgary</t>
  </si>
  <si>
    <t>The evolution of Calgary Buzz. This is your city. | Send us your story: calgary@dailyhive.com | Follow us on Instagram: @dailyhivecalgary</t>
  </si>
  <si>
    <t>Suze ❤️</t>
  </si>
  <si>
    <t>Them Cork weirdos and their secret camera in their Air B&amp;B #Airbnb #Cork wtf like 😎😒</t>
  </si>
  <si>
    <t>#adoptdontshop ❤ music lover #dogs animal lover .red wine 🍷</t>
  </si>
  <si>
    <t>#WestWashPark #DollHouse zoned for 2 Units, Walk to #SoBo #SouthBroadway #AirBnB #DuplexPotential 3BR/3BA 2,500 SF $725K</t>
  </si>
  <si>
    <t>ideas4hotels</t>
  </si>
  <si>
    <t>#Airbnb Is Turning the Louvre into an Apartment -  #contest</t>
  </si>
  <si>
    <t>München</t>
  </si>
  <si>
    <t>Digital Hotel Marketing Strategy, Website Docs, Website Relaunch, E-Distribution Strategy, Social Media, Online Reputation Management. Workshops &amp; Seminars</t>
  </si>
  <si>
    <t>Easyvoyage UK</t>
  </si>
  <si>
    <t>Spend the night with Mona Lisa: Airbnb is offering a sleepover at the Louvre 🖼️🎨💤 ➡️  #Louvre #Paris #Airbnb #travel #MagnifiqueFrance</t>
  </si>
  <si>
    <t>Easyvoyage UK is your reference for ultimate #travel advice, the best #hotels and the most beautiful #destinations to visit all over the globe! ✈️🌍</t>
  </si>
  <si>
    <t>Newgreenpark</t>
  </si>
  <si>
    <t>Public demand we are started a Special Irani chai ,visit our hotel New green park Restaurant Taste the special Irani chai Visit our website  for our menu . #affordable #accommodation #AbuDhabi #Ahmedabad #airbnb #TEA #IraniChai #Iranians #TDPPartnerPawan</t>
  </si>
  <si>
    <t>Medchal, India</t>
  </si>
  <si>
    <t>Newgreenparkrestaurant opening shortly at medchal NH44 Near outer ring road.</t>
  </si>
  <si>
    <t>Very tranquil #comfortcottagehealing #visitwales #dogfriendly #TheDogsWithMe #alpacas #ArtsWales #SunDogs #Airbnb #yell RT @ruthwignall: One to soothe this Friday afternoon... really beautiful! #wildlife #wildlifephotography #birdlife</t>
  </si>
  <si>
    <t>Todd B. Bates</t>
  </si>
  <si>
    <t>Family finds hidden camera livestreaming from their Airbnb in Ireland @CNN  #Airbnb #privacy</t>
  </si>
  <si>
    <t>New Brunswick, New Jersey</t>
  </si>
  <si>
    <t>Science Communicator @RutgersU, former 35-yr journalist (enviro/investigative/health @AsburyParkPress, The Home News, etc.), hockey player from ROC. RTs ≠ agree</t>
  </si>
  <si>
    <t>Rachael Moshman</t>
  </si>
  <si>
    <t>I highly recommend going to a conference across the country for something you are passionate about and renting an #Airbnb with 10 strangers, then hanging outside in an awesome cabana in…</t>
  </si>
  <si>
    <t>Blogger at #ramblingrach, freelance writer, finally finding myself</t>
  </si>
  <si>
    <t>Science fiction Friday in the Dana Room here at The Elvis House. #theelvishouse #theelvishousewaco #waco #tx #texas #storytime #sciencefiction #elvis #rocknroll #history #music #comevisit #comeandstay #airbnb #getaway #friday #almosttheweekend</t>
  </si>
  <si>
    <t>A 15th century castle in #Ireland is the most popular private room in #Airbnb history</t>
  </si>
  <si>
    <t>What investing in #NorthMiami could look like: 🌴 Rental 360 5/1 ARM 🌴 $135,000 Loan Amount 🌴 Purchase With rates at the lowest they've ever been historically - there's no time to waste. Connect with your designated Account Executive today! #investor #mortgagebroker #airbnb</t>
  </si>
  <si>
    <t>Mick Caul</t>
  </si>
  <si>
    <t>First world problems...try facing having to take your family to a Garda Station at 10 o'clock at night because you have been priced out of your own city by #Airbnb</t>
  </si>
  <si>
    <t>Dublin,Ireland</t>
  </si>
  <si>
    <t>Interested in community - campaign against water privatisation #not1pipe Created #MyNameis campaign to highlight child homelessness. #not1home #Socdems</t>
  </si>
  <si>
    <t>Performance Property Management</t>
  </si>
  <si>
    <t>How Airbnb Is Clashing With Toronto Condo Residents  #airbnb #torontocondos</t>
  </si>
  <si>
    <t>Downtown Toronto, GTA, Vancouv</t>
  </si>
  <si>
    <t>A boutique Property Management Firm and Real Estate Brokerage specializing in leasing, management, purchase and sales, and investment consulting.</t>
  </si>
  <si>
    <t>Sleeping Dahlia</t>
  </si>
  <si>
    <t>Why does @Airbnb pretend to care about the safety &amp; privacy of their community when they CLEARLY don’t give a damn!? They only care when they’re exposed for the profit-over-safety greedy a$$holes they are. Shame on you! #Airbnb</t>
  </si>
  <si>
    <t>MI, USA | FL, USA</t>
  </si>
  <si>
    <t>Vegan. Nerd. Weapons Enthusiast. Multi-Lingual 🇺🇸🇨🇭🇩🇪🇧🇦🇫🇷. Earth-Lover. Palm-Tree Hugger. Lushie. A little left of center. 🐘 #ME</t>
  </si>
  <si>
    <t>12 Mile Geo</t>
  </si>
  <si>
    <t>Risks in living in someone's space. #privacy Family finds hidden camera livestreaming from their #Airbnb in Ireland</t>
  </si>
  <si>
    <t>Portland and other locations.</t>
  </si>
  <si>
    <t>Biogeographer by training. Cartographer and IT serf for work. Mad Scientist is just a hobby. These are things that interest me.</t>
  </si>
  <si>
    <t>808 Maid LLC</t>
  </si>
  <si>
    <t>Our @808maidllc services is the best in the cleaning business.✨⠀⠀⠀⠀⠀⠀⠀⠀⠀ ⠀⠀⠀⠀⠀⠀ #flashmop #perthcleaners #sydneycleaners #perthlocalbusiness #springclean #airbnbhomes #airbnb #cleanhome #cleaner #cleaning #cleaners #cleanhouse #perthlifestyle #perthbusiness</t>
  </si>
  <si>
    <t>At 808 Maid LLC we specialize in providing high quality cleaning service, for Vacation Rentals and Residence as well as general Janitorial &amp; maid Service.</t>
  </si>
  <si>
    <t>AOC</t>
  </si>
  <si>
    <t>We talk about searching for hidden cameras in #Airbnb &amp; #hotels in this @USATODAY article:  RT @cnni: Family finds hidden camera livestreaming from their Airbnb</t>
  </si>
  <si>
    <t>Security Mgmt Consultancy- US Special Forces veterans w/ #global reach engaged in #UHNW #security assessments, #travel #risk #management, #intelligence &amp; more.</t>
  </si>
  <si>
    <t>Some great tips for Holiday Lets.. "Keeping Demanding Guests Happy"  #airbnb #cleaningservice #housekeepingservice #cotswolds #worcestershire #gloucesterhisre</t>
  </si>
  <si>
    <t>Getting my mom in shape , and keeping her motivated has been a top priority in my life.   #Airbnb #airbnbaustralia #airbnbhost #bnbhostguru</t>
  </si>
  <si>
    <t>Anne Dalfiume</t>
  </si>
  <si>
    <t>Family finds hidden camera livestreaming from their Airbnb in Ireland - CNN #Airbnb #privacy #hiddencamera</t>
  </si>
  <si>
    <t>Helping the economy; one business at a time!</t>
  </si>
  <si>
    <t>$55 Airbnb code coupon promo discount first. $55 OFF CLICK LINK NOW! Try it. Please DM me if you have any issues. #airbnb #airbnbcode #airbnbdiscount #airbnbpromo #airbnbcoupon #BillyRayCyrus #OldTownRoad #FridayFeeling #80sMusicTaughtMe</t>
  </si>
  <si>
    <t>ashley</t>
  </si>
  <si>
    <t>Interesting case discussion this morning about #marriott and #airbnb 💭💡#diginHBS #LifeatHBS</t>
  </si>
  <si>
    <t>👩🏼‍💻: Social Media for @HarvardHBS ⭐️: Reality TV enthusiast. 💡: Random thoughts</t>
  </si>
  <si>
    <t>cosmic american llc</t>
  </si>
  <si>
    <t>flexxbronco psychedelic_warlord broncoscasita_jtree Morning Jamz #broncoscasita #joshuatree #desertlife #airbnb #cabin #stayhere #highdesert #takeiteasy #relax #mellowslow #sunshower…</t>
  </si>
  <si>
    <t>The Bay Area</t>
  </si>
  <si>
    <t>Sachin Joshi</t>
  </si>
  <si>
    <t>Family finds hidden camera livestreaming from their Airbnb in Ireland  I won’t trust Airbnb for stay! It would be my LAST choice until they ‘certify’ themselves that the properties are safe from privacy perspective. #airbnb #failure #unsafe</t>
  </si>
  <si>
    <t>Pune</t>
  </si>
  <si>
    <t>I hate bio. So I studied engineering. :)</t>
  </si>
  <si>
    <t>#Airbnb hidden camera: Family finds camera livestreaming from their rental - CNN</t>
  </si>
  <si>
    <t>Case Wright</t>
  </si>
  <si>
    <t>⁦@Airbnb⁩ ⁦@Uber⁩ ⁦@lyft⁩ should be shutdown and the profits given to the countless victims. It was a terrible idea created by shut-in unbathed weirdos. #Airbnb #Lyft #Uber</t>
  </si>
  <si>
    <t>I write and have a good jab, but better elbow. #Vet 🥊 🇮🇹🇺🇸 *Views expressed are correct* https://unobtainium13.com/author/casewright</t>
  </si>
  <si>
    <t>Vikki Dayer</t>
  </si>
  <si>
    <t>Rent a room with us in #Vordingborg #Airbnb #roomforrent #BedAndBreakfast #Denmark #VisitDenmark #VordingborgFestuge</t>
  </si>
  <si>
    <t>Yonkers, NY</t>
  </si>
  <si>
    <t>keep them eyes open wide shut</t>
  </si>
  <si>
    <t>Edward</t>
  </si>
  <si>
    <t>#AirBnb @Airbnb If I found a camera in a rental and you did nothing I would be pissed. They shouldn’t even be in living rooms. You guys are assholes. I regularly use you guys but I think it is time I stop. Too bad your shit greedy policies would ruin a good thing. WTF!</t>
  </si>
  <si>
    <t>Maine</t>
  </si>
  <si>
    <t>I’m brutally tough on the New England Revolution. I want so much more for New England! Have thick skin if you’re going to follow anything I say on the Revs!</t>
  </si>
  <si>
    <t>New #job: Airbnb Customer Experience - Classic Arabic Location: Barcelona Salary: £15kpa - £16200pa ..  #barcelona #Airbnb #customerservice #opportunity</t>
  </si>
  <si>
    <t>Sasha Farina</t>
  </si>
  <si>
    <t>Our Bergen Street home in Brooklyn. My favorite. Such a pretty space, good looking French hosts too. #airbnb #newyorknewyork #brooklyn @ Brooklyn,…</t>
  </si>
  <si>
    <t>#TruthBeTold</t>
  </si>
  <si>
    <t>So are we at some point during our discourse, going to discuss the success of companies like #AirBnb in the middle of our #housingcrisis? Or #taxes? I mean #Facebook’s tax bill in the UK in 2017 was only 1% of their total revenue.</t>
  </si>
  <si>
    <t>#SocialCritic, known #contrarian, pro-activist. I probably oppose what you support. And probably will change my opinion when you do. Question everything!</t>
  </si>
  <si>
    <t>Raja Al Mazrouei 🦄</t>
  </si>
  <si>
    <t>#marriott or #airbnb case discussion @HarvardHBS @dighbs #diginHBS</t>
  </si>
  <si>
    <t>UAE</t>
  </si>
  <si>
    <t>Executive Vice President- Fintech Hive at DIFC, Vice President- Harvard Business School for the GCC</t>
  </si>
  <si>
    <t>James Duncan Moss</t>
  </si>
  <si>
    <t>Family finds hidden camera livestreaming from their Airbnb  #airbnb #camera #absoluterelo</t>
  </si>
  <si>
    <t>New York &amp; London</t>
  </si>
  <si>
    <t>Relocation, Tech, Real Estate</t>
  </si>
  <si>
    <t>rob davies</t>
  </si>
  <si>
    <t>Interview with @Pikl_UK CEO Louise Birritteri on @bbc5live Drive programme at 4.50pm or 5.50pm talking about the risks of short term #Airbnb letting without proper insurance. In 2019, this is how it's done #Facetime #iPad</t>
  </si>
  <si>
    <t>norwich, norfolk, uk</t>
  </si>
  <si>
    <t>Founder oneonone communications. Marcoms specialist. Brand polisher. Web content creator. PR mouthpiece. Ad writer. Funnier in print than in real life. Humph!</t>
  </si>
  <si>
    <t>Veeresh Devireddy</t>
  </si>
  <si>
    <t>Market scale: 1.5 billion: monthly #WhatsApp users; 80 billion: docker downloads in 6 yrs; 1 billion: players on App Store. 300K games; 500 million: #Airbnb guests; 7.7%: #Amazon's share of US retail sales; 100 million: Stack Overflow MAU; $156B: Consumer spending in apps by 2023</t>
  </si>
  <si>
    <t>Sanjose, CA</t>
  </si>
  <si>
    <t>Founder at http://SmartyList.com, Ex Software Engg and Tech Lead at Cisco, Ebay and Apple. Active in Startups, Software Dev, Research, Pets, Plants and Reading!</t>
  </si>
  <si>
    <t>Holiday Scottsdale is your perfect summer get-away. Close to shopping, dining, and entertainment. And did I mention GREAT rates?!!  #Vrbo #Airbnb #Airbnbhost #VisitPhoenix</t>
  </si>
  <si>
    <t>New #job: Airbnb Customer Service Specialist - Nordics Location: Barcelona Salary: €15kpa - €16200pa ..  #barcelona #Airbnb #customerservice #opportunity</t>
  </si>
  <si>
    <t>New #job: AIRBNB Customer Service Specialist - ITALIAN Location: Barcelona Salary: 15kpa - 16200pa ..  #job #barcelona #airbnb #hiring</t>
  </si>
  <si>
    <t>‘Location, location &amp; professionalization: a multilevel hedonic analysis of #Airbnb listing prices &amp;amp; revenue’  Deboosere, Kerrigan, @dwachsmuth &amp;amp; @ahmedelgeneidy present the first hedonic regression model of Airbnb to account for neighbourhood effects. #OA</t>
  </si>
  <si>
    <t>LOOKING FOR JUST THE RIGHT FINISHING TOUCHES TO YOUR NEWLY DECORATED ROOM OR OFFICE? CHECK OUT OUR FRIEND @Seraphimslair for STUNNING GLASS!  AND ON ETSY:  #airbnb #NYC #Seattle #Sanfrancisco #Boca #LA #Miami #artgallery #Murano</t>
  </si>
  <si>
    <t>Lee Kean Tee</t>
  </si>
  <si>
    <t>the Danger of #AirBnB Be aware always!!!!</t>
  </si>
  <si>
    <t>Kuala Lumpur, Malaysia</t>
  </si>
  <si>
    <t>Everton Fan since 1988 #COYB #NSNO #ETID #Penang</t>
  </si>
  <si>
    <t>Enjoy #Ozark on Netflix? Would you like to visit the area that inspired it all? Check out our vacation rentals!  #missouri #travel #VRBO #TripAdvisor #Airbnb #ozark #boating</t>
  </si>
  <si>
    <t>#Airbnb To Invest $100m-$200m In India's #OYO</t>
  </si>
  <si>
    <t>Francis Barry</t>
  </si>
  <si>
    <t>Family ‘felt sense of danger’ after finding hidden live cam in Cork #Airbnb #privacy  via @IrishTimes</t>
  </si>
  <si>
    <t>Interested in new technology. Leinster supporter, Wexford hurling fan, cyclist, daily swimmer in sea &amp; member of the Irish Film Institute. Views are solely mine</t>
  </si>
  <si>
    <t>“I abhor the idea of a perfect world. It would bore me to tears.” ― Shelby Foote #proudlyswazi #eSwatini #Swaziland #Manzini proudlyswazi #mountaininn #airbnb #beautifuldestination #cinematography #blackart #African #wonderlust #lonelyplanet #trump #brexit #ethiopia #camping</t>
  </si>
  <si>
    <t>mark van buladaco</t>
  </si>
  <si>
    <t>View from our rented #airbnb condo unit #whenincebu #jkmvtravels</t>
  </si>
  <si>
    <t>Davao City</t>
  </si>
  <si>
    <t>one of the crazies</t>
  </si>
  <si>
    <t>Ernesto Puig</t>
  </si>
  <si>
    <t>Have a #rentalproperty that you #rentout on #airbnb or #homeaway? We can give you a #rentalloan based on the #rentalincome. 786.540.3862 Call/Text  Give us a call to go over your scenario today!</t>
  </si>
  <si>
    <t>Miami, FL, United States</t>
  </si>
  <si>
    <t>Business Loans | Line of Credit | Commercial Lending | Business Credit Cards | SBA | Invoice Factoring | Hard Money &amp; Property Loans | Fix &amp; Flip | Bridge Loans</t>
  </si>
  <si>
    <t>All of our #vacation #rental #apartments have #fully #equipped #kitchens #suite3 #casadelosviajeros #puertomorelos #1bedroom #2bathrooms and a #loft #stepstothebeach Link in bio #puertomorelos #mexico #youshouldbehere #casadelosviajeros #vacationrental #airbnb #vrbo #home…</t>
  </si>
  <si>
    <t>… … HAPPY #FridayMotivation FRIENDS! WE'RE TAKING A SHORT BREAK TO CATCH UP WITH RECENT ORDERS BUT WE'LL RETURN VERY SOON! CUSTOM PERSONALIZED SIGNAGE FOR HOME OFFICE BUSINESS FARM BEACH &amp; LAKE COTTAGE! TIKI &amp;amp; CABANA BAR TOO! #SouthCarolina #Ohio #Airbnb</t>
  </si>
  <si>
    <t>… … HAPPY #FridayMotivation FRIENDS! WE'RE TAKING A SHORT BREAK TO CATCH UP WITH RECENT ORDERS, BUT WE'LL RETURN VERY SOON! CUSTOM PERSONALIZED SIGNAGE FOR HOME OFFICE BUSINESS FARM #BEACH &amp; #LAKE COTTAGE! TIKI &amp;amp; CABANA BAR TOO! #Seattle #Phoenix #Airbnb</t>
  </si>
  <si>
    <t>… HAPPY #FridayMotivation FRIENDS! WE'RE TAKING A SHORT BREAK TO CATCH UP WITH RECENT ORDERS, BUT WE'LL RETURN VERY SOON! CUSTOM PERSONALIZED SIGNAGE FOR HOME OFFICE BUSINESS FARM BEACH &amp; LAKE COTTAGE! TIKI &amp;amp; CABANA BAR TOO! #Sarasota #LosAngeles #Airbnb</t>
  </si>
  <si>
    <t>HAPPY FRIDAY FRIENDS! WE'RE TAKING A SHORT BREAK TO CATCH UP WITH RECENT ORDERS, BUT WE'LL RETURN VERY SOON! CUSTOM PERSONALIZED SIGNAGE FOR HOME OFFICE BUSINESS FARM BEACH &amp; LAKE COTTAGE! TIKI &amp;amp; CABANA BAR TOO! #Signs #HappyHour #Airbnb #Laker #beach</t>
  </si>
  <si>
    <t>Original 1963 Shasta interior wall sconce lighting. Just refinished this one. #shastaastrodome #shastalove #vintagetrailer #ibuyhouses #realestate #spot77 #airbnb #tinyhouse #minimalism…</t>
  </si>
  <si>
    <t>Just wanted to present our newly renovated "White room" furnished for solo #Travelers who really like to stay in special places. #traveltocuba #holidayincuba #Airbnb #tourism at @amarilloBBcuba</t>
  </si>
  <si>
    <t>Christina Parrish</t>
  </si>
  <si>
    <t>FREE accommodations through Airbnb, for individuals battling cancer and their caregivers, that travel for treatment and procedures!! THIS is such a wonderful thing!! Make sure to share! #airbnb #cancer #lodging #travel #support #community #inittogether</t>
  </si>
  <si>
    <t xml:space="preserve">Brewer, Maine </t>
  </si>
  <si>
    <t>A 10 year, Stage 4 Pancreatic Cancer Survivor that LOVES Life and making a difference. Founder of The Purple Iris Foundation</t>
  </si>
  <si>
    <t>Valerie Rogers</t>
  </si>
  <si>
    <t>A visual trip to Hawaii, as breakfast is served to my guests. #superhost #airbnb #airbnbhost #airbnbguest #louisvilleairbnb #airbnblouisville</t>
  </si>
  <si>
    <t>Sparkling and Shinning while I produce quality teddy bear shows and publishing Bears&amp;Buds online teddy bear magazine</t>
  </si>
  <si>
    <t>#travelquote Learn about AirBnb on  #airbnb #airbnbhost #travelquotes #travelquotestoliveby #travelquotesinspiration #airbnbhomes #airbnbguest #bnb #bnbreadathon #moneygram #moneymotivated #entrepreneurship #unitedstates #businesstips #inspire #makemoney</t>
  </si>
  <si>
    <t>4Non-Moms</t>
  </si>
  <si>
    <t>Another cool contest! Enter by 4/12. #Airbnb Is Turning the #Louvre Into a Hotel for One Night so You Can Have a Sleepover With the Mona Lisa @TravelLeisure #4nonmoms #museum #art</t>
  </si>
  <si>
    <t>4 Non-Moms' mission is to promote the well-being not only of women throughout the world who are blessed to be without the blessing of children, but all women.</t>
  </si>
  <si>
    <t>Check out our new article: Want to start an Airbnb? Do your research first  #montrealhomes #montrealrealestate #Airbnb</t>
  </si>
  <si>
    <t>M A T R R A K A</t>
  </si>
  <si>
    <t>If this is the future of @Airbnb there’s gonna be some shit hitting the fan...Family finds hidden camera livestreaming from their Airbnb in Ireland #Airbnb @CNN</t>
  </si>
  <si>
    <t>out here in the wild🤘🏽</t>
  </si>
  <si>
    <t>Jared Marin</t>
  </si>
  <si>
    <t>Family finds hidden camera livestreaming from their Airbnb in Ireland. #Airbnb</t>
  </si>
  <si>
    <t>#saltlakeindivisible Founder @marinvsllc</t>
  </si>
  <si>
    <t>Urban Concierge</t>
  </si>
  <si>
    <t>Happy Friday! Need your #airbnb cleaned this weekend for your next guest? Let us take care of it for you so you can enjoy your weekend. @bnbalchemy is the newest addition to the @UrbConDC family of companies. Let us make your life a little easier. #airbnbdc #WashingtonDC</t>
  </si>
  <si>
    <t>(202) 660-3903</t>
  </si>
  <si>
    <t>#FactFriday Free does NOT equal correct. Read why relying on "host liability" or "host guarantee" policies may leave you unprotected here:  Want even MORE info? Download our #free eBook 👉 #vrbo #airbnb #insurance #vactionrental</t>
  </si>
  <si>
    <t>Family finds hidden camera livestreaming from their Airbnb in Ireland #their #airbnb #ireland</t>
  </si>
  <si>
    <t>Mix 94.1</t>
  </si>
  <si>
    <t>ICYMI: Here's #WhatsTrending #BillboardMusicAwards #FreeTime #EasterCandy #AirBnB</t>
  </si>
  <si>
    <t>Vegas' best music mix lives here! Home of @MercedesintheAm. Download the NEW http://RADIO.COM app &amp; listen to Mix 94.1 anytime. http://app.radio.com/mix-941</t>
  </si>
  <si>
    <t>Mercedes and JC</t>
  </si>
  <si>
    <t xml:space="preserve">Las Vegas, NV </t>
  </si>
  <si>
    <t>Mercedes in the Morning Show on @Mix941 and on the http://Radio.com app M-F 5a-10a | With @MercedesLV and @JCtheProducer | IG: mercedesintheam</t>
  </si>
  <si>
    <t>Frank Meehan</t>
  </si>
  <si>
    <t>This is a super serious problem for #Airbnb - and they need to get to grips with it better than they responded. Better staff training is vital for fast growth companies -hidden camera: Family finds camera livestreaming from their rental @airbnb</t>
  </si>
  <si>
    <t>Co-Founder http://SmartUp.io @smartupHQ with @BrentHoberman and Partner at SparkLabsGroup @sparklabskorea Former Board Director at Spotify, Siri</t>
  </si>
  <si>
    <t>Bumper day here for PR coverage! Great articles about @Pikl_UK's #airbnb insurance industry report in @thisismoney by @gracegausden93 &amp; @InsuranceTimes_ by @ClareRuel. And chance of it featuring on @bbc5live in this afternoon's Drive  #airbnbinsurance</t>
  </si>
  <si>
    <t>Jordan Jones</t>
  </si>
  <si>
    <t>Family discovers hidden camera livestreaming in #Airbnb | Science &amp; Tech News | Sky News</t>
  </si>
  <si>
    <t>Serial Homicide Research &amp; Analysis. Writer. Former Institutional Investment Consultant &amp; Analyst. #TrueCrime #SerialHomicide #Fiction #NonFiction</t>
  </si>
  <si>
    <t>Important news about #Airbnb insurance gap in report by @Pikl_UK RT @Pikl_UK:  great to see us featured today</t>
  </si>
  <si>
    <t>Staying in #Ireland this weekend.! #Airbnb apologises to family who were live streamed by hidden camera in Cork property |</t>
  </si>
  <si>
    <t>Lucky Gil</t>
  </si>
  <si>
    <t>Airbnb for 2 of 3 nights in Santorini #airbnb #throwback #2018travels #theluckysolowanderer #Greecebewithyou #greece #greecestagram #vsco_greece #santorini…</t>
  </si>
  <si>
    <t>Proud UP Eng'g &amp; UP Circle of Industrial Engineering Majors (CIEM) alumnus. Avid supporter of UP Fighting Maroons MBT WVT. UP Fight! Taas Kamao.</t>
  </si>
  <si>
    <t>At Bath Property Management, we help you increase your revenue with our #Airbnb #property #management services. In Bristol, Airbnb management services are a good source of income. There are many companies providing Airbnb management services that arrange seasonal.</t>
  </si>
  <si>
    <t>***Social Media Guy*</t>
  </si>
  <si>
    <t>You don't need to be perfect to make money online  #FridayFeeling #FridayMotivation #FridayThoughts #Airbnb #OffsetDUB #retirement #MakeMoney #WorkFromHome #entrepreneur #startup</t>
  </si>
  <si>
    <t>Get cutting edge strategies and tips for people interested in lead generation to make money online: https://bit.ly/2YPNVRw</t>
  </si>
  <si>
    <t>Internet Safety Org</t>
  </si>
  <si>
    <t>A #family vacationing at an #Airbnb in Ireland discovered they were being recorded by a secret #camera hidden in a smoke alarm. #travel #privacy #hiddencamera #livestream #vacation</t>
  </si>
  <si>
    <t>Mount Laurel, NJ</t>
  </si>
  <si>
    <t>Award Winning Digital Safety &amp; Responsibility Events. Creators of Digital Consciousness™ via Public and Permanent™. Nonprofit Organization.</t>
  </si>
  <si>
    <t>Evan Kirstel at #WMIF19</t>
  </si>
  <si>
    <t>😳Family finds hidden camera livestreaming from their #airbnb @myfox8</t>
  </si>
  <si>
    <t>#B2B #Social #Digital #Influencer helping #Tech clients with #SocialMediaMarketing in #Telecom #5G #Cloud #IoT #WMIF19 @evirahealth</t>
  </si>
  <si>
    <t>Family finds hidden camera livestreaming in Airbnb  #Property #Rentals #ShortLets #Airbnb</t>
  </si>
  <si>
    <t>Howard Kennedy</t>
  </si>
  <si>
    <t>"Beware the eyes in the bedroom" - Ed John comments on the "perils of a less well-regulated hospitality industry" in this recent post:  #airbnb #hotels</t>
  </si>
  <si>
    <t>London Bridge</t>
  </si>
  <si>
    <t>An approachable, professional, commercial and responsive law firm providing excellent value to clients in the UK &amp; beyond. Visit http://www.howardkennedy.com for more</t>
  </si>
  <si>
    <t>Henderson Franklin</t>
  </si>
  <si>
    <t>Most popular post from March: Are Short-Term Rentals (@Airbnb) Allowed in Collier County? Read more from #FL Bar Board Certified City, County &amp; Local Government Expert Jeff Wright.  #airbnb #naples #florida #swfl #law</t>
  </si>
  <si>
    <t>Southwest Florida</t>
  </si>
  <si>
    <t>Henderson Franklin Starnes &amp; Holt, PA is a full service law firm with offices in Fort Myers, Bonita Springs, Sanibel and Naples, FL</t>
  </si>
  <si>
    <t>Check out this awesome Entire condominium on Airbnb: Live Like Royalty On The Las Vegas Strip!, sleeps 5 #Boxing #FootBall #MMA #AirBnB #Vegas #LasVegas</t>
  </si>
  <si>
    <t>Home and Commercial Cleaning Services</t>
  </si>
  <si>
    <t>Good morning #NYC Give us a call 718 673-8241  #nycairbnb #AIRBNB #nycbookings #nycvacationrentals #turnoverservice #queensairbnb #bronxvacationrentals #bronxairbnb #Brooklynairbnb</t>
  </si>
  <si>
    <t>Take advantage of our steam cleaning services and kill the bacteria and germs in your home.</t>
  </si>
  <si>
    <t>Chad V. Holtkamp</t>
  </si>
  <si>
    <t>Just WOW!!! 😳 Family finds hidden camera livestreaming from their #Airbnb in Ireland</t>
  </si>
  <si>
    <t>Corporate Recruiter &amp; Writer. THE SPOOK &amp; GOON SPACE ADVENTURES - a new #SciFi #Fiction series NOW on #Amazon - http://geni.us/sngscifi</t>
  </si>
  <si>
    <t>We not only provide a convenient solution to your linen supplies; we make sure that you have a great experience when using our services too. #hospitality #airbnb #servicedapartment</t>
  </si>
  <si>
    <t>Strange folk you meet when out for a walk #comfortcottagehealing #visitwales #dogfriendly #TheDogsWithMe #alpacas #ArtsWales #SunDogs #Airbnb #yell RT @ruthwignall: May 26th. The force will be with you. Just got to work on the weather now!! ;) Definitely one for the diary! xx</t>
  </si>
  <si>
    <t>brian mcgrath</t>
  </si>
  <si>
    <t>Headed from #Dallas to #Detroit for my cousin trip. Excited to go back to @Motown_Museum and to see an @tigers game. #motown #motorcity #mlb #airbnb #AmericanAirlines</t>
  </si>
  <si>
    <t>los angeles, ca</t>
  </si>
  <si>
    <t>actor. improviser. sports lover. member of @SeriousVneck spin-kicker! Check me out on @ImpressMe and @CritJuice</t>
  </si>
  <si>
    <t>LISTEN: "This has been such a shock to us" - Family finds hidden camera in Cork #Airbnb:</t>
  </si>
  <si>
    <t>Alternative tourism suggestions. #antireport #exarcheia #athens #airbnb #solutions</t>
  </si>
  <si>
    <t>Ricky Valois</t>
  </si>
  <si>
    <t>Can't say I didn't see this coming. Airbnb gets stakes in OYO! #airbnb</t>
  </si>
  <si>
    <t>Silent conquest</t>
  </si>
  <si>
    <t>To celebrate the thirtieth anniversary of the pyramid outside the @MuseeLouvre Museum in Paris, @Airbnb is doing something that has never been done before. #Airbnb #contest #Paris #Louvre #museums #art #paintings #pyramid</t>
  </si>
  <si>
    <t>Kevin Lee-Cebu.ph</t>
  </si>
  <si>
    <t>One oasis resort style living condominium Available for sale as well as Rent! #homes #accommodation #resort #airbnb #LuxuryTravel #Philippines #cebu #sugbu #cebuano</t>
  </si>
  <si>
    <t>Central Visayas, Republic of t</t>
  </si>
  <si>
    <t>We build filipino dreams</t>
  </si>
  <si>
    <t>Cornishview</t>
  </si>
  <si>
    <t>Bit about #UK Tourism -[UK is the rest outside #London -BTW.] For yrs #VisitBritain ruled Tourism Accommodation with an Iron Fist charging lowly operators huge sums for compliance &amp; inspection. Now they have give £500K to #AirBnB for promotion, that checks no accommodation !</t>
  </si>
  <si>
    <t>Cornwall</t>
  </si>
  <si>
    <t>Ex Civil Engineer, Born Aberdeen, Despise most MP's.Sad public conned about AGW. RT's do not mean I agree unless I say. Wary of religions &amp; EU Love running</t>
  </si>
  <si>
    <t>Visiting Brighton &amp; Hove for Easter? Immerse yourself in a traditional Regency Kitchen and leave with your own vegan Easter treats.  #Easter #airbnb #Brighton&amp;amp;Hove</t>
  </si>
  <si>
    <t>Ari our lead coach starting up the afternon lesson. Been a very busy day today!! #surf #surfschoolbali #airbnb #airbnbhost #airbnbexperience #travelairbnb #bestsurfschoolsbali…</t>
  </si>
  <si>
    <t>A frank an interesting article about modern business. A great read even if you are not interested in #airbnb RT @lennysan: I wrote something about my time at Airbnb</t>
  </si>
  <si>
    <t>This is a huge and beautiful flat! Professionally interior designed with two bedrooms, three luxury bathrooms and two living spaces and two courtyard garden in London's center ✨ Read more about this space here 👇  #airbnb #propertymanagement</t>
  </si>
  <si>
    <t>"Oyopening Doors... : airbnb's recent investment in OYO is a significant achievement for both companies". Senior Associate Chirag Rao explains why in his latest blog:  #hotels #airbnb</t>
  </si>
  <si>
    <t>At Host So Simple we provide guest interaction, interior design, staging, photography, maintenance, property sourcing and so much more. Give us a message if you are interested 🏠🔧  #Airbnb #Liverpool #Accommodation</t>
  </si>
  <si>
    <t>vina melody</t>
  </si>
  <si>
    <t>Hi tweeps ... need recommendations for #wwdc19 place to stay .. #airbnb or #agoda?</t>
  </si>
  <si>
    <t>keep moving forward</t>
  </si>
  <si>
    <t>Faiz</t>
  </si>
  <si>
    <t>Family discovers hidden camera livestreaming in Airbnb  #AirBnb #HiddenCamer</t>
  </si>
  <si>
    <t>London.</t>
  </si>
  <si>
    <t>All views are my private views. Share of tweets in not endorsement of the tweets.</t>
  </si>
  <si>
    <t>Highlandcosycabins</t>
  </si>
  <si>
    <t>Saying goodbye to our #ShepherdHut which has found a new home at #Inchnadamph, happy customers &amp; on to our next. #Highlandcosycabins #Blackisleshepherdhuts #Cromarty #Highland #Scotland #Airbnb #Holidayrental #Glamping #offgrid #plugandgo</t>
  </si>
  <si>
    <t>Cromarty, Scotland</t>
  </si>
  <si>
    <t>Hand built #Shepherdshuts from #Blackisle #Scotland. For all reasons &amp; seasons. Deliver anywhere in the UK. Sales &amp; rental. http://Highlandcosycabins.co.uk</t>
  </si>
  <si>
    <t>Orange-Ville GH</t>
  </si>
  <si>
    <t>The beauty of autumn mornings.... Come and see for yourself 🍂 #beauty #nature #flowers #simonsberg #autumn #orangevilleguesthouse #getaway #travelling #urlaub #suedafrika #airbnb #visitus @ Orange-Ville Lodge &amp; Guesthouse — at Orange-Ville Lodge &amp;amp;...</t>
  </si>
  <si>
    <t>Stellenbosch</t>
  </si>
  <si>
    <t>Through the keyhole: Family claim they were secretly filmed on holiday by Irish Airbnb host  #ireland #airbnb #camera</t>
  </si>
  <si>
    <t>15NorthStreet</t>
  </si>
  <si>
    <t>Looking for a perfect staycation? No.15 has everything you need for a relaxing break 😍 . book now- link in bio 🌾 . #airbnb #staycation #cotswoldslife #weekend #weekendaway #fridayfeeling…</t>
  </si>
  <si>
    <t>Winchcombe, Cotswolds, England</t>
  </si>
  <si>
    <t>200 year old Cotswolds cottage lovingly restored into the ultimate countryside retreat</t>
  </si>
  <si>
    <t>Bed&amp;Stay is a beautiful 3 story house with 6 bedrooms, a private elevator and more. Book us for your Spring and Summer vacations now here: #AIRBNB :  #familytravel #travel #japan #airbnbjapan #airbnbtokyo #travel</t>
  </si>
  <si>
    <t>#Airbnb apologises to family who were live streamed by hidden camera in #Cork property  #ireland #secretcamera</t>
  </si>
  <si>
    <t>The latest image from the GowerLive #webcam on the roof 730RocksMumbles #AirBnB. Book at  #Mumbles #Swansea #Gower #travel. Watch live at  #87</t>
  </si>
  <si>
    <t>EMIN ASITANELIOGLU</t>
  </si>
  <si>
    <t>Wow. This is very disturbing. I can consider not to use #AirBnB any more. RT @fbarry: Adrian Weckler: 'How hidden video cameras have become a recurring plague for AirBnb' #privacy</t>
  </si>
  <si>
    <t>Beyoglu, Istanbul, T.C.</t>
  </si>
  <si>
    <t>Gumussuyu, Taksim</t>
  </si>
  <si>
    <t>A golden path indeed #comfortcottagehealing #visitwales #dogfriendly #TheDogsWithMe #alpacas #ArtsWales #SunDogs #Airbnb #yell RT @GDPTenby: sands of timeless grain and a beaches gold path speaking an elegy for the sun and day passing *Amroth beach towards Saundersfoot Pembrokeshire @ItsYourWales @ThePhotoHour @Culture_Wales @ruthwignall @kelseyredmore @WalesCentre @WalesCoastPath @visitwales</t>
  </si>
  <si>
    <t>#Airbnb Will Let Lucky #Art Lovers Have a #Sleepover at the Louvre Pyramid #France</t>
  </si>
  <si>
    <t>Spring is here, visite most green city in Europe, and stay like king. #airbnb #apartment #castle #city #europe #explore #spring #summer</t>
  </si>
  <si>
    <t>Portland</t>
  </si>
  <si>
    <t>The way we #travel has drastically changed with #technology becoming a fundamental part of the process – and our familiarity with new tools means that #Americans now spend more on #Airbnb than on #Hilton</t>
  </si>
  <si>
    <t>Future Ready Design: Sign up to our "Wake Up Call" newsletter for more: http://bit.ly/PanPMy Instagram: https://goo.gl/rhGKp4</t>
  </si>
  <si>
    <t>"Remember, your guests want to save money."  #SocialMedia #Marketing #Dog #Blog #Hotels #Airbnb #Instagram #Hospitalitybusiness #Captions #Hotelmarketing #Boostly #Engagement</t>
  </si>
  <si>
    <t>#HappyFriday Last weekend to enjoy of the cherry trees in #Tokyo. Time to book your last minute trip and stay with us. Book our house here #AIRBNB :  #familytravel #travel #japan #airbnbjapan #airbnbtokyo #travel RT @TimeOutTokyo: This is the last weekend to catch cherry blossoms in Tokyo. Make the most of your time with our guide here.</t>
  </si>
  <si>
    <t>Kai</t>
  </si>
  <si>
    <t>My Airbnb for the weekend #airbnb #brussels #holiday @ Brussels, Belgium</t>
  </si>
  <si>
    <t>Anime,Gadget,Music loving someone from Frankfurt,Germany</t>
  </si>
  <si>
    <t>Lawrence O'Toole Realty</t>
  </si>
  <si>
    <t>OPEN HOUSE - Sunday 4/7 @ 11-4. If you are in #Woodstock this weekend, walk on over to 18 Library Lane and meet our agent Jonathan Hubschman at the Open House. For more information or to schedule a private showing, call 845-338-5832. #houseforsale #openhouse #forsale #airbnb</t>
  </si>
  <si>
    <t>Kingston, NY</t>
  </si>
  <si>
    <t>Lawrence O'Toole Realty focuses on personal service and detailed local knowledge backed by many years of successful brokerage experience in the Hudson Valley.</t>
  </si>
  <si>
    <t>Nexcloudz believes in Simple, Creative and Flexible development Standards... AirCloud-Airbnb clone at 99$ only for the USA customers. Buy Now:  call: 7667298398 For demo Mail: support@nexcloudz.com #airbnb #airbnbclone #airbnbscript #ecommercescript #usa</t>
  </si>
  <si>
    <t>#savemoney on #airbnb with tips from , home of authentic #gay #travel! Here are 5 easy tips so save cash and get a deal! #traveldeals #savecash #hotels READ HERE🤑🤑 #airbnbexperiences #travelguides #gaytravel #gayman #gaymadrid</t>
  </si>
  <si>
    <t>At #MadeComfy, we have the perfect #home for every traveller from the swanky #penthouse in #Melbourne where #RebelWilson had her weekend #getaway to this Architectural Design Award winning city apartment in #Sydney.😊🏡 To book this #apartment:  #airbnb</t>
  </si>
  <si>
    <t>Erin Busch</t>
  </si>
  <si>
    <t>To rent my house out for @PeteButtigieg ‘s April 14 announcement or not? Would love for it to be like a home game weekend. #gopete #goirish #airbnb</t>
  </si>
  <si>
    <t>Mishawaka</t>
  </si>
  <si>
    <t>Here for all things @PeteButtigieg currently.</t>
  </si>
  <si>
    <t>Dorian - Belvoir!</t>
  </si>
  <si>
    <t>Would this make you nervous about using Airbnb or a short-stay? Family with children finds camera hidden in their Airbnb and the host denies it at first ...  #Airbnb</t>
  </si>
  <si>
    <t>Director of @BelvoirUK managing £12billion of UK property with 360+ offices. Sharing property and franchise news and my own views. Supports @PrincesTrust</t>
  </si>
  <si>
    <t>Alhamdulillah Our place is 2019 , most top / popular 20 place in Bandung now, base on airbnb search engine maybe #Airbnb #barokahjumaah</t>
  </si>
  <si>
    <t>Krista Knight</t>
  </si>
  <si>
    <t>The worst part is i am going to take my time to provide this info to y’all again, for another shitty decision on top of the shit reviews y’all let guests leave #airbnb #airbnburn #airbnbsucks @Airbnb @AirbnbHelp RT @AirbnbHelp: @KKnightRealtor We want to sincerely apologize that you had this experience when attempting to get help for your concerns, Krista. We would like to check this further. Please DM us your account email, full name (as it appears on your account), and phone number. Thank you.</t>
  </si>
  <si>
    <t>Realtor® with Becker Properties Contact me for all of your real estate needs, anywhere!</t>
  </si>
  <si>
    <t>Off to #Kauai? Read Trailblazer before you go. … #airbnb #hawaiilife #Amazon #visitkauai #hilife #hawaii</t>
  </si>
  <si>
    <t>Bragpacker</t>
  </si>
  <si>
    <t>Looking for more options on par with #AirBnb? We've shortlisted 5 excellent options in our latest blog post! :)  #travelblog #indiantravelblogger #vacation #travelgoals #hotels #travelplanning</t>
  </si>
  <si>
    <t>Find all the travel gear you need, available to Rent, Try or Buy at Bragpacker. Think of us as a Trial Room for your travel shopping.</t>
  </si>
  <si>
    <t>hide</t>
  </si>
  <si>
    <t>Great!! #ANA #Airbnb RT @ANA_travel_info: 🎁フォロー＆RT🎁 ANAとAirbnbで旅の思い出を作ろう❗️キャンペーン✨ 国内線往復航空券（2名様分）とAirbnb旅行クーポン（5万円分）を5名様にプレゼント👏 ①フォロー ②この投稿をRT（4/18まで） ※当選者にのみDM連絡 ANAとAirbnbが新しい旅のカタチをご提案します🎶 ⇒</t>
  </si>
  <si>
    <t>support an expatriate Japanese ! love world football ! love world sports !!</t>
  </si>
  <si>
    <t>Bobby</t>
  </si>
  <si>
    <t>#Airbnb friend or foe of #hotelperth ?</t>
  </si>
  <si>
    <t>Perth via Sydney</t>
  </si>
  <si>
    <t>Passionate about #HotelPerth #Tourism #ATE19 | Architecture &amp; Aviation Fan | #Perth 🏝😎🍺🍹🍺😎🏝</t>
  </si>
  <si>
    <t>Savannah Green♉️</t>
  </si>
  <si>
    <t>School bout to be done and right now I need a break from Canada in August. Don’t get me wrong love Canada but I and my girls need a break... looking in Airbnb 2 bedroom in NYC #airbnb #travelinaugust #breaktime</t>
  </si>
  <si>
    <t>Entertainer - Youtuber🎥🎬 Canadian/Jamaican🍁 Loving Crazy Daughter/Friend😜😘 SC - sexylexi20👑 Passionate Lover of Life❤🌎💏 StaySassy &amp; BeClassy😉😇</t>
  </si>
  <si>
    <t>This is what Wambatu looks like to the eagles that soar overhead  #factfriday #galle #WanderlustXL #wheretostay #VisitSriLanka #lonelyplanet #airbnb #droneview #birdseye #talpe #unawatuna</t>
  </si>
  <si>
    <t>Large 5Star #Florida #vacationhome with prival pool on #Airbnb Tropical #TommyBahama style - #VRBO April 04, 2019 at 10:01PM</t>
  </si>
  <si>
    <t>Our beautiful coastal #treehouse on #BondiBeach, reflecting a popular #home #decor trend at the moment which is to bring the #outdoors in to promote feelings of #wellbeing at home.😀🏝🏡 #madecomfy #interiordesign #airbnb #australia #sydney #melbourne #brisbane</t>
  </si>
  <si>
    <t>What’s so special about this spot behind Laurelwood Cabin? This is the spot that is going to be hosting a hammock in the near future, so you can spend all summer hanging out under the trees! #boone #airbnb #homeaway</t>
  </si>
  <si>
    <t>Ziggurat Real Estate</t>
  </si>
  <si>
    <t>Sleep with the Classics 😉 The iconic #Louvre pyramid turns 30 this year, and to celebrate, the museum in #Paris is throwing a party. For one night only, #Airbnb is inviting lucky contest winners to sleep under the stars in a miniature pyramid-shaped bedroom with Venus de Milo</t>
  </si>
  <si>
    <t>San Carlos, Negros Occidental</t>
  </si>
  <si>
    <t>Ziggurat Real Estate Corp aims to provide affordable housing, open to all who wish to own a home in the San Carlos, Negros Occidental region.</t>
  </si>
  <si>
    <t>Willemena Mitty</t>
  </si>
  <si>
    <t>Creepy stuff. #Airbnb RT @Independent_ie: Tourists in Irish Airbnb 'find hidden camera livestreaming from their room'</t>
  </si>
  <si>
    <t>County Offaly Ireland</t>
  </si>
  <si>
    <t>Watching the world go by. Growing old gracefully and cribbing about the weather....as usual. Aches, pains and bills. That's me</t>
  </si>
  <si>
    <t>Set amid lush tropical gardens, this contemporary home offers a quiet sanctuary with all the trimmings.  . . #labodeaccommodation #luxury #home #shorttermstay #airbnb #homehost</t>
  </si>
  <si>
    <t>Ten 8</t>
  </si>
  <si>
    <t>Sleep in the Louvre for a night, courtesy of Airbnb.  #Louvre #Airbnb #Contest</t>
  </si>
  <si>
    <t>#Photography + #Film ( Film: Santiago Files @ https://goo.gl/9Hzin6 Photography: http://www.ten8photography.com ) Tweets by Cetywa Powell</t>
  </si>
  <si>
    <t>Do you want to join us? You can make Japan traditional sweets. 3 sweets are Japanese symbol:) Try making Japanese traditional sweets @Airbnb when you come to Osaka! #airbnb #experience #osaka #Japan #cookingclass #japanesefood #JapaneseCulture #japanesesweets #wagashi</t>
  </si>
  <si>
    <t>When @Airbnb @AirbnbHelp goes back On decisions for owners - their only one good decision in a year of being their host. PS- still awaiting their phone call #worstcustomerservice I’ve ever experienced #fuckairbnb #airbnbexperiences #Airbnb #airbnbsucks</t>
  </si>
  <si>
    <t>LuckyNewb</t>
  </si>
  <si>
    <t>My #Airbnb guest stayed sleeping in his car 14 days past check out. He has been pooping, peeing and squatting in my parking spot the entire time. I gave him numerous warnings for the entire 2 weeks to move his car but he kept referring to himself as “GOD” in my inbox. #DramaAlert</t>
  </si>
  <si>
    <t>Youtube vlogger</t>
  </si>
  <si>
    <t>Is Airbnb Hotelier’s Friend or Foe?  #hospitalitynet #Hotels #Hoteliers #Airbnb</t>
  </si>
  <si>
    <t>#Grateful to have met with a @CityofVancouver councillor about the #Airbnb contagion in our hapless city, and once again feel heard.</t>
  </si>
  <si>
    <t>JBLB Insurance Group</t>
  </si>
  <si>
    <t>Walking around the house naked after a shower isn’t a bad idea until one day your neighbor happens to be visiting and it’s too late to grab a towel…Don’t put your financial wellbeing in a naked, vulnerable position. 🏠  #airbnb #airbnbexperiences</t>
  </si>
  <si>
    <t>Cameron, MO</t>
  </si>
  <si>
    <t>Since 1968 - Cameron | Platte City | Chillicothe | Plattsburg | Bethany</t>
  </si>
  <si>
    <t>joy pod photo booth</t>
  </si>
  <si>
    <t>I think this captured a small part of Day 1 and Day 2. #1 Greeted in our #airbnb with tequila shots. #2 the limo awaited at the airport to transport us. #3 Our personal concierge set…</t>
  </si>
  <si>
    <t>Mother. Wife. Teacher. Counselor. Entrepreneur. Friend. Creative. Sharp. Witty. Determined. Joyful beyond measure.</t>
  </si>
  <si>
    <t>Robert Wolf</t>
  </si>
  <si>
    <t>Hi to Mona. Brilliant brand partnership #AirBnB #Louvre RT @CNTraveler: Wanna spend the night with the Mona Lisa? Thanks to @Airbnb, you can:</t>
  </si>
  <si>
    <t>Brand man (@Prada, @GeorgJensen, @Versace) by day &amp; super moon howler by night.</t>
  </si>
  <si>
    <t>#FunFact Did you know that #Airbnb checked in its 500th million #guest arrival and has tripled sales since 2016 while large #hotel chains grew at only 11%? The company also reported a 152% growth in no. of #rooms available on its platform and an increase in age range of #hosts.</t>
  </si>
  <si>
    <t>TFW people slide into the DMs requesting the carriage house 14 months in advance. #Airbnb #SuperHost</t>
  </si>
  <si>
    <t>Here's a fantastic deep dive into #vanre's illegal #AirBNB epidemic, courtesy @vb_jens:  Here's the "money plot": there is 𝘯𝘰 𝘸𝘢𝘺 a legal STR can gather 30 reviews in 10 months (that's 1 review every 10 days!) Most of these listings are illegal.</t>
  </si>
  <si>
    <t>Jason Metzler</t>
  </si>
  <si>
    <t>The Bob Ross painting experience happening now at Airbnb HQ! This is how we roll... #airbnb @ Airbnb HQ</t>
  </si>
  <si>
    <t>SF Bay Area</t>
  </si>
  <si>
    <t>Partnerships at Airbnb | Dad to 3 crazy kids | Husband | Powder and Backcountry Skiing Junkie | Surfer | Biker | Runner | Go Dubs!</t>
  </si>
  <si>
    <t>Don’t do hotels! Have freedom with an Airbnb! Sign up with the coupon link below to receive a $55 discount code with your first Airbnb. Please DM me if you have any issues. #airbnb #airbnbcode #airbnbdiscount #airbnbpromo #airbnbfree</t>
  </si>
  <si>
    <t>The Peninsula</t>
  </si>
  <si>
    <t>#Homesharing platform #Airbnb will as of July 1 send information about #Danes who list their homes on the site to tax authorities to make sure they collect their due, under a deal #Danish lawmakers approved Thursday.</t>
  </si>
  <si>
    <t>Qatar</t>
  </si>
  <si>
    <t>The official account of The Peninsula English Daily Newspaper #Qatar #Doha</t>
  </si>
  <si>
    <t>JaneK</t>
  </si>
  <si>
    <t>#Airbnb is shit. Specifically LIBERAL shit. You know, hypocrite biased fucks...</t>
  </si>
  <si>
    <t>EU</t>
  </si>
  <si>
    <t>الله خنزير Conservative, traditionalist... libertarian by political compass. NE-Europe/EU/exUSSR (which means f...islam and f...socialism)...</t>
  </si>
  <si>
    <t>MommyandKhitakestheworld</t>
  </si>
  <si>
    <t>Get the full cultural experience wherever you travel by using @Airbnb! I’ve used #AirBnB for all my travels and I love it! They have also added experiences so you can add activities to your trip! Use my promo code to receive $40 travel credit!</t>
  </si>
  <si>
    <t>Traveling Mommy Blogger. Expat Living. Aiming to break the narrative that Black single moms can't travel!</t>
  </si>
  <si>
    <t>Knight Frank SA</t>
  </si>
  <si>
    <t>BRAND NEW #LIFESTYLE '#VIEW #APARTMENT' IN SENSATIONAL #WEX1 Sole Mandate. Embrace this trendy, industrial-chic living space created by John Rabie's Signatura  #capetown #modern #tablemountain #invest #investment #woodstock #airbnb #realestate #property</t>
  </si>
  <si>
    <t>Claremont, Cape Town</t>
  </si>
  <si>
    <t>Leading property agency specialising in the sale and rental of properties in Cape Town's Southern Suburbs, Atlantic Seaboard and Hout Bay.</t>
  </si>
  <si>
    <t>Reel Stories</t>
  </si>
  <si>
    <t>#TBT to our student board getting to tour @Airbnb thanks to our fabulous board member Hoon Kim! Such a blast exploring this incredible space 🙌🏽✨ #womeninflim #airbnb #thepresentisfemale</t>
  </si>
  <si>
    <t>Summer program teaching high school girls the skills to make their own media, to view current media critically and thoughtfully, and to aspire to leadership</t>
  </si>
  <si>
    <t>Carrie Veatch</t>
  </si>
  <si>
    <t>Did you know you could earn up to $300 with @Airbnb today? And simply for using my referral code you can travel with at least $27 TODAY! 🏡 One of my favorite ways to stay #glutenfree when I travel is to use #airbnb Learn more here:</t>
  </si>
  <si>
    <t>Hanoi, Vietnam</t>
  </si>
  <si>
    <t>helping you travel with #celiac ✈️ #guthealth saved my #mentalhealth Largest resource to 100% #glutenfree around the globe on my website! IG &amp; FB: forglutensake</t>
  </si>
  <si>
    <t>$55 💚💵💚❤️💵❤️ Airbnb code coupon promo discount first. $55 OFF CLICK LINK NOW! Try it. Please DM me if you have any issues. #airbnb #airbnbcode #airbnbdiscount #airbnbpromo #airbnbcoupon</t>
  </si>
  <si>
    <t>Gert Pedersen</t>
  </si>
  <si>
    <t>#Airbnb Under Fire For Disturbing #HiddenCamera Incidents</t>
  </si>
  <si>
    <t>Frederiksberg</t>
  </si>
  <si>
    <t>Amatørfotograf og bognørd. Blogger på gamleboeger.dk</t>
  </si>
  <si>
    <t>SW Cent Ranch</t>
  </si>
  <si>
    <t>Just the truth of being a great Airbnb host. See if it is the right kind of thing for your life #HereForYou #General #Business #USA #Jobs #Airbnb #Host</t>
  </si>
  <si>
    <t>North Las Vegas, NV 89081</t>
  </si>
  <si>
    <t>Storage West Self Storage North Las Vegas, NV. Household, boat, and RV storage available. Come store with us! Hours: Mon-Sat 9am-6pm. Closed on major holidays.</t>
  </si>
  <si>
    <t>"That means #Airbnb now owns about 20 percent of the entire US consumer lodging market."  via @Recode #shorttermrentals</t>
  </si>
  <si>
    <t>Still Safe®</t>
  </si>
  <si>
    <t>Family discovers hidden camera livestreaming in #Airbnb</t>
  </si>
  <si>
    <t>London  UK</t>
  </si>
  <si>
    <t>Still Safe® is helping to keep you safe through twitter! http://www.stillsafe.com</t>
  </si>
  <si>
    <t>RENOVATOR'S DELIGHT IN SOUGHT-AFTER DE WATERKANT 2 bedroom apartment conveniently located. Find out more:  #airbnb #capetown #renovate #invest #investment #realestate #property #knightfrank #apartment #fnb #city #citylife #dewaterkant</t>
  </si>
  <si>
    <t>The rustic is in the details! #mooselodge #rusticretreats #vacationhome #wisconsindells #vrbo #airbnb</t>
  </si>
  <si>
    <t>Is becoming an Airbnb host for you? #HereForYou #General #Business #USA #Jobs #Airbnb #Host</t>
  </si>
  <si>
    <t>Aurora Dawn Benton</t>
  </si>
  <si>
    <t>Listening to #Airbnb hosts (or other guests?) scream at each other. Airbnb has been a game changer for my startup budget (&gt;30 stays in &lt;3 years) but this is my 3rd experience in a row showing me might be time to switch back to hotels. Plus no loyalty program. #wearebiztravel</t>
  </si>
  <si>
    <t>Passionate about sustainability, learning, travel, hospitality, entrepreneurship, and food! Founder of @AstraptoSusty</t>
  </si>
  <si>
    <t>German, European #startups, #VentureCapital and #fintech in English | iTunes http://apple.co/2xsHdaE | YouTube http://bit.ly/2LK14oW | Spotify http://spoti.fi/2DfIt1O #techpodcast</t>
  </si>
  <si>
    <t>FREE AIRBNB 💲55 DISCOUNT CODE 💸✈️💲. Here’s your chance for a free credit coupon and codes to travel for FREE. Click the link NOW. Please DM me if you have any issues. #airbnb #airbnbcode #airbnbdiscount #airbnbpromo #airbnbfree</t>
  </si>
  <si>
    <t>Activate World</t>
  </si>
  <si>
    <t>Last year, #Airbnb opposed the #SupremeCourt ruling on the #travelban from several largely #Muslim countries, which became one of the most prominent examples of how #businesses are using their power. Learn more about the opposition in our blog.</t>
  </si>
  <si>
    <t>Santa Fe, NM</t>
  </si>
  <si>
    <t>Subscribe to our podcast - http://activateworld.com/listen! Sign up to receive our weekly Activators™ Newsheet - http://activateworld.com/subscribe.</t>
  </si>
  <si>
    <t>Visiting Brighton &amp; Hove for Easter? Immerse yourself in a traditional Regency Kitchen and leave with your own vegan Easter treats.  #Easter #airbnb #Brighton&amp;amp;Hove #thingstodo @SussexHourUK</t>
  </si>
  <si>
    <t>CottonwoodCreekCabin</t>
  </si>
  <si>
    <t>Vacation rental and wedding venue south of Alpine TX. Find Cottonwood Creek Venues on Facebook.</t>
  </si>
  <si>
    <t>@NusratMedicine 🇬🇧🎥📚</t>
  </si>
  <si>
    <t>What?! #Airbnb @Airbnb hidden cameras RT @SkyNews: Airbnb promised that a thorough investigation would take place. But after several weeks, the family received a message from the company saying they had exonerated the host and had "found no wrong-doing on his part</t>
  </si>
  <si>
    <t>Manchester, England UK</t>
  </si>
  <si>
    <t>CEO @MedicineGov #NHS #HealthPolicy #Workforce #Learning #SocialMedia #SocialVideo 🇬🇧 🎥 📚 #MEDLEARN YOUTUBE PLAYLIST⬇️. My health story see #PatientVlog</t>
  </si>
  <si>
    <t>What kind of pool would you like the next time you have training at #RandolphAFB? Dry or wet? We have both so check us out and stay in style.  #realestate #crashpad #airbnb #hotel #militarylodging #crashlife #corporatehousing #militarycrashpad</t>
  </si>
  <si>
    <t>Make your spa Hot in the winter and Cool in the summer. With the new "The CoolZone system" by Hot Spring Spas. #HotTub #Resort #Spa #health #airbnb #joshuatree #PalmSprings</t>
  </si>
  <si>
    <t>#breathtaking #view over the #marina ☀️😎🏖🌴🌅☀️😎🏖🌴🌅 #marbella #beachfront #location #marbellaholidays #lifeisbetteratthebeach #skolapartments #skolmarbella #holiday #vacation #holidayrental #vacationtental #best_airbnb #bookyourholiday #airbnb #cometothebeach #sun #sea</t>
  </si>
  <si>
    <t>Our client in #Hawaii definitely offers an #experience to their #guest when sleeping in this #bubbletent for additional info contact us!  #Travel #smallbusinessowners #news #glamping #HOSTING #Hospitality #boutiquehotel #unique #airbnb</t>
  </si>
  <si>
    <t>2DadsWithBaggage</t>
  </si>
  <si>
    <t>Stay in a crazy huge #mansion for as little as an #Airbnb? We're totally down for this. Looking at the Auvergne, #France location as our next destination. #traveltherenext #letsflyawayto</t>
  </si>
  <si>
    <t>Global adventures in gay parenthood. 2 dads with 2 teen daughters explore #travel #familytravel #food #lifestyle #parenting and being parented, with a twist.</t>
  </si>
  <si>
    <t>A-frame in the heart of the Catskills. Cozy and airy. Photo: @dirtandglass Visit Us ➡  ⬅ to learn how to profit from investment properties that you don't even need to own. #airbnb #vacationrental #luxurylisting</t>
  </si>
  <si>
    <t>Geoffrey</t>
  </si>
  <si>
    <t>Family discovers hidden camera livestreaming in #Airbnb - Sky News - I’m pleased to see that Airbnb undertook a second more thorough investigation - #privacy #Travel</t>
  </si>
  <si>
    <t>Reading, UK</t>
  </si>
  <si>
    <t>I enjoy a loving family, good friends, blue skies, being alive, the wonder of language and the joy of communication.</t>
  </si>
  <si>
    <t>Inger Seiferheld</t>
  </si>
  <si>
    <t>Family discovers hidden camera livestreaming in #Airbnb - Sky News</t>
  </si>
  <si>
    <t>This is not about work. Well, sometimes it is but mostly not. All views, however bonkers, are my own. RTs not endorsements.</t>
  </si>
  <si>
    <t>#shortstay #tripadvisor #airbnb #homeaway #bookingcom #holiday #selfcatering #accommodation #cartmel #lakedistrict @ Cartmel, Lake District</t>
  </si>
  <si>
    <t>Landscape views from the master bedroom🌿💙 $ $ $ #fotografo #arquitectura #architecture #inmobiliaria #airbnb #hotel #villas #architecturephotography #archilovers #arquitecto #realestate #realtor #granada #malaga #marbella #spain #luxuryhomes</t>
  </si>
  <si>
    <t>Pincerna Rooms - Aberdeen City Centre en-suite &amp; shared facility rooms located close to Aberdeen city center shops pubs and entertainment  #bnb #accommodation #airbnb #bedandbreakfast #bandb #guesthouse #Aberdeen #accommodation #travel Scotland</t>
  </si>
  <si>
    <t>Visit beautiful #Kelowna, Canada for your next vacation. Come stay in our #Airbnb. More info at .</t>
  </si>
  <si>
    <t>Cormac</t>
  </si>
  <si>
    <t>A pretty solid part of the reason I stay in hotels, not #airbnb - the host is allowed record you on video. Unbelievable.</t>
  </si>
  <si>
    <t>Dublin/Seattle - Ireland/USA</t>
  </si>
  <si>
    <t>Good in a snowball fight. ''Kid, I've flown from one side of this galaxy to the other.'' Opinions all my own, but, you're welcome to them.</t>
  </si>
  <si>
    <t>Ben Wray</t>
  </si>
  <si>
    <t>1 #airbnb for every 48 residents in Edinburgh. That's residents, not households. #Edinburgh is landlord heaven. Great for propertied classes: terrible for everyone else. RT @TheCommonSpace: New data revealing 1 Airbnb for every 48 Edinburgh residents sparks renewed calls for regulation on short-term lets  Edinburgh Council housing convenor says short term lets "are having a terrible impact" &amp; the "best solution" would be @ScotGov regulation.</t>
  </si>
  <si>
    <t>Editor @TheCommonSpace. Contact ben@common.scot</t>
  </si>
  <si>
    <t>Carla</t>
  </si>
  <si>
    <t>Adrian Weckler: 'How hidden video cameras have become a recurring plague for #AirBnb'</t>
  </si>
  <si>
    <t>Advertising. Digital and social media marketing. Travelling.</t>
  </si>
  <si>
    <t>Mrs L</t>
  </si>
  <si>
    <t>Anyone thinking of renting an #Airbnb might want to check the smoke alarms..and it’s not for the fire risk. 📸👁 Family discovers hidden camera livestreaming in Airbnb</t>
  </si>
  <si>
    <t>Wife, Mum &amp; Granny. Loves her family, friends and shoes...not necessarily in that order.</t>
  </si>
  <si>
    <t>A new study has revealed the extent to which Edinburgh’s housing market has become dominated by #Airbnb short-term lets, leading the City of Edinburgh Council’s housing convenor to call for Scottish Government regulation to address its “terrible impact”.</t>
  </si>
  <si>
    <t>Wall Street Reporter</t>
  </si>
  <si>
    <t>Exclusive CEO INTERVIEW #HyreCar $HYRE “The #Airbnb of car rentals – for #Lyft and #Uber drivers”:  #stocks #stocktowatch</t>
  </si>
  <si>
    <t>Business and Investing Intelligence - Since 1843.</t>
  </si>
  <si>
    <t>Guild Mtg Granbury</t>
  </si>
  <si>
    <t>Refinance your primary residence and apply your short-term rental income toward qualification requirements. Find out more by calling us at 817-579-5551 or applying for pre-qualification at . #guildmortgage #tipsandtricks #airbnb</t>
  </si>
  <si>
    <t>Granbury, TX</t>
  </si>
  <si>
    <t>Call us today at 817-579-5551 to get into your dream 🏡! Branch NMLS #393947 Guild Mortgage Company NMLS #3274, Equal Housing Lender</t>
  </si>
  <si>
    <t>SocialSciences</t>
  </si>
  <si>
    <t>Empathy explains the absence of negative reviews in peer-to-peer accommodation sites like #Airbnb. Read the #free paper by @danieledalli @BUTourismHotel &amp; al. #ANNALSpeer2peer</t>
  </si>
  <si>
    <t>Oxford, UK</t>
  </si>
  <si>
    <t>Latest from Elsevier's Social Science books &amp; journals. Follow us for the latest news in the field. For publishing support please visit: http://bit.ly/publish_support</t>
  </si>
  <si>
    <t>AmericanIllustration</t>
  </si>
  <si>
    <t>American Illustration 37 Winner LISK FENG @lisk_feng @lisk_feng #agency koto studio @studiokoto #client airbnb #airbnb #harlemAirbnb A #poster project for the Airbnb. #traveling…</t>
  </si>
  <si>
    <t>American Illustration, the leading juried collection of illustration in hardcover. Including Latin American Ilustración and Int'l Motion Art Awards competitions</t>
  </si>
  <si>
    <t>Ramsey Selim</t>
  </si>
  <si>
    <t>How did ⁦@Airbnb⁩ initially think this was ok? 🙀 Family discovers hidden camera livestreaming in #Airbnb</t>
  </si>
  <si>
    <t>A scientist by profession, with the motto of transforming lives. I love travelling, check out my Instagram: http://www.instagram.com/ramseyselim</t>
  </si>
  <si>
    <t>CookiesOnTour</t>
  </si>
  <si>
    <t>Been asked by a few friends/family about my thoughts on using #airbnb abroad so I wrote a little post with my thoughts () Only 2 weeks until our next rental in #Sorrento #travel #traveltribe</t>
  </si>
  <si>
    <t>Lover of travel/good food/good wine - blogging novice - tweeting our adventures</t>
  </si>
  <si>
    <t>Cavel Capalbo</t>
  </si>
  <si>
    <t>You are wondering where did time go? And you're ready to have the Vacation of a lifetime. Villa Serenity has exceptional deals on Jamaica All inclusive Vacation Packages.  #allinclusive #vacation #vacationrentals #vrbo #tripadvisor #Expedia #airbnb #beach</t>
  </si>
  <si>
    <t>Ocean View Villa in Ocho Rios, Jamaica is a luxury rental with amenities &amp; services you would expect from a 5-star resort http://www.jamaicaoceanviewvilla.com</t>
  </si>
  <si>
    <t>#Sequoia’s Michael Moritz: Look out for “the Unexpected” - why you don’t need to be a #tech expert to see #potential .  #airbnb #DJI #Google #VentureCapital #investing</t>
  </si>
  <si>
    <t>homespin</t>
  </si>
  <si>
    <t>Aw shucks. What a review! "We loved our stay at Natalie's cabin. It was quite the treat to be surrounded by nature and see the stars at night! The wood stove makes the space cozy and kept us warm as needed. We would stay again." #discoverON #airbnb "</t>
  </si>
  <si>
    <t>Opeongo Hills, Canada</t>
  </si>
  <si>
    <t>DIY economic devt in rural Ontario, Madawaska through Bonnechere. Branding our area, promoting tourism &amp; marketing great local biz http://homespin.ca/</t>
  </si>
  <si>
    <t>Storage West Ann Rd</t>
  </si>
  <si>
    <t>We explored the truth of being an Airbnb host so you can decide if its right for you #HereForYou #General #Business #USA #Jobs #Airbnb #Host</t>
  </si>
  <si>
    <t>North Las Vegas, NV 89031</t>
  </si>
  <si>
    <t>Storage West Self Storage North Las Vegas, NV. RV and self storage units offered. Come store with us! Hours: 9:00am-6:00pm everyday. Closed on major holidays.</t>
  </si>
  <si>
    <t>What do a mermaid and sloth have in common? They can meet "on line" at Airbnb  @CateyHill #airbnb</t>
  </si>
  <si>
    <t>Diane Messias</t>
  </si>
  <si>
    <t>Family filmed by #Airbnb host, fobbed off by Airbnb until social media became involved. I've had my own issues with them, only resolved once I wrote to CEO. Advise screenshotting booking/cancellation conditions, especially the latter.</t>
  </si>
  <si>
    <t>Comedy writer &amp; purveyor of alternative facts. Blocked by Katie Hopkins (!) &amp; Godfrey Bloom, jokes plagiarized by top political journalists. Read it here first.</t>
  </si>
  <si>
    <t>#travelquote Learn about AirBnb on  #airbnb #airbnbhost #travelquotes #travelquotestoliveby #travelquotesinspiration #airbnbhomes #airbnbguest #bnb #bnbreadathon #moneygram #moneymotivated #socialmedia #business #entrepreneurs #branding #startup</t>
  </si>
  <si>
    <t>Have you checked out our website? With almost 100 individual vacation homes to choose from, we have something for everyone! Come stay with us and experience our unique corner of the world!  #vacationinsedona #vrbo #airbnb #exper…</t>
  </si>
  <si>
    <t>Sazzle</t>
  </si>
  <si>
    <t>Absolutely loving our #airbnb in #Anglesey they’ve provided us with binoculars so I can watch the planes flying in and out of @RAFValleyStnCdr</t>
  </si>
  <si>
    <t>Married without children. Sometimes my tweets might reflect that. Married to @kitchendiscodjs and mum to Quincey and CiCi.</t>
  </si>
  <si>
    <t>SalvationArmy-Naples</t>
  </si>
  <si>
    <t>Run an #AirBnB? #LostLuggage? Love #TreasureHunting? Shopping our Naples Davis Blvd stores saves you money and helps us do the most good! #throwbackthursday Take a look inside</t>
  </si>
  <si>
    <t>Naples, Florida</t>
  </si>
  <si>
    <t>Serves Collier County, FL residents with food, financial aid, child care w/o discrimination since 1981. To donate http://bit.ly/dogoodswfl CDC LN: C07538</t>
  </si>
  <si>
    <t>Create a relaxing atmosphere in the bedroom with neutral colours for walls and natural woods for furnishings. Loving the Thornton reclaimed wood pieces in this bedroom 😍  #modishliving #brighton #hove #airbnb #bedroom #reclaimedwood #homedecor</t>
  </si>
  <si>
    <t>The Art House an #Airbnb in New Orleans, #AlgiersPoint just two blocks from the #Frenchquarter via ferry.  Owned and hosted by New Orleans #artist #GingerJoyner  #travelideas #NewOrleans #visitneworleans #nola #nolapictures</t>
  </si>
  <si>
    <t>SIEMENS HOME TEAM</t>
  </si>
  <si>
    <t>Move in for June 1st, minutes from Grand Bend Beaches. 162 Roland St, Dashwood Raised Bungalow with separate entrance to basement #inlawsuite #incomesuite #airbnb 3 Bedrooms 🛏, 2.5…</t>
  </si>
  <si>
    <t>London, Ontario</t>
  </si>
  <si>
    <t>We look forward to helping you find your new 🏡! #ldnontrealtor #sellwiththesiemens #buywiththesiemens #siemenshometeam #ldnontrealestate #homesweethome #swont</t>
  </si>
  <si>
    <t>LAUNCHING MAY 2019! Situated in beautiful South Shropshire, our Luxury Pods are the perfect getaway. Check out  for more info. We're also on Facebook and Instagram @sy7luxuryglamping #Shropshire #shropshirehills #luxury #Glamping #airbnb</t>
  </si>
  <si>
    <t>Stuart Anderson</t>
  </si>
  <si>
    <t>Arklow, Ireland</t>
  </si>
  <si>
    <t>Data Protection professional. Managing Director @XpertDPO. Tweets are my own views etc..</t>
  </si>
  <si>
    <t>XpertDPO</t>
  </si>
  <si>
    <t>Family using #AirBnB rental find concealed video camera livestreaming from property #privacy #dataprivacy #gdpr</t>
  </si>
  <si>
    <t>We specialise in offering Nominated European Representative Services alongside our Outsourced Data Protection Officer Service.</t>
  </si>
  <si>
    <t>#30daychallenge Day 7: You have questions about #Airbnb ? Well we'll have answers for ya April 27th at the #PhiladelphiaAirbnbHostExpo ! Go to…</t>
  </si>
  <si>
    <t>Ana Bozovic</t>
  </si>
  <si>
    <t>#WhiteBoard drill down into what effect #MiamiBeach's #airbnb ban had on the SFH market. I recently contributed to an article on this topic. Full video here:  #realestate</t>
  </si>
  <si>
    <t>Finding opportunities &amp; special situations in real estate. No-spin, long term trend analysis on real estate and human behavior :) Based in Miami.</t>
  </si>
  <si>
    <t>AirBnb's IPO - one of the year's most hotly anticipated- may not actually happen in 2019 . #IPO . #AirBnb #stocks #invest #investment #investing '</t>
  </si>
  <si>
    <t>We are providing amazing homes and great experiences. It's about the whole experience!  #temecula #airbnb #propertymanagement #vacationrental #vacation #wine #wineries #winetasting #travel #wedding #winecountry #temeculavacationrentals #lovetemecula</t>
  </si>
  <si>
    <t>Evolution Foto</t>
  </si>
  <si>
    <t>Be the most successful #Airbnb host with our imaging services!  #vacationrentals #shorttermrentals #vacationrental #propertymanagers #propertyowner #3D #photography #VR</t>
  </si>
  <si>
    <t>Manhattan, NY</t>
  </si>
  <si>
    <t>Providing Digital #photography, #3D and Virtual Reality Imaging For Your Space. #EvolutionFoto #MarketingMaterial</t>
  </si>
  <si>
    <t>JELD-WEN Canada</t>
  </si>
  <si>
    <t>Help inspire your customers' summer #renos by sharing these amazing Canadian #AirBnB views they'll want to recreate in their own homes. ☀️ #JELDWEN</t>
  </si>
  <si>
    <t>Window and Door Manufacturer sharing industry news, ideas, images and tips. (French &amp; English) Blog: http://en.jeld-wen.ca/blog/</t>
  </si>
  <si>
    <t>Fremon</t>
  </si>
  <si>
    <t>Best investment for 2019 #Lyft #Airbnb or #BTC @crypto_bobby @Crypto_Core</t>
  </si>
  <si>
    <t>Work, dream, and inspire. #Entrepreneur #HWLH #Investor Read 1 book a week.</t>
  </si>
  <si>
    <t>Are you visiting London this #Easter? 🙂 Visit our website TODAY and book a short stay at one of our beautiful and cozy properties all over London!  #Airbnb #HomeAway #Tripadvisor #Booking.com #London #Spring #travelling #business #accommodation #property</t>
  </si>
  <si>
    <t>Check out this awesome Entire condominium on Airbnb: Live Like Royalty On The Las Vegas Strip!, sleeps 5 #Vegas #AirBnB #LasVegas #Vacation #Raiders #LVRaiders #FootBall #WSOP</t>
  </si>
  <si>
    <t>We Are TEN</t>
  </si>
  <si>
    <t>"Big wealth comes when a #startup goes public, transforming hypothetical money into extremely real money. This year — #Uber #Slack #WeWork #Postmates #Pinterest #Airbnb are hoping to enter the public markets." v/@JayminSOfficial #ipo #stockmarket #Success #BusinessIdea</t>
  </si>
  <si>
    <t>The Top 1% of Global Innovators at Your Fingertips🤳| Discover, Matchmake &amp; Select Innovation Teams that are a Great Fit for Your Project | hello@weareten.co.uk</t>
  </si>
  <si>
    <t>Galina</t>
  </si>
  <si>
    <t>cupon airbnb for new user  40$ #airbnb</t>
  </si>
  <si>
    <t>Украина Киев</t>
  </si>
  <si>
    <t>#GainWithTrevor #TEAMVINIC #ieFun #IFBDrive #CoolDrive7</t>
  </si>
  <si>
    <t>We 👏 Could 👏 Not 👏 Agree 👏 More 👏 #ThursdayThoughts from our friend @AnthonyHotels host of the popular @travelchannel TV Show, #HotelImpossible #StopPlayingGames #GetInsuredCorrectly #TeamCBIZ #VacationRentals #vacationrentalinsurance #airbnb #vrbo #bookdirect</t>
  </si>
  <si>
    <t>Protect Our Police</t>
  </si>
  <si>
    <t>Worth a read if you are tempted to stay in #Airbnb Family discovers hidden camera livestreaming in Airbnb Interesting how they found no wrong doing in their investigation into a #HiddenCamera Terrible!!</t>
  </si>
  <si>
    <t>Protect Our Police Protecting the Office of Constable and Supporting Police Staff. In the #NationalInterest #ReverseCutsToPolicing because #CutsHaveConsequences</t>
  </si>
  <si>
    <t>April is booked, but May has lots of #vacay opportunities! Check out this Cozy Lakeside Cabin at Lake Wateree with Dock #travel #cola #chs #couples #retreat #lakelife #sc #airbnb @airbnb</t>
  </si>
  <si>
    <t>Harald Schendera</t>
  </si>
  <si>
    <t>#Airbnb is picking one couple to sleep over in the world’s most famous museum: A single person (and a friend) will get to spend the night in the Louvre’s glass pyramid. Have you ever dreamed of spending the night in a legendary museum? Well, here is your…</t>
  </si>
  <si>
    <t>Friedberg, Deutschland</t>
  </si>
  <si>
    <t>Owner of Schendera Internet Services. Helping businesses worldwide to become successful online.</t>
  </si>
  <si>
    <t>Thousands of Airbnb-style holiday rentals in Madrid could be rendered illegal:  #spain #homesharing #airbnb</t>
  </si>
  <si>
    <t>Hot off the press: Want to start an Airbnb? Do your research first  #montrealhomes #montrealrealestate #Airbnb</t>
  </si>
  <si>
    <t>#Repost seaestavilla_airbnb ・・・ Tag a friend you'd like to rent this entire villa with #jamaica 🇯🇲🇯🇲🇯🇲🇯🇲🇯🇲 . #airbnb link in Bio 🌸🌸 Follow↪ seaestavilla_airbnb . 📷…</t>
  </si>
  <si>
    <t>Smart Thumb 🇬🇧</t>
  </si>
  <si>
    <t>Brit with a liking for America. Blockchain Entrepreneur. “Glorify the peacemaker holding the pen not the warrior holding the sword"</t>
  </si>
  <si>
    <t>RESILIENT MEDIA ENT</t>
  </si>
  <si>
    <t>How #IPOs From #Uber, #Airbnb And Others Could Create A $230 #Billion Windfall And 6,000 New #Millionaires via forbes  @bizspectator…</t>
  </si>
  <si>
    <t>NEW YORK</t>
  </si>
  <si>
    <t>@resilient_ent SHARING DOPE😊👍💯CONTENT ABOUT: PRIVATE EQUITY VENTURE CAPITAL HEDGE FUNDS INVESTMENT BANKING, BILLIONS, TRILLIONS (DEALS), MUSIC, TV, FILMS</t>
  </si>
  <si>
    <t>How #IPOs From #Uber, #Airbnb And Others Could Create A $230 #Billion Windfall And 6,000 New #Millionaires via forbes  @bizspectator</t>
  </si>
  <si>
    <t>Happy to see #Airbnb on 2019 #LinkedInTopCompanies list and proud of our #Airfam for making this company an amazing place to work - in the #US and beyond. #BelongAnywhere #SharingEconomy #digital #tech #entrepreneurship</t>
  </si>
  <si>
    <t>Win a Louvre sleepover with #Airbnb U probably can't afford Beyonce's wardrobe, but u might have a chance at living like Queen Bey thanks to a once-in-a-lifetime opportunity from Airbnb. Answer this: Why would u be the Mona Lisa's perfect guest? #louvre</t>
  </si>
  <si>
    <t>#BURGHRENT</t>
  </si>
  <si>
    <t>WEB EXTRA #Airbnb #Louvre Experience  #pittsburghrealestate #sharingeconomy</t>
  </si>
  <si>
    <t>#PropertyManager by trade 🏡 #Entrepreneur by nature Skilled in #RealEstate gung fu #Rental #Property News Curator #BURGHRENT #PropertyManagement in #Pittsburgh</t>
  </si>
  <si>
    <t>$55 ❤️💸✈️ Airbnb code coupon promo discount first. $55 OFF CLICK LINK NOW! Try it. Please DM me if you have any issues. #airbnb #airbnbcode #airbnbdiscount #airbnbpromo #airbnbcoupon #StrayKids1stWin #ThursdayThoughts #nationalhuganewspersonday</t>
  </si>
  <si>
    <t>Seb Brixey-Williams</t>
  </si>
  <si>
    <t>Have my free AirBnB credit:  #AirBnB</t>
  </si>
  <si>
    <t>Programme Director at think tank @BASIC_int. Promoting #dialogue on multilateral #nuclear #disarmament, #armscontrol and nuclear responsibilities. Brixey, no L.</t>
  </si>
  <si>
    <t>#ServicedApartment Awards celebrates winners - The Serviced Apartment Awards announced its winners at the fourth annual ceremony in London at the Park Plaza Riverbank hotel. Read more at  #servicedapartments #servicedapartmentnews #airbnb</t>
  </si>
  <si>
    <t>Curbside Treasures</t>
  </si>
  <si>
    <t>Our 12ft pedestal table in West End NC! #westendnc #nc #madeinnc #farmhouse #farmhousetable #happycustomer #etsy #gobig #airbnb #rentalproperty #honey #rustic #decor #dining @ Curbside…</t>
  </si>
  <si>
    <t>Wilmington, NC</t>
  </si>
  <si>
    <t>Curbside Treasures is owned by Matt and Sarah Maya, a husband/wife duo.</t>
  </si>
  <si>
    <t>Nalexadre</t>
  </si>
  <si>
    <t>Back on Surin Beach (#Phuket, #Thailand) to clean the #airbnb Studio, located at 6th Avenue Hotel. An opportunity to gain in better flying skills of the #DJI #Mavic Pro ▶️ #YouTube #Video</t>
  </si>
  <si>
    <t>French dude born with the game Pong and expat in Thailand</t>
  </si>
  <si>
    <t>PersonalParis</t>
  </si>
  <si>
    <t>Ever dreamed of playing NIGHT AT THE MUSEUM? Well, here is your chance to travel to Paris and have Mona Lisa as a roommate for one night thanks to #airbnb 🖼🛏🕵️‍♀️ You only need to be…</t>
  </si>
  <si>
    <t>Custom Made Paris experiences | Custom made visits | Shopping Tours | Events 🛎👗🖼🛍🥂🍰🎒✈️</t>
  </si>
  <si>
    <t>ECCI</t>
  </si>
  <si>
    <t>Dangerous Idea #3: Can #Tourism be #Sustainable? What are the alternatives to #AirBnB? Does socially sustainable accommodation-sharing exist? Join @BangorUni's Dr Nikolaos Papadogiannis for #EdUniEdSciFest 'Cabaret of Dangerous Ideas' climate special &gt;</t>
  </si>
  <si>
    <t>Accelerating our move to a thriving zero carbon society by bringing people together, kick-starting new ideas and delivering groundbreaking projects.</t>
  </si>
  <si>
    <t>Truth Be Told</t>
  </si>
  <si>
    <t>American Horror Story House Available To Rent On #Airbnb</t>
  </si>
  <si>
    <t>Truth Be Told updates readers on latest development in #celebrities’ professional and personal life</t>
  </si>
  <si>
    <t>#ThursdayThoughts guests appreciate function over form, create a space that's uniquely appealing but ready to use! #airbnb</t>
  </si>
  <si>
    <t>Wow, what an opportunity! Perhaps they'll use KeyNest to hand over the keys... 🔑 #airbnb #paris</t>
  </si>
  <si>
    <t>Airbnb Taxes 2019 Explained  #airbnb @airbnb</t>
  </si>
  <si>
    <t>It's just the thought... #GreensboroAquaticCenter #swimmers, #divers &amp; coaches we invite you to a comfortable &amp;amp; convenient experience! Reserve your stay today:  #greensboro #airbnb #travel #airbnbhost #airbnbexperience #gso #raleigh #durham #charlotte</t>
  </si>
  <si>
    <t>Bored? Looking to troll...Ethnos holding an online portion of their Airbnb debate. #antireport #airbnb</t>
  </si>
  <si>
    <t>, an online travel accommodation booking platform, celebrates the 3d anniversary. Ruslans Kovalovs, chairman and managing director of TheGM, said...  #traveltrends #travelling #tourism #onlinetravel #accommodation #airbnb #bookingcom</t>
  </si>
  <si>
    <t>Family, friends &amp; guests needing accommodations for #GuilfordCollege Commencement 2019.. Reserve your stay today!  #greensboro #airbnb #travel #hotel #airbnbhosting #airbnbexperience #classof2019 #gso #airbnbhosts #raleigh #raleighnc #durham #charlottenc</t>
  </si>
  <si>
    <t>Mauro Turcatti</t>
  </si>
  <si>
    <t>Denmark approves forward-thinking home sharing rules and simplifies tax  #airbnb</t>
  </si>
  <si>
    <t>Milan, Italy</t>
  </si>
  <si>
    <t>Public affairs e comunicazione presso @airbnb_it. Di viaggi, turismo, digitale e media.</t>
  </si>
  <si>
    <t>Denmark approves forward-thinking home sharing rules and simplifies tax #homesharing #Airbnb</t>
  </si>
  <si>
    <t>Roasting marshmallows beside the creek at Ferngully Cove. Tag someone you’d like to roast marshmallows with! #airbnb #ferngully_cove #weekendgetaway…</t>
  </si>
  <si>
    <t>Would you like to be stranded on a Greek island? ☀ 😎 🏝 🍹 🇬🇷 #white #water #ocean #bluesky #horizon #skylovers #santorini #airbnb #vacationrental #tourist #tourism #greece #visitgreece #sparrow #thesparrow #vacay #vacation #paradise #instalike #holidays #greekislands</t>
  </si>
  <si>
    <t>Magdalena Brzdąk</t>
  </si>
  <si>
    <t>Something to add to your bucket lists! #airbnb #nightatthemuseum  via @campaignmag</t>
  </si>
  <si>
    <t>Swindon, England</t>
  </si>
  <si>
    <t>Airready</t>
  </si>
  <si>
    <t>Jam-packed indeed, this is a great itinerary for your visit Bath! #Bath #Itinerary #Airbnb RT @visitbath: As we continue to celebrate @VisitEngland's English Tourism Week, we’ve put together a jam-packed itinerary for the perfect microgap in Bath. 🧳 Discover all there is to do on a short trip to the city on the blog! 😋🌳 &gt;</t>
  </si>
  <si>
    <t>Bath and Wiltshire</t>
  </si>
  <si>
    <t>WE LIST, PREPARE AND MANAGE OWNERS’ HOMES FOR AIRBNB GUESTS</t>
  </si>
  <si>
    <t>#owner #gay #CommunityManager &amp; #PropertyManagement booking one of our #apartment #paris #misterbnb #gay #gaytravel #gaytraveller #airbnb</t>
  </si>
  <si>
    <t>The latest image from the GowerLive #webcam on the roof 730RocksMumbles #AirBnB. Book at  #Mumbles #Swansea #Gower #travel. Watch live at  #845</t>
  </si>
  <si>
    <t>Lo®3nzo™</t>
  </si>
  <si>
    <t>#Airbnb presents: A night at the #Louvre | Airbnb  via @YouTube</t>
  </si>
  <si>
    <t>In lumine Tuo videbimus lumen #IBelieveThatWeWillWin 🇮🇹🇯🇵🇺🇸🇬🇧🇨🇭🏴󠁧󠁢󠁥󠁮󠁧󠁿🇨🇳🏈🏀⚽️🎾⚾️🏉🏒🏆🍴🍔🍕🧀🍣🍱🍶🥃🍾🍷🍸 Instgrm @pygo33</t>
  </si>
  <si>
    <t>. Come and stay! #airbnb #homeaway #tripadvisor #bookingcom #shortstay #longstay #holiday #minibreak #justfortwo #perfectstay #perfectreview @ Cartmel, Lake…</t>
  </si>
  <si>
    <t>Congratulations #Airbnb. Proud to be a partner</t>
  </si>
  <si>
    <t>Experience the Cotswolds</t>
  </si>
  <si>
    <t>Just one of the amazing places you can stay here in #winchcombe #airbnb #tripadvisorexperiences #cotswoldtours #tourUK #cotswolds #cotswoldlife #cheltenham #discovercotswolds #broadway #britishcountryside #gloucestershire #visitengland #lovethecotwolds</t>
  </si>
  <si>
    <t>The Cotswolds</t>
  </si>
  <si>
    <t>We offer many different experiences of the Cotswolds, check our website for available Tours</t>
  </si>
  <si>
    <t>Richard Kleiner</t>
  </si>
  <si>
    <t>What do #Lyft, #Uber, #Airbnb &amp; #Postmates all have in common?  #gigeconomy #IPOs #startups #recession</t>
  </si>
  <si>
    <t>CEO at Gerald Edelman, non-exec chairman of Comptoir Group plc, trustee of The National Holocaust Centre &amp; Museum and director of The Nursery Window</t>
  </si>
  <si>
    <t>events2k</t>
  </si>
  <si>
    <t>#London #Laundry #detergent #wholesaler #distributor to the #laundrette #marketrader #trader #business #servicewash #housekeeping #carehome #airbnb #hotel #restaurant #service #industry Info@kleanmachineservices.co.uk 0207 101 4918 #londonbiz #londonislovinit #ATLondonUk</t>
  </si>
  <si>
    <t xml:space="preserve">London England </t>
  </si>
  <si>
    <t>Event organiser &amp; event equipment hire company based in London. geodesic dome igloo marquee gazebo stage trestle table &amp; chair hire</t>
  </si>
  <si>
    <t>WHOLESALE LAUNDRY DETERGENT &amp; HOUSEHOLD DETERGENTS</t>
  </si>
  <si>
    <t>WHOLESALER &amp; DISTRIBUTER OF BULK LIQUID &amp; POWDER LAUNDRY DETERGENTS &amp; HOUSEHOLD CLEANING PRODUCTS TO THE LAUNDRETTE HOTEL &amp; RESTAURANT INDUSTRY</t>
  </si>
  <si>
    <t>Hash Rush</t>
  </si>
  <si>
    <t>Airbnb accepting crypto gift cards! How cool is that?! 😍  #hashrush #airbnb #giftcard</t>
  </si>
  <si>
    <t>Riga, Latvia</t>
  </si>
  <si>
    <t>Hash Rush unites the worlds of crypto and RTS gaming. For the first time ever, this combination allows gamers to compete for cryptocurrency and other rewards.</t>
  </si>
  <si>
    <t>This is the perfect month to enjoy of the cherry trees. We love this season. Book your stay now here:#AIRBNB :  #familytravel #travel #japan #airbnbjapan #airbnbtokyo #travel</t>
  </si>
  <si>
    <t>Take a look of this 5 vegetarian restaurants in Tokyo. Book your stay with us here #AIRBNB :  #familytravel #travel #japan #airbnbjapan #airbnbtokyo #travel RT @Tokyo_Weekender: These 5 must-try vegetarian restaurants in Tokyo will satisfy vegans, vegetarians and meat-eaters alike:</t>
  </si>
  <si>
    <t>This is the last weekend in Tokyo to have a hanami with a full sakura. Book now your stay with us here: #AIRBNB :  #familytravel #travel #japan #airbnbjapan #airbnbtokyo #travel RT @tadaima_jp: There is still time to try hanami in another place😀</t>
  </si>
  <si>
    <t>#HappyThursday we have available days for April. Come and enjoy of the different festivals in town. Book us here: #AIRBNB :  #familytravel #travel #japan #airbnbjapan #airbnbtokyo #travel RT @LIVEJAPANGuide: What to do in #Tokyo in #April? The Azalea Festival at Nezu Shrine starts Saturday; the quirky #Kanamara Phallus #Festival is this Sunday! Check out what other 'Only in Japan' events are coming up! #Spring is literally the best season to be in town.</t>
  </si>
  <si>
    <t>Richie</t>
  </si>
  <si>
    <t>#Supanova #Roadtrip Day 4 - Horsham to Melbourne. We made it! Found this little rare gem of a bicycle lol, and now all settled into our #airbnb</t>
  </si>
  <si>
    <t>est. 2018 - Over twenty years #Cosplaying , #LARPing - http://ko-fi.com/armouredcosplay</t>
  </si>
  <si>
    <t>That Airbnb story during the Dem Convention is a stunner. Obama's nomination had led to a frenzy, his acceptance speech venue moved to Invesco Field which held 80,000 ppl...."the hysteria was perfect for us" Brian Chesky had said! @bchesky #Obama #Airbnb #Travel RT @sajithpai: Great opportunity for AirBnB or a competitor. Remember the original idea for Airbnb came out of the difficulty of finding rooms during the U.S. Democratic National Convention.</t>
  </si>
  <si>
    <t>IBTimes India Technology</t>
  </si>
  <si>
    <t>Airbnb checks into Oyo rooms, invests $150-200 million #Airbnb #Oyo</t>
  </si>
  <si>
    <t>The official account for the International Business Times, India, science and technology team.</t>
  </si>
  <si>
    <t>"Maybe your guests will come back to meet up with their new travel buddies in the future."  #SocialMedia #Marketing #Facebook #Hotels #Blog #Airbnb #Hospitality #HospitalityManagementStudies #Boostly #Hospitalitybusiness #Hotelmarketing #Hospitalities</t>
  </si>
  <si>
    <t>Everest Electrical</t>
  </si>
  <si>
    <t>Thinking of adding a granny flat to your home, make sure you check out our granny flat guide for a comprehensive list of things to consider. #grannyflat #airbnb #everestelectrical</t>
  </si>
  <si>
    <t>Northern Beaches</t>
  </si>
  <si>
    <t>April = #Autumn = #HotChocolate weather! This combination of rich hot chocolate, charcoal salt, maple smoke and house-made marshmallow from #MörkChocolate Brew House in #Melbourne looks absolutely delightful and a must-try.😋 #madecomfy #australia #travel #airbnb</t>
  </si>
  <si>
    <t>Do you know what the common #Airbnb requests are and how to handle them? Check out our article packed with insights on how to best manage #guest enquiries. Let us know which tips you plan to adopt!  #madecomfy #sydney #melbourne #brisbane #shorttermrental</t>
  </si>
  <si>
    <t>Airbnb Clone has enormous features that make it a great online marketplace... AirCloud-Airbnb clone at 99$ only for the USA customers. Buy Now:  call: 7667298398 For demo Mail: support@nexcloudz.com #airbnb #airbnbclone #nexcloudz #aircloudairbnb #usa</t>
  </si>
  <si>
    <t>Jörn Menninger</t>
  </si>
  <si>
    <t>Frankfurt am Main, Germany</t>
  </si>
  <si>
    <t>I tweet about German, European #startups, #venturecapital and #fintech in English. Host @startuprad_io RT ≠ Endorsement</t>
  </si>
  <si>
    <t>Introducing Holiday Rental Agency, your holiday property marketing guru, here to optimise your #airbnb , #stayz and #homeaway listings! Rank higher &amp; book more often! #NewProfilePic</t>
  </si>
  <si>
    <t>Sign up for AirBnB via our referral and get $40 off your 1st adventure.  #airbnb #travel #touristlife</t>
  </si>
  <si>
    <t>Great Beer Now</t>
  </si>
  <si>
    <t>Airbnb contest to stay at Louvre  via @bloglovin #airbnb</t>
  </si>
  <si>
    <t>Let's talk about #beer - but let's drink some first! I am a beer writer living in #Houston, #Texas who loves great beer! Must be age 21 or up to follow</t>
  </si>
  <si>
    <t>$55 💵💵💵 FREE AIRBNB CODE. Here’s your chance for a free credit coupon and codes to travel for FREE. Click the link NOW. Please DM me if you have any issues. #airbnb #airbnbcode #airbnbdiscount #airbnbpromo #airbnbfree</t>
  </si>
  <si>
    <t>Gerard Faulkner FS</t>
  </si>
  <si>
    <t>Savvy Seniors are making up 17% of the hosts on @Airbnb which they say is helping them save for their retirement and holidays by renting out their spare rooms to travellers. Check out the article here!  #retirement #savings #savvyseniors #airbnb</t>
  </si>
  <si>
    <t>Ballarat, Victoria</t>
  </si>
  <si>
    <t>The team at Gerard Faulkner Financial Services has been looking after the insurance needs of clients in the Ballarat region of Victoria for over a decade.</t>
  </si>
  <si>
    <t>In Santa Monica, with the 9th court ruling, the path has now been shown for other cities to follow, if they want to properly regulate Airbnb etc. #airbnb #VRBO #homeaway #illegalhotels #travel #tourism #us #santamonica</t>
  </si>
  <si>
    <t>Matt Gawel</t>
  </si>
  <si>
    <t>What’s that you hear??? Ooooohhhhhh Yeeeaahhhhh it’s EP 44 coming at ya!! I can’t help but say another great conversation in the books. Don’t believe me we’ll go ahead and check it out for yourself. You know what I dare you!!! #podcast #airbnb #glitterbomb</t>
  </si>
  <si>
    <t>Southington, CT</t>
  </si>
  <si>
    <t>In Greece, without any proper laws on short-term rentals yet, neighbours are taking Airbnb and HomeAway hosts to court in increasing numbers, and winning #airbnb #homeaway #str #ota #illegalhotel #greece #athens #travel #toursim #vacation #holidays</t>
  </si>
  <si>
    <t>CXC Australasia</t>
  </si>
  <si>
    <t>We crave human interaction, right? @jxwillia predicted a trend 6 years ago, hotels run by #robots - sadly for Jon, we was off the mark. But get this: #AIRBnB - a hotel with NO humans... #brainexplode #EWS</t>
  </si>
  <si>
    <t>Australia, The World</t>
  </si>
  <si>
    <t>For over 26 years we've been the leading provider of #contractor management solutions. We help #employers &amp; #contractors optimise contracting opportunities</t>
  </si>
  <si>
    <t>MissMilesss</t>
  </si>
  <si>
    <t>loveeee #Airbnb thank you to whoever thought of it!</t>
  </si>
  <si>
    <t>Marikina, Philippines</t>
  </si>
  <si>
    <t>My Tweets Are Super Random</t>
  </si>
  <si>
    <t>HelloME</t>
  </si>
  <si>
    <t>Musée du Louvre joins forces with Airbnb &amp; will be transformed into a magical home for one night. Art lovers will have the chance to sleep under the Louvre’s iconic glass Pyramid in a 'mini-pyramid'. #TheLourve #AirBNB #HelloLifestyle #HelloMagMe #HelloMiddleEast #HelloLoves</t>
  </si>
  <si>
    <t>Tune in for EXCLUSIVE access into the lives and homes of the Royals, society mavens, travel aficionados and style and beauty influencers</t>
  </si>
  <si>
    <t>Mountain views. Beautiful every season of the year! 🍁❄️🌷🌳 #mountains #boone #airbnb #homeaway</t>
  </si>
  <si>
    <t>YaletownCondoGroup</t>
  </si>
  <si>
    <t>NOW FOR SALE. 645 SF Yaletown Condo is 1 bed and den on the 26th floor $849,900 AIR B&amp;B rentals allowed. This home offers a spacious layout with many upgrades. Stunning views and amenities.. #VanRE #vancouver #yaletown #airbnb #YVR #city</t>
  </si>
  <si>
    <t>A team of award winning realtors who work and live in Yaletown. Your "Yaletown Strata Experts"</t>
  </si>
  <si>
    <t>Large 5Star #Florida #vacationhome with prival pool on #Airbnb Tropical #TommyBahama style - #VRBO April 03, 2019 at 10:00PM</t>
  </si>
  <si>
    <t>Spacecubed</t>
  </si>
  <si>
    <t>45 St Georges Tce, Perth</t>
  </si>
  <si>
    <t>PDX Santé Bar</t>
  </si>
  <si>
    <t xml:space="preserve">411 NW Park Avenue </t>
  </si>
  <si>
    <t>Try making Japanese traditional sweets @Airbnb when you come to Osaka! #airbnb #experience #osaka #Japan #cookingclass #japanesefood #JapaneseCulture #japanesesweets #wagashi</t>
  </si>
  <si>
    <t>Ashford Key Properties</t>
  </si>
  <si>
    <t>FYI guests are gaming #Airbnb policy by having raging parties and smart enough to know host cant do anything. Renting houses before going out which is cheaper than a cover charge to a club. @Airbnb response is I should tell everyone for the next time this guest books a party!</t>
  </si>
  <si>
    <t>#airbnb #louisville #kentucky</t>
  </si>
  <si>
    <t>#Airbnb @Airbnb We take extreme pride in hosting guests for a residential use &amp; want reviews &amp;amp; star ratings. However, party users, not guest, will end up stopping hosts &amp;amp; further increase local laws friction. #BnBParty is real and allowing these users to leave reviews is not fair</t>
  </si>
  <si>
    <t>BRAZIL AIRBNB-SÃO PAULO</t>
  </si>
  <si>
    <t>Sao Paulo, Brazil</t>
  </si>
  <si>
    <t>Schultz, Nash</t>
  </si>
  <si>
    <t>Luxury Apartment, located 1 block from Paulista Av/Jardins/2-bed/2-bath/rooftop pool/gym/internet: http://www.airbnb.com/rooms/732523 or http://www.airbnb.com/rooms/747455</t>
  </si>
  <si>
    <t>SaoPauloBrazilTravel</t>
  </si>
  <si>
    <t>A Game With Chums</t>
  </si>
  <si>
    <t>check out our airbnb room tour. Arrived in Japan. Looking forward to more vlogs short videos during the next couple of weeks. #Japan #nippon #airbnb</t>
  </si>
  <si>
    <t>A couple of goons who put stuff on Youtube for funsies. Tweets admin'd by Paul and Ror.</t>
  </si>
  <si>
    <t>Myr ✊🏿✊🏼✊🏾✊🏻✊🏽</t>
  </si>
  <si>
    <t>😡😡😡#airbnb must be better regulated. It is destroying neighbourhoods and decreasing the number of available apartments for rent, especially for people with small incomes. @projetmontreal @Val_Plante RT @FRAPRU: Parlant de pénurie de logement et de l'urgence de mieux protéger les locataires: évincée de son logement pour y faire un #Airbnb  via @journalmetro #polmtl</t>
  </si>
  <si>
    <t>Montreal, QC</t>
  </si>
  <si>
    <t>...and thus their brains are stretched, and their emotions moved and their spirit touched... Julius Sumner Miller</t>
  </si>
  <si>
    <t>$55 💚❤️🧡💙💜💲💵💸✈️🔥⚠️Airbnb code coupon promo discount first. $55 OFF CLICK LINK NOW! Try it. Please DM me if you have any issues. #airbnb #airbnbcode #airbnbdiscount #airbnbpromo #airbnbcoupon</t>
  </si>
  <si>
    <t>Oh, these gals in the #Airbnb next door are not going to be great neighbors.</t>
  </si>
  <si>
    <t>Circled taco love 🌮 provided by @TahonaMezcal⁣ ___⁣ ⁣ #BunkFoodSD • #SanDiego • #airbnb • #QueSeaUnGranDia ⁣ ⁣ ⁣</t>
  </si>
  <si>
    <t>Vada-Leigh 💭</t>
  </si>
  <si>
    <t>I have a referral link if anyone is thinking of booking @Airbnb_uk @Airbnb 😊 #travel #traveltribe #travelblogger #travelblog #hotels #Airbnb</t>
  </si>
  <si>
    <t>Surrey, UK</t>
  </si>
  <si>
    <t>Freelance social media manager, book reviewer and blogger who loves to write and travel. You can find me curled up with a book, tea and cats.</t>
  </si>
  <si>
    <t>GPB News</t>
  </si>
  <si>
    <t>Amid racial discrimination allegations against @Airbnb,the @NAACP wants to promote #airbnb as an economic opportunity for #Atlanta communities of color @RossTerrell7 reports</t>
  </si>
  <si>
    <t>Stand with the facts. GA's @NPR &amp; @PBS station. On Second Thought @osttalk M-F 9 a.m. Political Rewind @politicsgpb M/T/W/F at 2 p.m.</t>
  </si>
  <si>
    <t>Vogue.fr</t>
  </si>
  <si>
    <t>Care to dine with Mona Lisa?  #Louvre #Airbnb</t>
  </si>
  <si>
    <t>Vogue Paris sets trends, makes names and dares to go where no other title will. Your daily dose of fashion and style, live from Paris.</t>
  </si>
  <si>
    <t>First Time Airbnb $55 coupon promo referral code :) Get your discount credit on your first trip Click the link NOW 💵💚💸💵💚💸—-&gt;✈️ #airbnb #airbnbcode #airbnbdiscount #vacation #trips #travel #getaway</t>
  </si>
  <si>
    <t>Carson Mtn Cottage</t>
  </si>
  <si>
    <t>Thanks so much for this 5-star @airbnb review from our guests! #weekendgetaway #airbnb #mountains #virginia #shenandoahnationalpark #appalachiantrail</t>
  </si>
  <si>
    <t>Chester Gap, VA</t>
  </si>
  <si>
    <t>A mountain retreat...solitude for singles, a romantic getaway for couples.</t>
  </si>
  <si>
    <t>Seraphimslair</t>
  </si>
  <si>
    <t>#Sowerby~#2634~#Vintage~#Retro~Blue~#Art Glass~Bowl~13.25"L~Signed~#HomeDecor~#Gift *1 of 2 available*  #USA #UK #London #GlassShack #Style #MidCenturyModern #InteriorDesign #Beachlife #OceanOptimism #Beach #Airbnb ❤️❤️❤️#Brighton #Florida #Seraphimslair</t>
  </si>
  <si>
    <t>#Seraphimslair's #GlassShack &amp; #PotteryBarn #GlassArt #Ceramics #Worldwide from #NewcastleuponTyne http://etsy.com/uk/shop/seraphimslair http://pinterest.co.uk/seraphimslair</t>
  </si>
  <si>
    <t>Love this! "Universal Studios Paradise Villa - Houses for Rent in Los Angeles #Travel" @airbnb  #airbnb #vacationrentals</t>
  </si>
  <si>
    <t>400 reviews now on Airbnb! #airbnb #vacation #vacationrental #airbnbhost #teamwork #propertymanagement #realestate #lapaz #mexico #travel #beach #digitalnomad en La Paz, Baja California Sur</t>
  </si>
  <si>
    <t>Kelly🤘🏼Librarian 👉🏼 #TXLA19</t>
  </si>
  <si>
    <t>Wanted to share an @Airbnb credit as summer vacations are nearing! It's time to TRAVEL!!! #airbnb #punkrocklibrarian</t>
  </si>
  <si>
    <t>HS Librarian; #TxLAYART Chair-elect; @AASL Program Pioneer Finalist; @TASL MVP HonorMention; audiobook enthusiast; Google L1; #FFTfellow2017 #punkrocklibrarian</t>
  </si>
  <si>
    <t>Withyoueverystep</t>
  </si>
  <si>
    <t>Hotels? Hostels? Or Airbnb? Our latest episode is out now.  #airbnb #hotels #hostels #accommodation #travelpodcast #traveltips #travel #budgettravel #podcast #PodcastOfTheDay</t>
  </si>
  <si>
    <t>A Travel Podcast to inspire solo travellers to explore the world and talk about everything related to travel. Hosted by MiShel Lee @themishellee</t>
  </si>
  <si>
    <t>SCMP News</t>
  </si>
  <si>
    <t>#Airbnb @MuseeLouvre contest offers night at the museum with the #MonaLisa, sleeping in the iconic pyramid</t>
  </si>
  <si>
    <t>The South China Morning Post brings you news and analysis about Hong Kong, China and the rest of Asia.</t>
  </si>
  <si>
    <t>Don’t book your Airbnb without using this $55 referral coupon code! Click the link down below for your first $55 ❤️💸❤️ Airbnb discount now! Please DM me if you have any issues. #airbnb #airbnbcode #airbnbdiscount #airbnbpromo #airbnbfree</t>
  </si>
  <si>
    <t>RedheadedWritingHood</t>
  </si>
  <si>
    <t>I made tacos for K! And I had a taco salad #lowcarb #keto #redheadedwritinghood #airbnb #airbnbhost #yummy #yummyfood #ilovethis</t>
  </si>
  <si>
    <t>Warner Robins, GA</t>
  </si>
  <si>
    <t>Single, Sassy, Sexy, Sober, Cynical and Celibate! ENFP- Spoken Word Poet - Airbnb Superhost -Wolf Slayer http://RedheadedWritingHood.com</t>
  </si>
  <si>
    <t>Maria Elena Viggiano</t>
  </si>
  <si>
    <t>#Airbnb is taking "Night at the Museum" to the next level with its latest overnight stay contest. The #holiday rental site is giving 2 fans the chance to sleep inside the iconic glass #pyramid at the @MuseeLouvre. #art #culture #history #experience #travel</t>
  </si>
  <si>
    <t>Giornalista @formichenews @ForbesItalia #Cina #geopolitica #innovazione</t>
  </si>
  <si>
    <t>Melanie Yacko</t>
  </si>
  <si>
    <t>If you aspire to be an #Airbnb host, here's what you need to know. #rentalproperty</t>
  </si>
  <si>
    <t>Melanie is a REALTOR® that has 15 years experience in the housing industry.</t>
  </si>
  <si>
    <t>Don't save tracked changes, replace first edit: girl, undo second edit. Apply cause-effect reciprocation. Publishing creativity, one of the best parts of my daily journey with my new, most creative #airbnb.</t>
  </si>
  <si>
    <t>Pond Mobile Business</t>
  </si>
  <si>
    <t>Don’t forget to check out our new #successtory on Airbnb - how they went from putting an air mattress up for rent to a billion dollar business 💪  #Entrepreneur #airbnb #business</t>
  </si>
  <si>
    <t>Telecom Solutions for Global Business 🌎</t>
  </si>
  <si>
    <t>A Majestic rustic home base for Yosemite adventures. Photo: @cedarpeakhouse Via @airbnb Visit Us ➡  ⬅ to learn how to profit from investment properties that you don't even need to own. #airbnb #vacationrental #luxurylisting</t>
  </si>
  <si>
    <t>Australia's short-term rental market is full of opportunities for hosts and vacation rental managers. Read our data-driven overview and see the top 5 emerging markets:  #airbnb #homeaway #stayz #Vrbo</t>
  </si>
  <si>
    <t>#Louvre #Museum #sleepover? #Airbnb contest gives winner rare night inside famous landmark</t>
  </si>
  <si>
    <t>A little advice about becoming an Airbnb host #HereForYou #General #Business #USA #Jobs #Airbnb #Host</t>
  </si>
  <si>
    <t>WaterWalk Hotel Apartments</t>
  </si>
  <si>
    <t>We received this awesome review WaterWalk Dallas - Richardson! Thank you Jonathan! #stayorlive #hotel #airbnb #Review</t>
  </si>
  <si>
    <t>Wichita, KS</t>
  </si>
  <si>
    <t>We’re both fully-furnished extended stay hotel/corporate housing and unfurnished 1, 2, and 3-bedroom apartments with 24/7 service.</t>
  </si>
  <si>
    <t>zahratu shabrina</t>
  </si>
  <si>
    <t>First timer at #aagdc and I thought the sessions were really good in terms of catching up on the research about #airbnb ~ hope to see more people working on STRs on Friday starting at 3.05 pm</t>
  </si>
  <si>
    <t>Doctoral Researcher - UCL Centre for Advanced Spatial Analysis</t>
  </si>
  <si>
    <t>Pink, pink everywhere in Amsterdam. 📷 @kardinalmelon . . . . . #pink #amsterdam #river #boat #visit #airbnb #explore #wanderlust #lifestyleblogger #leaves #trees #drinktraveldine</t>
  </si>
  <si>
    <t>Crypto Explorer</t>
  </si>
  <si>
    <t>Another step towards adoption! 😎 #airbnb #cryptoadoption ▫️ More than just Crypto - Follow @cryptoexplorer for more! 💡🙏 ▫️ #futures #cryptocurrencynews #bitcoincharts #bitcointechnology #bitcoinnews #hodl #cryptomarket #monero #altcoin #cryptoworld …</t>
  </si>
  <si>
    <t>Official CryptoExplorer Page Instagram: 60k Fans. We will start this page in the next weeks, stay tuned! 😎</t>
  </si>
  <si>
    <t>Harshad Karmalkar</t>
  </si>
  <si>
    <t>What are most important factors do you consider while booking an @Airbnb last minute? #Travel #hotel #Airbnb</t>
  </si>
  <si>
    <t>Experienced #B2B marketer interested in #SaaS and #cloud</t>
  </si>
  <si>
    <t>Grove Haus</t>
  </si>
  <si>
    <t>1001 Hosbrook St, Indianapolis</t>
  </si>
  <si>
    <t>Grove Haus is an historic church in Fountain Square, downtown Indianapolis, which has been renovated into a Unique Urban Space for all to re-imagine!</t>
  </si>
  <si>
    <t>LuxuryBarn</t>
  </si>
  <si>
    <t>How nice @Airbnb to send me a free gift! Amazing customer service! #HappyCustomer #airbnb #travel #holidayrental #harrogate</t>
  </si>
  <si>
    <t>Luxury barn conversion in Harrogate holiday let. Sleeps 4 in high standard accommodation &amp; secure parking. On Tour De France route! Stunning Yorkshire views!</t>
  </si>
  <si>
    <t>Don’t do hotels! Have freedom with an Airbnb! Sign up with the coupon link below to receive a $55 💸✈️ discount code with your first Airbnb. Please DM me if you have any issues. #airbnb #airbnbcode #airbnbdiscount #airbnbpromo #airbnbfree</t>
  </si>
  <si>
    <t>Save72 - Deals &amp; Coupons</t>
  </si>
  <si>
    <t>NO COUPON CODE NEEDED: Get $45 Off Your 1st Booking at Airbnb -  Save72, a better way to save! #save72 #airbnbdeals #airbnbdeal #traveldeals #Airbnb #airbnbcheap</t>
  </si>
  <si>
    <t>B2-125 The Queensway, Suite 221, Toronto, Ontario, M8Y1H6</t>
  </si>
  <si>
    <t>Save72 is an online deal &amp; coupon site. Get better discounts when you Pay The Merchant Direct! No more need to pre-purchase deals ever again!</t>
  </si>
  <si>
    <t>Jennifer van Alstyne</t>
  </si>
  <si>
    <t>Another reason why I never AirBnB 😱 Check out this article from @TheAtlantic about hidden cameras in #AirBnB 😶 Read why the company won't help, police may not be able to do much, and social media may be the only option.</t>
  </si>
  <si>
    <t>Louisiana, USA</t>
  </si>
  <si>
    <t>🌳 Peruvian-American poet 🌱 Communications Strategist for academics and writers @HigherEdPR 👩🏻‍💻 I tweet about writing life, poetry and TV</t>
  </si>
  <si>
    <t>Tiny Kingdoms at #ferngullycove Find Yourself Above the Clouds. #airbnb #ferngully_cove #vacationrental #nature #hiking #hikinggoals #wanderlust #travelgram #instatravel…</t>
  </si>
  <si>
    <t>Welcome to our new TV Room! Now our #airbnb &amp; #hotel guests can enjoy great movies... just like in their living room at home! . . . #aruba #houseofmosaic #dream #dreamworld #luxury #ipartysoicanplanyours #eventdesign #eventstyling #boutiquehotel #eventor…</t>
  </si>
  <si>
    <t>Orin J. Hahn</t>
  </si>
  <si>
    <t>Airbnb picks up a stake in its Indian rival Oyo Rooms  #airbnb</t>
  </si>
  <si>
    <t>Asker of Questions, Writer of anecdotes, into all things that make change and get people creating</t>
  </si>
  <si>
    <t>$55 AIRBNB COUPON CODE 💵✈️💵 Here’s your chance for a free credit coupon discount and codes to travel for FREE. Click the link NOW. Please DM me if you have any issues. #airbnb #airbnbcode #airbnbdiscount #airbnbpromo #airbnbfree #WednesdayWisdom</t>
  </si>
  <si>
    <t>Katherine Madley</t>
  </si>
  <si>
    <t>Wow. What a prize! #Airbnb #TheLouvre RT @artnet: The Louvre and Airbnb are offering two lucky winners a private sleepover party at the Paris museum:</t>
  </si>
  <si>
    <t>A God fearing woman, passionate about the growth of people and brands. Customer and Brand Director at Massdiscounters t/a GAME and DION WIRED</t>
  </si>
  <si>
    <t>Looking to Rent/Airbnb a Tiny with Limited Up Front Cost?  #tinyhomes #DIY #minimalism #frugal #airbnb #rentals</t>
  </si>
  <si>
    <t>Kissed by the sun, love how this shot turned out with the stunning andie_model 😃❤📸 #toronto #airbnb #photoshoot📸 #photography #glamour #boudoir #lingerie #implied #models #modeling…</t>
  </si>
  <si>
    <t>Stephanie Rahlfs</t>
  </si>
  <si>
    <t>Night at the museum: Airbnb will let you spend a night at the Louvre in Paris  (actual dream overnighter. via @CBSNews) #art #airbnb #Louvre</t>
  </si>
  <si>
    <t>Political law attorney. Founder of @stilettojungle. Ex-@ThomsonReuters, now Audience at @Monster. Tweets are my own.</t>
  </si>
  <si>
    <t>okay</t>
  </si>
  <si>
    <t>#Airbnb is getting way more expensive than a regular ass #hotel which has free breakfast and a pool. Thanks #ParisHilton for your cheap sister hotels 🤪🤪🤪🤪🤪🤪</t>
  </si>
  <si>
    <t>I hope you find what your lurking for. Gemini ♊️</t>
  </si>
  <si>
    <t>Get started hosting on Airbnb Learn more -  #Airbnb #AIRBNB</t>
  </si>
  <si>
    <t>Eeryn Falk Lubicich</t>
  </si>
  <si>
    <t>Ways to Save on #Business Travel | Autodesk &amp; #Airbnb for Work</t>
  </si>
  <si>
    <t>Everywhere , United States</t>
  </si>
  <si>
    <t>Founder of Avalex Enterprises etc &amp; Partner @ Tampa Hospitality &amp; Liberty Trust</t>
  </si>
  <si>
    <t>Spacious Home with Heated Pool walking distance away from Ventura Blvd and minutes away from Universal Studios "Universal Studios Gorgeous Villa - Houses for Rent in Los Angeles #Travel" @airbnb  #airbnb #studiocity #vacationrentals #vacationhomes</t>
  </si>
  <si>
    <t>Thomas·王 🍁</t>
  </si>
  <si>
    <t>In Greece, an Economic Revival Fueled by ‘Golden Visas’ and Tourism  #China #tourism #Airbnb</t>
  </si>
  <si>
    <t>Vancouver 溫哥華, Canada 加拿大 🇨🇦</t>
  </si>
  <si>
    <t>A newsaholic, atheist, and hashtag abuser with OCD. Most tweets are about #China #中國 #中国, and some may shock and/or offend. Sorry, I can't always follow back.</t>
  </si>
  <si>
    <t>💲55 FREE AIRBNB DISCOUNT CODE 💲💜💲. Here’s your chance for a free credit coupon and codes to travel for FREE. Click the link NOW. Please DM me if you have any issues. #airbnb #airbnbcode #airbnbdiscount #airbnbpromo #airbnbfree #JokerMovie</t>
  </si>
  <si>
    <t>#LandValue almost 1 acre lot in #Lakewood 4BR/2BA 2,100 SF, zoned for 2 units #AirBnb or #Duplex $505K</t>
  </si>
  <si>
    <t>Pat Lowry</t>
  </si>
  <si>
    <t>To everyone who participated in the #Lyft IPO... you deserved this. Learn your lesson and beware #uber #pintrest and #AirBNB</t>
  </si>
  <si>
    <t>Frankfurt</t>
  </si>
  <si>
    <t>CEO and Managing Partner of Iconic Holding. Driving Crypto Asset Adoption</t>
  </si>
  <si>
    <t>This is #skolapartments 503A #marbella #beachfront #studio just refurbished with🔝qualities that will make the delights of all #guests ☀️😎🏖🌴🌅☀️😎🏖🌴🌅 #marbellaholidays #holiday #vacation #holidayrental #vacationrental #airbnb #best_airbnb #cometothebeach</t>
  </si>
  <si>
    <t>Check out this #airbnb. Dates added in #july2019 for the big #gay weekend in #london when #celinedion #barbrastreisand &amp; #londonpride comes to town on the 5th/6th &amp;amp; 7th July. You won't want to miss this extravaganza ! #rainbowismagic #rainbowday 🌈🏳️‍🌈# 👇</t>
  </si>
  <si>
    <t>Henry Holme</t>
  </si>
  <si>
    <t>Great insight into Airbnb's $30b growth by @lennysan #startup #tech #airbnb</t>
  </si>
  <si>
    <t>Delivering compliant integration of short-lets into #BTR (Multifamily) &amp; #PBSA with @getlavanda #proptech - Supporter of #mentalhealth and keen #triathlete</t>
  </si>
  <si>
    <t>Yalantis</t>
  </si>
  <si>
    <t>Running a #Hospitality Business 🏡 is full of challenges, and it seems #airbnb has a new one to overcome: guests' concerns about hidden cameras👀 in Airbnb rentals👉  #Yalantis #InformationTechnology</t>
  </si>
  <si>
    <t>Yalantis is a web &amp; mobile app development company from Dnipro, Ukraine📍We craft highly engaging and effective digital solutions for brands and businesses 😌</t>
  </si>
  <si>
    <t>The #OBX is the perfect #travel #destination. Check out #Airbnb for the perfect place to #relax and soak up the #sun!</t>
  </si>
  <si>
    <t>💲55 💸💵💸💵 Airbnb code coupon promo discount first. 💲55 OFF CLICK LINK NOW! Try it. Please DM me if you have any issues. #airbnb #airbnbcode #airbnbdiscount #airbnbpromo #airbnbcoupon #Joker #JoaquinPhoenix #WednesdayWisdom #SafePlaceSelfie</t>
  </si>
  <si>
    <t>#Stayhere:  AND  #Play there: Adventure Flights Hot Air Balloon Rides #networking #ASUITEC #accommodations #Airbnb #Hospitality #shorttermrental #homeaway #skydiving #skydiveperris #Perris...</t>
  </si>
  <si>
    <t>Hoteleria</t>
  </si>
  <si>
    <t>#Airbnb buys #HotelTonight!</t>
  </si>
  <si>
    <t>Κύπρος</t>
  </si>
  <si>
    <t>http://Hotelerialtd.com offering specialized services in strategic consulting and management of hotels and restaurants,reconditioning them to luxury standards.</t>
  </si>
  <si>
    <t>Sha Lé</t>
  </si>
  <si>
    <t>Has anyone every booked an @Airbnb in the Bahamas ? #airbnb</t>
  </si>
  <si>
    <t>PDX, ATL</t>
  </si>
  <si>
    <t>Your favorite dreadhead. Writer. Love•Beauty•Success</t>
  </si>
  <si>
    <t>ZJ Corrigan</t>
  </si>
  <si>
    <t>Slightly urgent question from a virgin #Airbnb guest i.e. me: Is the towel hung up in the bathroom for me to use, or do I need to go buy a new towel? Internet, please help me before I show (/dry) my whole ass.</t>
  </si>
  <si>
    <t>Brixton, England</t>
  </si>
  <si>
    <t>Bicycle rider. Silly-voice-doer. Affable imbecile. Seeking representation. Icon by the inimitable @charlubby</t>
  </si>
  <si>
    <t>Care to become an Airbnb host? #HereForYou #General #Business #USA #Jobs #Airbnb #Host</t>
  </si>
  <si>
    <t>First Time Airbnb $55 coupon promo referral code :) Get your discount credit on your first trip Click the link NOW 💵💵💵💵—-&gt;✈️ #airbnb #airbnbcode #airbnbdiscount #vacation #trips #travel #Joker #JoaquinPhoenix #WednesdayWisdom #NationalWalkingDay</t>
  </si>
  <si>
    <t>Come #joinus at #CasadelosViajeros in #PuertoMorelos! #suite2 #casadelosviajeros #puertomorelos #1bedroom #2bathrooms and a #loft #stepstothebeach Link in bio #puertomorelos #mexico #youshouldbehere #casadelosviajeros #vacationrental #airbnb #vrbo #ho…</t>
  </si>
  <si>
    <t>Today's #strathcona AirBNB is from "Simba" Chang. He doesn't live there, and it's available for less than 30 days.  Simba has #AirBNB and #vanre gigs on the go (, ), so ignorance is no excuse... @JPAutoGroup</t>
  </si>
  <si>
    <t>darkleadership</t>
  </si>
  <si>
    <t>MBA research project on dark leadership. https://www.smartsurvey.co.uk/s/darkleadership/ Abstract summary update ~ via Twitter Sept 19</t>
  </si>
  <si>
    <t>Peter Oudejans</t>
  </si>
  <si>
    <t>Sweet dreams #low #hanging #pendants #pink #quilted #blanket #king #bed #light #wood #floor #minimal #modern #bedroomdesign #contemporary #interiorstyle #airbnb #portoportugal</t>
  </si>
  <si>
    <t>Owner/Principal Designer of Toronto-based Residential Design Firm featured on HGTV</t>
  </si>
  <si>
    <t>Matt Keenan</t>
  </si>
  <si>
    <t>#30DaysOfJokes continues with Joke number 3! This #JokeOfTheDay is about my difficulties with #AirBnB! Enjoy and feel free to tag your friends!</t>
  </si>
  <si>
    <t>Saint John, New Brunswick</t>
  </si>
  <si>
    <t>Comedian | Mostly just here to grow a following so I can impress @Tinder Chicks. Am I doing it properly?!</t>
  </si>
  <si>
    <t>B.C. vacation-property owners are now subject to new rules and taxation when renting their property – but some say illegal rentals may dodge tax  v. @westerninvestor #airbnb #STRs #housingcrisis #taxevasion #bcpoli</t>
  </si>
  <si>
    <t>What makes a great Airbnb bedroom? A comfortable, clean and stylish space will attract more bookings. But just how do you achieve this? Read on our blog &gt;&amp;gt;  #modishliving #brightonandhove #airbnb #bedroom</t>
  </si>
  <si>
    <t>We feel so fortunate to have found this magical spot within walking-distance of Winthrop but feels wonderfully peaceful and isolated. #methowlife #winthropwa #methowvalley #zeroenergyhome #vacationrental #airbnb #zeroenergybuilding #winthropwashington</t>
  </si>
  <si>
    <t>Come #joinus at #CasadelosViajeros in #PuertoMorelos! #suite2 #casadelosviajeros #puertomorelos #1bedroom #2bathrooms and a #loft #stepstothebeach Link in bio #puertomorelos #mexico #youshouldbehere #casadelosviajeros #vacationrental #airbnb #vrbo #homeaway #doyoutravel #…</t>
  </si>
  <si>
    <t>Swinging into spring!!! Let us help you find your perfect getaway! #vacationinsedona #vrbo #airbnb #experienceparadise #vacation #sedona #getaway #sedonamountains #adventuresinsedona #arizona #instagramaz #travel #homeaway #vacationtime #journey #lovet…</t>
  </si>
  <si>
    <t>$55 ❤️💲❤️💲❤️💲 Airbnb code coupon promo discount first. $55 OFF CLICK LINK NOW! Try it. Please DM me if you have any issues. #airbnb #airbnbcode #airbnbdiscount #airbnbpromo #airbnbcoupon</t>
  </si>
  <si>
    <t>Storage West Airpark</t>
  </si>
  <si>
    <t>Ever thought about becoming an Airbnb host? #HereForYou #General #Business #USA #Jobs #Airbnb #Host</t>
  </si>
  <si>
    <t>Scottsdale, Arizona 85260</t>
  </si>
  <si>
    <t>Storage West Self Storage Scottsdale, AZ. Storage in Scottsdale Airpark. Come store with us! Hours: Mon-Fri, 9am-6pm. Sat 9am-5pm. Closed on major holidays.</t>
  </si>
  <si>
    <t>#London #Laundry #detergent #wholesaler #distributor to the #laundrette #laundromat #marketrader #trader #business #servicewash #housekeeping #carehome #airbnb #hotel #restaurant #service #industry Info@kleanmachineservices.co.uk 0207 101 4918 #londonbiz #Londonislovinit</t>
  </si>
  <si>
    <t>#London #Laundry #detergent #wholesaler #distributor to the #laundrette #laundromat #marketrader #trader #business #servicewash #housekeeping #carehome #airbnb #hotel #restaurant #service #industry Info@kleanmachineservices.co.uk 0207 101 4918 #londonbiz #londonislovinit</t>
  </si>
  <si>
    <t>domarncreative</t>
  </si>
  <si>
    <t>#Airbnb offers night at the #Louvre with the #MonaLisa and #VenusdeMilo as hosts  via @thedrum</t>
  </si>
  <si>
    <t>#Communication #Design #Integrated #Consultancy</t>
  </si>
  <si>
    <t>SPRING SALE!  #spring #Sales #Glamping #airbnb #startup #camping</t>
  </si>
  <si>
    <t>Lori Dennis</t>
  </si>
  <si>
    <t>10 Tips for Maximizing Profits on Your Vacation Rental Property #airbnb #vrbo</t>
  </si>
  <si>
    <t>🛋 Interiors, Architecture, Construction, Home Decor | Sustainable Living, LEED Design⭐️ Ft. on HGTV | Visit my site: http://www.loridennis.com</t>
  </si>
  <si>
    <t>Temecula was voted as one of the top 10 wine travel destinations in the world! Akash Winery is one of the newer wineries in the valley and has the neighbor next door feel. #temecula #airbnb #vacationrental #wineries #wine #winetasting #travel #wedding #destination #lovetemecula</t>
  </si>
  <si>
    <t>Heath Olinger</t>
  </si>
  <si>
    <t>Dallas Ranked Among Best For Airbnb Investors  #dallastexas #dfw #dallas #airbnb</t>
  </si>
  <si>
    <t>Real Estate Professional for all your buying, selling or renting needs!!</t>
  </si>
  <si>
    <t>➕Ever thought about AirBnB but don’t know where to start?➕Get in touch with us today for a no obligation quote on our management services➕ • • • • #Swansea #Airbnb</t>
  </si>
  <si>
    <t>B.C. Supreme Court Justice Barry Davies found her in contempt of court &amp; fines only $5K after impunity to the law &amp;amp; strata, plus multiple other offenses &amp;amp; fines. #FAIL Enough chances  #vanre #NorthVan #airbnb #NVpoli</t>
  </si>
  <si>
    <t>We booked an amazing apartment for rent using #Airbnb in the Azores for less than a hotel room! Use this link for $40 off your first trip using</t>
  </si>
  <si>
    <t>Free $37 Off $73 Airbnb Coupon Code! #Airbnb #Coupon #Deal #Discount</t>
  </si>
  <si>
    <t>The Travel Critic ✈️</t>
  </si>
  <si>
    <t>Spend the night with Mona Lisa 😍  @CNTraveler #traveltips #airbnb</t>
  </si>
  <si>
    <t>Detroit, MI</t>
  </si>
  <si>
    <t>@delta ambassador | travel influencer | loves tacos and dogs</t>
  </si>
  <si>
    <t>whenever we travel as a family, @DaphCLPT and i always want to ensure we look down on agood accomodation at first, and the apartment we stayed in booked under #airbnb airbnb was above our…</t>
  </si>
  <si>
    <t>Daisy Xiong</t>
  </si>
  <si>
    <t>#RichmondBC housing is a gold mine for big #Airbnb players – some live abroad</t>
  </si>
  <si>
    <t>Reporter @TheRichmondNews. Bilingual journalist. Story teller. dxiong@richmond-news.com</t>
  </si>
  <si>
    <t>sandycottagesIRB</t>
  </si>
  <si>
    <t>Sandy Feet Cottage has open dates May 3-9! Come and check us out for a quick getaway! Link in bio! . . . #sandyfeet #sandycottagesirb #linkinbio👆 #staywithus #airbnb #vrbo…</t>
  </si>
  <si>
    <t>Indian Rocks Beach, FL</t>
  </si>
  <si>
    <t>Sandy Feet Cottage and Sandy Toes Cottage are the ideal vacation home rental with a 2 minute walk to the beach. -EVERYTHING in the two homes is BRAND NEW!</t>
  </si>
  <si>
    <t>Element78</t>
  </si>
  <si>
    <t>Looking for a place to stay in Paris? Great location with lots of natural light 😄 #Airbnb</t>
  </si>
  <si>
    <t>Element78 specialises in urban regeneration of mixed use space &amp; serviced commercial property. Become a member of our serviced office space in Dublin.#coworking</t>
  </si>
  <si>
    <t>Swim, shop, relax and even shoot some pool at Holiday Scottsdale.  #Pooltable #Shootpool #Vrbo #Airbnb</t>
  </si>
  <si>
    <t>The Lawyer's Daily</t>
  </si>
  <si>
    <t>Updates to #Airbnb’s Friendly Buildings Program  via @LashCondoLaw</t>
  </si>
  <si>
    <t>Canadian legal news, in-depth SCC coverage, expert analysis, case digests, business of law, legal tech and job moves published daily. RTs are not endorsements.</t>
  </si>
  <si>
    <t>Daniel Sellers</t>
  </si>
  <si>
    <t>Northern California in spring makes for some wet but beautiful riding. #swipeorama #swipeoramaapp #swipe #cycling #ridebikes #california #airbnb #saltcyclekestrelwellness #allezsprint…</t>
  </si>
  <si>
    <t>Husband. Father. Member of The Church of Jesus Christ of Latter-day Saints. Writer of Codez. Crafter of architectures. Racer of Bikes. Maker of things.</t>
  </si>
  <si>
    <t>Kyle Geraghty</t>
  </si>
  <si>
    <t>Can’t believe this is the view we are waking up to. Message iproducefilm to find you your next vacation spot! . . . #oia #santorini #airbnb #greece #thira #bluedome #caves #vacation…</t>
  </si>
  <si>
    <t>Cheesecake Advisor, Crossfit Attempter, Fantasy Football Addict. Snap: Secretgeraghty</t>
  </si>
  <si>
    <t>The Historic Florsheim Mansionhttps://www.airbnb.jp/rooms/1584509  via Twitter Web Client #airbnb</t>
  </si>
  <si>
    <t>Startupmart</t>
  </si>
  <si>
    <t>One Stop place to purchase #ReadyMadeCloneAppScript websites like #Airbnb, #UberEats, #Udemy and etc to start your business as a brand one. . . #clonescripts #mobileappclonescript #websiteclonescript #clonescriptsourcecode</t>
  </si>
  <si>
    <t>Get Popular websites clone scripts from Startupmart and create your website like Airbnb, UberEats, Udemy and etc, to start your business as a brand one.</t>
  </si>
  <si>
    <t>Sign up for AirBnB with our referral &amp; get $40 off your first trip.  #airbnb #travel #touristlife</t>
  </si>
  <si>
    <t>“If it’s implemented to its fullest capacity, it would mean up to 95 percent of current full-time vacation apartments in central #Madrid would be taken off the market.” #affordablehosung #Airbnb #Fairbnb</t>
  </si>
  <si>
    <t>Perfect day at the beach! . . #beachhappyporta #vacationtime #seeyouontheisland #vrbo #airbnb #jackfishcartrentals #kites #calmwaves #neverwanttoleave #iloveportaransas…</t>
  </si>
  <si>
    <t>roguebarista 🗡️☕</t>
  </si>
  <si>
    <t>Spilling #age #old #college #secrets to #twitch in an #airbnb over a nice game of #sequence last night . . #clip #clips #boardgames #cardgames #meme #Reading . .</t>
  </si>
  <si>
    <t>Justin 🎮|| Twitch Affiliate || Wild variety streamer: Apex Legends, Titanfall 2, Neverwinter, Destiny 2, Fortnite (occasionally), and more</t>
  </si>
  <si>
    <t>Travel + Leisure: Google's #hotel search now includes #vacation #rentals  A game-changing move? A threat to #OTAs &amp; #Airbnb? #Hotels #Lodging #Travel #Tourism #Biz #Business #Marketing #Market #RoomSharing #SharingEconomy</t>
  </si>
  <si>
    <t>Hotel Hardy ATX</t>
  </si>
  <si>
    <t>301 E 4th St Austin TX 78701</t>
  </si>
  <si>
    <t>raffaella bertini</t>
  </si>
  <si>
    <t>#Airbnb offers night at the Louvre with the Mona Lisa and Venus de Milo as hosts  di @thedrum</t>
  </si>
  <si>
    <t>@uprsg Judge @fwa Be serious; have fun.</t>
  </si>
  <si>
    <t>Bonnie little chap, all ours are buried under 3in. Snow! #comfortcottagehealing #visitwales #alpacas #ArtsWales #dogfriendly #SunDogs #airbnb RT @FrankMooreB2BW: Fluffed up Blue Tit today, Mid-Wales @ruthwignall @Natures_Voice @wildlife_uk @NatureUK @Britnatureguide @BTO_GBW</t>
  </si>
  <si>
    <t>Mustaqeem Shah</t>
  </si>
  <si>
    <t>Ever wanted a dream holiday in Israel? #Israel’s settlements are in stolen #Palestinian lands and no one should benefit from promoting their ‘business’ there including #airbnb, #tripadvisor, #booking.com etc</t>
  </si>
  <si>
    <t>Walsall, England</t>
  </si>
  <si>
    <t>Enjoying being a cool Husband, Father, Imam, Free Lancer Interpreter, Interfaith Worker, Free Thinker, Teacher, UK. RT.not endorsement</t>
  </si>
  <si>
    <t>It’s a beautiful day to be at Pensacola Beach! #airbnb #theblueheron #LinkInBio #hostess #sunny #beach #pensacolabeach #villasonthegulf #relax #florida #vacation</t>
  </si>
  <si>
    <t>Pensacola beach condo owner! AIRBNB hostess with the mostess ! https://abnb.me/wGrRfWhoAV</t>
  </si>
  <si>
    <t>A new episode from the hottest #podcast in #atlanta ..#Walmart partners with #Google,Lunchables adds Brunch,#CannabisNews , #Airbnb #shares in OYO, #Lyft IPO sucks #Pinterest IPO will too and more #investing #BusinessIntelligence #technology #Stock #news</t>
  </si>
  <si>
    <t>Sunset over Ferngully Cove. Find yourself in the Valley Above the Clouds. #airbnb #ferngully_cove #georgia #weekendgetaway #airbnbsuperhost #visitsuches #vacationrental…</t>
  </si>
  <si>
    <t>Stylist Magazine</t>
  </si>
  <si>
    <t>Airbnb has built a bedroom inside the Louvre and you can stay there for free  #Airbnb #Louvre</t>
  </si>
  <si>
    <t>The weekly magazine for smart, successful, sophisticated women. Tweets on fashion, beauty, books, food &amp; fun stuff we love.</t>
  </si>
  <si>
    <t>Karl Voit</t>
  </si>
  <si>
    <t>#Fairbnb - awesome concept in contrast to #Airbnb:</t>
  </si>
  <si>
    <t>Austria</t>
  </si>
  <si>
    <t>My Mastodon 🐘 profile: http://www.karl-voit.at/2017/11/26/Mastodon/ - follow me there! PIM, privacy, decentralization, Emacs, Orgmode, bicycle, Graz</t>
  </si>
  <si>
    <t>One of the most important things to remember as an #airbnbhost is to turn your guests' expectations into a reality. It's even better if you can surpass them. Be accurate with what you're providing to prevent disappointment. #airbnb #servicedapartment #hospitality</t>
  </si>
  <si>
    <t>#NewEngland #CapeMay #LongIsland #Wilmington #OakIsland #Savannah #Clearwater #Boca #Butterflies #Airbnb #restoration CUSTOM OUTDOOR ESTATE SIGNS-PROPERTY MANAGEMENT LANDSCAPING GUEST COTTAGES &amp; MORE!  🌻☀️🌊🍍🥂🌄🏖️⚓️</t>
  </si>
  <si>
    <t>#NewHampshire #Portland #Maryland #SouthCarolina #Wyoming #Coastalliving #Beachlife #realestateinvesting #airbnb #Connecticut #propertymanagers #vacation #Travel #WednesdayWisdom CUSTOM OUTDOOR SIGNS-UNIQUE DESIGNS #USVI #floridakeys 🦀🌵🍹🛶🏖️🌅🏝️🏡🌊</t>
  </si>
  <si>
    <t>Mallard Place</t>
  </si>
  <si>
    <t>#Airbnb Has a Hidden-Camera Problem The home-rental start-up says it’s cracking down on hosts who record guests. Is it doing enough? [The Atlantic]</t>
  </si>
  <si>
    <t>TW1</t>
  </si>
  <si>
    <t>A multi-award winning development built by Span in the 80′s on a lovely stretch of the river Thames between Twickenham &amp; Teddington, TW1, London. Copyright UK</t>
  </si>
  <si>
    <t>#Nebraska #Oregon #Maine #NorthCarolina #Washington #Coastalliving #Beach #realestateinvesting #airbnb #Connecticut #propertymanagers #vacation #Travel #WednesdayWisdom CUSTOM OUTDOOR SIGNS-UNIQUE DESIGNS #USVI #floridakeys 🦀🌵🍹🛶🏖️🌅🏝️🏡🌊</t>
  </si>
  <si>
    <t>Syncbnb</t>
  </si>
  <si>
    <t>Airbnb and Pinterest teamed up to help Internet users master the daunting task of trip planning for their spring and summer getaways. 🏝🏜 Take a look and set up your strategy 😎 #syncbnb #airbnb #pinterest #airbnbhosts #vacationrentals</t>
  </si>
  <si>
    <t>Vacation Rental Calendar Sync</t>
  </si>
  <si>
    <t>Piedro</t>
  </si>
  <si>
    <t>Kitchen up and ready to welcome first guest... #designedbyPierre #interiordesigner #Paris #Amélieflat #completemakeover #decor #AirBnB #lovenest @ Love Nest By The Canal</t>
  </si>
  <si>
    <t>team Fabulosity</t>
  </si>
  <si>
    <t>GREEN Lodge on farm across Pipelinehttps://www.airbnb.jp/rooms/160906  via Twitter Web Client #airbnb</t>
  </si>
  <si>
    <t>#Airbnb-style letting plans turned down over fears of losing rentals, Dublin City Council has delivered an emphatic ‘no’ to owners seeking planning permission to change the use of their properties. Read more at  #servicedapartments #servicedapartmentnews</t>
  </si>
  <si>
    <t>Thanks to Airbnb, you can now spend a night inside the Louvre  #Airbnb #Louvre #MonaLisa</t>
  </si>
  <si>
    <t>World Ahoy!</t>
  </si>
  <si>
    <t>Our next #AirBnB has the house rule: "Please refrain from using the bed for any activity other than sleeping". I don't know what they mean.</t>
  </si>
  <si>
    <t>Travel vlogger from Germany - visit our YouTube channel!</t>
  </si>
  <si>
    <t>thomas sommeregger</t>
  </si>
  <si>
    <t>Thanks for all those details and insights! "What seven years at Airbnb taught me about building a company" - @lennysan  #airbnb</t>
  </si>
  <si>
    <t>Salzburg, Österreich</t>
  </si>
  <si>
    <t>Digital Consultant &amp; Coach • Author @broadmatch • Speaker &amp; Lecturer • Google Certified Trainer • Google Partner • Proud dad • Loving partner • Runner</t>
  </si>
  <si>
    <t>Shelbourne Bar</t>
  </si>
  <si>
    <t>Thanks @yaycork for this kind lovely Article😊 We're thrilled you liked it so much 😊 #theshelbournebar #victorianquarter #theshelbournecork #corkwhiskeybar #irishbar #airbnb RT @yaycork: This 125-year-old Cork pub has a stunning Airbnb hidden above it 😍</t>
  </si>
  <si>
    <t>Cork's premier, award winning whiskey bar. Great location, great staff &amp; even greater customers! Home of Cork's largest Irish whiskey collection!</t>
  </si>
  <si>
    <t>Andersen EV</t>
  </si>
  <si>
    <t>Showcasing the Andersen P1 to the best Hotels! #ecolux #noemptybeds #P1ontour #evcharger #bnb #airbnb #gogreen #sleek #smart #hotels</t>
  </si>
  <si>
    <t>UK manufacturers of stylish charge points for electric vehicles. Our #evcharger allow you to monitor your vehicles charging progress &amp; track your energy usage</t>
  </si>
  <si>
    <t>we went all the way to #harajuku just to see #pussies !! #airbnb #klookmy #ikingazmitravels #bedifultrip @ 原宿駅 (Harajuku Sta.)</t>
  </si>
  <si>
    <t>#WednesdayWisdom: are you looking for an amazing #airbnb host in #johannesburg? #askaman:  Currently Available #long stays:  #dog friendly:</t>
  </si>
  <si>
    <t>VILLA ICONI, Lake Garda</t>
  </si>
  <si>
    <t>Spring has sprung, the sun is shining, Easter is upon us… we've now re-opened our doors for the 2019 #holidays 🌐  #fun #culture #sunshine #explore #holidaytime #airbnb #love #life #follow #vacations #book #today #photooftheday #tt #TravelTuesday #summer</t>
  </si>
  <si>
    <t>Manerba del Garda, Lombardy</t>
  </si>
  <si>
    <t>We aim to be your best Italian home away from home! The #holiday Villa is near the beach of #LakeGarda Manerba. BOOK@ #airbnb or #tripadvisor- #rtw #travel #tt</t>
  </si>
  <si>
    <t>Booking your #holiday for 2019? Check out some of our favourite Airbnbs including this riad in Marrakech and bamboo villa in Bali 🌴 Get £34 off #Airbnb here:  #discount #coupon #airbnbcoupon #ttot</t>
  </si>
  <si>
    <t>"We are also urging #Airbnb to carry through with its commitment to respecting international human rights and for other companies that profit from Israel’s theft of our land and other abuses of our rights to follow its lead." Read the full piece here: …</t>
  </si>
  <si>
    <t>RT 🇵🇸 🌹</t>
  </si>
  <si>
    <t>#Airbnb urged to respect international human rights in its policy on letting Israeli settler units in #occupiedPalestine RT @ISMPalestine: "We are also urging #Airbnb to carry through with its commitment to respecting international human rights and for other companies that profit from Israel’s theft of our land and other abuses of our rights to follow its lead." Read the full piece here:</t>
  </si>
  <si>
    <t>Pro Palestinian. Anti Occupation. Alternative therapist/healer. Anti GM, Pro Organics. Anti Monsanto. Anti Corporate Global http://Domination.Pro Corbyn🇵🇸 #JC4PM2019</t>
  </si>
  <si>
    <t>Kim Komando</t>
  </si>
  <si>
    <t>The number of #hiddencameras in #Airbnb rentals rising. Thieves can control of your #cellphone. If you pirate T.V. shows, you risk #identitytheft. #Google, #Walmart join forces to create #groceryordering program. More #wearabledevices to track your heart.</t>
  </si>
  <si>
    <t>Phoenix, AZ USA</t>
  </si>
  <si>
    <t>I host America's Largest Weekend Talk Radio Show on over 450 stations in USA, write for FoxNews, USA Today and Gannett! Thanks for following me!</t>
  </si>
  <si>
    <t>ISMPalestine ""We are also urging #Airbnb to carry through with its commitment to respecting international human rights and for other companies that profit from Israel’s theft of our land and other abuses of our rights to follow its lead." Read the … "</t>
  </si>
  <si>
    <t>ItalyGourmet .co</t>
  </si>
  <si>
    <t>#Cucina #ItalianRecipes #storia e #ricetta #pasta #gricia #romana #tipica #food #tasty #try #cook #story #italy #moustachehouserome #casavacanze #vacationrental #airbnb #tripadvisor #roma #rome #sanpietro…  — Moustache House Rom…</t>
  </si>
  <si>
    <t>Bologna, Emilia Romagna</t>
  </si>
  <si>
    <t>Cucina e gusta l'eccellenza alimentare italiana DOP e IGP dalla fattoria alla tua tavola</t>
  </si>
  <si>
    <t>Adrian Mooney</t>
  </si>
  <si>
    <t>Is this mousetrap a luxury extra on a £300 #Airbnb hire? Also no heating and crumbling ceilings in our 125 East 15th Street #NYC apartment. But @AirbnbHelp offer £3 refund! @airbnb Do you care about your customer experience or brand reputation? 😣👎🏻👎🏻</t>
  </si>
  <si>
    <t>UK &amp; EMEA</t>
  </si>
  <si>
    <t>CEO | Commercial and Marketing Director | Consultant who loves solving brand and business problems</t>
  </si>
  <si>
    <t>The latest image from the GowerLive #webcam on the roof 730RocksMumbles #AirBnB. Book at  #Mumbles #Swansea #Gower #travel. Watch live at  #534</t>
  </si>
  <si>
    <t>Amazing light and colours #comfortcottagehealing #visitwales #alpacas #ArtsWales #dogfriendly #SunDogs #airbnb #Yell RT @ruthwignall: The night before..#sunset</t>
  </si>
  <si>
    <t>Following @lyft bumpy start to its #IPO, Tech #Unicorns @Uber @Airbnb and @SlackHQ that are reportedly expected to join the public markets, are keeping a close eye. Will $LYFT rebound or will the plunge continue? ➡ $UBER #Uber #Airbnb #Slack #Stocks</t>
  </si>
  <si>
    <t>theres only one here deserve to be called DISCO!...hint: bigger eyes and darker skin😂 #airbnb #klookmy</t>
  </si>
  <si>
    <t>Ming @VanCAF 2019</t>
  </si>
  <si>
    <t>Behold: our resourceful efforts at their peak. A step up from the time we had to repair a ripped bag with masking tape on Mt Vesuvius (check out that comic on @ayesselle's feed) #comic #zine #airbnb #incident #paris #europe #bathrooms</t>
  </si>
  <si>
    <t>Background layout artist//Cow enthusiast//hopeless romantic//clumsy af</t>
  </si>
  <si>
    <t>Ever dreamed of spending a night at the museum? Now's your chance  #Airbnb #Louvre</t>
  </si>
  <si>
    <t>Are you Ready For #BookDirect Day – Guest Education Day on 6th February 2019?  #SocialMedia #Marketing #Hotels #Blog #Airbnb #Bookdirect #BoostlyBookDirectDay #Hotelmarketing #Manager #BookdirectDay #Boostly</t>
  </si>
  <si>
    <t>Take short trip to Slovenian cost. #castle #apartment #piran #stay #homestay #ljubljana #hotel #airbnb</t>
  </si>
  <si>
    <t>The NocTrader</t>
  </si>
  <si>
    <t>#LYFT, #UBER &amp; #STRIPE #IPO in 2019?: Which ONE would I invest in? (#Airbnb? #Pinterest?)  via @YouTube</t>
  </si>
  <si>
    <t>Your Friendly Neighborhood #StockMarket Swing Trader 📈 YouTube Technical Analysis for your head top! https://bit.ly/2kVvPe7f6</t>
  </si>
  <si>
    <t>Moustache House Rome</t>
  </si>
  <si>
    <t>roma #turismo #top #big #tourists #rome #mousatcahehouserome #casavacanze #vacationrental #airbnb #tripadvisor #sanpietro #saintpeter #vatican #vaticano</t>
  </si>
  <si>
    <t>Duval Drunks</t>
  </si>
  <si>
    <t>This is how #SiliconValley is #demonetizing your local economy. What #Uber, #Lyft, #Airbnb &amp; other Silicon Valley type companies are doing is modern day #sharecropping.</t>
  </si>
  <si>
    <t>Drunk Life in Duval County Florida is brought to you by yo mamma!</t>
  </si>
  <si>
    <t>AirCloud Airbnb Clone helps travellers to find the best hotels. AirCloud-Airbnb clone at 99$ only for the USA customers. Buy Now:  call: 7667298398 For demo Mail: support@nexcloudz.com #airbnb #airbnbclone #airbnbscript #aircloudairbnb #nexcloudz #usa</t>
  </si>
  <si>
    <t>@VarunKelaiya</t>
  </si>
  <si>
    <t>AHMEDABAD</t>
  </si>
  <si>
    <t>DigitalMarketer💻🛒📩📈-Theater Enthusiast🎭- Movielover😍🎥📽️🎬-Reckless Learner🙇‍♂️-Insatiable Reader🔖=Life is Celebration Everyday😃🎊🎉🏮 skype : varun.kelaiya</t>
  </si>
  <si>
    <t>This Friday and Saturday are looking very nice for a trip to the lake! #VRBO #TripAdvisor #AirBNB #SplendidHosts #LakeOfTheOzarks #OsageBeach #LakeLife  RT @WeatherZach: 7 Day Forecast for Lake of the Ozarks #LakeoftheOzarks</t>
  </si>
  <si>
    <t>Good morning world #comfortcottagehealing #visitwales #alpacas #ArtsWales #dogfriendly #SunDogs #airbnb #yell</t>
  </si>
  <si>
    <t>They are still amazing when they grow up, we've got two boys and they make me smile every day #comfortcottagehealing #visitwales #dogfriendly #TheDogsWithMe #alpacas #ArtsWales #SunDogs #Airbnb #yell RT @UkWeathergirl: You can definitely tell you love what you do. That joy is unmistakable and infectious xxx</t>
  </si>
  <si>
    <t>They don't get any less adorable when they grow up #comfortcottagehealing #visitwales #dogfriendly #TheDogsWithMe #alpacas #ArtsWales #SunDogs #Airbnb #yell RT @UkWeathergirl: You can definitely tell you love what you do. That joy is unmistakable and infectious xxx</t>
  </si>
  <si>
    <t>Casa Eleonora</t>
  </si>
  <si>
    <t>thanks 🔴 Daniele Carrer 🔴 4 the follow! VISIT OUR #airbnb page  #cagliari #homeholidays #maisondevacances</t>
  </si>
  <si>
    <t>Cagliari, Sardegna</t>
  </si>
  <si>
    <t>An elegant flat located in a strategic position amid the old streets of Cagliari. Your home-away-from-home and the warmth of Sardinian Hospitality!</t>
  </si>
  <si>
    <t>In Richmond, Canada, Airbnb wants you to believe that it's an empty or spare bedroom they are renting out, but in reality, it’s a commercial operator who runs many listings #illegalhotels #airbnb #richmond #canada #housingcrisis #…</t>
  </si>
  <si>
    <t>#Airbnb in North #Vancouver - Emily Yu is back! "Yu said she has been a good neighbour and that her troubles within the complex are the fault of people who do not accept multiculturalism..."</t>
  </si>
  <si>
    <t>Moar #RichmondMoments  #vanre #housingcrisis #airbnb #RichmondbcRT @rohanarezel: Host Aimi, who claims to reside in China, has 16 listings in Richmond and three in China. All the descriptions of Aimi's listings are in Chinese, with specific notification that those Richmond properties have “Chinese-speaking landlord.” #vanre #vanpoli</t>
  </si>
  <si>
    <t>New episode is out now!! Hotels? Hostels? Or Airbnb? A guide on how to select the right type of accommodation for your travel needs.  #travel #travelpodcast #hotels #hostel #airbnb #accommodation #backpacking #adventures #traveltips</t>
  </si>
  <si>
    <t>LogicSpice</t>
  </si>
  <si>
    <t>Online property rental management software application similar to #airbnb clone. Click here for more info &gt;&amp;gt;&amp;gt;  #rentalscript #property #propertyrentals #PHPscript</t>
  </si>
  <si>
    <t>Logicspice is a Team of Web Developers, Designers and Mobile (iOS and Android) App Developers. 12+ Years, 1500+ Projects. Call USA 616-929-4064.</t>
  </si>
  <si>
    <t>K's Thought Palace</t>
  </si>
  <si>
    <t>#HousingCrisis in USA, thousands of EMPLOYED adults living in cars w/children. Consider the role of #airbnb in lack of affordable housing.  #homelessness #homeless #tentcity #homelessinamerica #PBSnews #pbs #greed #profitbeforepeople #HumanRights</t>
  </si>
  <si>
    <t>Anthropologist &amp; Linguist researching planet Earth. Aspie. Advocate. Organic Gardener. Caregiver 4 Dementia patients. Adopt Don't Shop.</t>
  </si>
  <si>
    <t>First time I visited Paris I wanted to stay somewhere near the Louvre so I could walk to it early before the crowds. I found a spot about 5 minutes walk away. Now you could skip all that and stay IN the Louvre. #airbnb #Louvre #Paris</t>
  </si>
  <si>
    <t>Will Google disrupt the vacation booking markets with its new hotel platform?  #travel #journey #airbnb #hotels #vacation #Google</t>
  </si>
  <si>
    <t>Large 5Star #Florida #vacationhome with prival pool on #Airbnb Tropical #TommyBahama style - #VRBO April 02, 2019 at 10:00PM</t>
  </si>
  <si>
    <t>Check out this awesome Entire condominium on Airbnb: Live Like Royalty On The Las Vegas Strip!, sleeps 5 #Vegas #VegasStrip #LasVegas #AirBnB</t>
  </si>
  <si>
    <t>Go Man Go! Mexico Tours</t>
  </si>
  <si>
    <t>Incredible @airbnb rentals? #MexicoCity  @gomangomexico #Mexico #travel #tours #mexicotravel #visitmexico #airbnb #funside #safeside #adventure #foodie #spring #border</t>
  </si>
  <si>
    <t>Mexico City</t>
  </si>
  <si>
    <t>Mexico City Walking, Food, Shopping, LGBT+, Private, Day &amp; Free Tours.</t>
  </si>
  <si>
    <t>Little disappointed by the cooler weather today... Come on sunshine ⛅ #kingsley #rspets #cats_of_instagram #catsofairbnb #airbnbcat #airbnb #airbnbsuperhost #hostagram…</t>
  </si>
  <si>
    <t>Gorgeous view at Linville Falls last Fall. Check out our blog this week about Blowing Rock’s 40th annual Trout Derby happening this Saturday! @Chetola_Resort will have special events for children and nearby will be a fly fishing demo. #airbnb #boone</t>
  </si>
  <si>
    <t>The Manhattan Bridge, Brooklyn, Brilliant Nightscapes Photo Workshop. #airbnbexperiences #airbnb #Nyc</t>
  </si>
  <si>
    <t>In Spain, the illegal Airbnb hotel crackdown continues with more cities approving regulations #spain #illegalhotel #airbnb #madrid #barcelona #str #ota #VRBO #homeaway #palma #worldtravel #travel</t>
  </si>
  <si>
    <t>#Airbnb is giving people the chance to sleep under the iconic glass pyramid at the Louvre in Paris</t>
  </si>
  <si>
    <t>Tiffanni</t>
  </si>
  <si>
    <t>If you use either #Uber or #AirBnB, you can not consider yourself an introvert. Fight me.</t>
  </si>
  <si>
    <t>Live Together, Die Alone.</t>
  </si>
  <si>
    <t>When your own #airbnb pops up on your #Instagram feed as an ad. 🤣</t>
  </si>
  <si>
    <t>A beautiful spring day, but still a chill in the air. #appalachiantrail #appalachia #outdoors #uponthelaurel #dongolacabin #airbnb #airbnbhost #konnarock #whitetopmountain #graysonhighlands #usinterior #loveva #swva</t>
  </si>
  <si>
    <t>#Vanre #airbnb And Reimer needs to STFU #VisionGotUsHere #VisionLegacy #vanpoliRT @FIVRE604: There also seems to be low awareness that Airbnb hosts are snubbing their nose at our new useless honour-system rules. If as much energy went into strictly enforcing Airbnb bylaws, we could have IMMEDIATELY provided the equivalent of building ~15 PBRs. @PtFry #InstantSupply</t>
  </si>
  <si>
    <t>Bruce James Photography</t>
  </si>
  <si>
    <t>Sole with Mixed Greens  #photography #food #bakery #foodphotography #fun #bali #photocouple #foodie #foodlove #salad #cuisine #BakeOff #advertising #berries #granola #airbnb #blackandwhitephotography #bar #bartender #brand #sole #fish #mixedgreens</t>
  </si>
  <si>
    <t>Commercial Photographer • Excursionist • Food Lover • Cocktail and Bar Habitué •</t>
  </si>
  <si>
    <t>#savemoney on #airbnb with tips from , home of authentic #gay #travel! Here are 5 easy tips so save cash and get a deal! #traveldeals #savecash #hotels READ HERE🤑🤑 #bedandbreakfast #travelguides #gaytravel #gayman #gaypride</t>
  </si>
  <si>
    <t>Belle💋</t>
  </si>
  <si>
    <t>Oh, thank you, Martin! #Airbnb #airbnbexperiences</t>
  </si>
  <si>
    <t>Ontario, CA</t>
  </si>
  <si>
    <t>Je m'appelle Princess Bella 🇵🇭🇨🇦</t>
  </si>
  <si>
    <t>Containerly</t>
  </si>
  <si>
    <t>Tiny home most popular on AirBNB #tinyhomes #airbnb</t>
  </si>
  <si>
    <t>Self-contained, low-impact dwellings for people</t>
  </si>
  <si>
    <t>horacio de la fuente</t>
  </si>
  <si>
    <t>How one man makes $20k by ‘#AirBnB’ style use of is car  vía @shared-mobility-403118143 #carsharing #rideshare #SmartCity #technology #innovation</t>
  </si>
  <si>
    <t>Buenos Aires, Argentina</t>
  </si>
  <si>
    <t>Horacio de la fuente. Marketing Digital. Technology Finance</t>
  </si>
  <si>
    <t>Chelsea Belle</t>
  </si>
  <si>
    <t>#AirBnB is displacing families all over the world.</t>
  </si>
  <si>
    <t>Make her among the humblest even seem to them less than they are, failing from strangeness to a way of life she came to from too high too late to learn.</t>
  </si>
  <si>
    <t>Jaymin Shah</t>
  </si>
  <si>
    <t>Ahmedabad</t>
  </si>
  <si>
    <t>Tech Entrepreneur, Blogger and also an Instructor, I'm Founder &amp; CEO @socialgridmedia &amp; @newsenquire, Writer @HuffPost</t>
  </si>
  <si>
    <t>Maybe we should add this Texas mattress to our Airbnb... but where do you buy the sheets? Lol #airbnb #houston #texas #vacation RT @TexasHumor: The only way I wanna sleep.</t>
  </si>
  <si>
    <t>Airbnb cat and resident escape artist, Scooter, waits to greet guests by the front door. #ferngullycove #airbnb #ferngully_cove #weekendgetaway #airbnbsuperhost #visitsuches…</t>
  </si>
  <si>
    <t>A Cleaner Experience</t>
  </si>
  <si>
    <t>Professional quality cleaning with a personal touch! EXPERIENCE THE DIFFERENCE, CALL NOW!! 1-877-324-3547 Because we are keen for clean** #cleaners #homesweethome #housekeeping #clean #housecleaning #cleaningservice #browardcounty #realestate #palmbeachcounty #airbnb</t>
  </si>
  <si>
    <t>Delray Beach, FL</t>
  </si>
  <si>
    <t>Great Vacations</t>
  </si>
  <si>
    <t>Watch the whales 🐋 and the sailboats ⛵️ pass by the southern most point on the island #makahuenapoint #vacation🌴 #heaven 🌅#oceanfront #rental #airbnb #homeaway #alohagvr #Makahuena 💙 #drone @lannieboesiger</t>
  </si>
  <si>
    <t>Kauai</t>
  </si>
  <si>
    <t>Great Vacation Retreats is a Full Service Family Owned Rental Management Company and Real Estate Brokerage located in Poipu, Kauai.</t>
  </si>
  <si>
    <t>More than 10 years ago, three travelers stayed with #Airbnb's co-founders on air mattresses in #SanFrancisco. Today, there have been more than half a billion guest arrivals and hosts have earned $65 billion. #authentic #travel #entrepreneurship</t>
  </si>
  <si>
    <t>If you live in #Quebec you know it's a rare treat to be eligible for a contest. So guess what #Airbnb has done? We've opened our newest Night@ to everyone in this wonderful country. And this one is going to be a night to remember...at the #Louvre (!!)</t>
  </si>
  <si>
    <t>SB #5G #HM19</t>
  </si>
  <si>
    <t>Get up to €34 off your first trip  #UX #airbnb #bnb</t>
  </si>
  <si>
    <t>Hyderabad, India</t>
  </si>
  <si>
    <t>#AI #ML #Robots #Crypto #BitCoin #5G #Security #IoT #Industry40 #4IR #Blockchain #AR #VR #MR #IntelligentEdge #IntelligentCloud #ImmersiveExperiences</t>
  </si>
  <si>
    <t>"Charming Guesthouse in NoHo - Guesthouses for Rent in Los Angeles #Travel" @airbnb  #vacationrental #airbnb #NoHo</t>
  </si>
  <si>
    <t>"By far the best #AirBnB experience I’ve had! The house was steps from the beach and perfectly located near food and various experiences. The hosts were very quick to respond and very welcoming. " #OBX</t>
  </si>
  <si>
    <t>Sunrise fog today 200 metres up along our road. So atmospheric! Wintery feels! 🌅👌🏻 . . Drone pic credit to my neighbour scott_l_mitchell #fog #attheloft #airbnb @ Lake George</t>
  </si>
  <si>
    <t>Melody Haghayeghy Royal LePage Your Community</t>
  </si>
  <si>
    <t>To design home is to design HAPPINESS and JOY #melodyhomes#designer homes#homedecor #investment property#realtor #richmondhillontario #renovation #propertymanagement #airbnb #shorttermrental</t>
  </si>
  <si>
    <t>Toronto, ON, CA, M5A 1J5</t>
  </si>
  <si>
    <t>Real Estate Agent In Toronto, ON</t>
  </si>
  <si>
    <t>#Lyft’s stalling shares cast cloud over other unicorns’ IPO hopes | Financial Times: #IPO #IPOs $LYFT #unicorns #Uber #Pinterest #Slack #Airbnb</t>
  </si>
  <si>
    <t>Ashish Bedekar</t>
  </si>
  <si>
    <t xml:space="preserve">APAC </t>
  </si>
  <si>
    <t>http://in.linkedin.com/in/ashishrbedekar Ashish Bedekar. Personal account. Views need not represent my employer's views. RT's are not endorsements.</t>
  </si>
  <si>
    <t>Dave Bynum rockin' the stage! Visit Us ➡  ⬅ to learn how to profit from investment properties that you don't even need to own. #airbnb #vacationrental #luxurylisting</t>
  </si>
  <si>
    <t>EBM</t>
  </si>
  <si>
    <t>#WednesdayWisdom 11 million Aussies who earn money from #sharingeconomy platforms such as #Airbnb #Uber will be subject to a new reporting regime to ensure #tax is paid on #income.</t>
  </si>
  <si>
    <t>Leading privately owned insurance broker in Australia, providing services to individuals, small businesses and major corporations. Reach Us at 1300 467 873.</t>
  </si>
  <si>
    <t>Good morning from Tokyo vacation rental👄 #airbnb</t>
  </si>
  <si>
    <t>𝙈𝙖𝙩𝙩 𝘽𝙖𝙧𝙗𝙤𝙪𝙧</t>
  </si>
  <si>
    <t>My little girl is infatuated with the chickens at our #Airbnb🐓😆</t>
  </si>
  <si>
    <t>Flint, MI</t>
  </si>
  <si>
    <t>Morning/Noon Anchor on @ABC12WJRT. Husband. Father. "Are you the guy...?"-People in grocery stores. "Yeah, I'm that guy."-Me. Innately curious (nosey).</t>
  </si>
  <si>
    <t>Ms Katinka Dineen</t>
  </si>
  <si>
    <t>Where’s the increased investment in public housing or Newstart? Or is it just easier / a cheaper headline to blame #Airbnb for our housing crisis (2/2)? Record number of underemployed and working poor #politas #Budget2019 #visitoreconomy #smallbusiness #livingwage #auspol</t>
  </si>
  <si>
    <t>Giving more, expecting less • I crochet, I feminist, I have a wee shop ➡️ @lilyanddot</t>
  </si>
  <si>
    <t>Eat inside, Eat outside, just Eat...it's vacation. #getyourgrubon #turkeyrun #sleeps16 #rusticretreats #vacationhome #vrbo #airbnb</t>
  </si>
  <si>
    <t>Pineapple</t>
  </si>
  <si>
    <t>Today we launch a new interview series that came out of the @OutpostTrade #redwood #forum! We speak to Farzad Sharif, Senior Marketing Manager for #airbnbexperiences  #travel #brandexperience #businessgrowth #airbnb #podcast #community #series #pineapplesf</t>
  </si>
  <si>
    <t>Pineapple is a creative studio focused on what our clients need most, a systematic approach to building their brand and the detailed execution to match.</t>
  </si>
  <si>
    <t>Salty’s - 23 Temperance Place</t>
  </si>
  <si>
    <t>We now have availability for the Easter bank holiday weekend (21st-25th of April). Search ‘Salty’s, Brixham’ on #TripAdvisor #Airbnb or @bookingcom. We’re in a stunning location, &amp; Brixham is just gorgeous🐠@dotty4paws #boosttorbay #easterholidays @EnglishRiviera @lovebrixham</t>
  </si>
  <si>
    <t>Brixham, England</t>
  </si>
  <si>
    <t>‘Salty’s’ is a cosy fisherman’s cottage, just moments away from Brixham Harbour. Search ‘Salty’s, Brixham’ on Trip Advisor or AirB&amp;B</t>
  </si>
  <si>
    <t>Design Finder Escapes</t>
  </si>
  <si>
    <t>Escape to Mykonos, Greece with us!  📸 @sebastien.pache #Mykonos #greece #visitgreece #travelgreece #archidaily #luxurytraveller #luxurytravel #travel #home #luxury #greeceresorts #design #airbnb #locationscouting #luxuryhome #luxurydesign #travel_greece</t>
  </si>
  <si>
    <t>For the design conscious traveler. Be inspired by the place you stay.</t>
  </si>
  <si>
    <t>Jon Norton</t>
  </si>
  <si>
    <t>If you've been under a rock and have never stayed in an #airbnb here's some cash off your first. Mum i'm talking to you</t>
  </si>
  <si>
    <t>LONDON</t>
  </si>
  <si>
    <t>Brand Designer at @TheClearingnow + land locked surfer</t>
  </si>
  <si>
    <t>basecampterlingua</t>
  </si>
  <si>
    <t>Simplicity. Thanks reganhalldonnell for a gr8 pic — safe travels #tipi #visitbigbendtexas #cowskull #bigbendnationalpark #adventure #airbnb #airbnbexperience #igtexas #westtexas #travel…</t>
  </si>
  <si>
    <t>Terlingua, Texas</t>
  </si>
  <si>
    <t>Luxury tipis &amp; casitas in Terlingua, Texas</t>
  </si>
  <si>
    <t>Juan</t>
  </si>
  <si>
    <t>Narrowed down my Airbnb wish list for Marrakech Riads from 20 to 10 to 7 or as I like to call them, “the chosen few”. #airbnb</t>
  </si>
  <si>
    <t>Miami</t>
  </si>
  <si>
    <t>Passionate dad to identical twin ladies, wed to the lovely @midtownchica - educator @fiu, proud @univmiami alum, family travel contributor @Thepointsguy</t>
  </si>
  <si>
    <t>Micha Johansen</t>
  </si>
  <si>
    <t>Good morning from our #AirBnB. No floor, no door, no furniture, plenty of air tho 🙄😂 Plus it gets the sun way before our house, and has corker views. Going to be a cracking day everyone! Get into it! 🤗</t>
  </si>
  <si>
    <t>🐮Calf slave🐮 🚜Food Producer🚜 ✏Occasional columnist✏ Like a fairy with a broken wand - @ohthatwelshguy</t>
  </si>
  <si>
    <t>What are some of your tips to increase vacation rental bookings? • • • #propertymanagementinc #shorttermrental #investmentproperty #propertymanagement #vacationrental #propertymanager #propertyinvestor #rental #airbnb #vrbo</t>
  </si>
  <si>
    <t>PMI Travel</t>
  </si>
  <si>
    <t>Lehi, UT</t>
  </si>
  <si>
    <t>We provide premier vacation rental management services. @propertymgmtinc</t>
  </si>
  <si>
    <t>PMI Holmes Beach Property Management</t>
  </si>
  <si>
    <t>Bradenton, FL</t>
  </si>
  <si>
    <t>We provide premier residential, commercial, association, and vacation property management in the Bradenton, FL region 727-280-6355</t>
  </si>
  <si>
    <t>Are you going to travel?✈️ Download Yattsi App, and do not miss out on any experiences because you do not speak the language of your destination ⠀📲⠀⠀⠀⠀⠀⠀⠀⠀ Google Play:  App Store:  #travel #aupair #airbnb #traveler</t>
  </si>
  <si>
    <t>If you want to live your life without limitations, and if you want to get to know new places and people and adapt to new cultures and learn about the world , then you are one of us!😌 #YattsiApp #travel #aupairs #aupair #airbnb #YourTravelPartner</t>
  </si>
  <si>
    <t>Jansen Bordinhao</t>
  </si>
  <si>
    <t>The Javy House is a year old. Proud of my interior designer/spell checker savy_wade Excited for our next project! #Airbnb #TheJavyHouse #Superhost</t>
  </si>
  <si>
    <t>Las Vegas</t>
  </si>
  <si>
    <t>Hi, I'm Jansen, I like cold beers and free food. #CTYLGNDS #JavyHouse</t>
  </si>
  <si>
    <t>Gabraella King</t>
  </si>
  <si>
    <t>Lovely note from a recent guests. Guests can’t help but leave a note when you put out a notepad and pen. I have one in each room. #airbnb #vacationrental…</t>
  </si>
  <si>
    <t>Houston Freelance Photographer. TV Junkie.</t>
  </si>
  <si>
    <t>Purchase your tickets today, for Temecula's largest event of the year! @TVBWF #temecula #airbnb #vacationrental #vacation #wine #instafollow #vrbo #wineries #wine #winetasting #travel #destination #winecountry #temeculavacationrentals #Balloonwinefestival #lovetemecula</t>
  </si>
  <si>
    <t>thanks Rian Info Point 4 the follow! VISIT OUR #airbnb page  #cagliari #homeholidays #maisondevacances</t>
  </si>
  <si>
    <t>Airbnb to invest $100-200 million in India's OYO - source  #mergers #acquisitions #airbnb</t>
  </si>
  <si>
    <t>Why not refresh yourself with a Yoga session when staying at PAUSE b&amp;b?😊🙏 ...upstairs - same building😯 . #eko #ekologisk #organic #vacation #relax #Airbnb #airbnbsweden #visitÖsterlen…</t>
  </si>
  <si>
    <t>@Trippthebarber has got your beard and hair covered at OB TJ✂️⁣ ___⁣ #webunkyou • #Tijuana • #airbnb • #QueSeaUnGranDia</t>
  </si>
  <si>
    <t>Michael Bach</t>
  </si>
  <si>
    <t>.@MorphetMinor It does not yet show the impact of #airbnb - apart from Suite Casanova! RT @Jane_Clossick: Density judged through concentration of doorbells. Plus, people so integrated into where they live that their names are engraved in metal. That’s commitment to place. #venice is an amazing experience.</t>
  </si>
  <si>
    <t>Kurt Miller</t>
  </si>
  <si>
    <t>Keeping 'Big Tech' (specifically #Alphabet #Amazon) out of big cities like #Toronto #Seattle #NYC. Throw in #airbnb #uber #lyft #bird #lime as well. Pros &amp; cons abound.</t>
  </si>
  <si>
    <t>Boston USA</t>
  </si>
  <si>
    <t>SVP Strategy + Planning at George P. Johnson. Global experience marketing strategy and creative leader. Husband + dad + musician + traveler.</t>
  </si>
  <si>
    <t>Another tax agreement right here in Ontario! #Airbnb #Windsor #tax #goodneighbours RT @AirbnbCitizen: "Our housing community in Windsor is small but vibrant," said Dagg. "It's great to be able to see our platform do this collection on their behalf so people coming to Windsor can contribute to how great the community is."</t>
  </si>
  <si>
    <t>#Allset for our #next #guest #arriving #today #suite2 #casadelosviajeros #puertomorelos #1bedroom #2bathrooms and a #loft. #stepstothebeach Link in bio #puertomorelos #mexico #youshouldbehere #casadelosviajeros #vacationrental #airbnb #vrbo #homeaway #doyoutravel #travela…</t>
  </si>
  <si>
    <t>Anyone looking for last minute April nights in Panama City Beach, FL? 2bed/1bath "Old Florida" beach cottage just a short walk to the beach with bikes and beach chairs included! #panamacitybeach #visitpcb #mypcb #airbnb #vrbo #vacasa #springbreak #Florida</t>
  </si>
  <si>
    <t>#Allset for.our #next #guest #arriving #today #suite2 #casadelosviajeros #puertomorelos #1bedroom #2bathrooms and a #loft #stepstothebeach Link in bio #puertomorelos #mexico #youshouldbehere #casadelosviajeros #vacationrental #airbnb #vrbo #homeaway #…</t>
  </si>
  <si>
    <t>USA Customers</t>
  </si>
  <si>
    <t>#Kill Your #Airbnb’s #Hidden #WiFi #Cameras With This #Script</t>
  </si>
  <si>
    <t xml:space="preserve">USA </t>
  </si>
  <si>
    <t>Our #sweepstakes #prize is still active please tap that #follow button for a #chance to #win!</t>
  </si>
  <si>
    <t>How #Airbnb Handles #Hosts Who Are #Caught Secretly #Filming #Guests</t>
  </si>
  <si>
    <t>CRYPTONATOR1337</t>
  </si>
  <si>
    <t>Work around to pay with $BTC on #airbnb</t>
  </si>
  <si>
    <t>#Cryptocurrencies &amp; #Blockchain-Hustler // Online Marketer // Co-Founder @shitcoingrave, @coinmirror // @Bybit_official Affiliate - http://try-bybit.com</t>
  </si>
  <si>
    <t>Andreessen Horowitz rides the wave of #SiliconValley IPOs | Financial Times: #IPO #IPOs #VentureCapital #unicorns $LYFT #Slack #Airbnb #Pinterest</t>
  </si>
  <si>
    <t>Mike Barbre</t>
  </si>
  <si>
    <t>Woah, #DigitalTrends is talking about small numbers of #AirBnB locations using hidden cameras. Now thankful I haven't yet used an AirBnB.</t>
  </si>
  <si>
    <t>Seattle</t>
  </si>
  <si>
    <t>Student of social media strategy, #Seahawks acolyte, #travel aficionado, reading junkie, #movie addict, #coffee fiend, &amp; an overall excellent driver.</t>
  </si>
  <si>
    <t>the shit that you hate don't make you special #airbnb #toronto #2019 #jeffrosenstock @ 77 Huntley</t>
  </si>
  <si>
    <t>"Perfect your vacation rental pricing with real-time travel demand" - great blog post from our friends over @theAirDNA on #pricing. #rentals #Airbnb #Homeaway #data #dynamicpricing #revenuemanagement #vacationrentals #shorttermrentals - Read more:</t>
  </si>
  <si>
    <t>#Airbnb confirms $150M-$200M investment in India’s OYO</t>
  </si>
  <si>
    <t>Ever thought of including a hand-drawn bedroom in of your #Airbnb? No one has so be the first! After all, one of your boutique hotel cousins is doing it and having astounding success. Copy away! 7 Design Ideas to Steal from Boutique Hotels -</t>
  </si>
  <si>
    <t>Nat</t>
  </si>
  <si>
    <t>Money off your first #AirBnB stay using my referral code if anyone wants it :)</t>
  </si>
  <si>
    <t>Natalie, HR are just concerned. We don't need a renegade jumping into bins &amp; trying to solve crimes.' (she/her/ðey/ðem)</t>
  </si>
  <si>
    <t>Breakfast. Quiche in a cup, cinnamon cranberry scones, and fresh berries. #bedandbreakfast #airbnb #bluebelleinn #breakfast @ Blue Belle Inn B&amp;B and Tea House in St. Ansgar, North Central…</t>
  </si>
  <si>
    <t>Wondering how to edit your Hostfully Digital Guidebook? Check out this awesome tutorial from Danny of @OptimizeAirbnb #vacationrentals #airbnb #guidebooks</t>
  </si>
  <si>
    <t>A blurp? Hoping this is the last of this sight I see for several months.#thisisiowa #bluebelleinn #bedandbreakfast #airbnb #spring @ Blue Belle Inn B&amp;B and Tea House in St. Ansgar, North…</t>
  </si>
  <si>
    <t>EHP10029</t>
  </si>
  <si>
    <t>Brand new market-rate building on Madison Avenue serving as an #AirBnB hotel, or what? #NoOneIsEverHome</t>
  </si>
  <si>
    <t>East Harlem, NYC</t>
  </si>
  <si>
    <t>East Harlem Preservation is a volunteer advocacy organization working to preserve &amp; promote the neighborhood's history &amp; culture. Got tips? Email info@ehp.nyc.</t>
  </si>
  <si>
    <t>How to see the Monaco Grand Prix 2019 on a budget - including our best cheap Studio apartment nearby  Making the most of the event and city without breaking the bank #monaco #accommodation #grandprix2019 #montecarlo #bookingcom #airbnb #formula1</t>
  </si>
  <si>
    <t>Nitin Bansal</t>
  </si>
  <si>
    <t>Airbnb confirms stake in India's OYO, sources say it invested $150M-$200M  via @techcrunch #OyoRooms #AirBnb</t>
  </si>
  <si>
    <t>Now we’re talkin'</t>
  </si>
  <si>
    <t>Tausif Ahmed Khan</t>
  </si>
  <si>
    <t>Airbnb invests in OYO #invest #oyo #airbnb</t>
  </si>
  <si>
    <t>Travel | sports | Business</t>
  </si>
  <si>
    <t>Intasure</t>
  </si>
  <si>
    <t>Do you have a spare room or would you like to make extra income renting your #home? Make sure you have suitable property protection when using #Airbnb in your home or #HolidayHome -  #property #insurance</t>
  </si>
  <si>
    <t>Holiday Homes + Homes in the UK &amp; abroad, UK Static and Park Homes plus Listed Buildings - with rental cover. Buy-to-Lets, B&amp;Bs and Blocks of Flats.</t>
  </si>
  <si>
    <t>Join us today! If you or someone you know has or would like to have a short term rental in, or around Temecula, this is a meeting for you! #STRs #Regulations #Airbnb #VRBO #Temecula #LoveTemecula</t>
  </si>
  <si>
    <t>MSU Business Career Services</t>
  </si>
  <si>
    <t>Airbnb celebrates half a million guest arrivals... &amp; this cozy cottage happens to be their most popular rental!! Click here for more pictures of this mushroom shaped home:  (Photo via Airbnb) #funfacts #airbnb #cozycottage #recruitmsu #gogreen #broadcollege</t>
  </si>
  <si>
    <t>East Lansing, MI</t>
  </si>
  <si>
    <t>Michigan State University Career Services Network for students interested in Business.</t>
  </si>
  <si>
    <t>At Visio, calculate Property Based DSCR on actual rent values. Check out this beautiful SFR in North Miami, recently we closed: 🌴 Vacation Rental Loan Program 🌴 $975,000 Loan Amount 🌴 Purchase #investments #investor #realestate #realestateinvestor #mortgagebroker #airbnb</t>
  </si>
  <si>
    <t>Tvisha Technologies</t>
  </si>
  <si>
    <t>Tvisha is to provide its sophisticated solutions to achieve new frontiers in infrastructure mgmt, application development and maintenance services</t>
  </si>
  <si>
    <t>suffolktallhouse</t>
  </si>
  <si>
    <t>Spring cleaning! The polished concrete floor is coming up a treat #suffolk #weekendaway #airbnb</t>
  </si>
  <si>
    <t>Suffolk, UK</t>
  </si>
  <si>
    <t>Unique holiday rental cottage on #Suffolk coast, sleeps 4</t>
  </si>
  <si>
    <t>I could gaze at that for ever #comfortcottagehealing #visitwales #dogfriendly #TheDogsWithMe #alpacas #ArtsWales #SunDogs #Airbnb #yell RT @GDPTenby: "the sea washes away the ills of man" (found on a plaque on the old sea water baths in tenby) clever oracle dude that euripides ..pity it couldn't apply to some of our politicians. *Tenby Pembrokeshire @TenbyOfficial @ItsYourWales @ruthwignall @ThePhotoHour</t>
  </si>
  <si>
    <t>Rishabh Bose</t>
  </si>
  <si>
    <t>Bitrefill Enables users to rent Airbnb using Bitcoin (BTC), Ethereum (ETH), Dash, Litecoin (LTC) and Dogecoin #Bitcoin #airbnb #Ethereum #BTC #litecoin #LitecoinFam #Dogecoin #blockmanity</t>
  </si>
  <si>
    <t>♻️ Climate Activist • Writer • Vegetarian • Futurist 🚀 Marketing @_groww • Co-founder @blockmanity ⚡️ The only constant is change</t>
  </si>
  <si>
    <t>Beth Traverso</t>
  </si>
  <si>
    <t>Have you been considering purchasing your own vacation rental property? Here are 5 things to know before taking the leap. To learn more, call or text me at 206-931-4493.#vacationrentals #homeawayfromhome #vrbo #airbnb #bethtraversogroup #snoqualmievalley</t>
  </si>
  <si>
    <t>Greater Seattle Area</t>
  </si>
  <si>
    <t>Mom, wife, Realtor. Seeker of everyday adventure and beauty.</t>
  </si>
  <si>
    <t>TechGrits</t>
  </si>
  <si>
    <t>Airbnb will invest in India’s reservation platform star OYO to expand its Asian reach.  #techgrits #news #TechNews #technology #tech #techhouse #Airbnb #OYO @Airbnb @oyorooms</t>
  </si>
  <si>
    <t>To Empower Ambitious Tech Entrepreneurs To Grow Faster Through Knowledge And Latest Innovation To Build A Economy Fit For The Next Generation.</t>
  </si>
  <si>
    <t>The Silicon Review India</t>
  </si>
  <si>
    <t>New #Investment: #Airbnb Participates in #OYO’s new #Funding Round...</t>
  </si>
  <si>
    <t>The Silicon Review is the world's most trusted online and print community for business technology professionals.</t>
  </si>
  <si>
    <t>Michelle Ní</t>
  </si>
  <si>
    <t>Aniar / Mayo / IRL</t>
  </si>
  <si>
    <t>Music / Múinteoir / Arts / Gaeilge / Foosterin' / Ramblin' / Photo! Photo! / Usually fuuuaarrr / Spraoi gan stró ar ndó(igh). 'Liomsa an spiel seo amháin.</t>
  </si>
  <si>
    <t>Spend your vacation on the Lake of the Ozarks! Check out our vacation rentals, with optional on site dock rental!  #lakeoftheozarks #ozarks #vacation #missouri #travel #VRBO #TripAdvisor #Airbnb #ozark #boating</t>
  </si>
  <si>
    <t>Last year, Americans spent more on Airbnb than they did on hotels. #airbnb #shorttermrental #vacationrental #propertymanagement</t>
  </si>
  <si>
    <t>Peter Keates</t>
  </si>
  <si>
    <t>Welcome to the World of Experiences | Features | Airbnb #ExperienceClient #AirBnB</t>
  </si>
  <si>
    <t>Versailles, Ile-de-France</t>
  </si>
  <si>
    <t>Founder Onopia #BusinessModel #Disruption #BMGEN #DesignThinking #ExperienceClient #JobsToBeDone #JTBD Linkedin : https://www.linkedin.com/in/peterkeates</t>
  </si>
  <si>
    <t>Work day is almost over! 😊 Have you started planning your holiday yet? 😄 If not, contact us and book your perfect vacation! 👌 #booking #vacation #vacanza #instavacation #instadesign #summer2019 #instasummer #instaairbnb #airbnb #villa #view #stunning #instaview #rental</t>
  </si>
  <si>
    <t>BorregoHolidayHomes</t>
  </si>
  <si>
    <t>Did you know Borrego Springs is a noted artists’ community, boasting numerous art galleries and juried art exhibits and art shows throughout the year? Come give us a visit to see all Borrego Springs has to offer!  #TravelTuesday #Airbnb</t>
  </si>
  <si>
    <t>Borrego Springs, CA</t>
  </si>
  <si>
    <t>Borrego Holiday Homes is a RV resort and manufactured homes community located in the beautiful desert community of Borrego Springs.</t>
  </si>
  <si>
    <t>"Airbnb has just recorded its 500 millionth guest arrival across one of its 6 million homes, yurts, tree houses, boats and more." Its dominance in the industry continues...  #hospitality #Airbnb #news #techcrunch</t>
  </si>
  <si>
    <t>Property Africa</t>
  </si>
  <si>
    <t>5829 Lunsemfwa Road Kalundu Lusaka.</t>
  </si>
  <si>
    <t>Advertise Your Land, House &amp; Office for FREE. http://www.property-zm.com Africa's No.1 Real Estate online Marketplace</t>
  </si>
  <si>
    <t>Adam, Diabetic Cyborg</t>
  </si>
  <si>
    <t>Learning Market Dynamics for Optimal Pricing by Sharan Srinivasan  #AirbnbData #Airbnb #MachineLearning #DataScience</t>
  </si>
  <si>
    <t>Longview, TX</t>
  </si>
  <si>
    <t>Optimist, mental Health/health advocate, geek, sneakerhead, dog lover, Historian, disabled blogger/vlogger w/ T1Diabetes, RRMS, redefined purpose, PTSD</t>
  </si>
  <si>
    <t>Duuo</t>
  </si>
  <si>
    <t>There’s no reason to be scared off by the thought of “marketing” your rental property. It can actually be a lot of fun to share stories about a home you love and care about! Here are a few helpful tips: #airbnb #CanadaStays RT @GuestHook: So you’ve listed your property on #Airbnb. Contrary to popular belief, that doesn’t mark the end of your Airbnb marketing journey—it’s really just the beginning.</t>
  </si>
  <si>
    <t>Oh Canada</t>
  </si>
  <si>
    <t>Short term insurance for short term needs! Duuo is shaking up the insurance landscape by offering simple, on-demand solutions for Canadians.</t>
  </si>
  <si>
    <t>Airbnb Has a Hidden-Camera Problem  #airbnb #hospitality #privacy #surveillence</t>
  </si>
  <si>
    <t>Jason Brooks</t>
  </si>
  <si>
    <t>#Lyft -4.5%, after dropping 12% in its second day, now down 10% from its opening price. Better believe #Uber, #Pinterest, #Airbnb, &amp; #Slack are watching closely as they consider their opening price range. #Dow -12 after durable goods orders sank 1.6% in Feb.</t>
  </si>
  <si>
    <t>Talking about Wall Street &amp; Silicon Valley for KCBS Radio in SF &amp; CBS Radio News. Host of The Crisis Next Door-a weekly podcast on global conflict.</t>
  </si>
  <si>
    <t>P.E.I. Green Party releases platform which includes a pledge to introduce new provincial regulations on short-term rentals such as #Airbnb.  #FairRules</t>
  </si>
  <si>
    <t>Vinales_gallery®🇨🇺</t>
  </si>
  <si>
    <t>. Visit us in #Vinales #Cuba 🇨🇺 . The best Place #WorldWide #bestintravel #lonelyplanet #Airbnb #casaparticular #travel #kuba #holidays #instagram  . #viñales #Unesco</t>
  </si>
  <si>
    <t>Visit_Viñales_Cuba 🇨🇺</t>
  </si>
  <si>
    <t>📷 Viñales Professional Photographer 🔍 We offer 🐎 Horse riding adventures 🏡 Casa particular (B&amp;B) 🏝 Personalised trips 🚕 Taxi services 👇 Website</t>
  </si>
  <si>
    <t>Appletree Finance</t>
  </si>
  <si>
    <t>Poulton-le-Fylde, UK</t>
  </si>
  <si>
    <t>Appletree Financial Solutions opened for business in 1999 and we take pride in providing quality,straightforward financial advice to individuals and businesses.</t>
  </si>
  <si>
    <t>Have you checked out our latest #Airbnb? A stunning 14 bed #Georgian townhouse with #garden in #Clifton, perfect for big families or groups! 👨‍👨‍👧‍👧</t>
  </si>
  <si>
    <t>Nicole Buzzing</t>
  </si>
  <si>
    <t>With half a billion guests using @Airbnb, you should definitely consider local accommodations for your next home-away-from-home. I've used #Airbnb many times and have been happy with each experience so far!  #traveltips #accommodations #budgettravel</t>
  </si>
  <si>
    <t>Lifestyle blogger, #travel pursuant, pet and wildlife #photographer and a try-anything-once #foodie • Next destination: Ecuador in April!</t>
  </si>
  <si>
    <t>Your own private hideaway! Tag a friend who would like to stay here for a weekend! Booking link in bio. #ferngullycove #airbnb #ferngully_cove…</t>
  </si>
  <si>
    <t>#Airbnb Has a Hidden-Camera Problem - The home-rental start-up says it’s cracking down on hosts who record guests. Is it doing enough? Read more at  #servicedapartments #servicedapartmentnews #servicedaccommodation</t>
  </si>
  <si>
    <t>Trak.in</t>
  </si>
  <si>
    <t>#Airbnb has invested close to $200 million in #Oyo. What makes it interesting is that, #Oyo doesn't need any investments as of now. Then why?</t>
  </si>
  <si>
    <t>Real-Time Updates from Trak.in, A definitive source of most happening Tech, Telecom &amp; Startup Stories http://trak.in | info@trak.in</t>
  </si>
  <si>
    <t>BirdBoxVox</t>
  </si>
  <si>
    <t>Oh and one last thing – there is an #Airbnb room with ISDN studio on tap – so if you are a travelling #voiceover with a need for accommodation and recording facilities in East London, Hackney, Stratford or Olympic Park, get in touch! #voiceoverabroad #recordingstudio #hackney</t>
  </si>
  <si>
    <t>Hackney, London</t>
  </si>
  <si>
    <t>A broadcast quality voiceover (and publicity interview) recording studio based in Hackney Wick. Managed by @piersgibbon.</t>
  </si>
  <si>
    <t>Red Duck’s Travel Blog</t>
  </si>
  <si>
    <t>A weekend in Bristol and @stjohnambulance Awards is how Mother’s Day weekend was spent. With a first time stay in an @Airbnb  #airbnb #bristol #avon #england #sjacelebrate #blog #duckblog #blogger #travelblog #flat #apartment #mothersday</t>
  </si>
  <si>
    <t>Wolverhampton, England</t>
  </si>
  <si>
    <t>A Techie Travel Blogger who loves to see the world and share my experiences with the people of the Internet.</t>
  </si>
  <si>
    <t>La Flâneuse</t>
  </si>
  <si>
    <t>Oeno-Gastronomic Walking tour around Blauzac  #PauseRêve #FranceHoliday #Occitanie #CookingHoliday #Airbnb #VacationRental</t>
  </si>
  <si>
    <t>Languedoc/Occitanie, France</t>
  </si>
  <si>
    <t>...a taste of freedom in the South of France 👣 👣 👣 #Uzès #Eurostar Direct London-Avignon 60km #TDF2019</t>
  </si>
  <si>
    <t>A definite George Raft out there today #comfortcottagehealing #visitwales #dogfriendly #TheDogsWithMe #alpacas #ArtsWales #SunDogs #Airbnb #yell RT @ruthwignall: Morning all! Get those winter woollies back on... and have a terrific Tuesday! @GMB #weather</t>
  </si>
  <si>
    <t>The AHC</t>
  </si>
  <si>
    <t>Guest finds hidden camera in bedroom of Airbnb. Is the home-rental site doing enough to clamp down on this practise? Reported in The Atlantic.  #TravelTuesday #hotelnews #hotelconference #traveltrends #Airbnb #accommodation</t>
  </si>
  <si>
    <t>Hilton Manchester Deansgate</t>
  </si>
  <si>
    <t>10th &amp; 11th October 2018. A unique conference for hoteliers, independent, boutique and consortia owner/operators Learn. Network. Be Inspired.</t>
  </si>
  <si>
    <t>Guest finds hidden camera in bedroom of @Airbnb. Is the home-rental site doing enough to clamp down on this practise? Reported in @TheAtlantic  #TravelTuesday #hotelnews #hotelconference #traveltrends #Airbnb #accommodation #TuesdayThoughts</t>
  </si>
  <si>
    <t>A superhost badge can make a difference for your #Airbnb listings. #ANNALSpeer2peer @Airbnb RT @Els_SocialScien: Did you know that having a Superhost badge on #Airbnb means the hosts can charge a price premium? Read the #free article #ANNALSpeer2peer</t>
  </si>
  <si>
    <t>Environmental #sustainability of peer-to-peer accommodation is still unclear - recent comprehensive review on P2P accommodation @SaraDolnicar @Airbnb #Airbnb #PeerTopeer RT @Els_SocialScien: Check out the ultimate review of research on #Airbnb and other paid online peer-to-peer accommodation by @SaraDolnicar #ANNALSpeer2peer Read it #free:</t>
  </si>
  <si>
    <t>#Airbnb confirms stake in India’s OYO, sources say it invested $150M-$200M</t>
  </si>
  <si>
    <t>Ecaterina Paun</t>
  </si>
  <si>
    <t>#Airbnb says... 6 million listings generated $65 billion and hosted about 500 million #guests. In other words: one in 16 people staid with AirBnB. Every listing hosted 100 guests and generated about #11.000 Impressive. #travel</t>
  </si>
  <si>
    <t>Dortmund, Germany</t>
  </si>
  <si>
    <t>Aiming to make Your next travel experience like morning coffee: Consistent, Effortless,&amp; Predictable</t>
  </si>
  <si>
    <t>Lokcom Networks</t>
  </si>
  <si>
    <t>Renting your house or apartment on #Airbnb and tired of coordinating guest arrivals? #smartlock is the solution you were locking for. Guess what ? @LokcomNetworks is even better. Contact us for a demo.</t>
  </si>
  <si>
    <t>Lokcom enables any lock into a smart lock, without any modification and connects it to the Cloud.</t>
  </si>
  <si>
    <t>#Airbnb confirms $150M-$200M investment in India’s #OYO  #Proptech #Realestate #Rentals</t>
  </si>
  <si>
    <t>Beautiful #Cartmel morning!  #LakeDistrict #selfcatering #accommodation #holiday #spring #Airbnb #booking.com #homeaway #tripadvisor</t>
  </si>
  <si>
    <t>What's the most overvalued "startup" currently from all the unicorns? #uber #Airbnb #wework #Lyft #BIRD #lime ...?</t>
  </si>
  <si>
    <t>Ways To Protect Your #Airbnb This Easter Season #Travel #startuplife #hustle #sidehustle #designstudio #gigeconomy #homeowner #vacayo #startup #startups #superhost #designstudio #homeownership #startup #startups #proptech</t>
  </si>
  <si>
    <t>Are you sharing your home someone attending @londongamesfest over the next 12 days? Have you checked your insurance to make sure you're covered? Chances are if you haven't, then you wont be! Get in touch and we can fix that for you 😎 #LGF19 #sharinginsurance #airbnb @Airbnb</t>
  </si>
  <si>
    <t>More from the recent Airbnb shoot, I love this solitary moment before the climb started #adshoot #photoshoot #solitarymoment #airbnb #airbnbexperiences #winter #snow #hiking #brrr #outdooradventures #brr</t>
  </si>
  <si>
    <t>#Airbnb confirms stake in India’s OYO, sources say it invested $150M-$200M #Travel #startuplife #hustle #sidehustle #designstudio #gigeconomy #homeowner #vacayo #startup #startups #superhost #designstudio #homeownership #startup #startups #proptech</t>
  </si>
  <si>
    <t>Hil Gibb</t>
  </si>
  <si>
    <t>I've recently stayed in some lovely #Airbnb but this looks fabulous The most popular #Airbnb in the world is a “mushroom dome” in Californiahttp://ow.ly/uxDh50ow3Jz</t>
  </si>
  <si>
    <t>East Midlands UK</t>
  </si>
  <si>
    <t>Author, business mentor and general force of nature, Oh &amp; I nearly flattened Stephen Hawking when I was woefully late for a lecture at uni!</t>
  </si>
  <si>
    <t>™d∩ ʍoɹפ ɹǝʌǝN👊</t>
  </si>
  <si>
    <t>When you invest too much on your crushes 😋 #airbnboyo #airbnb #oyo @ Mumbai, Maharashtra</t>
  </si>
  <si>
    <t>Bombay</t>
  </si>
  <si>
    <t>Work like a Captain⚓|Play like a Pirate☠</t>
  </si>
  <si>
    <t>Heritage IMA</t>
  </si>
  <si>
    <t>Interesting information for Airbnb owners  #airbnb #mortgages #airbnbfinance #holidayletmortgage</t>
  </si>
  <si>
    <t>Guildford, Surrey</t>
  </si>
  <si>
    <t>Heritage IMA are a mortgage brokerage offering highly competitive mortgage solutions selected from the whole of the market</t>
  </si>
  <si>
    <t>The latest image from the GowerLive #webcam on the roof 730RocksMumbles #AirBnB. Book at  #Mumbles #Swansea #Gower #travel. Watch live at  #519</t>
  </si>
  <si>
    <t>Need suggestions for places to visit on your vacation? Our hosts are here to help with any questions you may have! Check out our rentals at the Lake of the Ozarks:  #lakeoftheozarks #ozarks #vacation #missouri #travel #VRBO #TripAdvisor #Airbnb #boating</t>
  </si>
  <si>
    <t>We would like to welcome you to the Buddha Villa experience; a little of Asia in the #Colombian #Caribbean #sea. #Travel #SanAndrés #Colombia #Buddhavilla #traveltips #airbnb #IslaDeSanAndrés #Hostel #rooms #travelling #airbnbexperiences #swimmingpool</t>
  </si>
  <si>
    <t>Either that or Dr Who! #comfortcottagehealing #VisitWales #Dogfriendly #TheDogsWithMe #alpacas #ArtsWales #SunDogs #Airbnb #yell RT @ruthwignall: Love this.... I am officially the Ice Queen! ;) xxx #weather</t>
  </si>
  <si>
    <t>Bed&amp;Stay has great prices for April and May. Book your stay now. Stay in a unique house with a private elevator. Book us here: #AIRBNB :  #familytravel #travel #japan #airbnbjapan #airbnbtokyo #travel</t>
  </si>
  <si>
    <t>Check these places to grab a delicious cup of coffee in #Tokyo. Book your stay with us here: #AIRBNB :  #familytravel #travel #japan #airbnbjapan #airbnbtokyo #travel RT @TimeOutTokyo: Have your next coffee break at these cafés around the capital.</t>
  </si>
  <si>
    <t>#Happytuesday enjoy fun rides surrounded by Cherry trees., only at Toshimaen. Our house is closed to this spot. Book us here #AIRBNB :  #familytravel #travel #japan #airbnbjapan #airbnbtokyo #travel RT @TokyoCheapo: For a short-lived time, this might be Tokyo's most scenic roller coaster;</t>
  </si>
  <si>
    <t>Strutt &amp; Parker Pangbourne</t>
  </si>
  <si>
    <t>#Launchedtoday, #Propertyoftheday #Dreamhome. Beautiful Pear Tree Cottage at #AstonTirrold, #SouthOxfordshire. 4 bedroom family house with wonderful rural views and benefits from an annexe which would be ideal to let out for #airbnb</t>
  </si>
  <si>
    <t>RG8 7AE</t>
  </si>
  <si>
    <t>We sell good quality modern and character properties ranging from apartments to country estates in West Berkshire &amp; South Oxfordshire. +44 118 321 9507</t>
  </si>
  <si>
    <t>#airbnb picked up stake in #oyo</t>
  </si>
  <si>
    <t>👑 That's a lot of spare cash... @GuestReadyNow has revealed that Buckingham Palace’s daily rate would be £1M+ if listed on #Airbnb!</t>
  </si>
  <si>
    <t>This tiny #cabin is the most popular property on #Airbnb</t>
  </si>
  <si>
    <t>HarNadh Marisa</t>
  </si>
  <si>
    <t>Available next week beginning April 7, 2019 🥰 You get 5% off all our classes Anam Cara Manila  #airbnb #yogaph</t>
  </si>
  <si>
    <t>Los Angeles NOW Manila, Phili</t>
  </si>
  <si>
    <t>Spiritual Activist. Dreaming SuperNova &amp; Bodhisattva. Teaching Kundalini Yoga, Meditation and other healing modalities for Asia Divine Dept.</t>
  </si>
  <si>
    <t>Business Line</t>
  </si>
  <si>
    <t>#Airbnb to invest up to $200 million in #Oyo</t>
  </si>
  <si>
    <t>Business Daily from The Hindu group of newspapers</t>
  </si>
  <si>
    <t>Nelly Renard</t>
  </si>
  <si>
    <t>Aix-les-Bains, France</t>
  </si>
  <si>
    <t>#Airbnb has confirmed its #Investment of 200$ Mn in #OYO</t>
  </si>
  <si>
    <t>Check out. #Airbnb confirms stake in India's OYO, sources say it invested $150M-$200M  via @techcrunch #tech #digital #data #business</t>
  </si>
  <si>
    <t>Tentaran.com</t>
  </si>
  <si>
    <t>- Zomato has added 17 more cities to its service areas taking the total number of cities it serves to 213.  #Business #News #Investment #Marketing #BusinessnEws #Startups #Zomato #Trai #RBI #JetAirways #Pacific #Airbnb #Oyo @Zomato</t>
  </si>
  <si>
    <t>Saket, New Delhi</t>
  </si>
  <si>
    <t>Digital News Magazine for Bite-sized &amp; crisp Infotainment news to keep our audience up-to-date on info and services to make their day-to-day life and work easy</t>
  </si>
  <si>
    <t>Indo-American Chamber of Commerce</t>
  </si>
  <si>
    <t>1-C, Vulcan Insurance Building, Veer Nariman Road
Mumbai, India</t>
  </si>
  <si>
    <t>Indo-American Chamber of Commerce is a non-government, industry led organization and serves as link between the business communities of India and USA</t>
  </si>
  <si>
    <t>Lid Lube Grinder Lubricant</t>
  </si>
  <si>
    <t>It can't always be work work work. We're enjoying our amazing family vacation together in Puerto Vallarta! #Airbnb for the win!! Squeaky or sticky weed grinder? Grab a bottle Lid Lube…</t>
  </si>
  <si>
    <t>Lid Lube grinder lubricant for squeaky and sticky herb grinders. Works with one drop instantly! Get yours NOW through Amazon Prime. 100% Canadian Hemp Oil.</t>
  </si>
  <si>
    <t>Spring, how wonderful #comfortcottagehealing #VisitWales #Dogfriendly #TheDogsWithMe #alpacas #ArtsWales #SunDogs #Airbnb #yell RT @FrankMooreB2BW: Female Blackbird, Mid-Wales @ruthwignall @Natures_Voice @wildlife_uk @NatureUK @Britnatureguide @BTO_GBW</t>
  </si>
  <si>
    <t>now and again it seems worse than it is, but mostly the view is accurate... #brighteyes #Gunther #airbnb #toronto #2019 lianlihq @prsguitars @kantoaudio…</t>
  </si>
  <si>
    <t>Ministry reviewing laws to regulate #Airbnb operators #TourismArtsandCultureMinistry #myedgeprop</t>
  </si>
  <si>
    <t>Onmanorama</t>
  </si>
  <si>
    <t>#Airbnb to invest $100-200 million in hotel start-up #OYO</t>
  </si>
  <si>
    <t>Kochi</t>
  </si>
  <si>
    <t>Manorama Online's English Channel. Follow us for the latest news.</t>
  </si>
  <si>
    <t>Hansali Organic Farm &amp; Farm Stay</t>
  </si>
  <si>
    <t>Family day out for families of Hero MotoCorp at our farm near Chandigarh. #farmtotable #farmlife #Chandigarh #Punjab #IncredibleIndia #Airbnb #airbnbexperiences #FamilyDay #travelindia #travelingram #indianvillage #NatureTrips</t>
  </si>
  <si>
    <t>Sirhind Fatehgarh Sahib</t>
  </si>
  <si>
    <t>Organic Farm &amp; Farm Stay. Vill. Hansali Fatehgarh Sahib Punjab.9988892203/8360673641. #farmstay #punjab #organic #farm #chandigarh #airbnb #A2milk</t>
  </si>
  <si>
    <t>Check out this awesome Entire condominium on Airbnb: Live Like Royalty On The Las Vegas Strip!, sleeps 5 #Vegas #LasVegas #AirBnB #Condo #Raiders #VGK #FootBall #Boxing</t>
  </si>
  <si>
    <t>Vivek Kumar Srivastava</t>
  </si>
  <si>
    <t>Allahabad, India</t>
  </si>
  <si>
    <t>Internet Removals</t>
  </si>
  <si>
    <t>Well, there goes that booking. Online reviews are powerful, and for all we know that could have been a false review left by a local competitor! #reviews #airbnb #internetremovals</t>
  </si>
  <si>
    <t>Meet our new Cabin Book of the Month for April! Gods of Howl Mountain by Taylor Brown. It’s set in the High Country area of North Carolina in the 1950s. It will be at Fernwood Cabin this month, and traveling to Laurelwood Cabin next month! #books #airbnb #homeaway #boone</t>
  </si>
  <si>
    <t>Gurmeet Chadha</t>
  </si>
  <si>
    <t>#Oyo books $200 mn funding from #Airbnb valuing it at ~36000 crs Market cap of top Listed hotel stocks~ 36000cr Indian Hotels (Taj)-18k EIH ( Oberoi’s)- 11k Chalet-7k Asset light model ,bigger market place, bigger canvas- homestay, rental accomd, coworking spaces is d future!</t>
  </si>
  <si>
    <t>Co-founder &amp; CEO Complete Circle Consultants.Certified Research Analyst,Marathoner,passionate about sports ,markets, politics n movies. Views on mkts personal</t>
  </si>
  <si>
    <t>SFNewsfeed</t>
  </si>
  <si>
    <t>#Airbnb Faces Uphill Battles In Courts Nationwide:  @AirbnbCitizen @AirbnbHelp @Airbnb @Airbnbdesign @airbnbsf @Airbnb_uk @airbnbCA @airbnb_canada @santamonicacity @nycgov @CNewsfeedus @BarangayLife @business @bopinion @SFGovTV @sfgov @ReimagineRadio</t>
  </si>
  <si>
    <t>Great "shelfie" idea from this cool #bookstore in #Melbourne. Definitely check out Perimeter Books when you're next in the #city if you're interested in contemporary #photography, #art, #design and #architecture.🤓📚💞 #madecomfy #australia #travel #airbnb</t>
  </si>
  <si>
    <t>Sign up for AirBnB via our referral &amp; get $40 off your first trip.  #airbnb #travel #touristlife</t>
  </si>
  <si>
    <t>Large 5Star #Florida #vacationhome with prival pool on #Airbnb Tropical #TommyBahama style - #VRBO April 01, 2019 at 10:00PM</t>
  </si>
  <si>
    <t>When your guests leave you gifts! #conveniencecottageguests #conveniencecottagebnb #houstontxtravel #vrbo #airbnb #thewoodlandsairbnb #travelinspiration #vacation #travelhouston #traveltexas #travelUSA #vacationrental #houstontravel #texasairbnb</t>
  </si>
  <si>
    <t>EvolvingViews</t>
  </si>
  <si>
    <t>22.367072,114.05898</t>
  </si>
  <si>
    <t>Experienced technologist, focused on selective combinations of blockchain and machine learning. Hyperledger Fabric, ERC20, IBM Watson and more.</t>
  </si>
  <si>
    <t>#NSTbusiness: Home-renting company #Airbnb will invest between US$100 and US$200 million in SoftBank Group-backed Indian hotel start-up #OYO.</t>
  </si>
  <si>
    <t>Creative Planet M</t>
  </si>
  <si>
    <t>Byron Shire residents have their say on controversial #Airbnb impacts</t>
  </si>
  <si>
    <t>Tourism marketing strategist, advisor - writer, excited by potential of today’s fusion of #TourismMarketing #creativity #traveltech #ResponsibleBusiness</t>
  </si>
  <si>
    <t>Lake and Track Rentals</t>
  </si>
  <si>
    <t>We're offering guest hosting services for AirBnB rentals in the Saratoga and Lake George area.  for more details. #Saratoga #LakeGeorge #Airbnb #lakeandtrackrentals</t>
  </si>
  <si>
    <t>Saratoga Springs, NY</t>
  </si>
  <si>
    <t>Luxury tailgating, beach &amp; baby gear delivered/set up at the track, SPAC or your vacation spot!</t>
  </si>
  <si>
    <t>steel structure</t>
  </si>
  <si>
    <t>Vacation House / What are your thoughts? Could you live here? ⁣ / / #prefab #BookOfCabins #PrefabNsmallhomes #FABprefab #CabinsMagazine #AffordableHousing #cabinlife #tinyhouse #cabin #cabinliving #cabinlove #design #airbnb #prefab #containerh..</t>
  </si>
  <si>
    <t>Qingdao,China</t>
  </si>
  <si>
    <t>steel structure,steel building, prefab house manufacturer</t>
  </si>
  <si>
    <t>Harold Morris</t>
  </si>
  <si>
    <t>In certain specific cases #AML can vastly increase a data scientist’s productivity, often by an order of magnitude. #Airbnb has experimented with the following AML tools. #TPOT #AutoSklearn #AutoWeka #MachineJS #DataRobot</t>
  </si>
  <si>
    <t>Aggressive Business #ProblemSolving #IntellectuallyCurious #industryAgnostic #SalesHunter skilled at #Influencing by making the complex #technology seem simple</t>
  </si>
  <si>
    <t>#DataScientists at #Airbnb have identified four aspects of their #ML workflow that are repetitive and #AutomatedML may add value: Exploratory #DataAnalysis, #FeatureTransformations, #AlgorithmSelection &amp; #Hyperparameter Tuning, and #ModelDiagnostics</t>
  </si>
  <si>
    <t>Our Beautiful Beachfront Villahttps://www.airbnb.jp/rooms/387153  via Twitter Web Client #airbnb</t>
  </si>
  <si>
    <t>Thai Green Curry for Lee Fish 🐟  #photography #food #bakery #foodphotography #fun #bali #accommodation #photocouple #foodie #foodlove #cuisine #BakeOff #advertising #berries #granola #airbnb #blackandwhitephotography #bar #bartender #brand #fish #curry</t>
  </si>
  <si>
    <t>RuckMaker</t>
  </si>
  <si>
    <t>#Airbnb Has a Hidden-Camera Problem #BigBrother</t>
  </si>
  <si>
    <t>Brown Nationalist Canadian</t>
  </si>
  <si>
    <t>Rojone Nerob</t>
  </si>
  <si>
    <t>Please visit my site at #Fiverr #accommodation #airbnb #affordablehousing #application #AdultWork #advertising #ads #additivemanufacturing #a11y</t>
  </si>
  <si>
    <t>Hi,, I am a full time GRAPHICS DESIGNER at FIVERR,99DESIGN etc.</t>
  </si>
  <si>
    <t>Come see our giants. #Repost @hikingtheglobe with @get_repost ・・・ “The world's big and I want to have a good look at it before it gets dark.” — John Muir #sequoianationalpark #airbnb #riataranch ⠀⠀⠀...</t>
  </si>
  <si>
    <t>Come see our giants. #Repost hikingtheglobe with get_repost ・・・ “The world's big and I want to have a good look at it before it gets dark.” — John Muir #sequoianationalpark #airbnb…</t>
  </si>
  <si>
    <t>Travel Houston - Visitors Guide</t>
  </si>
  <si>
    <t>Info@houstontxtravel.com http://Houstontxtravel.com For info on the Convenience Cottage BNB vacation rental contact: Info@protostay.com http://Protostay.com</t>
  </si>
  <si>
    <t>These #SiliconValley #Investors’ Bets May Pay Off  #venturecapital #ipo #startup #unicorn #airbnb #lyft #Pinterest #Uber #cbinsights #slack</t>
  </si>
  <si>
    <t>Airbnb(whos going public this year) has confirmed its stake in OYO,a startup that manages budget hotels and other stays. Despite not revealing the terms of the deal, the deal is a WIN -WIN for both #hospitality #airbnb #news #business #travel #investing #india #oyo #invest</t>
  </si>
  <si>
    <t>Startups_observer</t>
  </si>
  <si>
    <t>Online dating for startups, corporates and investors by @JoeMenninger</t>
  </si>
  <si>
    <t>Tabitha Co</t>
  </si>
  <si>
    <t>Have you had the opportunity to try Buna the Soul of #Coffee Hand #CoffeeRoasting &amp; Cupping Class #airbnbexperiences yet? 🙏 Chris for being a Super #Airbnb Experience Host! #tabithaco #mindfullymade #leathergoods #tabithacompany #travelwithtab #wherewouldyougo #Toronto</t>
  </si>
  <si>
    <t>Nova Scotia, Canada</t>
  </si>
  <si>
    <t>Owner of TABITHA + CO</t>
  </si>
  <si>
    <t>Deon Guillory</t>
  </si>
  <si>
    <t>Couple found dead in townhouse near LSU were renting it through Air bnb. #death #BatonRouge #Airbnb</t>
  </si>
  <si>
    <t>Baton Rouge, LA</t>
  </si>
  <si>
    <t>Main Anchor for @WVLANBCLocal33 Award winning journalist. @Xula1925 grad. @janetjackson stan. NOLA boy. Opinions on this page are my own</t>
  </si>
  <si>
    <t>Building magazine</t>
  </si>
  <si>
    <t>After first disrupting the hotel business industry, shared rental services like Airbnb are making life difficult for Canada’s corporate housing sector  #airbnb #corporatehousing #shorttermrentals #housing #condos</t>
  </si>
  <si>
    <t>Since 1952, Canada’s #1 building and urban development publication – reaching key segments of the architecture, building design and built environment community.</t>
  </si>
  <si>
    <t>Comfy and Cozy - Love this! "Universal Studios Pink Suite - Apartments for Rent in Los Angeles #Travel" @airbnb  #vacationrental #airbnb #LA #StudioCity #universalstudios</t>
  </si>
  <si>
    <t>An awesome review from one of our guests. Book now and enjoy a relaxing stay with us!❤️ Visit  to check our #airbnb properties #hostly #hostlyChicago #airbnbexperience</t>
  </si>
  <si>
    <t>Britvr</t>
  </si>
  <si>
    <t>Bittrex New Interest StableCoin / Bitrefill &amp; Airbnb  via @YouTube #bittrex #bitrefill #airbnb #bitcoin</t>
  </si>
  <si>
    <t>Decentralization is the Furture!!! Cryptocurrency Reporter 📹 and Miner ⚒.</t>
  </si>
  <si>
    <t>Ireland.#Ireland #WildAtlanticWay #Dingle #Kerry #WestCork #Killarney #easterholidays #EasterSunday #easterbreak #Travel #traveltips #adventuretravel #familytravel #Vacations #vacationrentals #holidayhome #Airbnb #TripAdviser #Summer2019 #Brexit #TravelTuesday #selfcatering #USA</t>
  </si>
  <si>
    <t>Elissa Doherty</t>
  </si>
  <si>
    <t>Meet the new money makers on Airbnb @moneysaverHQ @Airbnb @airbnb #airbnb</t>
  </si>
  <si>
    <t xml:space="preserve">Melbourne, Australia </t>
  </si>
  <si>
    <t>Freelance journo 🗞✍🏻 | News, travel, health, features | World Vision media contractor | Adelaide girl in Melbourne | dohertyelissa@gmail.com</t>
  </si>
  <si>
    <t>Have a Good Sunday ☀️  dimanche  chilling  immobilier  appartmenttherapy  parisrentaparts  airbnb  booking  republique  temple  paris  milano  tokyo  lisboa  miami  tourist  tagsforlikesapp  likeforlikes...</t>
  </si>
  <si>
    <t>15 ft of Storage on sidewalk, not homelessness. Guy lives in the El Dorado Hotel / Conyard House and pays someone to keep guard of his sidewalk storage. Working the system for 3 years now. Across the street from 778 Natoma @SF311 @SFPDSouthern  airbnb  storage  SanFrancisco</t>
  </si>
  <si>
    <t>I will stop dealing with  Airbnb anywhere as of this moment. I hope all my friends and colleagues stop it too. I am certain that a big number will stop. RT @KenRoth: How reconcile Netanyahu's unilateral annexation plans with "Israel’s official position...that the territory in the West Bank is disputed, not occupied [so] the fate of the settlements, it says, should be resolved in negotiations with the Palestinians."</t>
  </si>
  <si>
    <t>. This Easter hunt for that perfect Bahamas vacation! 🐰🐰 .  @canuckpalms . . . . .  booknow  tripadvisor  flipkey  traveldeals  travelagent  travelblogger  vacationdeals  savemoney  airbnb  vacation  easter  eastereggs  travel  exuma  exumas  bahamas  e…</t>
  </si>
  <si>
    <t xml:space="preserve"> airbnb Are expecting me to wait up to 15 days for a £330 refund for a last minute cancellation caused by them. In the meantime we have had to spend another £360 to find alternate accommodation for our event in London. Who else treats their customers like this?? Disgraceful</t>
  </si>
  <si>
    <t xml:space="preserve"> Airbnb customer service sucks. 🤬</t>
  </si>
  <si>
    <t>Airbnb Has a Hidden-Camera Problem  via @CityLab  airbnb</t>
  </si>
  <si>
    <t xml:space="preserve"> berne  switzerland</t>
  </si>
  <si>
    <t>Competence Center Digital Commerce Swiss Post  ConnectaBern  digitalcommerce  ecommerce  onlineshopping  onlinemarketing  logistics</t>
  </si>
  <si>
    <t xml:space="preserve"> Airbnb Completes Acquisition of  HotelTonight   news  boutique  caribbean  hotel  nassau</t>
  </si>
  <si>
    <t xml:space="preserve"> caribbean  travel </t>
  </si>
  <si>
    <t>Caribbean Journal: The most-read website covering the Caribbean. For CJ on Facebook, click here: https://www.facebook.com/CaribJournal  caribbean  travel</t>
  </si>
  <si>
    <t>From  Arran to  Edinburgh and everywhere inbetween from west to east, south to north,  STLs and  Airbnb, especially the unregulated variety, are hollowing out communities and effectively a  SocialCleansing mechanism whether intended/unintended and @scotgov could legislate change. RT @TheBEFS: Housing crisis on Arran leaves hundreds of islanders without homes</t>
  </si>
  <si>
    <t xml:space="preserve"> EdinburghCentralLlibrary</t>
  </si>
  <si>
    <t>...love wordplay, doorstep tourism and what's round the next cornerstone, especially if it's a library's! And, love Central Library, Edinburgh -  SaveECL!</t>
  </si>
  <si>
    <t xml:space="preserve"> ILoveTempleberg 🌴</t>
  </si>
  <si>
    <t>The sun is shining at Templeberg. And new guests are loving it  galle  srilanka  airbnb</t>
  </si>
  <si>
    <t xml:space="preserve"> Galle  Sri Lanka</t>
  </si>
  <si>
    <t>Colonial villa Galle Srilanka | 5 bedrooms from US$300 | 2 ppl stay from US$80 | 30m pool | Exotic marigold experience |  travel  Superhost  villa  vacation  lk</t>
  </si>
  <si>
    <t>How lovely ⭐️⭐️⭐️⭐️⭐️⭐️⭐️⭐️⭐️⭐️!  airbnb  experience  fairypigwalk  digitaldetox</t>
  </si>
  <si>
    <t xml:space="preserve"> kinvara  countygalway ireland</t>
  </si>
  <si>
    <t xml:space="preserve"> Airbnb reverses ban on  West_Bank settlement listings "Airbnb has never boycotted Israel, Israeli businesses, or the more than 20,000 Israeli hosts who are active on the Airbnb platform"</t>
  </si>
  <si>
    <t xml:space="preserve"> Lebanon</t>
  </si>
  <si>
    <t>With 90+ active listings @whiterockcity is no stranger to  Airbnb but still no specific bylaw &amp; even less enforcement capacity to address violations.  affordablehousing  novacancy  housingcrisis  VanRE  vanpoli RT @RobinsRich: Paris mayor declares new war on Airbnb to stop city turning into 'museum'   vancouver  vanre  affordablehousing  housingcrisis  vanpoli  noenforcement  airbnb  corruption @CityofVancouver @MyVancouver @Fairbnbcanada @InsideAirbnb @airbnbwatch @AirbnbHell</t>
  </si>
  <si>
    <t xml:space="preserve"> WhiteRockBC</t>
  </si>
  <si>
    <t>A proud, long time resident of @WhiteRockCity &amp; member of Canada’s  ThinBlueLine🇨🇦👮🏻‍♂️. Follow/RT do not = endorsements.</t>
  </si>
  <si>
    <t>When  Airbnb goes bad, grounded planes and limiting  doctorVisits: CBC's  Marketplace  consumerCheatSheet</t>
  </si>
  <si>
    <t xml:space="preserve"> tiddlyWiki user, tracking  Technologies,  metaData,  AI_ &amp;  ExpertSystems @  addressManagement  Tags  tagging  botMob builds  finance  photography  Cartography</t>
  </si>
  <si>
    <t>Well I guess I wont be using  airbnb after all this week. "Airbnb have reversed their decision to remove Israeli settlements in the occupied West Bank off their listings"  BDS</t>
  </si>
  <si>
    <t>And  thankyou to David in Utah and Sam &amp; Lisa in Arkansas at .@BankofAmerica customer service for listening/helping when .@airbnb will not keep their word and give me the refund they promised over a month ago.  airbnb  airbnbnightmare  customerexperience  womenssafety</t>
  </si>
  <si>
    <t>So .@Airbnb finally apologized for their host’s creepy behavior and offered a refund - which they have *not* granted. Prove that you care about womens’ safety and keep your word!  airbnb  airbnbnightmare  womenssafety  airbnbaccountability</t>
  </si>
  <si>
    <t>$45-95 dollars off using my  AirBNBcode -   AirBNB  Coupons  AirBNBCoupon  AirBNBCoupons :) have a good trip!</t>
  </si>
  <si>
    <t>Don't sleep on the Grove Haus when looking for an Airbnb in Downtown Indy. Our renovated church space in Fountain Square makes for an experience you will never forget. Book now:   indianapolis  airbnb  grovehaus  downtownindy  fountainsquare</t>
  </si>
  <si>
    <t>PLEASANT vacation rentals script like  airbnb at  bootsgrid. here comes the exciting solution for your rentals business. Just take a glimpse:  @uk_travelagents @TravelAgents_ @ElenaConsultant @TravelAgentTale @TravelAgentsUK @tanqenews @Airbnb_uk</t>
  </si>
  <si>
    <t>Inside Airbnb's 'Guerrilla War' Against Local Governments  airbnb  vanre</t>
  </si>
  <si>
    <t>Escape to the Cape and enjoy a relaxing stay at one of our on-site cottages! Check out our website for more information! . . . . . . . .  airbnb  vrbo  capemay  capemaynj  wildecockwine…</t>
  </si>
  <si>
    <t>Around a month after @oyorooms ’s Chief Growth Officer Kavikrut told that @Airbnb could be a “potential partner” to them, the two hospitality companies have now formalized that.  NewPartnership  Airbnb  HospitalityIndustry  IACCAlert</t>
  </si>
  <si>
    <t>Plan your next  adventure in  GrandLakeColorado, visit  today!  exceedingexpectations  thedevilisinthedetails  LupineVillage  Colorado  GrandLake  cabin  Airbnb  RMNP  rockymountainnationalpark  travel  visitcolorado  vacation  vacationrental  mountains</t>
  </si>
  <si>
    <t>Those who don't jump will never fly.🤾‍♀️ or ✈ whatever it takes to get to  GrandLakeColorado  leenaahmadalmashat  Springbreak  LupineVillage  Colorado  cabin  Airbnb  RMNP  rockymountainnationalpark  travel  snow  bluesky  bluebirdday  familyfriendly  dogfriendly  vacationrental</t>
  </si>
  <si>
    <t xml:space="preserve"> Springbreak can be exhausting! 😉 Luckily when you stay at  LupineVillage you'll sleep in  comfort - down pillows &amp; comforters, crisp  clean linens, &amp;amp; upgraded mattresses. B/c we can all agree,  roughingitisoverrated  NeverSummer  Cabin  GrandLakeColorado  Colorado  Airbnb  RMNP</t>
  </si>
  <si>
    <t>Soon⛺🎣🚤👙  TBT  summer  summervacation  lakelife  laketime  bluesky  LupineVillage  GrandLakeColorado  GrandLake  Colorado  cabin  Airbnb  RMNP  rockymountainnationalpark  travel  visitcolorado  vacation  vacationrental  mountaingetaway  weekendgetaway  themountainsarecalling</t>
  </si>
  <si>
    <t>Want some  alonetime? Try some  spring hikes in  GrandLakeColorado! Beat the  summer crowds &amp; visit in  May when the  wildflowers are starting to bloom and the  wildlife is out &amp;amp; about  hiking  hike  womenwhohike  familyfriendly  LupineVillage  GrandLake  Colorado  cabin  Airbnb</t>
  </si>
  <si>
    <t>Short term rental is a niche for tech aggregators. Hope the move by this tech start up is gona start a revolution in property management.  propertymanagers  londonrent  startups  airbnb Israeli property management software firm Guesty raises $35 mln</t>
  </si>
  <si>
    <t>Historic buildings around you. Conservative area.Your living here is the best respect,privilege and honor London can offer you...2 Bedroom modern flat for sale.  StJohnsWood  londonproperty  londoninvestment  smarthome  tourism  airbnb  luxuryliving @ftproperty  elegant  newhome</t>
  </si>
  <si>
    <t>AI is controlling almost all fields of business. Virtually N Intelligently connecting customers n estate agents would be great.  Artificalintelligence Is Revolutionising Real Estate Business  via @Analyticsindiam  londonproperty  smarthome  airbnb  tourism</t>
  </si>
  <si>
    <t>Your new home could be in this modern Imperial Wharf complex. This one bedroom apartment boasts of integrated smart kitchen,balcony with garden and dock views and much more. Visit our website or call us@02087409944.  Londonproperty  londonhousing  airbnb  tourism  smarthome</t>
  </si>
  <si>
    <t>London property market is experiencing the most challenging times ever. But this article is a deep read, showing how turbulent it is and how great it is to invest in London real estate.  londonproperty  londonrent  airbnb  londontour  newhome  westlondon</t>
  </si>
  <si>
    <t>Blockchain is undoubtedly a technology with high potential. But till its proven fail-safe, its a bit scary.  londonproperty  technology  blockchain  realestae  airbnb  Barclays  crypto RBS Join 40-Strong R3 Blockchain Real Estate Trial  via @cointelegraph</t>
  </si>
  <si>
    <t xml:space="preserve"> EASTER HOLIDAYS🤗For a big family ..A 3 bedroom flat..That too in Chelsea again...This is your chance to live as a real Chelsea Fan. If not a fan of Chelsea, still its London's best residential circle 😍  Newhome  londonishome  londonproperty  londoninvestment  airbnb  tourism</t>
  </si>
  <si>
    <t>Affluent areas of Chelsea can be your home. Football? Shopping ? Love? Investment ? Business..? Chelsea is home to Extravaganza.This 2room MasterBedroom luxury flat is ur chance to boast urself a Chelsea FC Fan  londonproperty  Chelsea  dreamhome  airbnb  tourism  newhome  Smart</t>
  </si>
  <si>
    <t>Zone 1 is the most prestigious place to own your own home. This prime property within award winning development in Southwark has modern interiors n a spectacular view of London skyline  Londonproperty  londoninvestment  airbnb  tourism  ukhousing  smarthome  londonisopen  zone1</t>
  </si>
  <si>
    <t>How fast is  evolution of  innovation in real estate?This covers the  innovative applications of  drones in  RealEstate .Dont miss videos .Fly It, or Buy It? The Complete Guide To Using Camera Drones 4 Real Estate Marketing   airbnb @TopDroneReviews</t>
  </si>
  <si>
    <t>Box Styled Bedsit at the heart of most happening Earls Court. Smart Design. Are you single? Love solitude ? Love relaxing?Love solo cooking?This cutie is for you, The Smart Bachelor !!! 😎 😎 😎  Londonproperty  Airbnb  smarthome  bachelor  solitude  londonlife  rent  EarlsCourt</t>
  </si>
  <si>
    <t>A victorial period building with an elegant 2 bedroom apartment to let. If you wish to stay a classic life, this is the best one for you. Old fashioned? Lets make you royal. call @ 0208 740 9944.  londonproperty  londoninvestment  elegant  2bedroom  letting  earlscourt  airbnb</t>
  </si>
  <si>
    <t>Missed you guys !! We are back with this mesmerizing and luxurious semi detached house to rent. In Camden Borough London. 5 Rooms Over 5 Floors is your chance to feel a King.  LondonHome  LondonProperty  airbnb  NewHome  HouseRent  LondonIsOpen  AmberNCo  EasterHome  UKHousing</t>
  </si>
  <si>
    <t>Tulip skyscraper given planning permission.Thanks to classroom in sky. Looks a bit scary with those gondola pods. It would be a real roller-coaster ride.  Londonproperty  tulip  skyscrapper  londoninvestment  newhome  RealEstate  airbnb   Londonislovinit</t>
  </si>
  <si>
    <t>Open Plan Offices are a way of cost reduction. Does it really increase productivity?  HumanResources  corporatemedia  londonproperty  londonhome  ukhousing  airbnb  wespace  office Open-plan offices make workers less collaborative,  via @wef @ftproperty</t>
  </si>
  <si>
    <t>London is not London if your nest is not modern n artistic enough.This one bedroom apartment will boost artist within you. Times alone will transform to heavenly dreams living in here  WestLondon  londonproperty  airbnb  londonhome  newhome  londonletting  buyhome  londonnews</t>
  </si>
  <si>
    <t>Marylebone is an Address Of Pride, to live or to work. Get yourself boasting of living at this gorgeous 2 bedroom apartment 👇 👇 👇 💋 💋 💋 Not just a Londoner, but a posh Londoner!!!  LondonHome  NewHome  SmartHome  ModernDesign  londonletting  Marylebone  LondonTour  airbnb</t>
  </si>
  <si>
    <t xml:space="preserve">Baker Street Is Ur chance to meet Sherlock Holmes for a scary investigation night😁Here we have a very practical one bedroom apartment to rent in Marylebone. Smart Reception room with neutral interiors.  londonproperty  newhome  ukrent  rentroom  ukhousing  airbnb  londontour  </t>
  </si>
  <si>
    <t>DE VERE GARDENS,  Kensington has this most practical new one bedroom flat to rent .Dream to live accessible to  Hyde Park for a daily morning walk? This is all yours for rent.  Londonproperty  Londonhome  homerent  londoninvestment  newhome  ukhousing  airbnb  Millennials  love</t>
  </si>
  <si>
    <t>The latest trend in hotel business.Evolution of short term rental by Hotels. AirbBnb vs Hotels.  airbnb  hotellondon  londonproperty  londoninvestment  londonrent  homerent  londontour How hotel brands are cracking the home rental market  via @JLLRealViews</t>
  </si>
  <si>
    <t>Swiss Cottage is a silent region to have your NEST in London. One Bedroom apartment to start a new pleasant, LOVELY N elegant life in London.  Londonproperty  londoninvestment  onebedroom  flatrent  londonisopen  ukhousing  londonletting  airbnb  londonrent  newhome  smarthome</t>
  </si>
  <si>
    <t xml:space="preserve"> HotelGuests were  Secretly  Filmed and  LiveStreamed  Online  Hotel  Korea  AirBnB @Airbnb  Warning  AreYouBeingWatched  Watched  Voyeur</t>
  </si>
  <si>
    <t xml:space="preserve"> Airbnb Leads $160  Million  Investment Into  Hospitality  Startup  Lyric @Airbnb</t>
  </si>
  <si>
    <t>Can be tricky for  Airbnb to solve this one. To sweep for bugging devices everytime? The owners might not even be involved. But we still trust hotels, right?</t>
  </si>
  <si>
    <t>Did you know? Port Angeles verge economic development, investment multi family/short stay property available.    investors  1031exchange  bednbreakfast  airbnb</t>
  </si>
  <si>
    <t>Dave is live now talking about  ShortTermRentals and  Airbnb @AlbertaatNoon RT @Alberta_Hotels: Catch AHLA President and CEO Dave Kaiser on @CBCRadio @AlbertaatNoon this afternoon around 12:45 pm.   Airbnb</t>
  </si>
  <si>
    <t>Catch AHLA President and CEO Dave Kaiser on @CBCRadio @AlbertaatNoon this afternoon around 12:45 pm.   Airbnb</t>
  </si>
  <si>
    <t>Rackem Up. Family billiards night. We are so loving our log cabin in the mountains  Colorado  Airbnb @Airbnb @vacasarentals</t>
  </si>
  <si>
    <t>Living the Vida Loca  Colorado style  Airbnb  travel @Airbnb @vacasarentals</t>
  </si>
  <si>
    <t>Living the Vida Loca  Colorado style  saturday  hottublogcabin  Airbnb  travel  workhardplayhard  Family airbnb @vacasarentals @ Divide, Colorado</t>
  </si>
  <si>
    <t>Goodnight from our  Airbnb  LogCabin in Divide  Colorado  Travel  Travelmore @Airbnb @vacasarentals</t>
  </si>
  <si>
    <t>The more we travel, the more we are amazed by how many different worlds exist just within the USA. We love our  Airbnb  logcabin. That’s  PikesPeak. At 9K feet altitude this feels like Heaven. A New Yorker discovers Colorado  Travel  Colorado @Airbnb @vacasarentals</t>
  </si>
  <si>
    <t>My 💛 beats in  Colorado. We absolutely love it here. This is our magnificent  Airbnb in Divide, CO @Airbnb  TravelMore</t>
  </si>
  <si>
    <t xml:space="preserve"> airbnb refusing to deal with customer dissatisfaction. Owner took premium rate to use me and family when marketing property for sale for unannounced viewings. Airbnb refusing to contact owner. Don’t use Airbnb unless you know the owners intentional- or risk your security.</t>
  </si>
  <si>
    <t>Airbnb tonight.  melbourne  airbnb</t>
  </si>
  <si>
    <t>Another happy guest!  airbnb  austin  atx  austintexas  vacation  vacationrentals</t>
  </si>
  <si>
    <t>Check out this awesome rental in Imperial Beach! Brand new construction. 5 bdr, 7 beds, 3 baths. 4 mi to Silver Strand State Beach, 8 mi to Coronado. We know where we’re vacationing next!  sandiego  cali  AirBnB  beachhouse  vacation  rental  STR</t>
  </si>
  <si>
    <t>Sunny days...!!! time for  outdoor  decoration 🌻🌴🐞🐚🌾🍃🎭 . . .  tailormadepillows  interiors  airbnb  horeca  apartments  villas  luxuryhotels  boutiquehotels  greece  spring…</t>
  </si>
  <si>
    <t xml:space="preserve"> sold in  shawdc- 1623 New Jersey Ave NW - $1,085,000 -  represented  fabulous  buyers -  townhouse with  rental unit  airbnb plus  offstreet  parking -  ttrsir  sothebyrealty…</t>
  </si>
  <si>
    <t>The wise unfiltered truth of being a very pleasant Airbnb host. See if it is the right thing for you  HereForYou  General  Business  USA  Jobs  Airbnb  Host</t>
  </si>
  <si>
    <t>It may be a zoo out there, but you might have what you need to dive into the exciting world of becoming a verified Airbnb host  HereForYou  General  Business  USA  Jobs  Airbnb  Host</t>
  </si>
  <si>
    <t>Happy Wednesday .. when  airbnb airbnb crew comes in to hang out  yes  locallyowned  pocowned  lgbtqowned  womenowned  vryunq h_brucer22  fundraise  werepresent  allinclusive  loveislove…</t>
  </si>
  <si>
    <t>locally owned, women owned, POC owned, LGBTQ owned craft cocktail bar. Small plates, live music, Sunday show tune sing along.  allinclusive  yourcheers</t>
  </si>
  <si>
    <t>"Especially those folks who want to capitalize on sporting events, spring break, tourism or just plain bringing in some extra cash into the budget."   VRBO  Airbnb  Tourism  HOAmanagement</t>
  </si>
  <si>
    <t>"Many association homeowners are jumping on board the Airbnb phenomenon."   VRBO  Airbnb  Tourism  HOAmanagement</t>
  </si>
  <si>
    <t>How to Handle Airbnb in Your Community Association   VRBO  Airbnb  Tourism  HOAmanagement</t>
  </si>
  <si>
    <t>Head down to  Riff tomorrow to find out how to make the most out of being an  airbnb host from the world's largest Airbnb management company, @Airsorted. RSVP here:</t>
  </si>
  <si>
    <t>We're a Social Enterprise, supporting tailored  coworking and office spaces, events, programs and a community of small businesses, corporates and  entrepreneurs</t>
  </si>
  <si>
    <t>Looking for a double fronted  familyhome with an abundance of  periodcharm &amp; plenty of  AirBnB potential? Msg us now to find out more about this hugely versatile  Brighton home with its  walledgarden &amp;amp; off-road parking. @FineandCountry @rightmove @OnTheMarketCom @Airbnb_uk  home</t>
  </si>
  <si>
    <t>Book the best forget the rest! Our Phoenix Strippers perform at home, resorts &amp; much more! Book your favorite  Strippers in  Phoenix &amp;amp;  Scottsdale  AZ  | 📞480.420.4479  AZStripShows ®  PartyStrippers  Bachelor  Stag  bachelorparty  oldtown  airbnb  ggw</t>
  </si>
  <si>
    <t>What Are The Features that Apps Like Airbnb Should Have? Airbnb  appslike  featureslikeairbnb  airbnb  tvishatechnologies  tvisha</t>
  </si>
  <si>
    <t>505 Thornall St  301, Edison, NJ 08837, USA</t>
  </si>
  <si>
    <t xml:space="preserve">Fabulous Easter weekend away in Northumberland  weebreak  airbnb  cragside  easter  daisycheynes  relaxing  walks  nature  backtoworktomorrow  </t>
  </si>
  <si>
    <t>The  Airbnb Invasion of  Barcelona</t>
  </si>
  <si>
    <t>Roma Villas Lusaka, Zambia. $250/night, $2500/month. Contact iris; +260 762450966 Web:   realestate  property  zambia  houses  propertyafrica  africa  estate  rent  Airbnb  lusakalodge</t>
  </si>
  <si>
    <t>The coziness of suite Thereza  solardomsilvestre  airbnb</t>
  </si>
  <si>
    <t>Lukas, Sophia &amp; Mona from Germany enjoying some breakfast before exploring the City 🇩🇪  breakfast  dodublin  Guinness  bedandbreakfast  hostel  airbnb  luggagestoragedublin…</t>
  </si>
  <si>
    <t>Making progress every day @ h20front. I love our new dining room table, rug &amp; recently recovered chair seats.  airbnb  albemarlesoundsunset  airbnbhost…</t>
  </si>
  <si>
    <t>The perfect  airbnb or guest house right in the heart of Banchory has reduced in price by £50,000!! Now A fixed price of £425,000.  bargain</t>
  </si>
  <si>
    <t>Feed for @AbdnConsidine Banchory. Estate &amp; letting agent covering Deeside, Aberdeenshire. @AbdnConsidine  Property</t>
  </si>
  <si>
    <t xml:space="preserve"> Canon  Australia launches  Renting Service for cameras | read:  |  Airbnb  Asia  Brisbane  Dslr  Kyōyū  Melbourne  Rent  Sydney  TheDiner</t>
  </si>
  <si>
    <t>I wrote down everything that I would recommend to my best friend if he asked me what to look for when planning his vacation.  Airbnb  Airporttransfer  Apartments  booking  Expedia  fewodirectly  hometogo  Hotel  Life  Malta  Taxis  Turkey  vacation</t>
  </si>
  <si>
    <t>Today has been wonderful. Walking round Alicante with my wife, exploring the beauty of this place is breath taking!  alicante  day1  holidays  beautiful  airbnb  exploring  blessed @…</t>
  </si>
  <si>
    <t>Day 100 - Photo 100  365DayPhotoChallenge My husband and I are away for a few days for my birthday and we found this quirky chalet out of town. We love finding wee gems like this!♥🏡  fairypenthouse  zengardenglamping  glamping  aberdeenshire  airbnb  birthdaybreak  snaphappy</t>
  </si>
  <si>
    <t>New blog post! A cosy cottage in the East Neuk:  🏡  scotspirit  scotlandisnow  visitscotland  lovefife  fife  cottageholiday  airbnb  staycation  lbloggers  scotbloggers @Airbnb_uk @Airbnb</t>
  </si>
  <si>
    <t>Since we’ve plummeted straight back into winter today I’m wishing I was curled up by this fire again right now!! Read about our stay with a direct link to our @Airbnb_uk cottage here:   staycation  cosy  airbnb  travel  adventures  review  visitscotland</t>
  </si>
  <si>
    <t>Looking for a last min Staycation? How about a little gatehouse cottage found on @Airbnb_uk @Airbnb linked here:  🏡  staycation  scotland  scotlandisnow  scotbloggers  visitscotland  cottage  airbnb  scotspirit  eastneuk  fife</t>
  </si>
  <si>
    <t>Possibility for my next  Airbnb. Always worth exploring 😜 @VisitWales @VisitWalesTrade @VisitWalesBiz @harpervisuals  FindYourEpic @AbergavennyFM @AberVoice @AberFocus @PinkAngels03 @VisitAberG @AbergavennyWal @AberChronicle @4NAbergavenny @MonmouthshireMo</t>
  </si>
  <si>
    <t>Pleased to help out a fellow  Airbnb host tonight when their guests from  Australia couldn’t get to their property due to the  snow in  Abergavenny</t>
  </si>
  <si>
    <t>I have fallen in love with this chair at a  Shorttermlet  Airbnb I am about to start letting out in  Morzine</t>
  </si>
  <si>
    <t>Alpha Data and Oracle MySQL Day, an event organized by @AlphaData and @MySQL for their customers to learn more about  MySQL and the vital benefits the  technology offers as the number one  database for market disruptors such as  Uber,  Facebook,  Airbnb. @geetikas</t>
  </si>
  <si>
    <t>Top 10 Reasons to Stay at the @ZenDenAddison vs. a Hotel  6 - we have two bathrooms. And let's face it: sometimes one potty is not enough.  Dallas  travel  toddlerlife  airbnb  pottyprobs  bathroomfun</t>
  </si>
  <si>
    <t>Top 10 Reasons to Stay at the Zen Den vs. a Hotel  7 - with two separate living areas, you and your family have room to stretch out.  Dallas  travel  airbnb  addison  legroom</t>
  </si>
  <si>
    <t>Top 10 Reasons to Stay at the Zen Den Vs. a Hotel  5 - our space can be used for business meetings. We have fast wi-fi, a spacious executive office, and an open kitchen plan to accommodate a snack and coffee area.  airbnb  Dallas  travel  BusinessMindset  businessowner  business</t>
  </si>
  <si>
    <t>I'm procrastinating cleaning the Airbnb flat.... the downside of being a host 😂😂😪  airbnb  superhost  someonehastocleanit — feeling lazy</t>
  </si>
  <si>
    <t>Great investment option on Kangaroo Island; suits long term rental or holiday accommodation. Mum's nearing retirement - starting to make plans. Check it out:   KangarooIsland  propertyinvestment  airbnb</t>
  </si>
  <si>
    <t>Travellers around the world are discovering hidden cameras inside their Airbnb accommodation. How can you make sure you're safe when travelling?  Airbnb  7NEWS</t>
  </si>
  <si>
    <t>Travelers around the world are discovering hidden cameras inside their Airbnb accommodation. How can you make sure you're safe when travelling?  Airbnb  7NEWS</t>
  </si>
  <si>
    <t>South Africa to Pioneer Regulation of Airbnb on the Continent?   SouthAfrica  Airbnb</t>
  </si>
  <si>
    <t>Dear @OtpLimpopo @the_dti If @GovernmentZA can interven in making fair play for  airbnb , the same must be done for Spaza shops where SAns have been kicked out! Protect Rural Economy too @DRDLR_online</t>
  </si>
  <si>
    <t>Scranos rootkit malware steals sensitive information from browsers  Scranos  Malware  Rootkit  PaymentInfo  UserInfo  Dataleak  Privacy  MozillaFirefox  Google  Chrome  Facebook  Amazon  Airbnb  CyberSecurity  InfoSec  Login  Credential  passwords  Creditcards  Banking  Bitcoin</t>
  </si>
  <si>
    <t>Business Should Invest in On Demand Delivery Apps.  airbnb  Uber  Swiggy  moveoapps @MoveoApps RT @MoveoApps: You don’t have to be an Uber or Airbnb to tap into the $57 million on-demand economy. An on-demand delivery app could be your next big break and here are 5 reasons why.  OnDemand  Delivery  apps  moveoapps</t>
  </si>
  <si>
    <t>Big wealth doesn’t come in monthly paychecks. It comes when a  startup goes public, transforming hypothetical money into extremely real money. This year — with  Uber,  Slack,  WeWork, Postmates, Pinterest and  Airbnb all hoping to enter the public markets.  ipo  stockmarket</t>
  </si>
  <si>
    <t xml:space="preserve"> Airbnb invests $75 million in SoftBank-backed  Oyo. ​​The investment brings to a close Oyo's nearly $1.1 billion Series E funding round that saw participation from SoftBank Vision Fund, Didi Chuxing and Grab as well</t>
  </si>
  <si>
    <t>Want your business to find the same success as  Airbnb? Learn how the Riskiest Assumption Test can help you more than an  MVP.   startups @clutch_co</t>
  </si>
  <si>
    <t>Top management consulting services  management  consulting  CFO  startups  SCM</t>
  </si>
  <si>
    <t xml:space="preserve"> Airbnb confirms stake in  India’s  OYO, sources say it invested $150M-$200M</t>
  </si>
  <si>
    <t xml:space="preserve"> veille  idées  innover  enseigner  workinprogress 💡 La vie, c'est comme une bicyclette. Il faut avancer pour ne pas perdre l'équilibre - Albert Einstein</t>
  </si>
  <si>
    <t>Our house, your house.  CasaBoho  BohoHouse  bnb  Airbnb  guesthouse  travel  savemoney  Tourism  videogames  arcade  vintage  classic  atari  nintendo  snes  gameboy  playstation  play  gamer  geek  sweet  leaveatip</t>
  </si>
  <si>
    <t>Whats for supper? 🥑  BohoHouse  CasaBoho  guesthouse  Airbnb  bnb  travel  backpacking  night  tonight  candles  dinner  CostaRica  sweetdreams  chilling  home</t>
  </si>
  <si>
    <t>Tired eyes make for great design projects. Vision came to life for this  Airbnb design job  albanyny @bundleithome has becomes more of a dream every day  hustle  hardwork  designer…</t>
  </si>
  <si>
    <t>NOW; Tips on how to best use sites like  vrbo or  airbnb ?? Share them now. 1 866 468 4422  yeg  yyc</t>
  </si>
  <si>
    <t>Today: What's been your experience with  airbnb 's? Are you OK having one in your neighbourhood? Should they be treated more like hotels?  RT @Alberta_Hotels: Catch AHLA President and CEO Dave Kaiser on @CBCRadio @AlbertaatNoon this afternoon around 12:45 pm.   Airbnb</t>
  </si>
  <si>
    <t>NOON: Air BnB - promises you a 'home away from home' experience. Does it deliver? Guests: @CBCharlsie @robinesrock  yyc  yeg  airbnb  RT @robinesrock: I’ll be talking about @Airbnb later on @cbcradio @AlbertaatNoon. Some interesting reports surfacing about the company’s policies.</t>
  </si>
  <si>
    <t>View from my  airbnb</t>
  </si>
  <si>
    <t>Calling all  Airbnb,  VRBO,  Homeaway or other rental hosts!  is beginning to list  rental properties in over 50 destinations! DM us or email us at info@cals-list.com if you want more  bookings.</t>
  </si>
  <si>
    <t>Becoming the world's largest  travel  directory. Our mission: make travel  search simple. ✈️</t>
  </si>
  <si>
    <t>Sign up for Airbnb with my link for $40 off your first trip.  airbnb  couponcode</t>
  </si>
  <si>
    <t xml:space="preserve"> Mar2019  trip to  latin  america escadariaselaron  riodejaneiro  brazil  color  superman  lightroom  rio  airbnb  visitrio  brasil Thanks renatawoodtli for the great trip @ Escadaria…</t>
  </si>
  <si>
    <t xml:space="preserve"> ManUnited  realmadrid | Endurance wasn't built in a day | 👻 khaled7766 || 🇦🇪🇸🇦🇰🇼🇴🇲🇮🇳🇬🇧🏴󠁧󠁢󠁥󠁮󠁧󠁿🇺🇸🇵🇱🇪🇪🇫🇮🇱🇻🇱🇹🇦🇿🇧🇾🇻🇦🇮🇹🇧🇷</t>
  </si>
  <si>
    <t xml:space="preserve"> startup  Hospitality  business  BusinessNews  BusinessStrategy  Airbnb on Monday  invested close to $200  million in the Ritesh Agarwal-led  OYO  chain of  hotels,  homestays,  rental  accommodation, and co-working spaces.</t>
  </si>
  <si>
    <t>http://designtinyhouse.biz  Civilengineer  designer  house  decorations  mango  can  not  be  Apple🍎  soplease  leave  him  alone</t>
  </si>
  <si>
    <t xml:space="preserve"> wellnesswednesday Thinking about a small town getaway? Get your travel on &amp; checkout these tiny houses! 👉   tinyhouses  getaway  airbnb  minivacay</t>
  </si>
  <si>
    <t>Are you planning a trip to  westtexas this summer? Located 10 miles south of  alpinetexas, Cottonwood Creek Cabin is conveniently located to  marfa  bigbendnationalpark &amp; more!! Book your stay on  airbnb today! See our listing for more details.   cabin</t>
  </si>
  <si>
    <t>Book your stay with us and take a scenic drive to  fortdavistexas!  texas  westtexas  airbnb  traveltexas  alpinetexas  bigbendregion  texastravel</t>
  </si>
  <si>
    <t>Can a cabin get any cuter? Available soon on  airbnb!  pricklypearcabin  cabin  tinyhouse  vacationrental  alpinetexas  westtexas  texas  vacation  familybusiness  familybuilt  superhost  airbnbsuperhost</t>
  </si>
  <si>
    <t>Happy Easter to our friends and customers   Portimão  algarveportugal  Alvor  airbnb  travelling  travelguide  tourism  sunday  skydiver  visitalgarve  instagolfer  golfholiday  golfing⛳️  sunsetlover  beach  familia  familygoals…</t>
  </si>
  <si>
    <t>Baby lambs... driftwood/ roundbale climber...Yurt on Airbnb!!??!! 😮 😉☀️💕 Visit Topsy today 😎  airbnbexperiences  airbnb  beaches  kidfriendly  pettingzoo  country  amherstisland</t>
  </si>
  <si>
    <t>If you are heading to the  windsorhomeshow this weekend...be sure to stop by the Buckingham Realty booth and say hello! We have some great prizes to be won!  bbq  vintagegrape  airbnb  Windsor  buckinghamrealty</t>
  </si>
  <si>
    <t>Great Friday night at the Windsor Home Show! We are giving away a Master Forge BBQ and a 1-night stay on the Vintage Grape Houseboat  airbnb!  Windsor  prizes  buckinghamrealty  amherstburg</t>
  </si>
  <si>
    <t>"these are inns without innkeeping, and the innkeeping falls to the neighbours"  airbnb @LaurensIvens</t>
  </si>
  <si>
    <t>When  Airbnb goes wrong: Last-minute cancellations leave guests scrambling | CBC News</t>
  </si>
  <si>
    <t xml:space="preserve"> airbnb leed.  bookhotelnothomes RT @vanamerongen: OH at Amsterdam Central Station: “my Airbnb booking called and said ‘sorry, I have to cancel because of all the attacks happening in the Netherlands right now’” 😂</t>
  </si>
  <si>
    <t>Goed zo. Pak ze aan deze platformparasiet  airbnb 'This means the previous ruling still stands that the short-term rental companies are liable for illicit rentals on their sites'</t>
  </si>
  <si>
    <t>D.C. as the new Amsterdam? Pot-infused tourism takes renting  AirBnb space to another level</t>
  </si>
  <si>
    <t xml:space="preserve"> Busty  milf caught  stealing at  airbnb and get  punished  hard</t>
  </si>
  <si>
    <t xml:space="preserve"> porn,  porn_movies,  pussy,  x_videos, x_video, porn, video, videos,  busty, brunette</t>
  </si>
  <si>
    <t>Airbnb is great, useful - but worrying is how big it affects the market and prices, often hindering the lives of young locals. Glorification of superficial experiences. @TheGuardian @GabyHinsliff  Airbnb</t>
  </si>
  <si>
    <t>Exciting that  AirBnb is so dangerous  cybersecurity RT @kashhill: 1. Book your Airbnb. 2. Check into your Airbnb. 3. Scan your Airbnb's wi-fi network to see if there are any unexpected devices/cameras filming you because that's the world we live in, my friends.</t>
  </si>
  <si>
    <t>This could be about Skye: Saving Venice   isleofskye  venice  tourism  sustainabletourism  themepark  airbnb  slowtravel  powertothepeople</t>
  </si>
  <si>
    <t xml:space="preserve"> wanderer  learning  libraries  community  smalltowns  rural  tourism  vintage  books</t>
  </si>
  <si>
    <t>We explored the realities of being an Airbnb host so you can decide if its right for you  HereForYou  General  Business  USA  Jobs  Airbnb  Host</t>
  </si>
  <si>
    <t>Thinking about becoming an Airbnb host?  HereForYou  General  Business  USA  Jobs  Airbnb  Host</t>
  </si>
  <si>
    <t>Looking for a way to really, really, I mean really impress your date. How about private cocktails and dinner in the Louvre! Sign me up!!  Monalisa  art  airbnb</t>
  </si>
  <si>
    <t>We  love the wonderful reviews we receive from our  terrific @airbnb guests!!  yourock  youdarealmvp  guest  airbnb  airbnblove  alaska  rental  vacationrental  vacation  business  businesstrip  veteran  veteranowned  businesswoman @airbnblove via</t>
  </si>
  <si>
    <t>Happy National Puppy Day from the floofs of Red Door Ranch; Bo, Gus &amp; Macie!  nationalpuppyday  dog  k9  dogsofinstagram  golden  goldens  goldengram  goldensofinstagram  pets  petstagram  puppy  cute  Alaska  Airbnb  rental  vacation  business  veteran  veteranowned  girlboss</t>
  </si>
  <si>
    <t xml:space="preserve"> TBT to March 2018! The oldest boy of the  RedDoorRanch  dogs Gus aka Monsieur Gus aka Gussy Bear aka Bears aka Bearsy Boy had a  snoot full of  snow! 🐶 ❤️  Dogs  k9  dogsofinstagram  golden  goldens  goldengram  goldensofinstagram  Alaska  Airbnb  outdoors  backcountry  ski</t>
  </si>
  <si>
    <t>Spring is in the air! Happy  SpringEquinox !  Alaska  Airbnb  rental  vacationrental  vacation  adventure  hike  fish  hunt  outdoors  backpacking  backcountry  ski  snowboard  kayak  business  veteran  businesswoman  hospitality  travel via</t>
  </si>
  <si>
    <t>Thanks for the  love nickak2319  keepyourfacejacketon  alaska  airbnb  vacation  vacationmode  adventure  lastfrontier  business  arctic  49thstate @ Anchorage, Alaska</t>
  </si>
  <si>
    <t>We ❤️ our  guests!!  youdarealmvp  Alaska  Airbnb  Airbnbhost  rental  vacationrental  vacation  vacationmode  adventure  adventuretime  business  businesstrip  veteran  veteranowned  businesswoman @airbnb @airbnblove via</t>
  </si>
  <si>
    <t xml:space="preserve"> TBT to when it looked more like spring last week. ☀️ 🌱🏔  spring  comeback  wemissyou  Alaska  Airbnb  Airbnbhost  rental  vacationrental  vacation  vacationmode  adventure…</t>
  </si>
  <si>
    <t>Happy Spring! Or is it 2nd winter?? 😃🌨❄️☃️  snow  spring  confused  weather  Alaska  Airbnb  Airbnbhost  rental  vacationrental  vacation  vacationmode  adventure  adventuretime  hike…</t>
  </si>
  <si>
    <t>Fun Fact Friday!  funfact  funfactfriday  Alaska  Airbnb  Airbnbhost  rental  vacation  vacationmode  adventure  adventuretime  hike  fish  hunt  outdoors  backpacking  backcountry  camp  business  veteran  veteranowned  businesswoman via</t>
  </si>
  <si>
    <t>More bookings. Less Hassle. We handle your sales communication, your listing and improvements, all while eliminating the time you have to spend doing this. That way you can enjoy the rewards of a fully booked calendar and increased revenue generated. •  PinkMako  Airbnb</t>
  </si>
  <si>
    <t>Your beautiful property deserve beautiful visuals.📹 Our FREE Airbnb package also offers drone videography, ensuring that we capture every angle and every view for your potential guests. Let's get started today. Click here:  •  PinkMako  Airbnb</t>
  </si>
  <si>
    <t>Are you an Airbnb owner that is interested in spending more of your time doing the things that you love? We are committed to offering this - More bookings🗓️More time 🕐Less hassle 😌 • Let's start increasing your bookings right away! Click link in our bio. •  PinkMako  Airbnb</t>
  </si>
  <si>
    <t>Help please. Have any of you twitterbugs ever cancelled an @Airbnb reservation and still been stung for the full deposit reservation amount? Even though the original reservation was almost three months away and definitely resaleable?  airbnb  airbnbexperiences  airbnburn</t>
  </si>
  <si>
    <t xml:space="preserve"> Airbnb coupon</t>
  </si>
  <si>
    <t>I really enjoyed booking with  Airbnb last trip to  Florida, you can get a really nice home or condo for the price of a  hotel room!</t>
  </si>
  <si>
    <t xml:space="preserve"> Marriot  Bonvoy Promotion,  Airbnb Buys HotelTonight, Dumbo Airplane, Capitol Hill  Dogs, Skoolies -  Travel Blogger Buzz</t>
  </si>
  <si>
    <t xml:space="preserve"> Airbnb Hidden Cameras, Best  Coffee, Competitive Slapping,  Delta  SkyMiles Deals, Blogger  Ethics -  Travel Blogger Buzz</t>
  </si>
  <si>
    <t>+1 Dream Picture !  AnnecyMountains  event  LaClusaz  annecy  airbnb  voyage  travel  france  paris  lyon  design Art'Bay for you</t>
  </si>
  <si>
    <t>Art'Bay Apartement ! Rent Luxury accomodation in  Annecy  airbnb  immobilier  lac  luxe - France</t>
  </si>
  <si>
    <t>Book it now !  annecyfestival  annecymifa  annecymeetings  AnnecyMountains  event  LaClusaz  annecy  airbnb  voyage  travel  france  paris  lyon  design Art'Bay for you</t>
  </si>
  <si>
    <t>Another dream now ! Nothing booked for MIFA ? Do it now, luxury accomodation available  annecyfestival  annecymifa  annecymeetings  AnnecyMountains  event  LaClusaz  annecy  airbnb  voyage  travel  france  paris  lyon  design</t>
  </si>
  <si>
    <t>Nothing booked for MIFA ? Do it now, luxury accomodation available  annecyfestival  annecymifa  annecymeetings  AnnecyMountains  event  LaClusaz  annecy  airbnb  voyage  travel  france  paris  lyon  design Art'Bay for you</t>
  </si>
  <si>
    <t>Enjoy the sun  annecyfestival  annecymifa  annecymeetings  AnnecyMountains  event  LaClusaz  annecy  airbnb  voyage  travel  france  paris  lyon  design Art'Bay for you</t>
  </si>
  <si>
    <t>☀️Summer is coming☀️ !  annecyfestival  annecymifa  annecymeetings  AnnecyMountains  event  LaClusaz  annecy  airbnb  voyage  travel  france  paris  lyon  design Art'Bay for you</t>
  </si>
  <si>
    <t>Bienvenu ! Summer is coming !  annecyfestival  annecymifa  annecymeetings  AnnecyMountains  event  LaClusaz  annecy  airbnb  voyage  travel  france  paris  lyon  design Art'Bay for you</t>
  </si>
  <si>
    <t>😍Live full house trading family 😳Live ONLINE serving worldwide family 🤔Technology has changed how we travel  airbnb , how we buy stuff  amazon 🎉 , it has changed how we drive around in…</t>
  </si>
  <si>
    <t>Airbnb has completed its largest acquisition yet; it officially own HotelTonight.   airbnb  hoteltonight  OTA  acquisition</t>
  </si>
  <si>
    <t>Thanks @Airbnb for cancelling my reservation 28 days before I’m supposed to arrive in New York! 🤬 I’ll never book again!  firststay  Airbnb  jerks  badcustomerservice</t>
  </si>
  <si>
    <t>{Not looking for perfection, just progress} ❤️University of Cincinnati❤  ModernDayMacgyver</t>
  </si>
  <si>
    <t>Get up to €34 off your first trip   UI  airbnb  bnb  UX</t>
  </si>
  <si>
    <t>The beautiful @AbernyteCottage Come stay with us! abernytecottage  appledore  northdevon  devonisheaven  holidaycottage  ukholidays  holiday  holidayrental  holidaylet  luxuryrentals  seaview  northdevoncoast  northdevonbeaches  dogfriendly  airbnb  roomwithaview</t>
  </si>
  <si>
    <t>Despite new regulations, the short-term  rental industry is still booming in these cities.   Airbnb  VRBO</t>
  </si>
  <si>
    <t>Realtor/Probate/10-31 Exchange (323)855-9331 @CarlosCabreraHQ  CarlosCabreraHQ</t>
  </si>
  <si>
    <t>There's rules and then there's freaky, wacky, insane vacation house rules...   airbnb  rentals</t>
  </si>
  <si>
    <t>Our  airbnb guests would constantly leave the pool vac out of the pool which is probably why our motor burnt up. Changed some of the equipment up to get it out of the pool. Can’t take the 10 seconds to kick it back in the pool?</t>
  </si>
  <si>
    <t xml:space="preserve"> Airbnb left our family from ny with no where to stay last night after finding the home they rented with Airbnb in deplorable condition!!! Unacceptable</t>
  </si>
  <si>
    <t xml:space="preserve"> Brand introduction shoot this morning with @abc15 Our client @tweenerhomes, "the home you need when you're in between" is starting to blow up! We are so excited to be growing with them. @Inc @Forbes  airbnb  homerental  homeaway</t>
  </si>
  <si>
    <t>Creating Modern  Marketing and  Branding stories for  Business &amp;  Entrepreneurs  Design  Brand  Socialmedia  UX  Webdesign  SMM  SEO</t>
  </si>
  <si>
    <t>Family using  AirBnB rental find concealed video camera livestreaming from property  privacy  dataprivacy  gdpr  RT @XpertDPO: Family using  AirBnB rental find concealed video camera livestreaming from property  privacy  dataprivacy  gdpr</t>
  </si>
  <si>
    <t>With some pre-planning and negotiating, you can successfully save big on your summer  vacation rentals.  And don't forget: If you use your Texas Trust  Mastercard to book your  AirBnB this month, you can save $25 with the code PRICELESS!</t>
  </si>
  <si>
    <t>We are a $1 Billion-asset  CreditUnion building brighter financial futures for our members and giving back to our communities. Serving 115,000+ members.</t>
  </si>
  <si>
    <t>Um  airbnb is incredible! @ City of Savannah</t>
  </si>
  <si>
    <t>This bill is an attempt by the government to punish successful people who are working hard to better their lives. @christo_hatt of @FMFSouthAfrica  SouthAfrica  Airbnb  Africa</t>
  </si>
  <si>
    <t>This  Airbnb has a mirror right in front of the toilet forcing you to examine yourself in your most vulnerable state</t>
  </si>
  <si>
    <t>Israeli settlers are suing  Airbnb after it announced it would drop listings in illegal Israeli settlements in the Occupied Palestinian territories. Now two Palestinians and a municipality are intervening  …</t>
  </si>
  <si>
    <t>Texas</t>
  </si>
  <si>
    <t>North America</t>
  </si>
  <si>
    <t>Oceania</t>
  </si>
  <si>
    <t>South America</t>
  </si>
  <si>
    <t>Location (Continent)</t>
  </si>
  <si>
    <t xml:space="preserve"> North America</t>
  </si>
  <si>
    <t>@Propertyafrica1</t>
  </si>
  <si>
    <t>Facebook</t>
  </si>
  <si>
    <t>@allafrica</t>
  </si>
  <si>
    <t>@BenvAZA</t>
  </si>
  <si>
    <t>Twitter Web Client</t>
  </si>
  <si>
    <t>@DrSinkala</t>
  </si>
  <si>
    <t>Twitter for iPhone</t>
  </si>
  <si>
    <t>@kwirirayi</t>
  </si>
  <si>
    <t>Twitter for Android</t>
  </si>
  <si>
    <t>@duvha2</t>
  </si>
  <si>
    <t>Twitter Web App</t>
  </si>
  <si>
    <t>@WelsWG</t>
  </si>
  <si>
    <t>@NileFM</t>
  </si>
  <si>
    <t>Hootsuite Inc.</t>
  </si>
  <si>
    <t>@MohmdElemam</t>
  </si>
  <si>
    <t>@Oselbadawy</t>
  </si>
  <si>
    <t>@theforeverman</t>
  </si>
  <si>
    <t>@mjaspinall</t>
  </si>
  <si>
    <t>@Brian_Butchart</t>
  </si>
  <si>
    <t>@Madammoto1</t>
  </si>
  <si>
    <t>@SaintlyVi</t>
  </si>
  <si>
    <t>@MrsSamBarnard</t>
  </si>
  <si>
    <t>IFTTT</t>
  </si>
  <si>
    <t>@CathyStadler2</t>
  </si>
  <si>
    <t>@kingkudza</t>
  </si>
  <si>
    <t>@BigDaddyLiberty</t>
  </si>
  <si>
    <t>@GotzCEO</t>
  </si>
  <si>
    <t>Instagram</t>
  </si>
  <si>
    <t>@CapeTalk</t>
  </si>
  <si>
    <t>Buffer</t>
  </si>
  <si>
    <t>@RemaxCPT</t>
  </si>
  <si>
    <t>@knightfrankSA</t>
  </si>
  <si>
    <t>@veengwenya13</t>
  </si>
  <si>
    <t>@holisresort</t>
  </si>
  <si>
    <t>@tia__africa</t>
  </si>
  <si>
    <t>@OutTherefran</t>
  </si>
  <si>
    <t>@VIRAConsulting</t>
  </si>
  <si>
    <t>@Radio702</t>
  </si>
  <si>
    <t>@andrebruton</t>
  </si>
  <si>
    <t>@23aurora1</t>
  </si>
  <si>
    <t>@Karoo_stories</t>
  </si>
  <si>
    <t>@GHProperty_Guru</t>
  </si>
  <si>
    <t>@mountainvc1957</t>
  </si>
  <si>
    <t>@360Ev</t>
  </si>
  <si>
    <t>@Dane_Dante</t>
  </si>
  <si>
    <t>@JoburgLaundry</t>
  </si>
  <si>
    <t>@greensidebnbs</t>
  </si>
  <si>
    <t>@MadleyKatherine</t>
  </si>
  <si>
    <t>@dibayley11</t>
  </si>
  <si>
    <t>@SACommercialPro</t>
  </si>
  <si>
    <t>@MyOfficeMag</t>
  </si>
  <si>
    <t>@AKamolane</t>
  </si>
  <si>
    <t>@nicky4angel</t>
  </si>
  <si>
    <t>@Phaphama_Ngo</t>
  </si>
  <si>
    <t>@TyanaiTracy</t>
  </si>
  <si>
    <t>@EloquentTash</t>
  </si>
  <si>
    <t>@TraveBase_Ug</t>
  </si>
  <si>
    <t>@NoohSinanR</t>
  </si>
  <si>
    <t>@MargaretLogan6</t>
  </si>
  <si>
    <t>@Monique_PR_</t>
  </si>
  <si>
    <t>@iamignition</t>
  </si>
  <si>
    <t>@Check_DC</t>
  </si>
  <si>
    <t>@Tourism_preneur</t>
  </si>
  <si>
    <t>@Lipsie</t>
  </si>
  <si>
    <t>@Ak42112000</t>
  </si>
  <si>
    <t>@EAluxurytravel</t>
  </si>
  <si>
    <t>@ouedlaouhomes</t>
  </si>
  <si>
    <t>@ladyb33zar</t>
  </si>
  <si>
    <t>@bertrandboulle</t>
  </si>
  <si>
    <t>Scoop.it</t>
  </si>
  <si>
    <t>@NotaireDwarka</t>
  </si>
  <si>
    <t>@pkumako</t>
  </si>
  <si>
    <t>Paper.li</t>
  </si>
  <si>
    <t>@chantew1983</t>
  </si>
  <si>
    <t>@cardilogix</t>
  </si>
  <si>
    <t>@travelopulent</t>
  </si>
  <si>
    <t>@ungerlm</t>
  </si>
  <si>
    <t>@ITOnlineSA</t>
  </si>
  <si>
    <t>@BrenthurstSA</t>
  </si>
  <si>
    <t>@_Okay_You_</t>
  </si>
  <si>
    <t>@WegBreekSA</t>
  </si>
  <si>
    <t>@coinswop</t>
  </si>
  <si>
    <t>@26DegreesSouth</t>
  </si>
  <si>
    <t>@nathalivh</t>
  </si>
  <si>
    <t>@selahled</t>
  </si>
  <si>
    <t>@veronica_brits</t>
  </si>
  <si>
    <t>@orangevillegh</t>
  </si>
  <si>
    <t>@KailendOrg</t>
  </si>
  <si>
    <t>@Tsitsikamma_SC</t>
  </si>
  <si>
    <t>@Letotoi</t>
  </si>
  <si>
    <t>@Ronyalassaad</t>
  </si>
  <si>
    <t>@Kelaiyavarun</t>
  </si>
  <si>
    <t>@JayminSOfficial</t>
  </si>
  <si>
    <t>@ijsteJournal</t>
  </si>
  <si>
    <t>LinkedIn</t>
  </si>
  <si>
    <t>@ashishrbedekar</t>
  </si>
  <si>
    <t>TwinyBots</t>
  </si>
  <si>
    <t>@retailnewsasia</t>
  </si>
  <si>
    <t>RetailNews.asia</t>
  </si>
  <si>
    <t>@AlphaData</t>
  </si>
  <si>
    <t>@crs_consulting</t>
  </si>
  <si>
    <t>@Khaled7766</t>
  </si>
  <si>
    <t>@ooo7vivek</t>
  </si>
  <si>
    <t>@50Folds</t>
  </si>
  <si>
    <t>@DJDANJOH</t>
  </si>
  <si>
    <t>@GokuOnNamek</t>
  </si>
  <si>
    <t>@puriko82</t>
  </si>
  <si>
    <t>@mitsuhirobot</t>
  </si>
  <si>
    <t>@NAR</t>
  </si>
  <si>
    <t>SocialFlow</t>
  </si>
  <si>
    <t>@enginyd</t>
  </si>
  <si>
    <t>@LillianHanes</t>
  </si>
  <si>
    <t>@cotoacademy</t>
  </si>
  <si>
    <t>@BedandStay</t>
  </si>
  <si>
    <t>@kuriharan</t>
  </si>
  <si>
    <t>TweetDeck</t>
  </si>
  <si>
    <t>@tokyocreatives</t>
  </si>
  <si>
    <t>@CeriVillasBali</t>
  </si>
  <si>
    <t>@BukitVista</t>
  </si>
  <si>
    <t>@BaliNewsViews</t>
  </si>
  <si>
    <t>@Marine_ramdhani</t>
  </si>
  <si>
    <t>@thelouhouse</t>
  </si>
  <si>
    <t>@Bhavya0902</t>
  </si>
  <si>
    <t>@vishyvibes</t>
  </si>
  <si>
    <t>@meeraharish</t>
  </si>
  <si>
    <t>Twitter for iPad</t>
  </si>
  <si>
    <t>@bangkoklawyer</t>
  </si>
  <si>
    <t>@Fav_Home_FB</t>
  </si>
  <si>
    <t>@VeritasInLux</t>
  </si>
  <si>
    <t>@MonicaB950224</t>
  </si>
  <si>
    <t>@locksleynet</t>
  </si>
  <si>
    <t>@FarooqAlvi14</t>
  </si>
  <si>
    <t>@manu5838</t>
  </si>
  <si>
    <t>@SumithManiath</t>
  </si>
  <si>
    <t>@__anand__</t>
  </si>
  <si>
    <t>@Rachana006</t>
  </si>
  <si>
    <t>DashBurst</t>
  </si>
  <si>
    <t>@IBTimesIN_Tech</t>
  </si>
  <si>
    <t>@Rishabh_Bose</t>
  </si>
  <si>
    <t>@siliconreviewIN</t>
  </si>
  <si>
    <t>@AndrePaul4645</t>
  </si>
  <si>
    <t>Sprinklr</t>
  </si>
  <si>
    <t>@pchilimzam</t>
  </si>
  <si>
    <t>@ahkaf_song</t>
  </si>
  <si>
    <t>@spartanite9</t>
  </si>
  <si>
    <t>@Bermbermcoffees</t>
  </si>
  <si>
    <t>@seyhas1</t>
  </si>
  <si>
    <t>@cambopedia</t>
  </si>
  <si>
    <t>@seyhasam</t>
  </si>
  <si>
    <t>@CondoniansPH</t>
  </si>
  <si>
    <t>@AlbertBayarcal</t>
  </si>
  <si>
    <t>@Kevinleeperez11</t>
  </si>
  <si>
    <t>@DeepinderSRana</t>
  </si>
  <si>
    <t>@sanvai</t>
  </si>
  <si>
    <t>@businessline</t>
  </si>
  <si>
    <t>@TheIndulgeMag</t>
  </si>
  <si>
    <t>@TNTDPC_Official</t>
  </si>
  <si>
    <t>@happyface1022</t>
  </si>
  <si>
    <t>@KWSKAN</t>
  </si>
  <si>
    <t>@EvolvingViews</t>
  </si>
  <si>
    <t>@_GorgeousAsh_</t>
  </si>
  <si>
    <t>@missuallfather</t>
  </si>
  <si>
    <t>@aurLyzM</t>
  </si>
  <si>
    <t>@JuniKpa</t>
  </si>
  <si>
    <t>@marcolocco</t>
  </si>
  <si>
    <t>@SinghAnjeli</t>
  </si>
  <si>
    <t>@villaclarisse_</t>
  </si>
  <si>
    <t>@rentbalivillas1</t>
  </si>
  <si>
    <t>@ashiq185t</t>
  </si>
  <si>
    <t>@Raju61655011</t>
  </si>
  <si>
    <t>@FivErR7703</t>
  </si>
  <si>
    <t>@NerobRojone</t>
  </si>
  <si>
    <t>@Nusaiba210</t>
  </si>
  <si>
    <t>@OliviaH21375108</t>
  </si>
  <si>
    <t>@akibrtr67</t>
  </si>
  <si>
    <t>@akibwar31</t>
  </si>
  <si>
    <t>@akibar24</t>
  </si>
  <si>
    <t>@pkul18</t>
  </si>
  <si>
    <t>@hasanluicy</t>
  </si>
  <si>
    <t>@akibsha1</t>
  </si>
  <si>
    <t>@sujon6591</t>
  </si>
  <si>
    <t>@HussainAhmmed3</t>
  </si>
  <si>
    <t>@Lablukhan20</t>
  </si>
  <si>
    <t>@Fazlulk12324306</t>
  </si>
  <si>
    <t>@mithon39388166</t>
  </si>
  <si>
    <t>@ashiq53029482</t>
  </si>
  <si>
    <t>@jewel0718</t>
  </si>
  <si>
    <t>@khraj4</t>
  </si>
  <si>
    <t>@akibss10</t>
  </si>
  <si>
    <t>@HabibSinan2</t>
  </si>
  <si>
    <t>@RahamanKhairul</t>
  </si>
  <si>
    <t>@peter_brun</t>
  </si>
  <si>
    <t>@MohamedAlAlami</t>
  </si>
  <si>
    <t>@DreamDTravels</t>
  </si>
  <si>
    <t>@Jawaharchhoda</t>
  </si>
  <si>
    <t>@MrFrankPorter</t>
  </si>
  <si>
    <t>Zapier.com</t>
  </si>
  <si>
    <t>@Mashable_ME</t>
  </si>
  <si>
    <t>@HelloMagazineME</t>
  </si>
  <si>
    <t>@TheArt_Cocoon</t>
  </si>
  <si>
    <t>@awad_makkawi</t>
  </si>
  <si>
    <t>@AlooAlisha</t>
  </si>
  <si>
    <t>@ThePethouseDgte</t>
  </si>
  <si>
    <t>@TressesLash</t>
  </si>
  <si>
    <t>@surraj25</t>
  </si>
  <si>
    <t>@traveldailycn</t>
  </si>
  <si>
    <t>@karan_digital</t>
  </si>
  <si>
    <t>@lovemisao</t>
  </si>
  <si>
    <t>@forglutensake</t>
  </si>
  <si>
    <t>@travellineviet1</t>
  </si>
  <si>
    <t>@AxiomTechHead</t>
  </si>
  <si>
    <t>@michaelfung2018</t>
  </si>
  <si>
    <t>@freightamigo</t>
  </si>
  <si>
    <t>@calvinfu1128</t>
  </si>
  <si>
    <t>@hayleylyla</t>
  </si>
  <si>
    <t>@hongkongtatler</t>
  </si>
  <si>
    <t>@SCMPNews</t>
  </si>
  <si>
    <t>@iciclegroup</t>
  </si>
  <si>
    <t>@amruthasuri</t>
  </si>
  <si>
    <t>@g11npro</t>
  </si>
  <si>
    <t>@synjintel</t>
  </si>
  <si>
    <t>@bootsgridtech</t>
  </si>
  <si>
    <t>@iaccindia</t>
  </si>
  <si>
    <t>@QuizAndGiveaway</t>
  </si>
  <si>
    <t>@ibiixo</t>
  </si>
  <si>
    <t>SocialBee.io v2</t>
  </si>
  <si>
    <t>@ankurdinesh</t>
  </si>
  <si>
    <t>@_AnIndianSummer</t>
  </si>
  <si>
    <t>@ibtimes_india</t>
  </si>
  <si>
    <t>@arka_learner</t>
  </si>
  <si>
    <t>@Atulmaharaj</t>
  </si>
  <si>
    <t>@NomadicDreamz</t>
  </si>
  <si>
    <t>@Swinging_Swamy</t>
  </si>
  <si>
    <t>@thenglishpost</t>
  </si>
  <si>
    <t>@bragpacker</t>
  </si>
  <si>
    <t>@startupmart1</t>
  </si>
  <si>
    <t>@AdAgeIn</t>
  </si>
  <si>
    <t>@p00namgupta</t>
  </si>
  <si>
    <t>@Ankita_Mishra91</t>
  </si>
  <si>
    <t>@HandfulofTravel</t>
  </si>
  <si>
    <t>@dilsaay_</t>
  </si>
  <si>
    <t>@gau061</t>
  </si>
  <si>
    <t>@Aglowid</t>
  </si>
  <si>
    <t>@LegalKant</t>
  </si>
  <si>
    <t>@Pratik_ITpro</t>
  </si>
  <si>
    <t>@DeskbyID</t>
  </si>
  <si>
    <t>@teukudalin</t>
  </si>
  <si>
    <t>@jlemnaveh</t>
  </si>
  <si>
    <t>@techfob</t>
  </si>
  <si>
    <t>@ditisISRAEL</t>
  </si>
  <si>
    <t>@Jerusalem_Post</t>
  </si>
  <si>
    <t>@86thatplease</t>
  </si>
  <si>
    <t>@avigreen1</t>
  </si>
  <si>
    <t>@haivri</t>
  </si>
  <si>
    <t>@BeholdIsrael</t>
  </si>
  <si>
    <t>@Net_en_ya_hoo</t>
  </si>
  <si>
    <t>@puneetyadav</t>
  </si>
  <si>
    <t>@pus_pares</t>
  </si>
  <si>
    <t>@airbnbbukken</t>
  </si>
  <si>
    <t>twittbot.net</t>
  </si>
  <si>
    <t>@kan_taroh</t>
  </si>
  <si>
    <t>@LollllllaJR</t>
  </si>
  <si>
    <t>@GOPIsrael</t>
  </si>
  <si>
    <t>@JIJ_Israel</t>
  </si>
  <si>
    <t>@ItisMoody</t>
  </si>
  <si>
    <t>@RandaHabib</t>
  </si>
  <si>
    <t>@Chriscle_26</t>
  </si>
  <si>
    <t>Echofon</t>
  </si>
  <si>
    <t>@HITinPk</t>
  </si>
  <si>
    <t>Blog2Social APP</t>
  </si>
  <si>
    <t>@ARYNEWSOFFICIAL</t>
  </si>
  <si>
    <t>@soadig</t>
  </si>
  <si>
    <t>@noikeanolife</t>
  </si>
  <si>
    <t>@OnmanoramaLive</t>
  </si>
  <si>
    <t>@innofied</t>
  </si>
  <si>
    <t>SEMrush Social Media Tool</t>
  </si>
  <si>
    <t>@recomn</t>
  </si>
  <si>
    <t>CoSchedule</t>
  </si>
  <si>
    <t>@unreservedmedia</t>
  </si>
  <si>
    <t>@keantee</t>
  </si>
  <si>
    <t>@BacWater_Routes</t>
  </si>
  <si>
    <t>@UP2USurfSchool</t>
  </si>
  <si>
    <t>@mnaEN</t>
  </si>
  <si>
    <t>@ttakessy</t>
  </si>
  <si>
    <t>@giliasahan</t>
  </si>
  <si>
    <t>LaterMedia</t>
  </si>
  <si>
    <t>@wbcomdesigns</t>
  </si>
  <si>
    <t>@vapvarun</t>
  </si>
  <si>
    <t>@CalistaLeahLiew</t>
  </si>
  <si>
    <t>@NST_Online</t>
  </si>
  <si>
    <t>@MashableSEA</t>
  </si>
  <si>
    <t>@chestweets</t>
  </si>
  <si>
    <t>@milesaudrey</t>
  </si>
  <si>
    <t>@newgreenpark</t>
  </si>
  <si>
    <t>@MorjimSunset</t>
  </si>
  <si>
    <t>@BeOpsguy</t>
  </si>
  <si>
    <t>@_sukhiaatma</t>
  </si>
  <si>
    <t>@freakynit</t>
  </si>
  <si>
    <t>@DeepakRKhemani</t>
  </si>
  <si>
    <t>@VirenRM</t>
  </si>
  <si>
    <t>@DealBankAsia</t>
  </si>
  <si>
    <t>@myedgeprop</t>
  </si>
  <si>
    <t>@businessfuels</t>
  </si>
  <si>
    <t>@NairVentures</t>
  </si>
  <si>
    <t>@ians_india</t>
  </si>
  <si>
    <t>@shakhersaini</t>
  </si>
  <si>
    <t>@saurabhparmar</t>
  </si>
  <si>
    <t>@kishiarora</t>
  </si>
  <si>
    <t>@isrgrajan</t>
  </si>
  <si>
    <t>Isrg</t>
  </si>
  <si>
    <t>@joinkunal</t>
  </si>
  <si>
    <t>@wordant</t>
  </si>
  <si>
    <t>@wextcommunity</t>
  </si>
  <si>
    <t>@connectgurmeet</t>
  </si>
  <si>
    <t>@BDEisenstein</t>
  </si>
  <si>
    <t>@craveyourave</t>
  </si>
  <si>
    <t>@toeliner_1</t>
  </si>
  <si>
    <t>@ForbesME</t>
  </si>
  <si>
    <t>@UCHImedia</t>
  </si>
  <si>
    <t>@Nao_wagashi</t>
  </si>
  <si>
    <t>@osaka_airbnb</t>
  </si>
  <si>
    <t>@StarLifestyleMY</t>
  </si>
  <si>
    <t>@nanashomes</t>
  </si>
  <si>
    <t>@IxoraLin</t>
  </si>
  <si>
    <t>@MakoyBautista</t>
  </si>
  <si>
    <t>@LourdesAbrasal1</t>
  </si>
  <si>
    <t>@shilamaricorazn</t>
  </si>
  <si>
    <t>@auoieto</t>
  </si>
  <si>
    <t>@A_katepascual</t>
  </si>
  <si>
    <t>@kiddolettes</t>
  </si>
  <si>
    <t>@j_sachin_j</t>
  </si>
  <si>
    <t>@vishwatejrpawar</t>
  </si>
  <si>
    <t>@apurvnagpal</t>
  </si>
  <si>
    <t>@trakin</t>
  </si>
  <si>
    <t>@PeninsulaQatar</t>
  </si>
  <si>
    <t>@directorbuildi1</t>
  </si>
  <si>
    <t>VK.COM AUTH USERS</t>
  </si>
  <si>
    <t>@NeeloVillar</t>
  </si>
  <si>
    <t>@themelamateo</t>
  </si>
  <si>
    <t>@websiteclones</t>
  </si>
  <si>
    <t>@TheMintTM</t>
  </si>
  <si>
    <t>@GrimmRoy</t>
  </si>
  <si>
    <t>@VeniceCondotel</t>
  </si>
  <si>
    <t>@65WZ</t>
  </si>
  <si>
    <t>Tweetbot for Mac</t>
  </si>
  <si>
    <t>@mytentaran</t>
  </si>
  <si>
    <t>@ziggurat_re</t>
  </si>
  <si>
    <t>Zoho Social</t>
  </si>
  <si>
    <t>@theseoulvillage</t>
  </si>
  <si>
    <t>@JoSanKu</t>
  </si>
  <si>
    <t>@seouleats</t>
  </si>
  <si>
    <t>@PUDGi2015</t>
  </si>
  <si>
    <t>@StudioBreezy</t>
  </si>
  <si>
    <t>@Edourdoo</t>
  </si>
  <si>
    <t>@enricodeluca</t>
  </si>
  <si>
    <t>@weareHiBump</t>
  </si>
  <si>
    <t>@zareen2421</t>
  </si>
  <si>
    <t>@leontechnology3</t>
  </si>
  <si>
    <t>@STcom</t>
  </si>
  <si>
    <t>@STForeignDesk</t>
  </si>
  <si>
    <t>@nsoffe</t>
  </si>
  <si>
    <t>@DealStreetAsia</t>
  </si>
  <si>
    <t>@iProperty_SG</t>
  </si>
  <si>
    <t>@gpbalvinlim</t>
  </si>
  <si>
    <t>WeChat app</t>
  </si>
  <si>
    <t>@sashafarina</t>
  </si>
  <si>
    <t>@luckyboo13</t>
  </si>
  <si>
    <t>@vinamelody</t>
  </si>
  <si>
    <t>@shaan1981</t>
  </si>
  <si>
    <t>@Televisory_fin</t>
  </si>
  <si>
    <t>@jdouchy79</t>
  </si>
  <si>
    <t>@shwetankv</t>
  </si>
  <si>
    <t>@a_zonneveld</t>
  </si>
  <si>
    <t>@kei_hayashi</t>
  </si>
  <si>
    <t>@withcryptomill</t>
  </si>
  <si>
    <t>@Hansalifarmstay</t>
  </si>
  <si>
    <t>@GuidingOnline</t>
  </si>
  <si>
    <t>@luigene</t>
  </si>
  <si>
    <t>@goseasia</t>
  </si>
  <si>
    <t>@villawambatu</t>
  </si>
  <si>
    <t>@Templeberg</t>
  </si>
  <si>
    <t>@karenayin</t>
  </si>
  <si>
    <t>@sleochiang</t>
  </si>
  <si>
    <t>@lpa0308</t>
  </si>
  <si>
    <t>@PressTV</t>
  </si>
  <si>
    <t>@ErezNeumark</t>
  </si>
  <si>
    <t>@myillegalhotel</t>
  </si>
  <si>
    <t>@Jinbo13</t>
  </si>
  <si>
    <t>@wouarfwouarf</t>
  </si>
  <si>
    <t>@ElsterD</t>
  </si>
  <si>
    <t>@siamwldheritage</t>
  </si>
  <si>
    <t>@galvardig</t>
  </si>
  <si>
    <t>@rrougez</t>
  </si>
  <si>
    <t>@ufaescape</t>
  </si>
  <si>
    <t>@HotelierME</t>
  </si>
  <si>
    <t>SocialReport.com</t>
  </si>
  <si>
    <t>@Letsbreathe1</t>
  </si>
  <si>
    <t>@dgtl_g33k</t>
  </si>
  <si>
    <t>@TonyWu42539628</t>
  </si>
  <si>
    <t>@HarrysMunandar</t>
  </si>
  <si>
    <t>@SayF8945</t>
  </si>
  <si>
    <t>@ChristianLaneWR</t>
  </si>
  <si>
    <t>@tlkwtiff</t>
  </si>
  <si>
    <t>@HayleyCatt</t>
  </si>
  <si>
    <t>@gpbnews</t>
  </si>
  <si>
    <t>@stevekleber</t>
  </si>
  <si>
    <t>Sprout Social</t>
  </si>
  <si>
    <t>@annekosmicki</t>
  </si>
  <si>
    <t>@erniesuggs</t>
  </si>
  <si>
    <t>@atlantagent</t>
  </si>
  <si>
    <t>@rockhopperkid</t>
  </si>
  <si>
    <t>@MAMcConnell</t>
  </si>
  <si>
    <t>@CHG_Carver</t>
  </si>
  <si>
    <t>@southboundlivin</t>
  </si>
  <si>
    <t>@Tina_YourAgent</t>
  </si>
  <si>
    <t>@AJPGroup1</t>
  </si>
  <si>
    <t>@LiveWireTrainin</t>
  </si>
  <si>
    <t>@DotsandLinesLLC</t>
  </si>
  <si>
    <t>@spitelee4</t>
  </si>
  <si>
    <t>@Lena_La_Loca_23</t>
  </si>
  <si>
    <t>@DrinkTravelDine</t>
  </si>
  <si>
    <t>@HaroldKMorris</t>
  </si>
  <si>
    <t>@RealToth</t>
  </si>
  <si>
    <t>@TimGrissettATL</t>
  </si>
  <si>
    <t>@OliverosPadron</t>
  </si>
  <si>
    <t>@JoseDavidOlive6</t>
  </si>
  <si>
    <t>@LuisOli83889568</t>
  </si>
  <si>
    <t>@WoeIsAustin</t>
  </si>
  <si>
    <t>@mrjasonbailey</t>
  </si>
  <si>
    <t>@socialintents</t>
  </si>
  <si>
    <t>@IHGOwners_Assn</t>
  </si>
  <si>
    <t>@SammieSaxon</t>
  </si>
  <si>
    <t>@Anjanette_F</t>
  </si>
  <si>
    <t>@najaelieva</t>
  </si>
  <si>
    <t>@travelswithbibi</t>
  </si>
  <si>
    <t>WordPress.com</t>
  </si>
  <si>
    <t>@bill_akin</t>
  </si>
  <si>
    <t>@visiolending</t>
  </si>
  <si>
    <t>HubSpot</t>
  </si>
  <si>
    <t>@cmillerrindy</t>
  </si>
  <si>
    <t>@intlaccelerator</t>
  </si>
  <si>
    <t>@m3designthink</t>
  </si>
  <si>
    <t>@GeorgeDearing</t>
  </si>
  <si>
    <t>@FelipeAdanLerma</t>
  </si>
  <si>
    <t>@keepatxclean</t>
  </si>
  <si>
    <t>@DearingGroup</t>
  </si>
  <si>
    <t>@lafetechic</t>
  </si>
  <si>
    <t>@gpodamericas</t>
  </si>
  <si>
    <t>@RifferMusic</t>
  </si>
  <si>
    <t>PostPickr</t>
  </si>
  <si>
    <t>@CWBadger12</t>
  </si>
  <si>
    <t>@janranran</t>
  </si>
  <si>
    <t>@Heimsath</t>
  </si>
  <si>
    <t>@4ELEVEN512</t>
  </si>
  <si>
    <t>@46nd2</t>
  </si>
  <si>
    <t>@save72coupons</t>
  </si>
  <si>
    <t>@pilley</t>
  </si>
  <si>
    <t>Missinglettr</t>
  </si>
  <si>
    <t>@GabeGroisman</t>
  </si>
  <si>
    <t>@two_journeys</t>
  </si>
  <si>
    <t>@Mike_B_Bad</t>
  </si>
  <si>
    <t>@scottlester</t>
  </si>
  <si>
    <t>@MystaN4amous</t>
  </si>
  <si>
    <t>@DavidGZeiler</t>
  </si>
  <si>
    <t>@WBALPhil</t>
  </si>
  <si>
    <t>@CryptoJustifyMe</t>
  </si>
  <si>
    <t>@Barrie360</t>
  </si>
  <si>
    <t>@JohnLPender</t>
  </si>
  <si>
    <t>@DeonGuillory</t>
  </si>
  <si>
    <t>@AlphSt_Tech</t>
  </si>
  <si>
    <t>@GambinosTwin</t>
  </si>
  <si>
    <t>@TraceyRudolph</t>
  </si>
  <si>
    <t>AgoraPulse Manager</t>
  </si>
  <si>
    <t>@MLeanosVIP</t>
  </si>
  <si>
    <t>Circlepix</t>
  </si>
  <si>
    <t>@Intelius</t>
  </si>
  <si>
    <t>@RockSolidFinish</t>
  </si>
  <si>
    <t>@AccentAmenities</t>
  </si>
  <si>
    <t>@2ndStRetreat</t>
  </si>
  <si>
    <t>@HGHAfarm</t>
  </si>
  <si>
    <t>@michelleqsells</t>
  </si>
  <si>
    <t>@joshuabloom01</t>
  </si>
  <si>
    <t>@ShackBda</t>
  </si>
  <si>
    <t>@SunsetBermuda</t>
  </si>
  <si>
    <t>@southpondfarms</t>
  </si>
  <si>
    <t>Twitter Ads Composer</t>
  </si>
  <si>
    <t>@sans_isc</t>
  </si>
  <si>
    <t>@Burt_Blackarach</t>
  </si>
  <si>
    <t>@BearKubKabin</t>
  </si>
  <si>
    <t>@LibertyVacation</t>
  </si>
  <si>
    <t>@Southpace</t>
  </si>
  <si>
    <t>@offtothepoconos</t>
  </si>
  <si>
    <t>@chimerakim</t>
  </si>
  <si>
    <t>@k_talerico</t>
  </si>
  <si>
    <t>@diegueno</t>
  </si>
  <si>
    <t>@KradelsK</t>
  </si>
  <si>
    <t>@lajunglaexp</t>
  </si>
  <si>
    <t>@BorregoHHomes</t>
  </si>
  <si>
    <t>@Bluebell1892</t>
  </si>
  <si>
    <t>@snapjudge</t>
  </si>
  <si>
    <t>@GryphonDC</t>
  </si>
  <si>
    <t>@BUJOSTL</t>
  </si>
  <si>
    <t>Twuffer</t>
  </si>
  <si>
    <t>@kmillerman</t>
  </si>
  <si>
    <t>@useguestbook</t>
  </si>
  <si>
    <t>@BUHospitality</t>
  </si>
  <si>
    <t>@PenroseRealty</t>
  </si>
  <si>
    <t>@HeyBreezeway</t>
  </si>
  <si>
    <t>@SherpaReport</t>
  </si>
  <si>
    <t>@AMLinehan</t>
  </si>
  <si>
    <t>@miss_daisyface</t>
  </si>
  <si>
    <t>@CSMUSArmy</t>
  </si>
  <si>
    <t>@__ashleysnaps</t>
  </si>
  <si>
    <t>@evankirstel</t>
  </si>
  <si>
    <t>drumup.io</t>
  </si>
  <si>
    <t>@GlobeHomes</t>
  </si>
  <si>
    <t>@BostonDotCom</t>
  </si>
  <si>
    <t>@Pistachio</t>
  </si>
  <si>
    <t>@ErikaTarlow</t>
  </si>
  <si>
    <t>Back At You Media</t>
  </si>
  <si>
    <t>@Up2Boston</t>
  </si>
  <si>
    <t>@HarvardHBS</t>
  </si>
  <si>
    <t>Spredfast</t>
  </si>
  <si>
    <t>@GS_VCactivist</t>
  </si>
  <si>
    <t>@RealEstateBNRE</t>
  </si>
  <si>
    <t>@ManningMortgage</t>
  </si>
  <si>
    <t>@spilltojill</t>
  </si>
  <si>
    <t>@chuczek_huczek</t>
  </si>
  <si>
    <t>@PMIHolmesBeach</t>
  </si>
  <si>
    <t>@kevint905</t>
  </si>
  <si>
    <t>@KweenLexiLyfe</t>
  </si>
  <si>
    <t>@timmask</t>
  </si>
  <si>
    <t>@HeidyHurst</t>
  </si>
  <si>
    <t xml:space="preserve">Social Media Publisher App </t>
  </si>
  <si>
    <t>@Took_The_Plunge</t>
  </si>
  <si>
    <t>@ChrisInRealTime</t>
  </si>
  <si>
    <t>@jackiee_online</t>
  </si>
  <si>
    <t>@Bklnmom</t>
  </si>
  <si>
    <t>@CarlosC3030</t>
  </si>
  <si>
    <t>@atelierBB</t>
  </si>
  <si>
    <t>@alittletravel_</t>
  </si>
  <si>
    <t>@Delran856</t>
  </si>
  <si>
    <t>@ErikaDiana128</t>
  </si>
  <si>
    <t>@MichaelLetwin</t>
  </si>
  <si>
    <t>@jetsetterjason</t>
  </si>
  <si>
    <t>@ecocleaningpro</t>
  </si>
  <si>
    <t>@setox</t>
  </si>
  <si>
    <t>@_ForeverGabbie</t>
  </si>
  <si>
    <t>@cbrown4738</t>
  </si>
  <si>
    <t>@curlygirl61</t>
  </si>
  <si>
    <t>@jbethjs</t>
  </si>
  <si>
    <t>@sumos_io</t>
  </si>
  <si>
    <t>@taygoinc</t>
  </si>
  <si>
    <t>TAYGO_PROD</t>
  </si>
  <si>
    <t>@ActionLockKey1</t>
  </si>
  <si>
    <t>Fan Page Robot</t>
  </si>
  <si>
    <t>@russandcherylb1</t>
  </si>
  <si>
    <t>@RoutzBurlington</t>
  </si>
  <si>
    <t>@redtopkennel</t>
  </si>
  <si>
    <t>@travlwriteclick</t>
  </si>
  <si>
    <t>@CaledonNews</t>
  </si>
  <si>
    <t>@SibapriyaC</t>
  </si>
  <si>
    <t>@jason_abdi</t>
  </si>
  <si>
    <t>@DailyHiveYYC</t>
  </si>
  <si>
    <t>@AmeliaScarlet10</t>
  </si>
  <si>
    <t>@thesusanito</t>
  </si>
  <si>
    <t>@dakyne</t>
  </si>
  <si>
    <t>@Tiffanelbow</t>
  </si>
  <si>
    <t>@crazyaboutbirds</t>
  </si>
  <si>
    <t>@KaraJadeQM</t>
  </si>
  <si>
    <t>@webunkyou</t>
  </si>
  <si>
    <t>@teddykawakami</t>
  </si>
  <si>
    <t>@CleanUpWestSoma</t>
  </si>
  <si>
    <t>@All_Seasons_usa</t>
  </si>
  <si>
    <t>@sheldoncowles</t>
  </si>
  <si>
    <t>@villadelarosamz</t>
  </si>
  <si>
    <t>@ItsJustKellcie</t>
  </si>
  <si>
    <t>@Nixonsloungechr</t>
  </si>
  <si>
    <t>@RichardHardigan</t>
  </si>
  <si>
    <t>@crlrsnbm</t>
  </si>
  <si>
    <t>@theresa_robledo</t>
  </si>
  <si>
    <t>@juliebabyar</t>
  </si>
  <si>
    <t>@sdchef2013</t>
  </si>
  <si>
    <t>@HomeyHawaii</t>
  </si>
  <si>
    <t>@paulzak</t>
  </si>
  <si>
    <t>@MercyMontelongo</t>
  </si>
  <si>
    <t>@ToddWilkerson35</t>
  </si>
  <si>
    <t>@fundmelending</t>
  </si>
  <si>
    <t>@bestbankoption</t>
  </si>
  <si>
    <t>@containerly</t>
  </si>
  <si>
    <t>@jAyhawK_ArtGirl</t>
  </si>
  <si>
    <t>@msrosesong</t>
  </si>
  <si>
    <t>@meetmissamaya</t>
  </si>
  <si>
    <t>@resolvingdust</t>
  </si>
  <si>
    <t>@Beverly61707668</t>
  </si>
  <si>
    <t>@homeserviceapp</t>
  </si>
  <si>
    <t>@kimberly_ransom</t>
  </si>
  <si>
    <t>@JBLB_Insurance</t>
  </si>
  <si>
    <t>@AlbertaatNoon</t>
  </si>
  <si>
    <t>@HansWobbe</t>
  </si>
  <si>
    <t>@Josh_Mulherin</t>
  </si>
  <si>
    <t>@Alberta_Hotels</t>
  </si>
  <si>
    <t>@Fairbnbcanada</t>
  </si>
  <si>
    <t>@GadflyQuebec</t>
  </si>
  <si>
    <t>@Airbnbuniverse</t>
  </si>
  <si>
    <t>@pttopt</t>
  </si>
  <si>
    <t>@mcvey_mcvey</t>
  </si>
  <si>
    <t>@LokiBranch</t>
  </si>
  <si>
    <t>@Mak_Canada</t>
  </si>
  <si>
    <t>@scottmaryfreeth</t>
  </si>
  <si>
    <t>@michelsakr</t>
  </si>
  <si>
    <t>@jshimoon</t>
  </si>
  <si>
    <t>@JaraZeimer</t>
  </si>
  <si>
    <t>@JELDWENcanada</t>
  </si>
  <si>
    <t>@lawyersdailyca</t>
  </si>
  <si>
    <t>@Mingming897</t>
  </si>
  <si>
    <t>@ruckmaker</t>
  </si>
  <si>
    <t>@NTusikov</t>
  </si>
  <si>
    <t>@gord_collins</t>
  </si>
  <si>
    <t>@superarts_org</t>
  </si>
  <si>
    <t>@BritneyWaldron</t>
  </si>
  <si>
    <t>@alliecats86</t>
  </si>
  <si>
    <t>@AvyLorenCohen</t>
  </si>
  <si>
    <t>@DynamicWindmil</t>
  </si>
  <si>
    <t>Wilko K</t>
  </si>
  <si>
    <t>@iamkhaledzaky</t>
  </si>
  <si>
    <t>@Kinnections_ntw</t>
  </si>
  <si>
    <t>@withlove__kate</t>
  </si>
  <si>
    <t>@megacryptoworld</t>
  </si>
  <si>
    <t>@cabin_radio</t>
  </si>
  <si>
    <t>Spreaker</t>
  </si>
  <si>
    <t>@SaiaYork</t>
  </si>
  <si>
    <t>@guillefiggon</t>
  </si>
  <si>
    <t>@24SevenPM</t>
  </si>
  <si>
    <t>@CaribbeanLifeLi</t>
  </si>
  <si>
    <t>@CancunTranspor</t>
  </si>
  <si>
    <t>@HougardLoans</t>
  </si>
  <si>
    <t>@SWcardiff</t>
  </si>
  <si>
    <t>@caribjournal</t>
  </si>
  <si>
    <t>Google</t>
  </si>
  <si>
    <t>@annie_mehl</t>
  </si>
  <si>
    <t>@PauseTheMoment</t>
  </si>
  <si>
    <t>@MarcC856</t>
  </si>
  <si>
    <t>@KMGProfSvcs</t>
  </si>
  <si>
    <t>@lovechilde</t>
  </si>
  <si>
    <t>@SWMesquite</t>
  </si>
  <si>
    <t>@SWChandler2</t>
  </si>
  <si>
    <t>@SWchandler</t>
  </si>
  <si>
    <t>@DEGaultREALTOR</t>
  </si>
  <si>
    <t>@jessgold_</t>
  </si>
  <si>
    <t>@getbookfull</t>
  </si>
  <si>
    <t>@stephanieinchs</t>
  </si>
  <si>
    <t>@MaryFrancesMace</t>
  </si>
  <si>
    <t>@SawgrassInk</t>
  </si>
  <si>
    <t>@rabbuhq</t>
  </si>
  <si>
    <t>@thekellyco</t>
  </si>
  <si>
    <t>@pussyforbrkfast</t>
  </si>
  <si>
    <t>@LandmarkVal</t>
  </si>
  <si>
    <t>@UPTreefarmer</t>
  </si>
  <si>
    <t>@RTandRC</t>
  </si>
  <si>
    <t>@JessLeighBorden</t>
  </si>
  <si>
    <t>@CarsonMountain</t>
  </si>
  <si>
    <t>@Zip2Tax</t>
  </si>
  <si>
    <t>@yassdawg</t>
  </si>
  <si>
    <t>@architectguy</t>
  </si>
  <si>
    <t>@julezfig</t>
  </si>
  <si>
    <t>@ChadVHoltkamp</t>
  </si>
  <si>
    <t>@MikePal10</t>
  </si>
  <si>
    <t>@SLesavich</t>
  </si>
  <si>
    <t>@sayahillman</t>
  </si>
  <si>
    <t>@davekohlonline</t>
  </si>
  <si>
    <t>@glennapetersen</t>
  </si>
  <si>
    <t>@HectorLuisAlamo</t>
  </si>
  <si>
    <t>@WaitHereChicago</t>
  </si>
  <si>
    <t>@MeganLorelei</t>
  </si>
  <si>
    <t>@FuturaJoaquin</t>
  </si>
  <si>
    <t>@swabikedude</t>
  </si>
  <si>
    <t>@ChicagoVase</t>
  </si>
  <si>
    <t>@megsytnick</t>
  </si>
  <si>
    <t>@Pahroo</t>
  </si>
  <si>
    <t>@_hostly</t>
  </si>
  <si>
    <t>@Chicagoings</t>
  </si>
  <si>
    <t>@marketvmedicine</t>
  </si>
  <si>
    <t>@callmeButchie</t>
  </si>
  <si>
    <t>@Britvr_</t>
  </si>
  <si>
    <t>@HobbitPirate</t>
  </si>
  <si>
    <t>@mverwin</t>
  </si>
  <si>
    <t>@attackthesound</t>
  </si>
  <si>
    <t>@mindfluence</t>
  </si>
  <si>
    <t>@RudiGourmand</t>
  </si>
  <si>
    <t>@DBrandlink</t>
  </si>
  <si>
    <t>@CurmudgeonGroup</t>
  </si>
  <si>
    <t>@saradixon1217</t>
  </si>
  <si>
    <t>@chadmoon</t>
  </si>
  <si>
    <t>@CakesByElle01</t>
  </si>
  <si>
    <t>@margyartgrrl</t>
  </si>
  <si>
    <t>@RDelamora28</t>
  </si>
  <si>
    <t>@GreevesTom</t>
  </si>
  <si>
    <t>@CVHSRentals</t>
  </si>
  <si>
    <t>@SandKey_Realty</t>
  </si>
  <si>
    <t>@TonyZayas</t>
  </si>
  <si>
    <t>@rent_red</t>
  </si>
  <si>
    <t>@ktenkely</t>
  </si>
  <si>
    <t>@bendercareygrp</t>
  </si>
  <si>
    <t>@YoungFootsteps</t>
  </si>
  <si>
    <t>@alyssa_riches</t>
  </si>
  <si>
    <t>@SemlohRE</t>
  </si>
  <si>
    <t>@KCzaicki</t>
  </si>
  <si>
    <t>EveryoneSocial</t>
  </si>
  <si>
    <t>@ownitrealestate</t>
  </si>
  <si>
    <t>@COA_ColumbiaSC</t>
  </si>
  <si>
    <t>@ohiomale76</t>
  </si>
  <si>
    <t>@JENNGOHRING</t>
  </si>
  <si>
    <t>@AllAboutNewsBiz</t>
  </si>
  <si>
    <t>@ThisWeekChris</t>
  </si>
  <si>
    <t>@viewfromthepugh</t>
  </si>
  <si>
    <t>@chrispugh3</t>
  </si>
  <si>
    <t>@itsstevenhudson</t>
  </si>
  <si>
    <t>@NorthPage</t>
  </si>
  <si>
    <t>@bridgewellhomes</t>
  </si>
  <si>
    <t>@FelixREMAX</t>
  </si>
  <si>
    <t>@PMICorpChristi</t>
  </si>
  <si>
    <t>@ezequiels</t>
  </si>
  <si>
    <t>@TripAngle</t>
  </si>
  <si>
    <t>@RaeGrout</t>
  </si>
  <si>
    <t>@SJacksonRodgers</t>
  </si>
  <si>
    <t>@MichaelBIsbell</t>
  </si>
  <si>
    <t>@Wakeboarding</t>
  </si>
  <si>
    <t>@vrentalblog</t>
  </si>
  <si>
    <t>@Ryan_Derek1</t>
  </si>
  <si>
    <t>@maderobnb</t>
  </si>
  <si>
    <t>@amarilloBBcuba</t>
  </si>
  <si>
    <t>@Hostal_AndMar</t>
  </si>
  <si>
    <t>@mycummingnews</t>
  </si>
  <si>
    <t>@AllFinance</t>
  </si>
  <si>
    <t>@Workato</t>
  </si>
  <si>
    <t>@WarpOneTravel</t>
  </si>
  <si>
    <t>@NoiseAwareDotIO</t>
  </si>
  <si>
    <t>Meet Edgar</t>
  </si>
  <si>
    <t>@icarusHB</t>
  </si>
  <si>
    <t>@ModRentalIncome</t>
  </si>
  <si>
    <t>@rajchudasama</t>
  </si>
  <si>
    <t>@NicoleEdmun</t>
  </si>
  <si>
    <t>@olingerheath</t>
  </si>
  <si>
    <t>@FairParkRising</t>
  </si>
  <si>
    <t>@Liron_Segev</t>
  </si>
  <si>
    <t>@PeeblesTours</t>
  </si>
  <si>
    <t>@PMIPremServices</t>
  </si>
  <si>
    <t>@JessicaCardell</t>
  </si>
  <si>
    <t>@daytonadebra</t>
  </si>
  <si>
    <t>@igor_os777</t>
  </si>
  <si>
    <t>dlvr.it</t>
  </si>
  <si>
    <t>@MyCleanHomes1</t>
  </si>
  <si>
    <t>@StonesThrowCape</t>
  </si>
  <si>
    <t>@mckissackrealty</t>
  </si>
  <si>
    <t>@chrisrosprim</t>
  </si>
  <si>
    <t>@Kacey3</t>
  </si>
  <si>
    <t>@RickileeRealty</t>
  </si>
  <si>
    <t>@DoyenneDesign</t>
  </si>
  <si>
    <t>@rfeindt</t>
  </si>
  <si>
    <t>@theAirDNA</t>
  </si>
  <si>
    <t>@ByteFunding</t>
  </si>
  <si>
    <t>@DenverHomeDeal</t>
  </si>
  <si>
    <t>@alisondawn</t>
  </si>
  <si>
    <t>@BooneRiddle</t>
  </si>
  <si>
    <t>@VillaGDenver</t>
  </si>
  <si>
    <t>@IrishChieftain</t>
  </si>
  <si>
    <t>@MelanieYacko</t>
  </si>
  <si>
    <t>@airdna</t>
  </si>
  <si>
    <t>@RahLeafColorado</t>
  </si>
  <si>
    <t>@James_ButtonKW</t>
  </si>
  <si>
    <t>@Fashi0n_Monster</t>
  </si>
  <si>
    <t>@CelticHealthCO</t>
  </si>
  <si>
    <t>@emmaleecreative</t>
  </si>
  <si>
    <t>@Travel__Critic</t>
  </si>
  <si>
    <t>@PPCpfdsddo</t>
  </si>
  <si>
    <t>@ifrometa</t>
  </si>
  <si>
    <t>@PerformancePM_</t>
  </si>
  <si>
    <t>@DrunkDecorist</t>
  </si>
  <si>
    <t>@UnderwaterLance</t>
  </si>
  <si>
    <t>@kranenburg</t>
  </si>
  <si>
    <t>@MelJBowler</t>
  </si>
  <si>
    <t>@ehp10029</t>
  </si>
  <si>
    <t>@RecruitMSU</t>
  </si>
  <si>
    <t>@ajaxsinger</t>
  </si>
  <si>
    <t>@Seattleviews</t>
  </si>
  <si>
    <t>@Christian_yeg</t>
  </si>
  <si>
    <t>@ginab_yeg</t>
  </si>
  <si>
    <t>@revodmarketing</t>
  </si>
  <si>
    <t>@jabreu69</t>
  </si>
  <si>
    <t>@BeautifulChaoZ1</t>
  </si>
  <si>
    <t>@CyberTaters</t>
  </si>
  <si>
    <t>pillowy mounds</t>
  </si>
  <si>
    <t>@EllisDesignGrp</t>
  </si>
  <si>
    <t>@ductmanquan</t>
  </si>
  <si>
    <t>@eeadpi</t>
  </si>
  <si>
    <t>@GS1_US</t>
  </si>
  <si>
    <t>@FairfaxFed</t>
  </si>
  <si>
    <t>@Citizens4STR</t>
  </si>
  <si>
    <t>@Solano_EDC</t>
  </si>
  <si>
    <t>@WeeksBayBERRIES</t>
  </si>
  <si>
    <t>@PayyAhTention</t>
  </si>
  <si>
    <t>@MattBarbourTV</t>
  </si>
  <si>
    <t>@kassieleeee</t>
  </si>
  <si>
    <t>@MarionThorpe</t>
  </si>
  <si>
    <t>@RachaelMoshman</t>
  </si>
  <si>
    <t>@T4Leonard</t>
  </si>
  <si>
    <t>Post Planner Inc.</t>
  </si>
  <si>
    <t>@AirbnbWATCHFL</t>
  </si>
  <si>
    <t>@SeaAirAh_J</t>
  </si>
  <si>
    <t>@MyAmeriTeamFl</t>
  </si>
  <si>
    <t>@TheFloridaMemes</t>
  </si>
  <si>
    <t>@ctolbirt</t>
  </si>
  <si>
    <t>@shel7798</t>
  </si>
  <si>
    <t>@randibarry</t>
  </si>
  <si>
    <t>@MelissaErial</t>
  </si>
  <si>
    <t>@SaraCCrotts</t>
  </si>
  <si>
    <t>@MaxCybersec</t>
  </si>
  <si>
    <t>@texastobeyond</t>
  </si>
  <si>
    <t>@EricEricinsures</t>
  </si>
  <si>
    <t>@CountryHomeAmy</t>
  </si>
  <si>
    <t>Gain App</t>
  </si>
  <si>
    <t>@SWfullerton</t>
  </si>
  <si>
    <t>@otdrewrich</t>
  </si>
  <si>
    <t>@KbcVacation</t>
  </si>
  <si>
    <t>@BearTracts</t>
  </si>
  <si>
    <t>@Hajh</t>
  </si>
  <si>
    <t>@LeliBlago</t>
  </si>
  <si>
    <t>@RentalUnited</t>
  </si>
  <si>
    <t>@me_frugal</t>
  </si>
  <si>
    <t>@TaxSlayer</t>
  </si>
  <si>
    <t>@MaggieSellsCT</t>
  </si>
  <si>
    <t>@RealtorSanam</t>
  </si>
  <si>
    <t>@MaryAnnPack</t>
  </si>
  <si>
    <t>@GuildGranburyTX</t>
  </si>
  <si>
    <t>Twittimer</t>
  </si>
  <si>
    <t>@SelbuSkiChalet</t>
  </si>
  <si>
    <t>@spike_marie</t>
  </si>
  <si>
    <t>@MoiraB12</t>
  </si>
  <si>
    <t>@GP_Oregon</t>
  </si>
  <si>
    <t>@aier</t>
  </si>
  <si>
    <t>@GoVanguard</t>
  </si>
  <si>
    <t>Dashboard.</t>
  </si>
  <si>
    <t>@BethTraverso</t>
  </si>
  <si>
    <t>@BrokerWithSoul</t>
  </si>
  <si>
    <t>@DotWeekly</t>
  </si>
  <si>
    <t>@ERODJEDI</t>
  </si>
  <si>
    <t>@comfortconvn</t>
  </si>
  <si>
    <t>@WESCFM</t>
  </si>
  <si>
    <t>@Mycho</t>
  </si>
  <si>
    <t>@LNosara</t>
  </si>
  <si>
    <t>@ALDANAJD</t>
  </si>
  <si>
    <t>@mirandasyndrome</t>
  </si>
  <si>
    <t>@kandigrantz</t>
  </si>
  <si>
    <t>@halehakubay</t>
  </si>
  <si>
    <t>@Rob_Scanlan</t>
  </si>
  <si>
    <t>@ChristophrJoyce</t>
  </si>
  <si>
    <t>@jfrphotography</t>
  </si>
  <si>
    <t>@carolangelad</t>
  </si>
  <si>
    <t>@IshnaSolutions</t>
  </si>
  <si>
    <t>Pagemodo Engagement</t>
  </si>
  <si>
    <t>@MattiasClymer</t>
  </si>
  <si>
    <t>@BrittMJ4evr</t>
  </si>
  <si>
    <t>@HastingsCounty</t>
  </si>
  <si>
    <t>@lasiguaraya</t>
  </si>
  <si>
    <t>@Cubamigos</t>
  </si>
  <si>
    <t>@LaurieHanan</t>
  </si>
  <si>
    <t>@BoundlessHawaii</t>
  </si>
  <si>
    <t>@808maidllc</t>
  </si>
  <si>
    <t>@swboulderhwynv</t>
  </si>
  <si>
    <t>@synergysponsor</t>
  </si>
  <si>
    <t>@VRSPMP</t>
  </si>
  <si>
    <t>@RefugiodeReyes1</t>
  </si>
  <si>
    <t>@garbs</t>
  </si>
  <si>
    <t>@jason_metcalfe</t>
  </si>
  <si>
    <t>@MillardsHouseof</t>
  </si>
  <si>
    <t>@monehhh</t>
  </si>
  <si>
    <t>@DianneSanLuis</t>
  </si>
  <si>
    <t>@royalrealtyllc</t>
  </si>
  <si>
    <t>@jongardella</t>
  </si>
  <si>
    <t>@buyfromcurtis</t>
  </si>
  <si>
    <t>@AllBidNoLid</t>
  </si>
  <si>
    <t>@hospitality_law</t>
  </si>
  <si>
    <t>@deville713</t>
  </si>
  <si>
    <t>@GreatBeerNow</t>
  </si>
  <si>
    <t>@NigeriaCircle</t>
  </si>
  <si>
    <t>NigeriaCircle.com</t>
  </si>
  <si>
    <t>@TidalLoans</t>
  </si>
  <si>
    <t>@dombeveridge</t>
  </si>
  <si>
    <t>@HTOWN_AIRBNB</t>
  </si>
  <si>
    <t>@haroldlgardner</t>
  </si>
  <si>
    <t>@SWchannelview</t>
  </si>
  <si>
    <t>@scolyke</t>
  </si>
  <si>
    <t>@LifeWithSammiN</t>
  </si>
  <si>
    <t>@TyronMcDaniel</t>
  </si>
  <si>
    <t>@glking1</t>
  </si>
  <si>
    <t>@AuthorMaca</t>
  </si>
  <si>
    <t>@akfullerton</t>
  </si>
  <si>
    <t>@surfriders75</t>
  </si>
  <si>
    <t>@mowie</t>
  </si>
  <si>
    <t>@hayfetts</t>
  </si>
  <si>
    <t>@IdahoPotato</t>
  </si>
  <si>
    <t>@JoFiz</t>
  </si>
  <si>
    <t>@startupbutton_</t>
  </si>
  <si>
    <t>@PTwiggle</t>
  </si>
  <si>
    <t>@tomjohnz</t>
  </si>
  <si>
    <t>@sandycottages</t>
  </si>
  <si>
    <t>@LoftsMidtown</t>
  </si>
  <si>
    <t>@SnailPaceTrans</t>
  </si>
  <si>
    <t>@HoosierSurv</t>
  </si>
  <si>
    <t>@townhouses10th</t>
  </si>
  <si>
    <t>@mkruzil</t>
  </si>
  <si>
    <t>@IndyMidtownStay</t>
  </si>
  <si>
    <t>@NerdlePopApril</t>
  </si>
  <si>
    <t>@InglewoodsLA</t>
  </si>
  <si>
    <t>@SherrieHansen</t>
  </si>
  <si>
    <t>@BryerMarnin</t>
  </si>
  <si>
    <t>@jpinmiami</t>
  </si>
  <si>
    <t>@WebCamSafety</t>
  </si>
  <si>
    <t>@SWirvine</t>
  </si>
  <si>
    <t>@HomeUnion</t>
  </si>
  <si>
    <t>@UCSB_ITSECURITY</t>
  </si>
  <si>
    <t>@LhartREALTOR</t>
  </si>
  <si>
    <t>@imrichardfertig</t>
  </si>
  <si>
    <t>@dawnmeckem</t>
  </si>
  <si>
    <t>@CTMcCall</t>
  </si>
  <si>
    <t>@ReiDotHow</t>
  </si>
  <si>
    <t>@duvaldrunks</t>
  </si>
  <si>
    <t>@johullrich</t>
  </si>
  <si>
    <t>@sahmplusblog</t>
  </si>
  <si>
    <t>@SunriseVilla876</t>
  </si>
  <si>
    <t>@JoysEcoLodge</t>
  </si>
  <si>
    <t>@ParadiseJamaica</t>
  </si>
  <si>
    <t>@JamaicaVilla</t>
  </si>
  <si>
    <t>@tours_rt</t>
  </si>
  <si>
    <t>@GazaHask3ll_bjj</t>
  </si>
  <si>
    <t>@SM_OnlineClass</t>
  </si>
  <si>
    <t>@brayhillhouse</t>
  </si>
  <si>
    <t>@pamelagoodchild</t>
  </si>
  <si>
    <t>@LailanBento1</t>
  </si>
  <si>
    <t>eClincher</t>
  </si>
  <si>
    <t>@RobinAHolstein</t>
  </si>
  <si>
    <t>@bmrnvti</t>
  </si>
  <si>
    <t>@Freeleezy</t>
  </si>
  <si>
    <t>@mgolojuch</t>
  </si>
  <si>
    <t>@KauaiVacations</t>
  </si>
  <si>
    <t>@Westoneastkeen1</t>
  </si>
  <si>
    <t>@Kva7k</t>
  </si>
  <si>
    <t>@AKPermafrost</t>
  </si>
  <si>
    <t>@techfindr</t>
  </si>
  <si>
    <t>@TrailblzrHAWAII</t>
  </si>
  <si>
    <t>@MarieHa04729818</t>
  </si>
  <si>
    <t>@DancehallBuzz</t>
  </si>
  <si>
    <t>@PHC_Digital</t>
  </si>
  <si>
    <t>@LOTooleRealty</t>
  </si>
  <si>
    <t>@AndyLarin</t>
  </si>
  <si>
    <t>@carlaacarlson</t>
  </si>
  <si>
    <t>@vprealtor1</t>
  </si>
  <si>
    <t>@BrianKeithEllis</t>
  </si>
  <si>
    <t>@SerendipityOBX</t>
  </si>
  <si>
    <t>@JustinKnoxville</t>
  </si>
  <si>
    <t>@farm_furniture</t>
  </si>
  <si>
    <t>@Upon_the_Laurel</t>
  </si>
  <si>
    <t>@anabellerossell</t>
  </si>
  <si>
    <t>@emmelieforsyth</t>
  </si>
  <si>
    <t>@KellyCavanaugh_</t>
  </si>
  <si>
    <t>@danengel1</t>
  </si>
  <si>
    <t>@Corptravel</t>
  </si>
  <si>
    <t>@374Annandale</t>
  </si>
  <si>
    <t>@LAVillage</t>
  </si>
  <si>
    <t>@SeanLainePhoto</t>
  </si>
  <si>
    <t>@FishingWithGus</t>
  </si>
  <si>
    <t>@GoCottage</t>
  </si>
  <si>
    <t>@alison_martel</t>
  </si>
  <si>
    <t>@chumajerome</t>
  </si>
  <si>
    <t>@elkhorninn</t>
  </si>
  <si>
    <t>@Vendram1n</t>
  </si>
  <si>
    <t>@forkerphotos</t>
  </si>
  <si>
    <t>@jbordinhao</t>
  </si>
  <si>
    <t>@F3R_Music</t>
  </si>
  <si>
    <t>@VegasBiLL</t>
  </si>
  <si>
    <t>@LawyersTitleLV</t>
  </si>
  <si>
    <t>@EHSlasvegas</t>
  </si>
  <si>
    <t>@LaLaMermaid</t>
  </si>
  <si>
    <t>@Mix941</t>
  </si>
  <si>
    <t>@BJackz_URB</t>
  </si>
  <si>
    <t>@HospitalityTek</t>
  </si>
  <si>
    <t>@heidiology</t>
  </si>
  <si>
    <t>@MorrisLawCenter</t>
  </si>
  <si>
    <t>@BethanyKhan</t>
  </si>
  <si>
    <t>@toddprincetv</t>
  </si>
  <si>
    <t>@brodyradio</t>
  </si>
  <si>
    <t>@MercedesInTheAM</t>
  </si>
  <si>
    <t>@swrhodesranchnv</t>
  </si>
  <si>
    <t>@SWsahara</t>
  </si>
  <si>
    <t>@swflamingoroad</t>
  </si>
  <si>
    <t>@sweasternave</t>
  </si>
  <si>
    <t>@swbuffalodrnv</t>
  </si>
  <si>
    <t>@SWrussellroad</t>
  </si>
  <si>
    <t>@swcenthillsnv</t>
  </si>
  <si>
    <t>@8Days2Amish</t>
  </si>
  <si>
    <t>@PaulyZinATL</t>
  </si>
  <si>
    <t>@betsydixon</t>
  </si>
  <si>
    <t>@PMITravel1</t>
  </si>
  <si>
    <t>@WildMissMyrtle</t>
  </si>
  <si>
    <t>@AYisAboutYou</t>
  </si>
  <si>
    <t>@molliebee71</t>
  </si>
  <si>
    <t>@WoodsCrossingMO</t>
  </si>
  <si>
    <t>@voicemoto</t>
  </si>
  <si>
    <t>@lbdailynews</t>
  </si>
  <si>
    <t>@KyleGeraghty24</t>
  </si>
  <si>
    <t>@trevorrappleye</t>
  </si>
  <si>
    <t>@11_alv</t>
  </si>
  <si>
    <t>@NationalHerald</t>
  </si>
  <si>
    <t>@theradioguylive</t>
  </si>
  <si>
    <t>@1061BLI</t>
  </si>
  <si>
    <t>SocialNewsDesk</t>
  </si>
  <si>
    <t>@DiabeticCyborgg</t>
  </si>
  <si>
    <t>@Keri_Mellott</t>
  </si>
  <si>
    <t>@GetPaidForUrPad</t>
  </si>
  <si>
    <t>Pippa Podcasts</t>
  </si>
  <si>
    <t>@SheDevilTrainer</t>
  </si>
  <si>
    <t>@TomCraigLA</t>
  </si>
  <si>
    <t>@techeblog</t>
  </si>
  <si>
    <t>@leinfelder27</t>
  </si>
  <si>
    <t>@loridennisinc</t>
  </si>
  <si>
    <t>@1ChicRetreat</t>
  </si>
  <si>
    <t>@MattCarey</t>
  </si>
  <si>
    <t>@ms_msmarshas</t>
  </si>
  <si>
    <t>@Josemd</t>
  </si>
  <si>
    <t>@rajanshandil</t>
  </si>
  <si>
    <t>@HarNadh</t>
  </si>
  <si>
    <t>@KWabst</t>
  </si>
  <si>
    <t>@JillJLaine</t>
  </si>
  <si>
    <t>@waitmarinawho</t>
  </si>
  <si>
    <t>@drumralexander</t>
  </si>
  <si>
    <t>@passport_plates</t>
  </si>
  <si>
    <t>@CalGenius</t>
  </si>
  <si>
    <t>@k_muscarella</t>
  </si>
  <si>
    <t>@AskAlicia</t>
  </si>
  <si>
    <t>@SurfnSunshine</t>
  </si>
  <si>
    <t>@JournyNow</t>
  </si>
  <si>
    <t>@rania_olayan</t>
  </si>
  <si>
    <t>@ManoelaWunder</t>
  </si>
  <si>
    <t>@inn_vacation</t>
  </si>
  <si>
    <t>@QuikFavor</t>
  </si>
  <si>
    <t>@Seat2Asuite</t>
  </si>
  <si>
    <t>@gallatingroup</t>
  </si>
  <si>
    <t>@AllisonMFogarty</t>
  </si>
  <si>
    <t>@laundryla</t>
  </si>
  <si>
    <t>@brianpatmcg</t>
  </si>
  <si>
    <t>@LuckyNewbVlogs</t>
  </si>
  <si>
    <t>@JetsonLes</t>
  </si>
  <si>
    <t>@relsilver</t>
  </si>
  <si>
    <t>@ripplecoinbase</t>
  </si>
  <si>
    <t>@johnybo33215668</t>
  </si>
  <si>
    <t>@billhao</t>
  </si>
  <si>
    <t>@jmdenouden</t>
  </si>
  <si>
    <t>@spinkendall</t>
  </si>
  <si>
    <t>@YogaArmy</t>
  </si>
  <si>
    <t>@JDYogi</t>
  </si>
  <si>
    <t>@HeartFuse</t>
  </si>
  <si>
    <t>@youngdumbcrypto</t>
  </si>
  <si>
    <t>SocialPilot.co</t>
  </si>
  <si>
    <t>@TessVillatuya</t>
  </si>
  <si>
    <t>@browneyedmorena</t>
  </si>
  <si>
    <t>@AahRelax</t>
  </si>
  <si>
    <t>@aaj6177</t>
  </si>
  <si>
    <t>@imnwill</t>
  </si>
  <si>
    <t>@rhallockk</t>
  </si>
  <si>
    <t>@pcsathy</t>
  </si>
  <si>
    <t>@fashionxaminer</t>
  </si>
  <si>
    <t>@JenVanAlstyne</t>
  </si>
  <si>
    <t>@MThomps4</t>
  </si>
  <si>
    <t>@REIAKY</t>
  </si>
  <si>
    <t>@TheRealStar</t>
  </si>
  <si>
    <t>@ashfordkey502</t>
  </si>
  <si>
    <t>@cobrown</t>
  </si>
  <si>
    <t>@Michael4Biz</t>
  </si>
  <si>
    <t>@EH44</t>
  </si>
  <si>
    <t>@klinecj</t>
  </si>
  <si>
    <t>@WIAgLeader</t>
  </si>
  <si>
    <t>@aheartforafrica</t>
  </si>
  <si>
    <t>@EddiePitch</t>
  </si>
  <si>
    <t>@FrancisDMillet</t>
  </si>
  <si>
    <t>@iBootLegBeckyy</t>
  </si>
  <si>
    <t>@rebeccadactyl</t>
  </si>
  <si>
    <t>@evolution_foto</t>
  </si>
  <si>
    <t>@kayweena</t>
  </si>
  <si>
    <t>@COSkiChairs</t>
  </si>
  <si>
    <t>@LeftTravel</t>
  </si>
  <si>
    <t>@themayas</t>
  </si>
  <si>
    <t>@Hello_Society</t>
  </si>
  <si>
    <t>@DewshiLaw</t>
  </si>
  <si>
    <t>@DBerndt7</t>
  </si>
  <si>
    <t>@GeekQuestioner</t>
  </si>
  <si>
    <t>@HueloPointBnB</t>
  </si>
  <si>
    <t>@DominicGBrown</t>
  </si>
  <si>
    <t>@gregcollier</t>
  </si>
  <si>
    <t>@chakazula</t>
  </si>
  <si>
    <t>@Splaktar</t>
  </si>
  <si>
    <t>@JohnFrazierJr</t>
  </si>
  <si>
    <t>@happyhandsclean</t>
  </si>
  <si>
    <t>@ajamitrano</t>
  </si>
  <si>
    <t>@1JeffDumas</t>
  </si>
  <si>
    <t>@SWEastMesa</t>
  </si>
  <si>
    <t>@EstrellaGustavo</t>
  </si>
  <si>
    <t>@elesconditeZih</t>
  </si>
  <si>
    <t>@MommyandKhitak1</t>
  </si>
  <si>
    <t>@yatayoye</t>
  </si>
  <si>
    <t>@LeavingHolland</t>
  </si>
  <si>
    <t>@koobos</t>
  </si>
  <si>
    <t>@gomangomexico</t>
  </si>
  <si>
    <t>@Sleeping_Dahlia</t>
  </si>
  <si>
    <t>@doubledutydaddy</t>
  </si>
  <si>
    <t>@RosaOliveros18</t>
  </si>
  <si>
    <t>@ayprentals</t>
  </si>
  <si>
    <t>@theErikaBarry</t>
  </si>
  <si>
    <t>@iWiinks</t>
  </si>
  <si>
    <t>@Chris_Ferreyra</t>
  </si>
  <si>
    <t>@SiliconBeachHub</t>
  </si>
  <si>
    <t>@AdrianaNBC</t>
  </si>
  <si>
    <t>@ana_analytics_</t>
  </si>
  <si>
    <t>@HouseitProd</t>
  </si>
  <si>
    <t>@bretfasz</t>
  </si>
  <si>
    <t>@305ALAINN</t>
  </si>
  <si>
    <t>@erniepuig</t>
  </si>
  <si>
    <t>Capzool</t>
  </si>
  <si>
    <t>@RealtorLPonce</t>
  </si>
  <si>
    <t>@WIOD</t>
  </si>
  <si>
    <t>@SEENthemagazine</t>
  </si>
  <si>
    <t>@EricaHMSU</t>
  </si>
  <si>
    <t>@GloriaMarcus</t>
  </si>
  <si>
    <t>@erikk292mke</t>
  </si>
  <si>
    <t>@JrScalez</t>
  </si>
  <si>
    <t>@JacqRice</t>
  </si>
  <si>
    <t>@pumaprincessmal</t>
  </si>
  <si>
    <t>@latticeworkwlth</t>
  </si>
  <si>
    <t>@NelsonThought</t>
  </si>
  <si>
    <t>@jefflin</t>
  </si>
  <si>
    <t>@LightAndTimeArt</t>
  </si>
  <si>
    <t>@KatePurdy</t>
  </si>
  <si>
    <t>@MPLS_Getaway</t>
  </si>
  <si>
    <t>@YoungAdultMoney</t>
  </si>
  <si>
    <t>@CCandWanderlust</t>
  </si>
  <si>
    <t>@BenjaminHCCarr</t>
  </si>
  <si>
    <t>@HappeKris</t>
  </si>
  <si>
    <t>@aqua_holk</t>
  </si>
  <si>
    <t>@SupermanB8</t>
  </si>
  <si>
    <t>@AriseWorkfrHome</t>
  </si>
  <si>
    <t>@EBooyah</t>
  </si>
  <si>
    <t>@SWmissionviejo</t>
  </si>
  <si>
    <t>@SkipPhotog</t>
  </si>
  <si>
    <t>@G967radio</t>
  </si>
  <si>
    <t>@splendidhosts</t>
  </si>
  <si>
    <t>@calen26</t>
  </si>
  <si>
    <t>@kanablelindsey</t>
  </si>
  <si>
    <t>@ThePuntFactory</t>
  </si>
  <si>
    <t>@AGHQHospitality</t>
  </si>
  <si>
    <t>@agreenwaldHQ</t>
  </si>
  <si>
    <t>@likeahurricane8</t>
  </si>
  <si>
    <t>@brunocyr</t>
  </si>
  <si>
    <t>@CBCRadioNoon</t>
  </si>
  <si>
    <t>@chrisarsenault</t>
  </si>
  <si>
    <t>@andrequerry</t>
  </si>
  <si>
    <t>@clustertogether</t>
  </si>
  <si>
    <t>@mangelsays</t>
  </si>
  <si>
    <t>@h_k_pik</t>
  </si>
  <si>
    <t>@MontrealREGroup</t>
  </si>
  <si>
    <t>@DailyHiveMTL</t>
  </si>
  <si>
    <t>@hskarmalkar</t>
  </si>
  <si>
    <t>@ST_Bourlingueur</t>
  </si>
  <si>
    <t>@MyAngelHost</t>
  </si>
  <si>
    <t>@iLookYoucom</t>
  </si>
  <si>
    <t>@JanRavensbergen</t>
  </si>
  <si>
    <t>@samfaiss</t>
  </si>
  <si>
    <t>@JackedOnLife</t>
  </si>
  <si>
    <t>@rebelbroker</t>
  </si>
  <si>
    <t>@Per_Ogi</t>
  </si>
  <si>
    <t>@MyDigitalSafety</t>
  </si>
  <si>
    <t>@LaserDs</t>
  </si>
  <si>
    <t>@Vacayo_Tech</t>
  </si>
  <si>
    <t>@StorageCalloway</t>
  </si>
  <si>
    <t>@GroovyObx</t>
  </si>
  <si>
    <t>@HaciendaMoyano</t>
  </si>
  <si>
    <t>@AINewsAlliance</t>
  </si>
  <si>
    <t>@cruiseecho</t>
  </si>
  <si>
    <t>@SalArmyNaples</t>
  </si>
  <si>
    <t>@Statguardplus</t>
  </si>
  <si>
    <t>@LauraFleurs</t>
  </si>
  <si>
    <t>@myvillagedragon</t>
  </si>
  <si>
    <t>@Derry_London</t>
  </si>
  <si>
    <t>@SkyBlacke99</t>
  </si>
  <si>
    <t>@shermangmohr</t>
  </si>
  <si>
    <t>@chadewatson</t>
  </si>
  <si>
    <t>@rebeccamae7</t>
  </si>
  <si>
    <t>@toptnmortgpro</t>
  </si>
  <si>
    <t>@_RakkeL_</t>
  </si>
  <si>
    <t>@havanamusictour</t>
  </si>
  <si>
    <t>@angelwolf970</t>
  </si>
  <si>
    <t>@FrugalRules</t>
  </si>
  <si>
    <t>@RNightly</t>
  </si>
  <si>
    <t>@OMAREALEST_com</t>
  </si>
  <si>
    <t>@rutten_amy</t>
  </si>
  <si>
    <t>@DiamondBoxing</t>
  </si>
  <si>
    <t>@ScottLima3</t>
  </si>
  <si>
    <t>@donaldplawson</t>
  </si>
  <si>
    <t>@QuiK_exe</t>
  </si>
  <si>
    <t>@kd_davidson</t>
  </si>
  <si>
    <t>@ByToddBBates</t>
  </si>
  <si>
    <t>@Blueskycenter</t>
  </si>
  <si>
    <t>@EJ_Brennan</t>
  </si>
  <si>
    <t>@CGizzarelli</t>
  </si>
  <si>
    <t>@nhlivingcom</t>
  </si>
  <si>
    <t>@mfauscette</t>
  </si>
  <si>
    <t>@ryanpalresp</t>
  </si>
  <si>
    <t>@darcib65</t>
  </si>
  <si>
    <t>@NJBIZ</t>
  </si>
  <si>
    <t>@VServiceLLC</t>
  </si>
  <si>
    <t>@FVPetro</t>
  </si>
  <si>
    <t>@AdeleSellsNJ</t>
  </si>
  <si>
    <t>@TPhotosco</t>
  </si>
  <si>
    <t>@PondMobile_Biz</t>
  </si>
  <si>
    <t>@Brad_Terhune_</t>
  </si>
  <si>
    <t>@AngelinaMy5</t>
  </si>
  <si>
    <t>Ripl App</t>
  </si>
  <si>
    <t>@seauxlo_seauxlo</t>
  </si>
  <si>
    <t>@kelly_nicole16</t>
  </si>
  <si>
    <t>@TheMajestic504</t>
  </si>
  <si>
    <t>@ArtHouse169</t>
  </si>
  <si>
    <t>@beans_fotos_</t>
  </si>
  <si>
    <t>@FilleNola</t>
  </si>
  <si>
    <t>@averysweetblog</t>
  </si>
  <si>
    <t>@jasonbtodd</t>
  </si>
  <si>
    <t>@hmorley29</t>
  </si>
  <si>
    <t>@Caluvsdogs</t>
  </si>
  <si>
    <t>@LawfareProject</t>
  </si>
  <si>
    <t>@GlobalRabbi</t>
  </si>
  <si>
    <t>@AmericanIllust</t>
  </si>
  <si>
    <t>@resilient_ent</t>
  </si>
  <si>
    <t>@mtorres_ruiz</t>
  </si>
  <si>
    <t>@pm_girl</t>
  </si>
  <si>
    <t>@jamesduncanmoss</t>
  </si>
  <si>
    <t>@HeavenRiots</t>
  </si>
  <si>
    <t>@melanievotaw</t>
  </si>
  <si>
    <t>@bthau</t>
  </si>
  <si>
    <t>@LeeAbbamonte</t>
  </si>
  <si>
    <t>@simrananand</t>
  </si>
  <si>
    <t>@saf_dogan</t>
  </si>
  <si>
    <t>@afastpacedlife</t>
  </si>
  <si>
    <t>@informedvoting</t>
  </si>
  <si>
    <t>@Lapacazo</t>
  </si>
  <si>
    <t>@TeoIndustries</t>
  </si>
  <si>
    <t>@lisatropolis</t>
  </si>
  <si>
    <t>@mikloshvanEgan</t>
  </si>
  <si>
    <t>@lusttilldawn</t>
  </si>
  <si>
    <t>@LizKrueger</t>
  </si>
  <si>
    <t>@emileewalch</t>
  </si>
  <si>
    <t>@MBRErealestate</t>
  </si>
  <si>
    <t>@financialbuzz</t>
  </si>
  <si>
    <t>@ILOVENEWYORK212</t>
  </si>
  <si>
    <t>@robinrichnyc</t>
  </si>
  <si>
    <t>@mdonaruma</t>
  </si>
  <si>
    <t>@elitepromocode</t>
  </si>
  <si>
    <t>@travisjarae</t>
  </si>
  <si>
    <t>@brentphoto_nyc</t>
  </si>
  <si>
    <t>@PropertyTV_io</t>
  </si>
  <si>
    <t>@musicbybrads</t>
  </si>
  <si>
    <t>@nycwired</t>
  </si>
  <si>
    <t>@CjClover</t>
  </si>
  <si>
    <t>@FelixLuigino</t>
  </si>
  <si>
    <t>@CatherineDeGeer</t>
  </si>
  <si>
    <t>@inlocamotion</t>
  </si>
  <si>
    <t>@Sentieo</t>
  </si>
  <si>
    <t>@MikeBellafiore</t>
  </si>
  <si>
    <t>@LovelyDupre_</t>
  </si>
  <si>
    <t>@laffaloui</t>
  </si>
  <si>
    <t>@WallStreetRprtr</t>
  </si>
  <si>
    <t>@michaelhageloh</t>
  </si>
  <si>
    <t>@BewenXie</t>
  </si>
  <si>
    <t>@SymeonRBrown</t>
  </si>
  <si>
    <t>@PeterBordes</t>
  </si>
  <si>
    <t>@TrajectoryCaptl</t>
  </si>
  <si>
    <t>@petechatziplis</t>
  </si>
  <si>
    <t>@nytimestravel</t>
  </si>
  <si>
    <t>@LexisNexis</t>
  </si>
  <si>
    <t>@dataiku</t>
  </si>
  <si>
    <t>@MakeItPlain</t>
  </si>
  <si>
    <t>TweetCaster for Android</t>
  </si>
  <si>
    <t>@frontmezzjunkie</t>
  </si>
  <si>
    <t>@mkharesign</t>
  </si>
  <si>
    <t>@musesondemand</t>
  </si>
  <si>
    <t>@avkashkana</t>
  </si>
  <si>
    <t>@BBabayev</t>
  </si>
  <si>
    <t>@lawjmlewis</t>
  </si>
  <si>
    <t>@TAXMAPUSA</t>
  </si>
  <si>
    <t>@taxmap</t>
  </si>
  <si>
    <t>@mtcarter10</t>
  </si>
  <si>
    <t>@JLJarvis_Writer</t>
  </si>
  <si>
    <t>@piZzZaslutt</t>
  </si>
  <si>
    <t>@BrickLayer0329</t>
  </si>
  <si>
    <t>@cryptoexpl0rer</t>
  </si>
  <si>
    <t>@Bklyn_Treasure</t>
  </si>
  <si>
    <t>@Incorporate1271</t>
  </si>
  <si>
    <t>@3kidsandacar</t>
  </si>
  <si>
    <t>@pietroalioto</t>
  </si>
  <si>
    <t>@veganndahood</t>
  </si>
  <si>
    <t>@DeniseBoger</t>
  </si>
  <si>
    <t>@NiagaraCaribe</t>
  </si>
  <si>
    <t>@RoutzNiagara</t>
  </si>
  <si>
    <t>@circlehousenotl</t>
  </si>
  <si>
    <t>@jason_clements</t>
  </si>
  <si>
    <t>@PMIIndianapolis</t>
  </si>
  <si>
    <t>@loveiosdotnet</t>
  </si>
  <si>
    <t>@DrewMcElroy</t>
  </si>
  <si>
    <t>@CarlosCabreraHQ</t>
  </si>
  <si>
    <t>@createwithprint</t>
  </si>
  <si>
    <t>@HHkalous</t>
  </si>
  <si>
    <t>@2Completion</t>
  </si>
  <si>
    <t>@TexasTrustCU</t>
  </si>
  <si>
    <t>@MsBiologeek</t>
  </si>
  <si>
    <t>@AfricanLiberty</t>
  </si>
  <si>
    <t>@neilLodder</t>
  </si>
  <si>
    <t>@JohnnyCaraveo</t>
  </si>
  <si>
    <t>@CarolinaMorning</t>
  </si>
  <si>
    <t>@newsradio570</t>
  </si>
  <si>
    <t>@BirdsongLodge</t>
  </si>
  <si>
    <t>@CanuckPalms</t>
  </si>
  <si>
    <t>@LupineVillage</t>
  </si>
  <si>
    <t>@azstripshows</t>
  </si>
  <si>
    <t>@bundleithome</t>
  </si>
  <si>
    <t>@CalsList</t>
  </si>
  <si>
    <t>@robin_schmobin</t>
  </si>
  <si>
    <t>@theroccoteam</t>
  </si>
  <si>
    <t>@CottonwoodCabin</t>
  </si>
  <si>
    <t>@TopsyFarms</t>
  </si>
  <si>
    <t>@ShannonHazel6</t>
  </si>
  <si>
    <t>@Lat61_ak</t>
  </si>
  <si>
    <t>@pinkmakomedia</t>
  </si>
  <si>
    <t>@tilov2</t>
  </si>
  <si>
    <t>@grovehausFS</t>
  </si>
  <si>
    <t>@politcalcupcake</t>
  </si>
  <si>
    <t>@solesuprme106</t>
  </si>
  <si>
    <t>@TravelDazeco</t>
  </si>
  <si>
    <t>@HotelHardyATX</t>
  </si>
  <si>
    <t>@rabinmax</t>
  </si>
  <si>
    <t>@ValVistaLakesSW</t>
  </si>
  <si>
    <t>@PDXSante</t>
  </si>
  <si>
    <t>@AcriRealty</t>
  </si>
  <si>
    <t>@TvishaT</t>
  </si>
  <si>
    <t>@obxcaterer</t>
  </si>
  <si>
    <t>@ZenDenAddison</t>
  </si>
  <si>
    <t>@SWanaheim</t>
  </si>
  <si>
    <t>@ForShowStaging</t>
  </si>
  <si>
    <t>@sostby0427</t>
  </si>
  <si>
    <t>@FlyerTalkerinA2</t>
  </si>
  <si>
    <t>@colin_mshr</t>
  </si>
  <si>
    <t>@OpulentAutonomy</t>
  </si>
  <si>
    <t>@pursuethorns</t>
  </si>
  <si>
    <t>@inventions2mkt</t>
  </si>
  <si>
    <t>@roguebaristaTTV</t>
  </si>
  <si>
    <t>@VaanTheRaccoon</t>
  </si>
  <si>
    <t>@Travel_Life_1</t>
  </si>
  <si>
    <t>@ARhynehardt15</t>
  </si>
  <si>
    <t>@DanaMTedesco</t>
  </si>
  <si>
    <t>PostBeyond</t>
  </si>
  <si>
    <t>@swannroadnv</t>
  </si>
  <si>
    <t>@swcraigroadnv</t>
  </si>
  <si>
    <t>@swcentranchnv</t>
  </si>
  <si>
    <t>@SRQREALTOR941</t>
  </si>
  <si>
    <t>@julia_baillie</t>
  </si>
  <si>
    <t>@Oliver_Scott</t>
  </si>
  <si>
    <t>@Bobby_Driscoll</t>
  </si>
  <si>
    <t>@tiniskwerl</t>
  </si>
  <si>
    <t>@TheNWAGuru</t>
  </si>
  <si>
    <t>@CardNotPresent</t>
  </si>
  <si>
    <t>@LornadEnt</t>
  </si>
  <si>
    <t>@tabithalco</t>
  </si>
  <si>
    <t>@G_MgmtOffice</t>
  </si>
  <si>
    <t>@DayerVikki</t>
  </si>
  <si>
    <t>@ALLREDToDoRoJo</t>
  </si>
  <si>
    <t>@iamstevenpedigo</t>
  </si>
  <si>
    <t>@GregMartinPhoto</t>
  </si>
  <si>
    <t>@moughthere</t>
  </si>
  <si>
    <t>@DesignPolice</t>
  </si>
  <si>
    <t>@wolfwellness</t>
  </si>
  <si>
    <t>@Jefferson_Locke</t>
  </si>
  <si>
    <t>@MagicMaineHerb</t>
  </si>
  <si>
    <t>@BakuExchange</t>
  </si>
  <si>
    <t>@demetriesii</t>
  </si>
  <si>
    <t>@reneefishman</t>
  </si>
  <si>
    <t>@NYCHomesforSale</t>
  </si>
  <si>
    <t>@windsorknot</t>
  </si>
  <si>
    <t>@SnowVo</t>
  </si>
  <si>
    <t>@LBLewisAuthor</t>
  </si>
  <si>
    <t>@Suiteness</t>
  </si>
  <si>
    <t>@CatalystVoices</t>
  </si>
  <si>
    <t>@CampReelStories</t>
  </si>
  <si>
    <t>@b4pbap</t>
  </si>
  <si>
    <t>@agmedina42</t>
  </si>
  <si>
    <t>@FoxGroveFarm</t>
  </si>
  <si>
    <t>@mfcdavis</t>
  </si>
  <si>
    <t>@heyduuo</t>
  </si>
  <si>
    <t>@PersonalChefLPD</t>
  </si>
  <si>
    <t>@LoxleyMartin</t>
  </si>
  <si>
    <t>@buckeyedrone</t>
  </si>
  <si>
    <t>@kenleyneufeld</t>
  </si>
  <si>
    <t>Twitterrific for iOS</t>
  </si>
  <si>
    <t>@ButlerTeam</t>
  </si>
  <si>
    <t>@SharonEPowers</t>
  </si>
  <si>
    <t>@ryanmalm</t>
  </si>
  <si>
    <t>@procksi</t>
  </si>
  <si>
    <t>@TodayWithBBB</t>
  </si>
  <si>
    <t>@cutemaibear</t>
  </si>
  <si>
    <t>@pgiblett</t>
  </si>
  <si>
    <t>@winder_gill</t>
  </si>
  <si>
    <t>@ExcaliburGroup</t>
  </si>
  <si>
    <t>@NicoleBuzzing</t>
  </si>
  <si>
    <t>@BakerBarbieT</t>
  </si>
  <si>
    <t>@canadapostrock</t>
  </si>
  <si>
    <t>@TheHomeSpin</t>
  </si>
  <si>
    <t>@Cubebrush</t>
  </si>
  <si>
    <t>@boudoirby</t>
  </si>
  <si>
    <t>@Kelsey_sGrammar</t>
  </si>
  <si>
    <t>@Int_Travelers</t>
  </si>
  <si>
    <t>@Log_School</t>
  </si>
  <si>
    <t>@SawyerOnBlast</t>
  </si>
  <si>
    <t>@MrJulesMckenzie</t>
  </si>
  <si>
    <t>@WFTV</t>
  </si>
  <si>
    <t>@CiiRUSVRS</t>
  </si>
  <si>
    <t>Sharpspring</t>
  </si>
  <si>
    <t>@news6wkmg</t>
  </si>
  <si>
    <t>@martinecomas</t>
  </si>
  <si>
    <t>@management407</t>
  </si>
  <si>
    <t>@AttyJustinClark</t>
  </si>
  <si>
    <t>@MisterOttawa</t>
  </si>
  <si>
    <t>@thesocialreine</t>
  </si>
  <si>
    <t>@RichSavarie</t>
  </si>
  <si>
    <t>@vasalloum</t>
  </si>
  <si>
    <t>@LadyMaidService</t>
  </si>
  <si>
    <t>@DISLAT</t>
  </si>
  <si>
    <t>@AlanaBaker_HAC</t>
  </si>
  <si>
    <t>@OttLegalRebels</t>
  </si>
  <si>
    <t>@jwpainting_2017</t>
  </si>
  <si>
    <t>@thejohncastle</t>
  </si>
  <si>
    <t>@DDesBaillets</t>
  </si>
  <si>
    <t>@ifixith</t>
  </si>
  <si>
    <t>@challengedtoo</t>
  </si>
  <si>
    <t>@TheHngryHswives</t>
  </si>
  <si>
    <t>@QudsNen</t>
  </si>
  <si>
    <t>Twitter Media Studio</t>
  </si>
  <si>
    <t>@USACBI</t>
  </si>
  <si>
    <t>@Taghreeba</t>
  </si>
  <si>
    <t>@PSDavid</t>
  </si>
  <si>
    <t>@BruceJamesPhoto</t>
  </si>
  <si>
    <t>@PSVacationHouse</t>
  </si>
  <si>
    <t>@palmspringslife</t>
  </si>
  <si>
    <t>@TeamZottiRE</t>
  </si>
  <si>
    <t>@felixkitty</t>
  </si>
  <si>
    <t>@cabstartup</t>
  </si>
  <si>
    <t>@emacityusa</t>
  </si>
  <si>
    <t>PreBuilt Marketing</t>
  </si>
  <si>
    <t>@jephM</t>
  </si>
  <si>
    <t>@nickmlittlejohn</t>
  </si>
  <si>
    <t>@StopBullyingIsr</t>
  </si>
  <si>
    <t>@pcbcleaning</t>
  </si>
  <si>
    <t>@TMurph94</t>
  </si>
  <si>
    <t>@ThatgirlChelley</t>
  </si>
  <si>
    <t>@HeartlessMerc28</t>
  </si>
  <si>
    <t>@REOZakaONEnONLY</t>
  </si>
  <si>
    <t>@barakahfarm</t>
  </si>
  <si>
    <t>Crowdfire App</t>
  </si>
  <si>
    <t>@tkashpm</t>
  </si>
  <si>
    <t>@RedTH_BandB</t>
  </si>
  <si>
    <t>@rcl97863984</t>
  </si>
  <si>
    <t>@aSuiteCollab</t>
  </si>
  <si>
    <t>@jasoncenteno</t>
  </si>
  <si>
    <t>@SocialSola</t>
  </si>
  <si>
    <t>@juliadentphoto</t>
  </si>
  <si>
    <t>@bnbantiques</t>
  </si>
  <si>
    <t>@TidyHost</t>
  </si>
  <si>
    <t>@docholly</t>
  </si>
  <si>
    <t>@RealtyPhilly</t>
  </si>
  <si>
    <t>SocialOomph</t>
  </si>
  <si>
    <t>@vancebell</t>
  </si>
  <si>
    <t>@rorstill</t>
  </si>
  <si>
    <t>@gmendiratta</t>
  </si>
  <si>
    <t>@NochumsonPC</t>
  </si>
  <si>
    <t>@bridgesatharris</t>
  </si>
  <si>
    <t>@fixitphinney</t>
  </si>
  <si>
    <t>@JohninPhoenix</t>
  </si>
  <si>
    <t>@foreverfreebies</t>
  </si>
  <si>
    <t>@azatty</t>
  </si>
  <si>
    <t>@EliteRvRentals1</t>
  </si>
  <si>
    <t>@AnthonyKirlew</t>
  </si>
  <si>
    <t>@containerpedia</t>
  </si>
  <si>
    <t>@SociallySynced</t>
  </si>
  <si>
    <t>@SWlowerbuckeye</t>
  </si>
  <si>
    <t>@TheSocialHome</t>
  </si>
  <si>
    <t>@SWglendale</t>
  </si>
  <si>
    <t>@SWphoenixaz</t>
  </si>
  <si>
    <t>@kimkomando</t>
  </si>
  <si>
    <t>Libsyn On-Publish</t>
  </si>
  <si>
    <t>@JasonNark</t>
  </si>
  <si>
    <t>@BreakingBurgh</t>
  </si>
  <si>
    <t>@burghrent</t>
  </si>
  <si>
    <t>@mattlucasDOTme</t>
  </si>
  <si>
    <t>@icantfindmarta</t>
  </si>
  <si>
    <t>@KauaiOUTSIDE</t>
  </si>
  <si>
    <t>@TradeStation</t>
  </si>
  <si>
    <t>@SuitesFenicia</t>
  </si>
  <si>
    <t>@KHBorgstrom</t>
  </si>
  <si>
    <t>@Casita_MARyPOSA</t>
  </si>
  <si>
    <t>@LivingPocono</t>
  </si>
  <si>
    <t>@linchikwok</t>
  </si>
  <si>
    <t>@city_ponca</t>
  </si>
  <si>
    <t>@GreenBlaster1</t>
  </si>
  <si>
    <t>@PortHouseNia</t>
  </si>
  <si>
    <t>@farm_retreat</t>
  </si>
  <si>
    <t>@Chicago_Scanner</t>
  </si>
  <si>
    <t>@12MileGeo</t>
  </si>
  <si>
    <t>@HimanshuHJ</t>
  </si>
  <si>
    <t>@SarahBott</t>
  </si>
  <si>
    <t>@JamieLSchultz</t>
  </si>
  <si>
    <t>@NmotionTravel</t>
  </si>
  <si>
    <t>@PortlandFoodAdv</t>
  </si>
  <si>
    <t>@DavidsonHGroup</t>
  </si>
  <si>
    <t>@Jesssica_Rabbit</t>
  </si>
  <si>
    <t>@CarriBugbee</t>
  </si>
  <si>
    <t>@county_country</t>
  </si>
  <si>
    <t>@AssistAmerica</t>
  </si>
  <si>
    <t>@Visit_Veronika</t>
  </si>
  <si>
    <t>@CasaViajeros</t>
  </si>
  <si>
    <t>@therealdhagen</t>
  </si>
  <si>
    <t>@fer7480</t>
  </si>
  <si>
    <t>@Fresno_Famous</t>
  </si>
  <si>
    <t>@thelagoonhouse</t>
  </si>
  <si>
    <t>@VallartaStays</t>
  </si>
  <si>
    <t>@alila_pv</t>
  </si>
  <si>
    <t>@LeadingConcierg</t>
  </si>
  <si>
    <t>@murakamiwood</t>
  </si>
  <si>
    <t>@thekevinwang</t>
  </si>
  <si>
    <t>@TimSmit38591643</t>
  </si>
  <si>
    <t>@yychawksacademy</t>
  </si>
  <si>
    <t>@Jaycee_McC</t>
  </si>
  <si>
    <t>@GCFLearnFree</t>
  </si>
  <si>
    <t>@OlenIII</t>
  </si>
  <si>
    <t>@CreateGreatArt</t>
  </si>
  <si>
    <t>@Adam12Sweathog</t>
  </si>
  <si>
    <t>@Allen_Coin</t>
  </si>
  <si>
    <t>@SWrancho</t>
  </si>
  <si>
    <t>@SoldByCarolyne</t>
  </si>
  <si>
    <t>@swcucamonga</t>
  </si>
  <si>
    <t>@Susan_Foster_</t>
  </si>
  <si>
    <t>@rodolfoguillenu</t>
  </si>
  <si>
    <t>@DanielKearsey</t>
  </si>
  <si>
    <t>@CORE_rdg</t>
  </si>
  <si>
    <t>@poonisms</t>
  </si>
  <si>
    <t>@KatherineHermes</t>
  </si>
  <si>
    <t>@thedancingspiri</t>
  </si>
  <si>
    <t>@JSQUAREDRVA</t>
  </si>
  <si>
    <t>@investforever</t>
  </si>
  <si>
    <t>@Missyfish930</t>
  </si>
  <si>
    <t>@marlisaaaaaa_</t>
  </si>
  <si>
    <t>@boese_brett</t>
  </si>
  <si>
    <t>@e_moriuchi</t>
  </si>
  <si>
    <t>@HaleeWithaFlair</t>
  </si>
  <si>
    <t>Periscope</t>
  </si>
  <si>
    <t>@Hkula1191</t>
  </si>
  <si>
    <t>@FinneganRealto1</t>
  </si>
  <si>
    <t>@TheIotWarehouse</t>
  </si>
  <si>
    <t>@bw254981</t>
  </si>
  <si>
    <t>@RealFakeMattK</t>
  </si>
  <si>
    <t>@mickfromsvg</t>
  </si>
  <si>
    <t>@TheWhiteHouseS2</t>
  </si>
  <si>
    <t>@HH_Magazine</t>
  </si>
  <si>
    <t>@ChimarraoMate</t>
  </si>
  <si>
    <t>@daniel_sellers</t>
  </si>
  <si>
    <t>@Ross_Quintana</t>
  </si>
  <si>
    <t>SmarterQueue</t>
  </si>
  <si>
    <t>@Werkin_Artist</t>
  </si>
  <si>
    <t>@thetraveledchef</t>
  </si>
  <si>
    <t>@MCrashpad</t>
  </si>
  <si>
    <t>@KKnightRealtor</t>
  </si>
  <si>
    <t>@StaysCity</t>
  </si>
  <si>
    <t>@marquez817</t>
  </si>
  <si>
    <t>@nitr0usmx</t>
  </si>
  <si>
    <t>@Padre_Pat</t>
  </si>
  <si>
    <t>@FutureWorkforce</t>
  </si>
  <si>
    <t>@TonyUtweets</t>
  </si>
  <si>
    <t>@hulivili</t>
  </si>
  <si>
    <t>@eaglelensphoto</t>
  </si>
  <si>
    <t>@RiaOtero</t>
  </si>
  <si>
    <t>@truehotelguru</t>
  </si>
  <si>
    <t>@AlcazarCourt</t>
  </si>
  <si>
    <t>@jyotisarolia</t>
  </si>
  <si>
    <t>@Nealocus</t>
  </si>
  <si>
    <t>@2DadsWBaggage</t>
  </si>
  <si>
    <t>@RTWgirl_</t>
  </si>
  <si>
    <t>@RingoFirefly</t>
  </si>
  <si>
    <t>@SWPrincessView</t>
  </si>
  <si>
    <t>@SWlajolla</t>
  </si>
  <si>
    <t>@SWcarmelmtn</t>
  </si>
  <si>
    <t>@SWscrippsranch</t>
  </si>
  <si>
    <t>@StarterPad</t>
  </si>
  <si>
    <t>DoSocial.com</t>
  </si>
  <si>
    <t>@mdmv</t>
  </si>
  <si>
    <t>@nlabarbera</t>
  </si>
  <si>
    <t>@SFBusinessTimes</t>
  </si>
  <si>
    <t>@ReLISTO</t>
  </si>
  <si>
    <t>@SFNewsfeedus</t>
  </si>
  <si>
    <t>@hugoburet</t>
  </si>
  <si>
    <t>@BruceMirken</t>
  </si>
  <si>
    <t>@gfabre_digital</t>
  </si>
  <si>
    <t>NewsKrunch</t>
  </si>
  <si>
    <t>@AnitaMJohnson</t>
  </si>
  <si>
    <t>@MaxAgilityCorp</t>
  </si>
  <si>
    <t>@jluisbriones</t>
  </si>
  <si>
    <t>@MThakkar_</t>
  </si>
  <si>
    <t>@sirkamran32</t>
  </si>
  <si>
    <t>@dailybnbsf</t>
  </si>
  <si>
    <t>@AirbnbMedia</t>
  </si>
  <si>
    <t>@BabyQuipCorp</t>
  </si>
  <si>
    <t>@Woo_io</t>
  </si>
  <si>
    <t>@sf_haiku</t>
  </si>
  <si>
    <t>@hostfully_</t>
  </si>
  <si>
    <t>@YesPropF</t>
  </si>
  <si>
    <t>@sylvie_b</t>
  </si>
  <si>
    <t>@mjebrini</t>
  </si>
  <si>
    <t>@CodersEspresso</t>
  </si>
  <si>
    <t>@AirbnbEng</t>
  </si>
  <si>
    <t>@albertfong98</t>
  </si>
  <si>
    <t>@imNikParekh</t>
  </si>
  <si>
    <t>@chenyuz</t>
  </si>
  <si>
    <t>@jewishsf</t>
  </si>
  <si>
    <t>@desmondyuen1</t>
  </si>
  <si>
    <t>@Orin_Ideas</t>
  </si>
  <si>
    <t>@pineapplesfd</t>
  </si>
  <si>
    <t>@brookskcbsradio</t>
  </si>
  <si>
    <t>@letulettoday</t>
  </si>
  <si>
    <t>@ExploreBit</t>
  </si>
  <si>
    <t>@ManageCasa</t>
  </si>
  <si>
    <t>@HomeSharePros</t>
  </si>
  <si>
    <t>@coconut_cam</t>
  </si>
  <si>
    <t>@dalkatan</t>
  </si>
  <si>
    <t>@AirCoHosts</t>
  </si>
  <si>
    <t>@woodzio</t>
  </si>
  <si>
    <t>@HC1201</t>
  </si>
  <si>
    <t>@WCCRentals</t>
  </si>
  <si>
    <t>@AiymanHadi</t>
  </si>
  <si>
    <t>@GoLeftMitali</t>
  </si>
  <si>
    <t>@BambiBellina</t>
  </si>
  <si>
    <t>@thespiansfo</t>
  </si>
  <si>
    <t>@OreaHM1997</t>
  </si>
  <si>
    <t>@jenTCM</t>
  </si>
  <si>
    <t>@GoldenGateTrail</t>
  </si>
  <si>
    <t>@naashonomics</t>
  </si>
  <si>
    <t>@yattsiapp</t>
  </si>
  <si>
    <t>@DaleWRealtor</t>
  </si>
  <si>
    <t>@2desitravelers</t>
  </si>
  <si>
    <t>@carolynn_Hope</t>
  </si>
  <si>
    <t>@MarioGudiel6</t>
  </si>
  <si>
    <t>@ivan_life</t>
  </si>
  <si>
    <t>@cherylferraro</t>
  </si>
  <si>
    <t>@PuertoRicoRent</t>
  </si>
  <si>
    <t>@llauradocs</t>
  </si>
  <si>
    <t>@swsanmarcosca</t>
  </si>
  <si>
    <t>@Darrencmanjones</t>
  </si>
  <si>
    <t>@SofaOutlet</t>
  </si>
  <si>
    <t>@UP2Save</t>
  </si>
  <si>
    <t>@drveresh</t>
  </si>
  <si>
    <t>@kooop</t>
  </si>
  <si>
    <t>@pingwest</t>
  </si>
  <si>
    <t>@ActivateWorld</t>
  </si>
  <si>
    <t>@ZumblyOfficial</t>
  </si>
  <si>
    <t>@GoldenCapital1</t>
  </si>
  <si>
    <t>@Mediakix</t>
  </si>
  <si>
    <t>@hunterlong1337</t>
  </si>
  <si>
    <t>@MoneyShows</t>
  </si>
  <si>
    <t>@MargieAbernethy</t>
  </si>
  <si>
    <t>Postfity.com</t>
  </si>
  <si>
    <t>@lakeandtrack</t>
  </si>
  <si>
    <t>@AzresortL</t>
  </si>
  <si>
    <t>@SWairpark</t>
  </si>
  <si>
    <t>@h_scottsdale</t>
  </si>
  <si>
    <t>@parsonsvillas</t>
  </si>
  <si>
    <t>@visockis_angela</t>
  </si>
  <si>
    <t>@JoelTaubman</t>
  </si>
  <si>
    <t>@swscottsdale</t>
  </si>
  <si>
    <t>@CrochetQueen23</t>
  </si>
  <si>
    <t>@MikeBarbre</t>
  </si>
  <si>
    <t>@360modern</t>
  </si>
  <si>
    <t>@NailsbyKatieG</t>
  </si>
  <si>
    <t>@TomSchabarum</t>
  </si>
  <si>
    <t>@NadirRealEstate</t>
  </si>
  <si>
    <t>@Angie_LK</t>
  </si>
  <si>
    <t>@indieartsvoice</t>
  </si>
  <si>
    <t>@casewrites</t>
  </si>
  <si>
    <t>@suzi123</t>
  </si>
  <si>
    <t>@KipBoyle</t>
  </si>
  <si>
    <t>@tillermoney</t>
  </si>
  <si>
    <t>@skyrien</t>
  </si>
  <si>
    <t>@drquickbooks</t>
  </si>
  <si>
    <t>@paprikaangel</t>
  </si>
  <si>
    <t>@drauniyar</t>
  </si>
  <si>
    <t>@VacationSedona</t>
  </si>
  <si>
    <t>@verycosmic</t>
  </si>
  <si>
    <t>@blue_cabins</t>
  </si>
  <si>
    <t>@jmetzler</t>
  </si>
  <si>
    <t>@ButchDeal</t>
  </si>
  <si>
    <t>@arieabekasis</t>
  </si>
  <si>
    <t>@robertbalina</t>
  </si>
  <si>
    <t>@AdvanceVentures</t>
  </si>
  <si>
    <t>@StephanieRahlfs</t>
  </si>
  <si>
    <t>@KevinKhoi_EXP</t>
  </si>
  <si>
    <t>@TheTechJournal</t>
  </si>
  <si>
    <t>Nelio Content</t>
  </si>
  <si>
    <t>@rockiesproperty</t>
  </si>
  <si>
    <t>@playstaytahoe</t>
  </si>
  <si>
    <t>@SkyValleyRanch</t>
  </si>
  <si>
    <t>@jcallina</t>
  </si>
  <si>
    <t>@jaynness_</t>
  </si>
  <si>
    <t>@korreyladeroute</t>
  </si>
  <si>
    <t>@cottage_green</t>
  </si>
  <si>
    <t>@conspeared</t>
  </si>
  <si>
    <t>@AnxZenity</t>
  </si>
  <si>
    <t>@miamiquacks</t>
  </si>
  <si>
    <t>@PSPilates</t>
  </si>
  <si>
    <t>@Inspira_Mktg</t>
  </si>
  <si>
    <t>@30aHomeAway</t>
  </si>
  <si>
    <t>@Merton_G3</t>
  </si>
  <si>
    <t>@SoCalRealty1</t>
  </si>
  <si>
    <t>@mattg1184</t>
  </si>
  <si>
    <t>@HenlawSWFL</t>
  </si>
  <si>
    <t>@SpCoLibraryDist</t>
  </si>
  <si>
    <t>@SWspringvalley</t>
  </si>
  <si>
    <t>@Convcottagebnb</t>
  </si>
  <si>
    <t>@houstontxtravel</t>
  </si>
  <si>
    <t>@pwscout2</t>
  </si>
  <si>
    <t>@charisaslenker</t>
  </si>
  <si>
    <t>@StAugToDo</t>
  </si>
  <si>
    <t>@liveitwell2day</t>
  </si>
  <si>
    <t>@Gabtron92</t>
  </si>
  <si>
    <t>@MidwestCoastCap</t>
  </si>
  <si>
    <t>@IrieVybezGear</t>
  </si>
  <si>
    <t>@mdbergin</t>
  </si>
  <si>
    <t>@vicaribhomestay</t>
  </si>
  <si>
    <t>@lighthouse50215</t>
  </si>
  <si>
    <t>@VisitStA</t>
  </si>
  <si>
    <t>@bradleyjkaffar</t>
  </si>
  <si>
    <t>@RavineVineyard</t>
  </si>
  <si>
    <t>@CBCNL</t>
  </si>
  <si>
    <t>@reneata30</t>
  </si>
  <si>
    <t>@jpetramala</t>
  </si>
  <si>
    <t>@moniboyce</t>
  </si>
  <si>
    <t>@BAMportraits</t>
  </si>
  <si>
    <t>@heystaxe</t>
  </si>
  <si>
    <t>@DebbieBrandt1</t>
  </si>
  <si>
    <t>@swwestsurprise</t>
  </si>
  <si>
    <t>@swsurprise</t>
  </si>
  <si>
    <t>@eri_viz</t>
  </si>
  <si>
    <t>@WWJ13</t>
  </si>
  <si>
    <t>@MSardy</t>
  </si>
  <si>
    <t>@ROGTurnKey</t>
  </si>
  <si>
    <t>@CrossHare</t>
  </si>
  <si>
    <t>@siennawebdesign</t>
  </si>
  <si>
    <t>@sam_in_the_city</t>
  </si>
  <si>
    <t>@beachterp</t>
  </si>
  <si>
    <t>Linky for iOS</t>
  </si>
  <si>
    <t>@NGTampa</t>
  </si>
  <si>
    <t>@DRVGXNKXNG</t>
  </si>
  <si>
    <t>@AvalexDynamics</t>
  </si>
  <si>
    <t>@staceychais</t>
  </si>
  <si>
    <t>@vikramgk</t>
  </si>
  <si>
    <t>@Shields_1511</t>
  </si>
  <si>
    <t>@TampaEFL</t>
  </si>
  <si>
    <t>@TBBJVeronica</t>
  </si>
  <si>
    <t>@PowderhornVR</t>
  </si>
  <si>
    <t>@taoslifestyle</t>
  </si>
  <si>
    <t>@ReferralsSFVBA</t>
  </si>
  <si>
    <t>@withCompassion</t>
  </si>
  <si>
    <t>@JessicaAbrego15</t>
  </si>
  <si>
    <t>@tvsunorg</t>
  </si>
  <si>
    <t>@MattMeanders</t>
  </si>
  <si>
    <t>@SWtempeaz</t>
  </si>
  <si>
    <t>@christyspackman</t>
  </si>
  <si>
    <t>@swbaseline</t>
  </si>
  <si>
    <t>@Bishop_Cook_</t>
  </si>
  <si>
    <t>@basecamptexas</t>
  </si>
  <si>
    <t>@ParisRentAparts</t>
  </si>
  <si>
    <t>@KFSullyTweets</t>
  </si>
  <si>
    <t>@ByGlena</t>
  </si>
  <si>
    <t>@YvetteCOfficial</t>
  </si>
  <si>
    <t>@GigWage</t>
  </si>
  <si>
    <t>@FrozenBoxLive</t>
  </si>
  <si>
    <t>@SheilaCallaham</t>
  </si>
  <si>
    <t>@punkrocklib</t>
  </si>
  <si>
    <t>@Finoit</t>
  </si>
  <si>
    <t>@k10wilson</t>
  </si>
  <si>
    <t>@EMarshallVlog</t>
  </si>
  <si>
    <t>@Deana7ds</t>
  </si>
  <si>
    <t>@JWB28</t>
  </si>
  <si>
    <t>@VoodooVan</t>
  </si>
  <si>
    <t>@dougumberger</t>
  </si>
  <si>
    <t>@TMBCollier</t>
  </si>
  <si>
    <t>@AbaloneBayVR</t>
  </si>
  <si>
    <t>@mtnbvan</t>
  </si>
  <si>
    <t>@nicholson_chad</t>
  </si>
  <si>
    <t>@robbiebrinkley1</t>
  </si>
  <si>
    <t>@psk2329</t>
  </si>
  <si>
    <t>@SWNorthpointe</t>
  </si>
  <si>
    <t>@LuisPonceTO</t>
  </si>
  <si>
    <t>@dkrussell61</t>
  </si>
  <si>
    <t>@Shanfaraa</t>
  </si>
  <si>
    <t>@twieditz</t>
  </si>
  <si>
    <t>@seanbeckingham</t>
  </si>
  <si>
    <t>@Matrraka</t>
  </si>
  <si>
    <t>@PeterOudejans</t>
  </si>
  <si>
    <t>@Vodarek</t>
  </si>
  <si>
    <t>@Travel_boomer</t>
  </si>
  <si>
    <t>@TOproh</t>
  </si>
  <si>
    <t>@JohnOCAP</t>
  </si>
  <si>
    <t>@JamieGosse</t>
  </si>
  <si>
    <t>@Mr3ztime</t>
  </si>
  <si>
    <t>@tomryanauthor</t>
  </si>
  <si>
    <t>@hinakalam</t>
  </si>
  <si>
    <t>@urbaneer</t>
  </si>
  <si>
    <t>Twitter for BlackBerry</t>
  </si>
  <si>
    <t>@daleethompson</t>
  </si>
  <si>
    <t>@digitaljournal</t>
  </si>
  <si>
    <t>@HayleyDynes</t>
  </si>
  <si>
    <t>@Torontonicity</t>
  </si>
  <si>
    <t>@RobertJGabriel</t>
  </si>
  <si>
    <t>@Building_mag</t>
  </si>
  <si>
    <t>@LisaVYYZ</t>
  </si>
  <si>
    <t>@JoeManfredi</t>
  </si>
  <si>
    <t>@BenFenlon</t>
  </si>
  <si>
    <t>@andrea_was</t>
  </si>
  <si>
    <t>@melodyhaghayegh</t>
  </si>
  <si>
    <t>@agsadtdealer</t>
  </si>
  <si>
    <t>@LanewayBuilder</t>
  </si>
  <si>
    <t>@KadeDavies</t>
  </si>
  <si>
    <t>@nowtoronto</t>
  </si>
  <si>
    <t>@certus_trading</t>
  </si>
  <si>
    <t>@StephHughesDBRS</t>
  </si>
  <si>
    <t>@xraytext</t>
  </si>
  <si>
    <t>@LindseyScully</t>
  </si>
  <si>
    <t>@IgorCameloF</t>
  </si>
  <si>
    <t>@SPPlusToronto</t>
  </si>
  <si>
    <t>@AromatherapyTO</t>
  </si>
  <si>
    <t>@savage_prom0</t>
  </si>
  <si>
    <t>@airbusybee</t>
  </si>
  <si>
    <t>@AndreiZodian</t>
  </si>
  <si>
    <t>@nisti2</t>
  </si>
  <si>
    <t>@athenareich</t>
  </si>
  <si>
    <t>@ShadiYazdan</t>
  </si>
  <si>
    <t>@andes_str</t>
  </si>
  <si>
    <t>@randyfmcdonald</t>
  </si>
  <si>
    <t>@areacode416</t>
  </si>
  <si>
    <t>@WhatsUpTOMag</t>
  </si>
  <si>
    <t>@kristynwongtam</t>
  </si>
  <si>
    <t>@PrefConvSvcs</t>
  </si>
  <si>
    <t>@MahendraSnoopy</t>
  </si>
  <si>
    <t>@thefour910</t>
  </si>
  <si>
    <t>@StonebrookVista</t>
  </si>
  <si>
    <t>@PunkRockPippy</t>
  </si>
  <si>
    <t>@tuckerballister</t>
  </si>
  <si>
    <t>@rtehrani</t>
  </si>
  <si>
    <t>@AlanDayAuthor</t>
  </si>
  <si>
    <t>@AutumnKCampbell</t>
  </si>
  <si>
    <t>@imaginetulum</t>
  </si>
  <si>
    <t>@IamRanaldo</t>
  </si>
  <si>
    <t>@belladaniel</t>
  </si>
  <si>
    <t>@beyrima</t>
  </si>
  <si>
    <t>@lauralino</t>
  </si>
  <si>
    <t>@Kimspiracy1</t>
  </si>
  <si>
    <t>@TinyHomesRule</t>
  </si>
  <si>
    <t>@venturecompany</t>
  </si>
  <si>
    <t>TVC WP-to-tweet</t>
  </si>
  <si>
    <t>@bnbprogram</t>
  </si>
  <si>
    <t>@JamesMoonLaw</t>
  </si>
  <si>
    <t>@LASavage15</t>
  </si>
  <si>
    <t>@GorillaMentor</t>
  </si>
  <si>
    <t>@CouponFleek</t>
  </si>
  <si>
    <t>@cbizVRI</t>
  </si>
  <si>
    <t>@AMYCREDITGIRL</t>
  </si>
  <si>
    <t>@escoutmeUSA</t>
  </si>
  <si>
    <t>@ReneeMelanin1</t>
  </si>
  <si>
    <t>@ipaintcomics</t>
  </si>
  <si>
    <t>@5MonthsApart</t>
  </si>
  <si>
    <t>@DomesticPodcast</t>
  </si>
  <si>
    <t>@BubbleHutsLLC</t>
  </si>
  <si>
    <t>@50Campfires</t>
  </si>
  <si>
    <t>@REI2day</t>
  </si>
  <si>
    <t>@DustinJenk</t>
  </si>
  <si>
    <t>@ItsChristiQ</t>
  </si>
  <si>
    <t>@Nexcloudz1231</t>
  </si>
  <si>
    <t>@innerDemons89</t>
  </si>
  <si>
    <t>@MunichRe_US</t>
  </si>
  <si>
    <t>@Susan15230373</t>
  </si>
  <si>
    <t>@VernaPolitics</t>
  </si>
  <si>
    <t>@unminced11</t>
  </si>
  <si>
    <t>@SixSagesGaming</t>
  </si>
  <si>
    <t>@AOC_Security</t>
  </si>
  <si>
    <t>@4nonM</t>
  </si>
  <si>
    <t>@jaredmarinlopez</t>
  </si>
  <si>
    <t>@SK_Sleuth</t>
  </si>
  <si>
    <t>@DMidnightDoc</t>
  </si>
  <si>
    <t>@Syncbnb</t>
  </si>
  <si>
    <t>@LogicSpice</t>
  </si>
  <si>
    <t>@KsThoughtPalace</t>
  </si>
  <si>
    <t>@realSatish</t>
  </si>
  <si>
    <t>@WeThinkRealty</t>
  </si>
  <si>
    <t>@5starstagers</t>
  </si>
  <si>
    <t>@iliketodabble</t>
  </si>
  <si>
    <t>@FloteInc</t>
  </si>
  <si>
    <t>@autismplusmath</t>
  </si>
  <si>
    <t>@pattiremax200</t>
  </si>
  <si>
    <t>@MB7Art</t>
  </si>
  <si>
    <t>@roswell787</t>
  </si>
  <si>
    <t>@unitehere</t>
  </si>
  <si>
    <t>@realIMSirius</t>
  </si>
  <si>
    <t>@AmterKevin</t>
  </si>
  <si>
    <t>@JoeLebosi</t>
  </si>
  <si>
    <t>@UW_CSTV</t>
  </si>
  <si>
    <t>@simpson_sherri</t>
  </si>
  <si>
    <t>@Review_Dingo</t>
  </si>
  <si>
    <t>@WillowCreekCape</t>
  </si>
  <si>
    <t>@Nellielabellgm1</t>
  </si>
  <si>
    <t>@JulianaLoBiondo</t>
  </si>
  <si>
    <t>@AGoodMansWife</t>
  </si>
  <si>
    <t>@MultiCareerGirl</t>
  </si>
  <si>
    <t>@AltexSoft</t>
  </si>
  <si>
    <t>@DirigoPost</t>
  </si>
  <si>
    <t>@BorisPaloma</t>
  </si>
  <si>
    <t>@Go2WebMarketing</t>
  </si>
  <si>
    <t>@smsold</t>
  </si>
  <si>
    <t>@ClaytonReid</t>
  </si>
  <si>
    <t>@IoENews</t>
  </si>
  <si>
    <t>@karangoenka2</t>
  </si>
  <si>
    <t>@travelingtck</t>
  </si>
  <si>
    <t>@usacustomers</t>
  </si>
  <si>
    <t>@cgershonrn</t>
  </si>
  <si>
    <t>@LAinFlight</t>
  </si>
  <si>
    <t>@tigerladies</t>
  </si>
  <si>
    <t>@sherde01</t>
  </si>
  <si>
    <t>@IrisisRadtastic</t>
  </si>
  <si>
    <t>@Brainvire</t>
  </si>
  <si>
    <t>@rchansen80</t>
  </si>
  <si>
    <t>@Supercords</t>
  </si>
  <si>
    <t>@RickyV28103617</t>
  </si>
  <si>
    <t>@WhitelawRigging</t>
  </si>
  <si>
    <t>@8thSonofOsiris</t>
  </si>
  <si>
    <t>@DailyHiveVan</t>
  </si>
  <si>
    <t>@ctourismcollege</t>
  </si>
  <si>
    <t>@mag_mei</t>
  </si>
  <si>
    <t>@KarlSellsHomes</t>
  </si>
  <si>
    <t>@iChinadian</t>
  </si>
  <si>
    <t>@janeadevine</t>
  </si>
  <si>
    <t>@writerly_dee</t>
  </si>
  <si>
    <t>@mrbestrealty</t>
  </si>
  <si>
    <t>@AJ_The_Actor</t>
  </si>
  <si>
    <t>@formatnoauto</t>
  </si>
  <si>
    <t>@DebbieGajdosik</t>
  </si>
  <si>
    <t>@CertiStay1</t>
  </si>
  <si>
    <t>@michelle_eliot</t>
  </si>
  <si>
    <t>@airgms</t>
  </si>
  <si>
    <t>@JerryJJJJJJJ</t>
  </si>
  <si>
    <t>@vanSTRaction</t>
  </si>
  <si>
    <t>@yarostarak</t>
  </si>
  <si>
    <t>@YaletownGroup</t>
  </si>
  <si>
    <t>@xiong_daisy</t>
  </si>
  <si>
    <t>@LidLube</t>
  </si>
  <si>
    <t>@howtotravelbest</t>
  </si>
  <si>
    <t>@POST_84</t>
  </si>
  <si>
    <t>@Miteymiss</t>
  </si>
  <si>
    <t>@robinesrock</t>
  </si>
  <si>
    <t>@shop_grrl</t>
  </si>
  <si>
    <t>@aBundleHQ</t>
  </si>
  <si>
    <t>@swampmusicinfo</t>
  </si>
  <si>
    <t>@SpitzenCleaning</t>
  </si>
  <si>
    <t>@jiminalizm</t>
  </si>
  <si>
    <t>@xSerafinii</t>
  </si>
  <si>
    <t>Tweetbot for iΟS</t>
  </si>
  <si>
    <t>@TambalaStrategy</t>
  </si>
  <si>
    <t>@hannahbillings</t>
  </si>
  <si>
    <t>@SouthsideDaily</t>
  </si>
  <si>
    <t>@DeerHideout</t>
  </si>
  <si>
    <t>@dreamtoipo</t>
  </si>
  <si>
    <t>@sonny_shad</t>
  </si>
  <si>
    <t>@soysuperpapa</t>
  </si>
  <si>
    <t>@CasaMeily</t>
  </si>
  <si>
    <t>@theelvishouse</t>
  </si>
  <si>
    <t>@kiheicondoking</t>
  </si>
  <si>
    <t>@CRobX21</t>
  </si>
  <si>
    <t>@LeonaPartis</t>
  </si>
  <si>
    <t>@AlpineMade</t>
  </si>
  <si>
    <t>@TSMWoodwork</t>
  </si>
  <si>
    <t>@RedheadedWritin</t>
  </si>
  <si>
    <t>@PalestineChron</t>
  </si>
  <si>
    <t>@NetworksManager</t>
  </si>
  <si>
    <t>@CapstoneStrat</t>
  </si>
  <si>
    <t>@sdmcmaster</t>
  </si>
  <si>
    <t>@fjwakron</t>
  </si>
  <si>
    <t>@DonteeW</t>
  </si>
  <si>
    <t>@LeoLainez_</t>
  </si>
  <si>
    <t>@Daroff</t>
  </si>
  <si>
    <t>@4JRealEstate</t>
  </si>
  <si>
    <t>@moeshesha</t>
  </si>
  <si>
    <t>@ElianasLight</t>
  </si>
  <si>
    <t>@AlMonitor</t>
  </si>
  <si>
    <t>@crypticvalentin</t>
  </si>
  <si>
    <t>@jacksonrichman</t>
  </si>
  <si>
    <t>@GeeboAds</t>
  </si>
  <si>
    <t>@MtVernonTri</t>
  </si>
  <si>
    <t>@GrowthEngineers</t>
  </si>
  <si>
    <t>@UrbConDC</t>
  </si>
  <si>
    <t>@AuroraReinke</t>
  </si>
  <si>
    <t>@JonoAnzalone</t>
  </si>
  <si>
    <t>@HarryAlford3</t>
  </si>
  <si>
    <t>@jowartist</t>
  </si>
  <si>
    <t>@DiningTraveler</t>
  </si>
  <si>
    <t>@petulad</t>
  </si>
  <si>
    <t>@NewsWatchTV</t>
  </si>
  <si>
    <t>@we_wonderstruck</t>
  </si>
  <si>
    <t>@juliepeak</t>
  </si>
  <si>
    <t>@hurdlr</t>
  </si>
  <si>
    <t>@PLMuse</t>
  </si>
  <si>
    <t>@Lori_Himmelman</t>
  </si>
  <si>
    <t>@SylviaPondPhoto</t>
  </si>
  <si>
    <t>@DerekVolle</t>
  </si>
  <si>
    <t>@ahaInsuranceNow</t>
  </si>
  <si>
    <t>@whimsley</t>
  </si>
  <si>
    <t>@Nitrozac</t>
  </si>
  <si>
    <t>@cecib8</t>
  </si>
  <si>
    <t>@ForestLakesNS</t>
  </si>
  <si>
    <t>@JamiesonHill</t>
  </si>
  <si>
    <t>@Luis_Realtor</t>
  </si>
  <si>
    <t>@Cre8NovaScotia</t>
  </si>
  <si>
    <t>@kinolina</t>
  </si>
  <si>
    <t>@pbsracerx1908</t>
  </si>
  <si>
    <t>@aol_letty</t>
  </si>
  <si>
    <t>@pevomat</t>
  </si>
  <si>
    <t>@associatesrpm</t>
  </si>
  <si>
    <t>@CoupevilleVRBO</t>
  </si>
  <si>
    <t>@SOLDBYBRYANT</t>
  </si>
  <si>
    <t>@MariaCoxFarm</t>
  </si>
  <si>
    <t>@Robert_Doolan</t>
  </si>
  <si>
    <t>@WaterWalkApts</t>
  </si>
  <si>
    <t>@TheCaptainSuite</t>
  </si>
  <si>
    <t>@CapeCurbSide</t>
  </si>
  <si>
    <t>@BREGProperties</t>
  </si>
  <si>
    <t>@tinyhomesofme</t>
  </si>
  <si>
    <t>@PMI_Maine</t>
  </si>
  <si>
    <t>@IAMODMK</t>
  </si>
  <si>
    <t>@SuiteSpotStays</t>
  </si>
  <si>
    <t>@photographywpg</t>
  </si>
  <si>
    <t>@Zero_House</t>
  </si>
  <si>
    <t>@RusticRetreats1</t>
  </si>
  <si>
    <t>@ExcitingAds</t>
  </si>
  <si>
    <t>@LyddyMartin</t>
  </si>
  <si>
    <t>@PraiasG</t>
  </si>
  <si>
    <t>@vitariz</t>
  </si>
  <si>
    <t>@hdlf</t>
  </si>
  <si>
    <t>@ClemenGonzalez8</t>
  </si>
  <si>
    <t>@GranadosMillan</t>
  </si>
  <si>
    <t>@ManuelSolartes</t>
  </si>
  <si>
    <t>@IvanOliveros19</t>
  </si>
  <si>
    <t>@JulianoZero</t>
  </si>
  <si>
    <t>@atencio82</t>
  </si>
  <si>
    <t>@Claudiaruiz</t>
  </si>
  <si>
    <t>@ColombianaExper</t>
  </si>
  <si>
    <t>@cfretreats</t>
  </si>
  <si>
    <t>@runakay502</t>
  </si>
  <si>
    <t>@telesurenglish</t>
  </si>
  <si>
    <t>@fabioturis</t>
  </si>
  <si>
    <t>@rioconcierge</t>
  </si>
  <si>
    <t>@passosdoturismo</t>
  </si>
  <si>
    <t>@matrizderisco</t>
  </si>
  <si>
    <t>@LaCafecita</t>
  </si>
  <si>
    <t>@BuddhavillaA</t>
  </si>
  <si>
    <t>@BenKrako</t>
  </si>
  <si>
    <t>@LuxuryAirbnb</t>
  </si>
  <si>
    <t>@BrazilAirbnbSP</t>
  </si>
  <si>
    <t>@nashschultz</t>
  </si>
  <si>
    <t>@SaoPauloTravels</t>
  </si>
  <si>
    <t>@juanitahong</t>
  </si>
  <si>
    <t>@veryitchyfeet</t>
  </si>
  <si>
    <t>@fernandommansur</t>
  </si>
  <si>
    <t>@CasaGalpy</t>
  </si>
  <si>
    <t>@aireboho</t>
  </si>
  <si>
    <t>@agreenebrand</t>
  </si>
  <si>
    <t>@pastoradhennys</t>
  </si>
  <si>
    <t>@GladysMalave6</t>
  </si>
  <si>
    <t>@brasuaramon</t>
  </si>
  <si>
    <t>@OysteerNZ</t>
  </si>
  <si>
    <t>@Boweavel</t>
  </si>
  <si>
    <t>@MadeComfyau</t>
  </si>
  <si>
    <t>@SCUonline</t>
  </si>
  <si>
    <t>@Marie_S_Nieves</t>
  </si>
  <si>
    <t>@tneeface</t>
  </si>
  <si>
    <t>@hurricane_int</t>
  </si>
  <si>
    <t>@Y7News</t>
  </si>
  <si>
    <t>@PropertyInABox</t>
  </si>
  <si>
    <t>@lannockstrata</t>
  </si>
  <si>
    <t>@Dukelev</t>
  </si>
  <si>
    <t>@Planographer</t>
  </si>
  <si>
    <t>@ResOnlineCM</t>
  </si>
  <si>
    <t>@danjames71</t>
  </si>
  <si>
    <t>@KidspotSocial</t>
  </si>
  <si>
    <t>Viraltag</t>
  </si>
  <si>
    <t>@holidayhomeAU</t>
  </si>
  <si>
    <t>@AmericKim</t>
  </si>
  <si>
    <t>@ArmouredCosplay</t>
  </si>
  <si>
    <t>@withyoueverystp</t>
  </si>
  <si>
    <t>@ebminsurance</t>
  </si>
  <si>
    <t>@IntrnetRemovals</t>
  </si>
  <si>
    <t>@wadekwright</t>
  </si>
  <si>
    <t>@alianeb</t>
  </si>
  <si>
    <t>@thecreditletter</t>
  </si>
  <si>
    <t>Loomly</t>
  </si>
  <si>
    <t>@LookUpStrata</t>
  </si>
  <si>
    <t>@smyleaus</t>
  </si>
  <si>
    <t>@Tamaretta</t>
  </si>
  <si>
    <t>@7NewsAdelaide</t>
  </si>
  <si>
    <t>@auonlineteacher</t>
  </si>
  <si>
    <t>@DonegalPol</t>
  </si>
  <si>
    <t>@CXC_AUS</t>
  </si>
  <si>
    <t>@GFfinservices</t>
  </si>
  <si>
    <t>@Conmurra2795</t>
  </si>
  <si>
    <t>@austaxter</t>
  </si>
  <si>
    <t>@VosperJaneen</t>
  </si>
  <si>
    <t>@RealEstateTalk</t>
  </si>
  <si>
    <t>@ontrendbridal</t>
  </si>
  <si>
    <t>@markusravik</t>
  </si>
  <si>
    <t>@TferThomas</t>
  </si>
  <si>
    <t>@Barron_Nel</t>
  </si>
  <si>
    <t>@middleagetravel</t>
  </si>
  <si>
    <t>@rwindsorjewels</t>
  </si>
  <si>
    <t>@StephieTheodora</t>
  </si>
  <si>
    <t>@BennerSally</t>
  </si>
  <si>
    <t>@AirbnbCairns</t>
  </si>
  <si>
    <t>@ethadvocate</t>
  </si>
  <si>
    <t>@TulipPenney</t>
  </si>
  <si>
    <t>@foxfold</t>
  </si>
  <si>
    <t>@KatieTT</t>
  </si>
  <si>
    <t>@Bradannii</t>
  </si>
  <si>
    <t>@NZChambo</t>
  </si>
  <si>
    <t>@nzdan007</t>
  </si>
  <si>
    <t>@LiquidLabsAU</t>
  </si>
  <si>
    <t>@codervandal</t>
  </si>
  <si>
    <t>@1001BNB</t>
  </si>
  <si>
    <t>PromoRepublic</t>
  </si>
  <si>
    <t>Planable</t>
  </si>
  <si>
    <t>@SerenaM2194</t>
  </si>
  <si>
    <t>@SamsaraOnline</t>
  </si>
  <si>
    <t>@katinka_c</t>
  </si>
  <si>
    <t>@bluemountainshr</t>
  </si>
  <si>
    <t>@CreativePlanetM</t>
  </si>
  <si>
    <t>@LifeInCamelot</t>
  </si>
  <si>
    <t>@michm</t>
  </si>
  <si>
    <t>@benedictorafael</t>
  </si>
  <si>
    <t>@ElissaDoherty</t>
  </si>
  <si>
    <t>@saraalbostanji</t>
  </si>
  <si>
    <t>@MeetSamhussain</t>
  </si>
  <si>
    <t>@7NewsMelbourne</t>
  </si>
  <si>
    <t>@colossal_l</t>
  </si>
  <si>
    <t>@debjaneforster</t>
  </si>
  <si>
    <t>@MichaJohansen</t>
  </si>
  <si>
    <t>@GittaGoes</t>
  </si>
  <si>
    <t>@ZingaZingAaah</t>
  </si>
  <si>
    <t>@zazzoe</t>
  </si>
  <si>
    <t>@SharmanRose</t>
  </si>
  <si>
    <t>@pixinwanderland</t>
  </si>
  <si>
    <t>@WendyBywaters</t>
  </si>
  <si>
    <t>@waternests</t>
  </si>
  <si>
    <t>@EverestElec</t>
  </si>
  <si>
    <t>@thriftynomads</t>
  </si>
  <si>
    <t>@space3ed</t>
  </si>
  <si>
    <t>@JamieHorneFFX</t>
  </si>
  <si>
    <t>@sporaxis</t>
  </si>
  <si>
    <t>@AussieHotelGuy</t>
  </si>
  <si>
    <t>@cabal0</t>
  </si>
  <si>
    <t>@BankwestCurtin</t>
  </si>
  <si>
    <t>@AssemblyWA</t>
  </si>
  <si>
    <t>@aerosocperth</t>
  </si>
  <si>
    <t>@MingmingCurtin</t>
  </si>
  <si>
    <t>@7NewsPerth</t>
  </si>
  <si>
    <t>@meetookids</t>
  </si>
  <si>
    <t>@realestatqldcat</t>
  </si>
  <si>
    <t>@NirvanaMontvile</t>
  </si>
  <si>
    <t>@7NewsBrisbane</t>
  </si>
  <si>
    <t>@SimonTWolf</t>
  </si>
  <si>
    <t>@bnbhostguru</t>
  </si>
  <si>
    <t>Circleboom</t>
  </si>
  <si>
    <t>@GregHackett1</t>
  </si>
  <si>
    <t>@Lisa_LAbode</t>
  </si>
  <si>
    <t>@DamianNixey</t>
  </si>
  <si>
    <t>@tomerhs</t>
  </si>
  <si>
    <t>@7NewsSydney</t>
  </si>
  <si>
    <t>@MarcinCzyzyk</t>
  </si>
  <si>
    <t>@The_Appraiser</t>
  </si>
  <si>
    <t>@Innatureshands</t>
  </si>
  <si>
    <t>@JSMuellerCo</t>
  </si>
  <si>
    <t>@LAbode_Aus</t>
  </si>
  <si>
    <t>@travel_instinct</t>
  </si>
  <si>
    <t>@clovar</t>
  </si>
  <si>
    <t>@TourismAccom</t>
  </si>
  <si>
    <t>@MatthewEager1</t>
  </si>
  <si>
    <t>@ExpatAussieInNJ</t>
  </si>
  <si>
    <t>@KingstonGroupAu</t>
  </si>
  <si>
    <t>@epragt</t>
  </si>
  <si>
    <t>@AuthenticState</t>
  </si>
  <si>
    <t>@HardlyGospel</t>
  </si>
  <si>
    <t>@DesignEscapes</t>
  </si>
  <si>
    <t>@PittMartinTax</t>
  </si>
  <si>
    <t>@AdvisrAu</t>
  </si>
  <si>
    <t>@oskar_zimmerman</t>
  </si>
  <si>
    <t>@CH_Strategies</t>
  </si>
  <si>
    <t>@LouiseGrimmer</t>
  </si>
  <si>
    <t>@cridonomics</t>
  </si>
  <si>
    <t>@AussieAce_</t>
  </si>
  <si>
    <t>@FDTraveller</t>
  </si>
  <si>
    <t>@SotSideris</t>
  </si>
  <si>
    <t>@the_sparrow_gr</t>
  </si>
  <si>
    <t>@Englishinathens</t>
  </si>
  <si>
    <t>@nerinaki</t>
  </si>
  <si>
    <t>@MariaParavantes</t>
  </si>
  <si>
    <t>@PropertiesFirst</t>
  </si>
  <si>
    <t>@n0v0id</t>
  </si>
  <si>
    <t>Mastodon-Twitter Crossposter</t>
  </si>
  <si>
    <t>@nicheapaim</t>
  </si>
  <si>
    <t>@FreeRangeChalet</t>
  </si>
  <si>
    <t>@AdrianDanPop</t>
  </si>
  <si>
    <t>@TyBeic</t>
  </si>
  <si>
    <t>@telling_things</t>
  </si>
  <si>
    <t>@bedloop</t>
  </si>
  <si>
    <t>@paxpuig</t>
  </si>
  <si>
    <t>@LizaAnalli</t>
  </si>
  <si>
    <t>@LeilZahra</t>
  </si>
  <si>
    <t>@CPMICCBarcelona</t>
  </si>
  <si>
    <t>Adcourier</t>
  </si>
  <si>
    <t>@PropTechCAPITAL</t>
  </si>
  <si>
    <t>@Stay_U_nique</t>
  </si>
  <si>
    <t>@simlewis</t>
  </si>
  <si>
    <t>@ME_BCN</t>
  </si>
  <si>
    <t>@dickydeanshuts</t>
  </si>
  <si>
    <t>@GiorgioGissi</t>
  </si>
  <si>
    <t>@MrGavHinks</t>
  </si>
  <si>
    <t>@pmaceamuinn</t>
  </si>
  <si>
    <t>@ver7t</t>
  </si>
  <si>
    <t>@AirreadyBath</t>
  </si>
  <si>
    <t>@Property_manag</t>
  </si>
  <si>
    <t>@apartmentbath_</t>
  </si>
  <si>
    <t>@catrionaarcher</t>
  </si>
  <si>
    <t>@giospanti</t>
  </si>
  <si>
    <t>@chrislove1</t>
  </si>
  <si>
    <t>@MichalBryxi</t>
  </si>
  <si>
    <t>@BelfastAirbnb</t>
  </si>
  <si>
    <t>@maxmanagement</t>
  </si>
  <si>
    <t>@Val87_</t>
  </si>
  <si>
    <t>@MiekeElewaut</t>
  </si>
  <si>
    <t>@__BorT__</t>
  </si>
  <si>
    <t>@EmreSevinc</t>
  </si>
  <si>
    <t>@SarcasticSari</t>
  </si>
  <si>
    <t>@dreamhostel_bgd</t>
  </si>
  <si>
    <t>@HeadBelper</t>
  </si>
  <si>
    <t>@VladiVostok07</t>
  </si>
  <si>
    <t>@littledarsy</t>
  </si>
  <si>
    <t>@PeteMoring</t>
  </si>
  <si>
    <t>@DavidWinsper</t>
  </si>
  <si>
    <t>@ErikaFerrando2</t>
  </si>
  <si>
    <t>@hotellerie_de</t>
  </si>
  <si>
    <t>@sunami495</t>
  </si>
  <si>
    <t>@thorlindberger</t>
  </si>
  <si>
    <t>Lindberger</t>
  </si>
  <si>
    <t>@tobiasheyer</t>
  </si>
  <si>
    <t>@LatelyShow</t>
  </si>
  <si>
    <t>@cryptonator1337</t>
  </si>
  <si>
    <t>@klee_adrian</t>
  </si>
  <si>
    <t>@VladimirBeroun</t>
  </si>
  <si>
    <t>@jobtensor</t>
  </si>
  <si>
    <t>@Martin_Lejeune</t>
  </si>
  <si>
    <t>@TimKlaws</t>
  </si>
  <si>
    <t>@CreativeConstr</t>
  </si>
  <si>
    <t>@ErikinTransit</t>
  </si>
  <si>
    <t>@brybrybug</t>
  </si>
  <si>
    <t>@marcelo_dotta</t>
  </si>
  <si>
    <t>@nomad_notes</t>
  </si>
  <si>
    <t>@asitanelioglu</t>
  </si>
  <si>
    <t>@maeggor</t>
  </si>
  <si>
    <t>@igaberry1</t>
  </si>
  <si>
    <t>@pristineclear_</t>
  </si>
  <si>
    <t>@jocktober</t>
  </si>
  <si>
    <t>@Loiterpin</t>
  </si>
  <si>
    <t>@InvestGrup</t>
  </si>
  <si>
    <t>@Italy_Gourmet</t>
  </si>
  <si>
    <t>@schofields</t>
  </si>
  <si>
    <t>@trailstained</t>
  </si>
  <si>
    <t>@BordeauxKitchen</t>
  </si>
  <si>
    <t>@IgorBeuker</t>
  </si>
  <si>
    <t>@Elmtreefarm</t>
  </si>
  <si>
    <t>@ProximaXp</t>
  </si>
  <si>
    <t>@HolidayinBrecon</t>
  </si>
  <si>
    <t>@theacornhut</t>
  </si>
  <si>
    <t>@MoolenaarR</t>
  </si>
  <si>
    <t>@LittlebridgeFA</t>
  </si>
  <si>
    <t>@Platform_Group</t>
  </si>
  <si>
    <t>@julian2tweet</t>
  </si>
  <si>
    <t>@Hove_nutrition</t>
  </si>
  <si>
    <t>@COTinyFestival</t>
  </si>
  <si>
    <t>@Ashton378</t>
  </si>
  <si>
    <t>@regstud</t>
  </si>
  <si>
    <t>@ConsultantOwen</t>
  </si>
  <si>
    <t>@NiceEtoile</t>
  </si>
  <si>
    <t>@WeAreTEN2</t>
  </si>
  <si>
    <t>@unfortunatalie</t>
  </si>
  <si>
    <t>@airhostforyou</t>
  </si>
  <si>
    <t>@jhardy1986</t>
  </si>
  <si>
    <t>@airthreesixty</t>
  </si>
  <si>
    <t>@KayleighToyra</t>
  </si>
  <si>
    <t>@Profess63670242</t>
  </si>
  <si>
    <t>@itijonline</t>
  </si>
  <si>
    <t>@LifeinBiteSize</t>
  </si>
  <si>
    <t>@Littlegreenshed</t>
  </si>
  <si>
    <t>@Channel_View</t>
  </si>
  <si>
    <t>@guardiansysltd</t>
  </si>
  <si>
    <t>@Saltys20</t>
  </si>
  <si>
    <t>@voidwarbler</t>
  </si>
  <si>
    <t>@CullenInt</t>
  </si>
  <si>
    <t>Oktopost</t>
  </si>
  <si>
    <t>@seb_tarnowski</t>
  </si>
  <si>
    <t>@olivierhoedeman</t>
  </si>
  <si>
    <t>@pregiotek</t>
  </si>
  <si>
    <t>@ClaudiaTapardel</t>
  </si>
  <si>
    <t>@chaudoir</t>
  </si>
  <si>
    <t>@DarioMazzella</t>
  </si>
  <si>
    <t>@cmercuriadi</t>
  </si>
  <si>
    <t>@EmilieLessire</t>
  </si>
  <si>
    <t>AmazingContent</t>
  </si>
  <si>
    <t>@NantMelyn_cotta</t>
  </si>
  <si>
    <t>@CyberGhost_EN</t>
  </si>
  <si>
    <t>@Wharfemeister</t>
  </si>
  <si>
    <t>@starssuite</t>
  </si>
  <si>
    <t>@MediToursHun</t>
  </si>
  <si>
    <t>@seon_tech</t>
  </si>
  <si>
    <t>@casa_eleonora</t>
  </si>
  <si>
    <t>@AVMaterial</t>
  </si>
  <si>
    <t>@adamgreene27</t>
  </si>
  <si>
    <t>@sookio</t>
  </si>
  <si>
    <t>@JamesMProp</t>
  </si>
  <si>
    <t>@PhotoCambridge</t>
  </si>
  <si>
    <t>@DannyBeales</t>
  </si>
  <si>
    <t>@bdnews24</t>
  </si>
  <si>
    <t>@NewswithRachel</t>
  </si>
  <si>
    <t>@jasondoddphoto</t>
  </si>
  <si>
    <t>@QuaiBellevue</t>
  </si>
  <si>
    <t>@2lsnop</t>
  </si>
  <si>
    <t>@ApolloPM</t>
  </si>
  <si>
    <t>@AirbnbCardiff</t>
  </si>
  <si>
    <t>@JessyFergi</t>
  </si>
  <si>
    <t>@JoyceGooding3</t>
  </si>
  <si>
    <t>@OldRollerShed</t>
  </si>
  <si>
    <t>@Villino_Cortona</t>
  </si>
  <si>
    <t>@altiplans</t>
  </si>
  <si>
    <t>@cavantvsport</t>
  </si>
  <si>
    <t>@ta_community</t>
  </si>
  <si>
    <t>@RooksRider</t>
  </si>
  <si>
    <t>@melodys_place</t>
  </si>
  <si>
    <t>@Kinfolk2017</t>
  </si>
  <si>
    <t>@In_Out_Chester</t>
  </si>
  <si>
    <t>@5_chester</t>
  </si>
  <si>
    <t>@marchwoodifa</t>
  </si>
  <si>
    <t>@GaryLDN</t>
  </si>
  <si>
    <t>@aTravelCompanio</t>
  </si>
  <si>
    <t>@Keoghsfarm</t>
  </si>
  <si>
    <t>@kerryhols</t>
  </si>
  <si>
    <t>@RevCBeckett</t>
  </si>
  <si>
    <t>@GroveFarmHouse</t>
  </si>
  <si>
    <t>@martinschultz</t>
  </si>
  <si>
    <t>@markgerardcox</t>
  </si>
  <si>
    <t>@Siobhan_ODowd</t>
  </si>
  <si>
    <t>@billyclarke7</t>
  </si>
  <si>
    <t>@Shelbournebar</t>
  </si>
  <si>
    <t>@Cornishview</t>
  </si>
  <si>
    <t>@waveriderfuerte</t>
  </si>
  <si>
    <t>@WillemenaMitty</t>
  </si>
  <si>
    <t>@JimSlaven</t>
  </si>
  <si>
    <t>@chaseTHEdonkey</t>
  </si>
  <si>
    <t>@AntiquePlace</t>
  </si>
  <si>
    <t>@skatulica</t>
  </si>
  <si>
    <t>@blackislesheph1</t>
  </si>
  <si>
    <t>@Amylduthie</t>
  </si>
  <si>
    <t>@LamontPridmore</t>
  </si>
  <si>
    <t>@JesperGlasius</t>
  </si>
  <si>
    <t>@JellyIvy</t>
  </si>
  <si>
    <t>@hotelerialtd</t>
  </si>
  <si>
    <t>@jiri_saidl</t>
  </si>
  <si>
    <t>@Mt_Briscoe</t>
  </si>
  <si>
    <t>@dalkeyhead</t>
  </si>
  <si>
    <t>@Rebeca_003</t>
  </si>
  <si>
    <t>@HelenLloydAudio</t>
  </si>
  <si>
    <t>@SentheraCapital</t>
  </si>
  <si>
    <t>@Letmoneywork050</t>
  </si>
  <si>
    <t>@AmancioBouza</t>
  </si>
  <si>
    <t>@chris_byrne</t>
  </si>
  <si>
    <t>@SteveMcPhilemy</t>
  </si>
  <si>
    <t>@NaturalNorfolk</t>
  </si>
  <si>
    <t>@R4nders</t>
  </si>
  <si>
    <t>@clagganmill</t>
  </si>
  <si>
    <t>@DomvsProperties</t>
  </si>
  <si>
    <t>@KatePfau</t>
  </si>
  <si>
    <t>@NightwalkTeam</t>
  </si>
  <si>
    <t>@ormerodrutter</t>
  </si>
  <si>
    <t>@beth_os4</t>
  </si>
  <si>
    <t>@CosmeticBath</t>
  </si>
  <si>
    <t>@lorah2k</t>
  </si>
  <si>
    <t>@CMHaughey</t>
  </si>
  <si>
    <t>@NatashaRoccaDev</t>
  </si>
  <si>
    <t>@fairbnbclaim</t>
  </si>
  <si>
    <t>@doctorwhofan1</t>
  </si>
  <si>
    <t>@fingapp</t>
  </si>
  <si>
    <t>@Element78Space</t>
  </si>
  <si>
    <t>@collegetimesct</t>
  </si>
  <si>
    <t>@RentalProperty8</t>
  </si>
  <si>
    <t>@cwoarchitects</t>
  </si>
  <si>
    <t>@Michaelkelly707</t>
  </si>
  <si>
    <t>@sean__harrison</t>
  </si>
  <si>
    <t>sean-harrison.net</t>
  </si>
  <si>
    <t>@DeirdreKilroy</t>
  </si>
  <si>
    <t>@MChouikrat</t>
  </si>
  <si>
    <t>@hospitality_irl</t>
  </si>
  <si>
    <t>@fbarry</t>
  </si>
  <si>
    <t>@richwtalbot</t>
  </si>
  <si>
    <t>@siliconrepublic</t>
  </si>
  <si>
    <t>@jortizsabate</t>
  </si>
  <si>
    <t>@caulmick</t>
  </si>
  <si>
    <t>@RealCormacE</t>
  </si>
  <si>
    <t>@DubrovnikTimes</t>
  </si>
  <si>
    <t>@ArtistOfKouroo</t>
  </si>
  <si>
    <t>@AndTheGarden</t>
  </si>
  <si>
    <t>@AtCoombe</t>
  </si>
  <si>
    <t>@HilGibb</t>
  </si>
  <si>
    <t>@michelletwinmum</t>
  </si>
  <si>
    <t>@BeesHomes</t>
  </si>
  <si>
    <t>@ISeiferheld</t>
  </si>
  <si>
    <t>@EdCentreCC</t>
  </si>
  <si>
    <t>@CaroleMagoha</t>
  </si>
  <si>
    <t>@sewMairiB</t>
  </si>
  <si>
    <t>@GrantMcgregorIT</t>
  </si>
  <si>
    <t>@_PenguinFlight</t>
  </si>
  <si>
    <t>@AletheaSportMed</t>
  </si>
  <si>
    <t>@LitCors</t>
  </si>
  <si>
    <t>@cnocanview</t>
  </si>
  <si>
    <t>@KevinKdwhitelaw</t>
  </si>
  <si>
    <t>@LeithDocksHQ</t>
  </si>
  <si>
    <t>@ramseyselim</t>
  </si>
  <si>
    <t>@alicemcaldwell</t>
  </si>
  <si>
    <t>@KeyholdersIntl</t>
  </si>
  <si>
    <t>@PLACEEdinburgh</t>
  </si>
  <si>
    <t>@JonFifa69</t>
  </si>
  <si>
    <t>@elenan34</t>
  </si>
  <si>
    <t>@LindaHemby</t>
  </si>
  <si>
    <t>@Mr_D_Aston</t>
  </si>
  <si>
    <t>@clairesturz</t>
  </si>
  <si>
    <t>Tales of a Backpacker Revive Pos</t>
  </si>
  <si>
    <t>@CrossEyedPiano</t>
  </si>
  <si>
    <t>@hi_CArmoury</t>
  </si>
  <si>
    <t>@coversuregroup</t>
  </si>
  <si>
    <t>@cottagetree</t>
  </si>
  <si>
    <t>@EveryBitHelps_</t>
  </si>
  <si>
    <t>@Motofe</t>
  </si>
  <si>
    <t>@EmmaBeeBlog</t>
  </si>
  <si>
    <t>@vr_coach</t>
  </si>
  <si>
    <t>@intovalencia</t>
  </si>
  <si>
    <t>@ajmuguia</t>
  </si>
  <si>
    <t>@Argon_Pro</t>
  </si>
  <si>
    <t>@mikebatson5d</t>
  </si>
  <si>
    <t>@Ant1L1beraI</t>
  </si>
  <si>
    <t>Janetter for Android</t>
  </si>
  <si>
    <t>@S_Anderson1974</t>
  </si>
  <si>
    <t>@MarkDummett</t>
  </si>
  <si>
    <t>@ChrisOB48778405</t>
  </si>
  <si>
    <t>@tallmikol</t>
  </si>
  <si>
    <t>@finecountryhove</t>
  </si>
  <si>
    <t>@daisycheynes</t>
  </si>
  <si>
    <t>@TippHseDub</t>
  </si>
  <si>
    <t>@talhasariyuerek</t>
  </si>
  <si>
    <t>talhasariyuerek</t>
  </si>
  <si>
    <t>@ChrisMutchRC</t>
  </si>
  <si>
    <t>@TraceyAnnCass</t>
  </si>
  <si>
    <t>@hollie_berries_</t>
  </si>
  <si>
    <t>@CosyDragons</t>
  </si>
  <si>
    <t>@Inoelee</t>
  </si>
  <si>
    <t>@PauloArsenio</t>
  </si>
  <si>
    <t>@MarcelDellebeke</t>
  </si>
  <si>
    <t>@Pretpark020</t>
  </si>
  <si>
    <t>@oorn_p</t>
  </si>
  <si>
    <t>@anitakasperekUX</t>
  </si>
  <si>
    <t>@PrivacyPellicn</t>
  </si>
  <si>
    <t>@saoghal_beag</t>
  </si>
  <si>
    <t>@LauraMarc</t>
  </si>
  <si>
    <t>@123_Coaching</t>
  </si>
  <si>
    <t>@ihotelservices</t>
  </si>
  <si>
    <t>@AbernyteCottage</t>
  </si>
  <si>
    <t>@paleobyleo</t>
  </si>
  <si>
    <t>@TwoSmallPtatoes</t>
  </si>
  <si>
    <t>@underthethatch</t>
  </si>
  <si>
    <t>@EricPB</t>
  </si>
  <si>
    <t>@torypython</t>
  </si>
  <si>
    <t>@mntask</t>
  </si>
  <si>
    <t>@CryptoV8</t>
  </si>
  <si>
    <t>@ChrisMurphy201</t>
  </si>
  <si>
    <t>@AdditionRecruit</t>
  </si>
  <si>
    <t>@LarryLivinston</t>
  </si>
  <si>
    <t>@Cilusse</t>
  </si>
  <si>
    <t>@laughingtwits</t>
  </si>
  <si>
    <t>@Places2StayUK</t>
  </si>
  <si>
    <t>@Shamanic_hunt</t>
  </si>
  <si>
    <t>@MallardPlace</t>
  </si>
  <si>
    <t>@marksstorm</t>
  </si>
  <si>
    <t>@deboismarc</t>
  </si>
  <si>
    <t>@ExarcheiaT</t>
  </si>
  <si>
    <t>@exiledarizona</t>
  </si>
  <si>
    <t>@CloudlandCamp</t>
  </si>
  <si>
    <t>@sophsweet</t>
  </si>
  <si>
    <t>@KristinaHafoss</t>
  </si>
  <si>
    <t>@lime_old</t>
  </si>
  <si>
    <t>@LoosingSomethin</t>
  </si>
  <si>
    <t>@storiediweb</t>
  </si>
  <si>
    <t>@ThomasBusson2</t>
  </si>
  <si>
    <t>@jamie_jk</t>
  </si>
  <si>
    <t>@FortonLodge</t>
  </si>
  <si>
    <t>@FoyersLodge</t>
  </si>
  <si>
    <t>@Ludo_L_</t>
  </si>
  <si>
    <t>@One_Big_Web</t>
  </si>
  <si>
    <t>@jasonmbarnard</t>
  </si>
  <si>
    <t>@macadamcowboy</t>
  </si>
  <si>
    <t>@mg_property</t>
  </si>
  <si>
    <t>@IconiqPat</t>
  </si>
  <si>
    <t>@startups_observ</t>
  </si>
  <si>
    <t>@ChristopherIsak</t>
  </si>
  <si>
    <t>@JoeMenninger</t>
  </si>
  <si>
    <t>@Blackjacxxx</t>
  </si>
  <si>
    <t>@Gigg44</t>
  </si>
  <si>
    <t>@startuprad_io</t>
  </si>
  <si>
    <t>@gamleboeger</t>
  </si>
  <si>
    <t>@HSchendera</t>
  </si>
  <si>
    <t>@mire_daly</t>
  </si>
  <si>
    <t>@Corlan_Dashiva</t>
  </si>
  <si>
    <t>@wearearch</t>
  </si>
  <si>
    <t>@LorD_Avenger</t>
  </si>
  <si>
    <t>@CoinBaron</t>
  </si>
  <si>
    <t>@grumpyrosenberg</t>
  </si>
  <si>
    <t>@Revolt_World</t>
  </si>
  <si>
    <t>@Acampada_Europe</t>
  </si>
  <si>
    <t>@iRUN_int</t>
  </si>
  <si>
    <t>@Ben_Wray1989</t>
  </si>
  <si>
    <t>@mattplatt10</t>
  </si>
  <si>
    <t>@bnb_squared</t>
  </si>
  <si>
    <t>@IndigoSq</t>
  </si>
  <si>
    <t>@Nobody_Girl</t>
  </si>
  <si>
    <t>@uniquefergus</t>
  </si>
  <si>
    <t>@wyrralwellbeing</t>
  </si>
  <si>
    <t>@NachoVillaFoto</t>
  </si>
  <si>
    <t>@62artpad</t>
  </si>
  <si>
    <t>@gtpgr</t>
  </si>
  <si>
    <t>@maxilaria_poof</t>
  </si>
  <si>
    <t>@Fragiasphotos</t>
  </si>
  <si>
    <t>@apostolos_kl</t>
  </si>
  <si>
    <t>@HeritageIMA</t>
  </si>
  <si>
    <t>@birdboxvox</t>
  </si>
  <si>
    <t>@AdlerReloaded</t>
  </si>
  <si>
    <t>@DeerAndShark</t>
  </si>
  <si>
    <t>@HarrogateLifeAp</t>
  </si>
  <si>
    <t>@luxury_barn</t>
  </si>
  <si>
    <t>@irokainteriors</t>
  </si>
  <si>
    <t>@silverpeakib</t>
  </si>
  <si>
    <t>@PrattleChick</t>
  </si>
  <si>
    <t>@Gjallarhornet</t>
  </si>
  <si>
    <t>@timmaherphotos</t>
  </si>
  <si>
    <t>@bilff</t>
  </si>
  <si>
    <t>@Juluhome</t>
  </si>
  <si>
    <t>@joescaff</t>
  </si>
  <si>
    <t>@AnnualHotelConf</t>
  </si>
  <si>
    <t>@jeanettesloan</t>
  </si>
  <si>
    <t>@ModishLiving</t>
  </si>
  <si>
    <t>@DNewsHungary</t>
  </si>
  <si>
    <t>dnh twitter publisher</t>
  </si>
  <si>
    <t>@BrickleyRise</t>
  </si>
  <si>
    <t>@AoifeG__</t>
  </si>
  <si>
    <t>@ODulainne</t>
  </si>
  <si>
    <t>@Taleof2Treaties</t>
  </si>
  <si>
    <t>@greenshame</t>
  </si>
  <si>
    <t>@locationviewing</t>
  </si>
  <si>
    <t>@NewstalkFM</t>
  </si>
  <si>
    <t>@SuzeManic</t>
  </si>
  <si>
    <t>@kevinsvips</t>
  </si>
  <si>
    <t>@XpertDPO</t>
  </si>
  <si>
    <t>@neslihanercan</t>
  </si>
  <si>
    <t>@FractalDoctor</t>
  </si>
  <si>
    <t>@UpliftIRL</t>
  </si>
  <si>
    <t>@Shaneymac</t>
  </si>
  <si>
    <t>@ndshewonderswhy</t>
  </si>
  <si>
    <t>@BurrenSanctuary</t>
  </si>
  <si>
    <t>@ScrapingHub</t>
  </si>
  <si>
    <t>@LuluMcGuiness</t>
  </si>
  <si>
    <t>@Mr_3DMario</t>
  </si>
  <si>
    <t>@THansarayli</t>
  </si>
  <si>
    <t>@gshamam</t>
  </si>
  <si>
    <t>@ShameChronicles</t>
  </si>
  <si>
    <t>@MentalistaDarus</t>
  </si>
  <si>
    <t>@tutorialguida</t>
  </si>
  <si>
    <t>@VerdmontAcquiT</t>
  </si>
  <si>
    <t>@MuseCOM</t>
  </si>
  <si>
    <t>@StardustHijinks</t>
  </si>
  <si>
    <t>@PeterNTroy</t>
  </si>
  <si>
    <t>@1maison_vie</t>
  </si>
  <si>
    <t>@OffSideBooks</t>
  </si>
  <si>
    <t>@Carrigeenkk</t>
  </si>
  <si>
    <t>@Lagganmorehouse</t>
  </si>
  <si>
    <t>@KathyWalcott</t>
  </si>
  <si>
    <t>@JennyCampbellKl</t>
  </si>
  <si>
    <t>@stam_boulevard</t>
  </si>
  <si>
    <t>@railsware</t>
  </si>
  <si>
    <t>@onelazydev</t>
  </si>
  <si>
    <t>@guinguette_gite</t>
  </si>
  <si>
    <t>@ChezRentals</t>
  </si>
  <si>
    <t>@genevalakesweb</t>
  </si>
  <si>
    <t>@La_Flanerie</t>
  </si>
  <si>
    <t>Squarespace</t>
  </si>
  <si>
    <t>@MatthewHirtes</t>
  </si>
  <si>
    <t>@violent__heart</t>
  </si>
  <si>
    <t>@SuiteRossoeNero</t>
  </si>
  <si>
    <t>@lisafountain91</t>
  </si>
  <si>
    <t>@imowan31</t>
  </si>
  <si>
    <t>@richardjeaton</t>
  </si>
  <si>
    <t>@VacationsMaroc</t>
  </si>
  <si>
    <t>@VonMemerty</t>
  </si>
  <si>
    <t>@BellavistaLeric</t>
  </si>
  <si>
    <t>@clivers1</t>
  </si>
  <si>
    <t>@Cyprus_PropNews</t>
  </si>
  <si>
    <t>@AAATrade</t>
  </si>
  <si>
    <t>@gegenhuber</t>
  </si>
  <si>
    <t>@LisbonRunning</t>
  </si>
  <si>
    <t>@smontgomery1980</t>
  </si>
  <si>
    <t>@CarlKNorman</t>
  </si>
  <si>
    <t>@HostSoSimple</t>
  </si>
  <si>
    <t>@DreamCleanLpool</t>
  </si>
  <si>
    <t>@thewordsbychris</t>
  </si>
  <si>
    <t>@dolocaldigital</t>
  </si>
  <si>
    <t>@Conwy_PM</t>
  </si>
  <si>
    <t>@ignaty</t>
  </si>
  <si>
    <t>@Skyetrip_HQ</t>
  </si>
  <si>
    <t>@Storeys_london</t>
  </si>
  <si>
    <t>@Just_Entr</t>
  </si>
  <si>
    <t>@yiorgos_pap</t>
  </si>
  <si>
    <t>@HikapeeTheatre</t>
  </si>
  <si>
    <t>@sbcInsurTech</t>
  </si>
  <si>
    <t>@Andy_Clayton</t>
  </si>
  <si>
    <t>@homesgofast</t>
  </si>
  <si>
    <t>@Panos0007</t>
  </si>
  <si>
    <t>@Prop4MediaUK</t>
  </si>
  <si>
    <t>@_sebastianmay</t>
  </si>
  <si>
    <t>@EstatesIT</t>
  </si>
  <si>
    <t>@ADJBlog</t>
  </si>
  <si>
    <t>@aawsat_eng</t>
  </si>
  <si>
    <t>@The_NewArab</t>
  </si>
  <si>
    <t>@martinvanwezel</t>
  </si>
  <si>
    <t>@Andrew_Campling</t>
  </si>
  <si>
    <t>@clarefarrell</t>
  </si>
  <si>
    <t>@Realiseliveltd</t>
  </si>
  <si>
    <t>@KarenRoberts4</t>
  </si>
  <si>
    <t>@londontoolkit</t>
  </si>
  <si>
    <t>@juliet_gough</t>
  </si>
  <si>
    <t>@emmarigby88</t>
  </si>
  <si>
    <t>@LittleBolideG</t>
  </si>
  <si>
    <t>@EasyvoyageUK</t>
  </si>
  <si>
    <t>@frank_meehan</t>
  </si>
  <si>
    <t>@TBTCelebrity</t>
  </si>
  <si>
    <t>@darkleadership1</t>
  </si>
  <si>
    <t>@3xrien</t>
  </si>
  <si>
    <t>@JonNortonme</t>
  </si>
  <si>
    <t>@michaelbach1</t>
  </si>
  <si>
    <t>@LokcomNetworks</t>
  </si>
  <si>
    <t>@KerryH_Photo</t>
  </si>
  <si>
    <t>@WeAreKnapsac</t>
  </si>
  <si>
    <t>@nadianizar</t>
  </si>
  <si>
    <t>@TomCLindsay</t>
  </si>
  <si>
    <t>@TheBarefootWay</t>
  </si>
  <si>
    <t>@chrisjeavans</t>
  </si>
  <si>
    <t>@ukoutsourcing</t>
  </si>
  <si>
    <t>@Mortgage_Knott</t>
  </si>
  <si>
    <t>@tierneylilly</t>
  </si>
  <si>
    <t>@JoFrancoLondon</t>
  </si>
  <si>
    <t>@Kierbro</t>
  </si>
  <si>
    <t>@alexander_low</t>
  </si>
  <si>
    <t>@bennemes</t>
  </si>
  <si>
    <t>@DArceyEmma</t>
  </si>
  <si>
    <t>@stillsafe</t>
  </si>
  <si>
    <t>@ArthurProperty</t>
  </si>
  <si>
    <t>@Malcahtweets</t>
  </si>
  <si>
    <t>@DamianSheridan9</t>
  </si>
  <si>
    <t>@ArtisAliveBlog</t>
  </si>
  <si>
    <t>@HowardKennedy</t>
  </si>
  <si>
    <t>@BenPerniha</t>
  </si>
  <si>
    <t>@steveswindells</t>
  </si>
  <si>
    <t>@Corfu49081</t>
  </si>
  <si>
    <t>@SerenaChaudhry</t>
  </si>
  <si>
    <t>@cherish7steps</t>
  </si>
  <si>
    <t>@Androulla_14</t>
  </si>
  <si>
    <t>@admirjk</t>
  </si>
  <si>
    <t>@KrisNaudts</t>
  </si>
  <si>
    <t>@Nestangel_UK</t>
  </si>
  <si>
    <t>@Flamingo_Lets</t>
  </si>
  <si>
    <t>@chrissy_yoga</t>
  </si>
  <si>
    <t>@KleenePristine</t>
  </si>
  <si>
    <t>@fora_space</t>
  </si>
  <si>
    <t>@loungingeagle</t>
  </si>
  <si>
    <t>@vfachinetto</t>
  </si>
  <si>
    <t>@natashaccollins</t>
  </si>
  <si>
    <t>@jessicacadams</t>
  </si>
  <si>
    <t>@iam_mattharris</t>
  </si>
  <si>
    <t>@tdtd_uk</t>
  </si>
  <si>
    <t>@HayleyLaws</t>
  </si>
  <si>
    <t>@LondonLovesProp</t>
  </si>
  <si>
    <t>London Loves Property</t>
  </si>
  <si>
    <t>@akashghosh12345</t>
  </si>
  <si>
    <t>@resihut</t>
  </si>
  <si>
    <t>@CatalaCslt</t>
  </si>
  <si>
    <t>@_KeyNest</t>
  </si>
  <si>
    <t>@MIHProperty</t>
  </si>
  <si>
    <t>@JustCarolineH</t>
  </si>
  <si>
    <t>@marlin_app</t>
  </si>
  <si>
    <t>@IsraelBritain</t>
  </si>
  <si>
    <t>@itsrainymilli</t>
  </si>
  <si>
    <t>@OfficialAishh_</t>
  </si>
  <si>
    <t>@casterazucar</t>
  </si>
  <si>
    <t>@scout_trend</t>
  </si>
  <si>
    <t>@paybase</t>
  </si>
  <si>
    <t>@globalhelpswap</t>
  </si>
  <si>
    <t>@happyguestco</t>
  </si>
  <si>
    <t>@smartthumb</t>
  </si>
  <si>
    <t>@seb_bw</t>
  </si>
  <si>
    <t>@WDetergents</t>
  </si>
  <si>
    <t>@AGameWithChums</t>
  </si>
  <si>
    <t>@zarashabrina</t>
  </si>
  <si>
    <t>@HenryHolme</t>
  </si>
  <si>
    <t>@domarncreative1</t>
  </si>
  <si>
    <t>@andersen_ev</t>
  </si>
  <si>
    <t>@TheNoctrader</t>
  </si>
  <si>
    <t>@TechGritsNews</t>
  </si>
  <si>
    <t>@CEWComms</t>
  </si>
  <si>
    <t>@adrianpgibson</t>
  </si>
  <si>
    <t>@davi326</t>
  </si>
  <si>
    <t>@remawilkens</t>
  </si>
  <si>
    <t>@DrewG75</t>
  </si>
  <si>
    <t>@JasonAAlmeida</t>
  </si>
  <si>
    <t>@cleanandlinen</t>
  </si>
  <si>
    <t>@Magdalena_Goleb</t>
  </si>
  <si>
    <t>@FurtherAfrica</t>
  </si>
  <si>
    <t>@Phil_O_Keefe</t>
  </si>
  <si>
    <t>@MadeDeals</t>
  </si>
  <si>
    <t>@KatieandDeanDo</t>
  </si>
  <si>
    <t>@TristanMcKenna8</t>
  </si>
  <si>
    <t>@olivier_UK</t>
  </si>
  <si>
    <t>@hotelierhype</t>
  </si>
  <si>
    <t>@scribblestu</t>
  </si>
  <si>
    <t>@gjbrandon</t>
  </si>
  <si>
    <t>@cobbyco</t>
  </si>
  <si>
    <t>@alex_limpert</t>
  </si>
  <si>
    <t>@Rho_Day</t>
  </si>
  <si>
    <t>@csapogi</t>
  </si>
  <si>
    <t>@TravelsTropical</t>
  </si>
  <si>
    <t>@mORGANICo_cOM</t>
  </si>
  <si>
    <t>@ianbeckett</t>
  </si>
  <si>
    <t>@TheLancetOncol</t>
  </si>
  <si>
    <t>@siemenshometeam</t>
  </si>
  <si>
    <t>@AnabodeApp</t>
  </si>
  <si>
    <t>@GUARDHOG</t>
  </si>
  <si>
    <t>@Furl_Home</t>
  </si>
  <si>
    <t>@PortlandDesign</t>
  </si>
  <si>
    <t>@rkleiner_GE</t>
  </si>
  <si>
    <t>@StylistMagazine</t>
  </si>
  <si>
    <t>@123reg</t>
  </si>
  <si>
    <t>@InlinePolicy</t>
  </si>
  <si>
    <t>@kingdomOFdress</t>
  </si>
  <si>
    <t>@ClareGillbanks</t>
  </si>
  <si>
    <t>@ThegoldenmoonC</t>
  </si>
  <si>
    <t>@iamgedster</t>
  </si>
  <si>
    <t>@LA_Today</t>
  </si>
  <si>
    <t>@invstreams</t>
  </si>
  <si>
    <t>@gfmio</t>
  </si>
  <si>
    <t>@investortoday</t>
  </si>
  <si>
    <t>@alparask</t>
  </si>
  <si>
    <t>@vanezalagman</t>
  </si>
  <si>
    <t>@FAIZ1961</t>
  </si>
  <si>
    <t>@andrewsduncan1</t>
  </si>
  <si>
    <t>@VickyVella</t>
  </si>
  <si>
    <t>@TheClipperLooe</t>
  </si>
  <si>
    <t>@ProvenceDavid</t>
  </si>
  <si>
    <t>@shropshireglamp</t>
  </si>
  <si>
    <t>@Poussun</t>
  </si>
  <si>
    <t>@keymitt_sarl</t>
  </si>
  <si>
    <t>@JessBauldry</t>
  </si>
  <si>
    <t>@EnglishWH</t>
  </si>
  <si>
    <t>@CarlaSaoMiguel</t>
  </si>
  <si>
    <t>@Ideagoras</t>
  </si>
  <si>
    <t>@inari_ta</t>
  </si>
  <si>
    <t>@EsperanzaREMAX</t>
  </si>
  <si>
    <t>@Pedro68359999</t>
  </si>
  <si>
    <t>@bartvrolijk</t>
  </si>
  <si>
    <t>@runmadrid1</t>
  </si>
  <si>
    <t>@manupaisable</t>
  </si>
  <si>
    <t>@Cognisant2000</t>
  </si>
  <si>
    <t>@ronimmink</t>
  </si>
  <si>
    <t>@roman_townsend</t>
  </si>
  <si>
    <t>@A_picasso</t>
  </si>
  <si>
    <t>@proassetz</t>
  </si>
  <si>
    <t>@OE_OEC</t>
  </si>
  <si>
    <t>@vincent_cole</t>
  </si>
  <si>
    <t>@SazzleDelaney</t>
  </si>
  <si>
    <t>@DavidIEdwards</t>
  </si>
  <si>
    <t>@ManchesterRadio</t>
  </si>
  <si>
    <t>@sarahjmakin</t>
  </si>
  <si>
    <t>@Approved_PG</t>
  </si>
  <si>
    <t>@TheZCC</t>
  </si>
  <si>
    <t>@CookiesOnTour</t>
  </si>
  <si>
    <t>@NusratMedicine</t>
  </si>
  <si>
    <t>@SlaterHeelisLaw</t>
  </si>
  <si>
    <t>@VillaIconi</t>
  </si>
  <si>
    <t>@KhayaM200</t>
  </si>
  <si>
    <t>@MarbellaHols</t>
  </si>
  <si>
    <t>@HPGHomes</t>
  </si>
  <si>
    <t>@CraigGoodburn2</t>
  </si>
  <si>
    <t>@claudebenard</t>
  </si>
  <si>
    <t>@CpsEstates</t>
  </si>
  <si>
    <t>@NursteadCourt1</t>
  </si>
  <si>
    <t>@PamRigden</t>
  </si>
  <si>
    <t>@joshdhaliwal</t>
  </si>
  <si>
    <t>@JH_Voices</t>
  </si>
  <si>
    <t>@Andre4Ferrante</t>
  </si>
  <si>
    <t>@raffy_bertini</t>
  </si>
  <si>
    <t>@ironmauro</t>
  </si>
  <si>
    <t>@pygo33</t>
  </si>
  <si>
    <t>@donadoni73</t>
  </si>
  <si>
    <t>@mimmocu</t>
  </si>
  <si>
    <t>@MilanGreeters</t>
  </si>
  <si>
    <t>@tommyricci05</t>
  </si>
  <si>
    <t>@MooreFeakins</t>
  </si>
  <si>
    <t>@DinaHussain77</t>
  </si>
  <si>
    <t>@borgobazziganta</t>
  </si>
  <si>
    <t>@Fletch911</t>
  </si>
  <si>
    <t>@bash1982</t>
  </si>
  <si>
    <t>@ideas4hotels</t>
  </si>
  <si>
    <t>@itsoftgmbh</t>
  </si>
  <si>
    <t>@lvr_QuantIP</t>
  </si>
  <si>
    <t>@victortofan</t>
  </si>
  <si>
    <t>@ActonCapital</t>
  </si>
  <si>
    <t>@PICollard</t>
  </si>
  <si>
    <t>@SurefireShell</t>
  </si>
  <si>
    <t>@RatInYourBoot</t>
  </si>
  <si>
    <t>@Rogeliketweety</t>
  </si>
  <si>
    <t>@thenordroom</t>
  </si>
  <si>
    <t>@internetbob</t>
  </si>
  <si>
    <t>@tracywood_m_p</t>
  </si>
  <si>
    <t>Hearsay Social</t>
  </si>
  <si>
    <t>@babutsidze</t>
  </si>
  <si>
    <t>@Tradicampo</t>
  </si>
  <si>
    <t>@MrDanMck</t>
  </si>
  <si>
    <t>@krsetab</t>
  </si>
  <si>
    <t>@BigPicAgency</t>
  </si>
  <si>
    <t>@Seraphimslair</t>
  </si>
  <si>
    <t>@debdebgarrod</t>
  </si>
  <si>
    <t>@iLetproperties</t>
  </si>
  <si>
    <t>@iSellProp</t>
  </si>
  <si>
    <t>@PromProperties</t>
  </si>
  <si>
    <t>@Whereareweofft1</t>
  </si>
  <si>
    <t>@iamjohnellison</t>
  </si>
  <si>
    <t>@roboooc</t>
  </si>
  <si>
    <t>@Loriann22</t>
  </si>
  <si>
    <t>@Kalkii</t>
  </si>
  <si>
    <t>@LovellPropguru</t>
  </si>
  <si>
    <t>@OlafFoss</t>
  </si>
  <si>
    <t>@ondemandbarbers</t>
  </si>
  <si>
    <t>@bredon_hill</t>
  </si>
  <si>
    <t>@PennySinclairOx</t>
  </si>
  <si>
    <t>@AirbnbOxford</t>
  </si>
  <si>
    <t>@Els_SocialScien</t>
  </si>
  <si>
    <t>Spredfast app</t>
  </si>
  <si>
    <t>@jose_garde</t>
  </si>
  <si>
    <t>@darthclaudiaa</t>
  </si>
  <si>
    <t>@youssefrahoui</t>
  </si>
  <si>
    <t>@BeMyGuestWorld</t>
  </si>
  <si>
    <t>@havefunguys_com</t>
  </si>
  <si>
    <t>@Anneiscooking</t>
  </si>
  <si>
    <t>@jppalazo</t>
  </si>
  <si>
    <t>@curiosity_keys</t>
  </si>
  <si>
    <t>@regisassaad</t>
  </si>
  <si>
    <t>@JeremydiMeglio</t>
  </si>
  <si>
    <t>@amanda__betty</t>
  </si>
  <si>
    <t>@ExpatsinParis</t>
  </si>
  <si>
    <t>@wendicong</t>
  </si>
  <si>
    <t>@MIPIMPropTech</t>
  </si>
  <si>
    <t>@manud70</t>
  </si>
  <si>
    <t>@AllianzPartners</t>
  </si>
  <si>
    <t>@SophTac</t>
  </si>
  <si>
    <t>@PersonalParis1</t>
  </si>
  <si>
    <t>@VogueParis</t>
  </si>
  <si>
    <t>Echobox Social</t>
  </si>
  <si>
    <t>@grison_eileen</t>
  </si>
  <si>
    <t>@LBretonNicolas</t>
  </si>
  <si>
    <t>@etoileservice75</t>
  </si>
  <si>
    <t>@TheAfricaReport</t>
  </si>
  <si>
    <t>@A_Melikishvili</t>
  </si>
  <si>
    <t>@tumturk_egemen</t>
  </si>
  <si>
    <t>@stayatnarvalley</t>
  </si>
  <si>
    <t>@sergl132</t>
  </si>
  <si>
    <t>@SoapandPamper</t>
  </si>
  <si>
    <t>@freshairstudios</t>
  </si>
  <si>
    <t>@Aventholidaylet</t>
  </si>
  <si>
    <t>@tymek</t>
  </si>
  <si>
    <t>@SandbanksHol</t>
  </si>
  <si>
    <t>@LoversRetreats</t>
  </si>
  <si>
    <t>@portreebandb</t>
  </si>
  <si>
    <t>@jftaveira1993</t>
  </si>
  <si>
    <t>@ClosebyY</t>
  </si>
  <si>
    <t>@Sdscn</t>
  </si>
  <si>
    <t>@AppletreeFS</t>
  </si>
  <si>
    <t>@PragueConBureau</t>
  </si>
  <si>
    <t>@FriendlyCleani3</t>
  </si>
  <si>
    <t>@hynecheck</t>
  </si>
  <si>
    <t>@backyardprovenc</t>
  </si>
  <si>
    <t>@adamchidgzey</t>
  </si>
  <si>
    <t>@martinbrindley</t>
  </si>
  <si>
    <t>@LopezGomezC</t>
  </si>
  <si>
    <t>@bardtoverse</t>
  </si>
  <si>
    <t>@swredlandsca</t>
  </si>
  <si>
    <t>@greenmancottage</t>
  </si>
  <si>
    <t>@OLDEFARM</t>
  </si>
  <si>
    <t>@Stonelink_Intl</t>
  </si>
  <si>
    <t>@ulli_travel</t>
  </si>
  <si>
    <t>@ThresholdIRE</t>
  </si>
  <si>
    <t>@FilipsPalace</t>
  </si>
  <si>
    <t>@VAMichelleLowe</t>
  </si>
  <si>
    <t>@struttspan</t>
  </si>
  <si>
    <t>@midwalesholiday</t>
  </si>
  <si>
    <t>@PlayHashRush</t>
  </si>
  <si>
    <t>@marruciic</t>
  </si>
  <si>
    <t>@daniele_vin</t>
  </si>
  <si>
    <t>@mariaelenaviggi</t>
  </si>
  <si>
    <t>@puntotweet</t>
  </si>
  <si>
    <t>CallAPIPuntoTweet</t>
  </si>
  <si>
    <t>@FantAflat</t>
  </si>
  <si>
    <t>@MoustacheHouseR</t>
  </si>
  <si>
    <t>@il_apt</t>
  </si>
  <si>
    <t>@PalazzoDelDuca</t>
  </si>
  <si>
    <t>@PORTCultural</t>
  </si>
  <si>
    <t>@fabrizio_te</t>
  </si>
  <si>
    <t>@angelocandido</t>
  </si>
  <si>
    <t>@Keycafe_it</t>
  </si>
  <si>
    <t>@Houseboatrtdm</t>
  </si>
  <si>
    <t>@leniamarques</t>
  </si>
  <si>
    <t>@FLasgi</t>
  </si>
  <si>
    <t>@morningireland</t>
  </si>
  <si>
    <t>@DarknessLove00</t>
  </si>
  <si>
    <t>@denchik_ceo</t>
  </si>
  <si>
    <t>@AlisonMannas</t>
  </si>
  <si>
    <t>@soitiz</t>
  </si>
  <si>
    <t>@Spiretravelltd</t>
  </si>
  <si>
    <t>@Jalipa</t>
  </si>
  <si>
    <t>@AmiroVista</t>
  </si>
  <si>
    <t>@rhizostigmata</t>
  </si>
  <si>
    <t>@tsommeregger</t>
  </si>
  <si>
    <t>Medium</t>
  </si>
  <si>
    <t>@santoriniCvilla</t>
  </si>
  <si>
    <t>@gemellisx</t>
  </si>
  <si>
    <t>@_MMaritima</t>
  </si>
  <si>
    <t>@TheCommonSpace</t>
  </si>
  <si>
    <t>@OntheWay___</t>
  </si>
  <si>
    <t>@kuantancurls</t>
  </si>
  <si>
    <t>@ScotList</t>
  </si>
  <si>
    <t>@SpotHostUK</t>
  </si>
  <si>
    <t>@glasgowspark1</t>
  </si>
  <si>
    <t>@Cindie_Reiter</t>
  </si>
  <si>
    <t>@eraser</t>
  </si>
  <si>
    <t>@Woodsthecleaner</t>
  </si>
  <si>
    <t>@PoppinsbyDay</t>
  </si>
  <si>
    <t>@CrookHall</t>
  </si>
  <si>
    <t>@RolandSchegg</t>
  </si>
  <si>
    <t>@StrandBeachApts</t>
  </si>
  <si>
    <t>@janettodorova</t>
  </si>
  <si>
    <t>@SEOLadyUK</t>
  </si>
  <si>
    <t>@casamazzola</t>
  </si>
  <si>
    <t>@lmaoilir</t>
  </si>
  <si>
    <t>@Coastholidayle1</t>
  </si>
  <si>
    <t>@nicedeepbreath</t>
  </si>
  <si>
    <t>@Luke_Lally</t>
  </si>
  <si>
    <t>@SECoast_SocialB</t>
  </si>
  <si>
    <t>@LifestyleCornw1</t>
  </si>
  <si>
    <t>@OurDevon</t>
  </si>
  <si>
    <t>@Kinesis4band</t>
  </si>
  <si>
    <t>@BlueFlagSA</t>
  </si>
  <si>
    <t>@ashburnham</t>
  </si>
  <si>
    <t>@arikukkonen</t>
  </si>
  <si>
    <t>@mearchdesign</t>
  </si>
  <si>
    <t>@amyworldalive</t>
  </si>
  <si>
    <t>@3cases2kids</t>
  </si>
  <si>
    <t>@grahunt</t>
  </si>
  <si>
    <t>@JohnCharcol</t>
  </si>
  <si>
    <t>@rwachs</t>
  </si>
  <si>
    <t>@jamiro007</t>
  </si>
  <si>
    <t>@bitrefill</t>
  </si>
  <si>
    <t>@MSellebraten</t>
  </si>
  <si>
    <t>@BoostlyUK</t>
  </si>
  <si>
    <t>@ferrismick1701</t>
  </si>
  <si>
    <t>@suffolktallhous</t>
  </si>
  <si>
    <t>@adrianno73</t>
  </si>
  <si>
    <t>@Paulos0987</t>
  </si>
  <si>
    <t>@purelycrystalw</t>
  </si>
  <si>
    <t>@aneuroticwriter</t>
  </si>
  <si>
    <t>@OldHarryCamper</t>
  </si>
  <si>
    <t>@PrescottJones</t>
  </si>
  <si>
    <t>@730RocksMumbles</t>
  </si>
  <si>
    <t>@LeucarumP</t>
  </si>
  <si>
    <t>@CristinaM_SANS</t>
  </si>
  <si>
    <t>@kimothy300</t>
  </si>
  <si>
    <t>@Swekiik</t>
  </si>
  <si>
    <t>@magdabrzdak</t>
  </si>
  <si>
    <t>@MarkusPeter</t>
  </si>
  <si>
    <t>@UrsBolt</t>
  </si>
  <si>
    <t>@ptracesecurity</t>
  </si>
  <si>
    <t>@chr_frei</t>
  </si>
  <si>
    <t>@lottakm</t>
  </si>
  <si>
    <t>@OTimme</t>
  </si>
  <si>
    <t>@SeppRuchti</t>
  </si>
  <si>
    <t>@sureshone</t>
  </si>
  <si>
    <t>@NotchTweets</t>
  </si>
  <si>
    <t>@KuunoLotamois</t>
  </si>
  <si>
    <t>@johnbikerjohn</t>
  </si>
  <si>
    <t>@sam_stuteley</t>
  </si>
  <si>
    <t>@alexunderworld</t>
  </si>
  <si>
    <t>@LoveYourStayUK</t>
  </si>
  <si>
    <t>@surveyorshouse</t>
  </si>
  <si>
    <t>@ExperiencetheC1</t>
  </si>
  <si>
    <t>@ejdn</t>
  </si>
  <si>
    <t>@MyBeauDes</t>
  </si>
  <si>
    <t>@IainFitzgerald</t>
  </si>
  <si>
    <t>@elenischool</t>
  </si>
  <si>
    <t>@LaFlorida303</t>
  </si>
  <si>
    <t>@ArcandaVilla</t>
  </si>
  <si>
    <t>@PAUSEtomelilla</t>
  </si>
  <si>
    <t>@DecreaseCleani1</t>
  </si>
  <si>
    <t>@faroesenews</t>
  </si>
  <si>
    <t>@MyriamWardei</t>
  </si>
  <si>
    <t>@borgodelgallo</t>
  </si>
  <si>
    <t>@Lance63</t>
  </si>
  <si>
    <t>@katesfxmakeup</t>
  </si>
  <si>
    <t>@universenews35</t>
  </si>
  <si>
    <t>universenews</t>
  </si>
  <si>
    <t>@lynnchapman4</t>
  </si>
  <si>
    <t>@eduardoruales</t>
  </si>
  <si>
    <t>@AC_Banchory</t>
  </si>
  <si>
    <t>@oculusaye</t>
  </si>
  <si>
    <t>@AmberandColtd</t>
  </si>
  <si>
    <t>@DebbieQuinney</t>
  </si>
  <si>
    <t>@Keyzapp</t>
  </si>
  <si>
    <t>@EnableMagazine</t>
  </si>
  <si>
    <t>@danielsmonteiro</t>
  </si>
  <si>
    <t>@LandlordBB</t>
  </si>
  <si>
    <t>@ablemag</t>
  </si>
  <si>
    <t>@StudentHolsPlan</t>
  </si>
  <si>
    <t>@RyanHeyworth</t>
  </si>
  <si>
    <t>@CharlieOnTravel</t>
  </si>
  <si>
    <t>@ArtworkRework</t>
  </si>
  <si>
    <t>@Dorian_Belvoir</t>
  </si>
  <si>
    <t>@Carollam62</t>
  </si>
  <si>
    <t>@ProtectRPolice</t>
  </si>
  <si>
    <t>@FreeGaza2010</t>
  </si>
  <si>
    <t>@YolandiID</t>
  </si>
  <si>
    <t>@fourknees</t>
  </si>
  <si>
    <t>@Ismailadampatel</t>
  </si>
  <si>
    <t>@leed926_lee</t>
  </si>
  <si>
    <t>@AdrianMooney01</t>
  </si>
  <si>
    <t>@MartinAButters</t>
  </si>
  <si>
    <t>@GuestHook</t>
  </si>
  <si>
    <t>@severefee</t>
  </si>
  <si>
    <t>@yalantis</t>
  </si>
  <si>
    <t>@GalinaMalan</t>
  </si>
  <si>
    <t>@Homesecureshop</t>
  </si>
  <si>
    <t>@beep_digital</t>
  </si>
  <si>
    <t>@sideclose1</t>
  </si>
  <si>
    <t>@UnrulyBritannia</t>
  </si>
  <si>
    <t>@KathlynGadd</t>
  </si>
  <si>
    <t>@propertyDvision</t>
  </si>
  <si>
    <t>@MOKUonline</t>
  </si>
  <si>
    <t>@RatesRelief</t>
  </si>
  <si>
    <t>@HeatherSnowie</t>
  </si>
  <si>
    <t>@intasure</t>
  </si>
  <si>
    <t>@BritishInsurers</t>
  </si>
  <si>
    <t>@CHMConsultancy</t>
  </si>
  <si>
    <t>@PackThePJs</t>
  </si>
  <si>
    <t>@ConvergeToday</t>
  </si>
  <si>
    <t>@Celeb_FC</t>
  </si>
  <si>
    <t>@hbizmag</t>
  </si>
  <si>
    <t>@_Viewber</t>
  </si>
  <si>
    <t>@AzulHood</t>
  </si>
  <si>
    <t>@BaetensIngrid</t>
  </si>
  <si>
    <t>@placerdiario</t>
  </si>
  <si>
    <t>Ribbon.Social</t>
  </si>
  <si>
    <t>@alxaraya</t>
  </si>
  <si>
    <t>@CasaPasqueee</t>
  </si>
  <si>
    <t>@peterkeates</t>
  </si>
  <si>
    <t>Tweet Old Post</t>
  </si>
  <si>
    <t>@RoomsLuccaGemma</t>
  </si>
  <si>
    <t>@AleAccebbi</t>
  </si>
  <si>
    <t>@Govithinks</t>
  </si>
  <si>
    <t>@boredpanda</t>
  </si>
  <si>
    <t>@vilnius_stay</t>
  </si>
  <si>
    <t>@thpalazzozelli</t>
  </si>
  <si>
    <t>@MZamkevich</t>
  </si>
  <si>
    <t>@Eyqueum</t>
  </si>
  <si>
    <t>@TheHDTravels</t>
  </si>
  <si>
    <t>@mmshah73</t>
  </si>
  <si>
    <t>@Ranners</t>
  </si>
  <si>
    <t>@bizfinancial</t>
  </si>
  <si>
    <t>@StMarysSpace</t>
  </si>
  <si>
    <t>@CottageWoodbine</t>
  </si>
  <si>
    <t>@CoilleBheag</t>
  </si>
  <si>
    <t>@DorsetHolidogs</t>
  </si>
  <si>
    <t>@NeptuneCottage</t>
  </si>
  <si>
    <t>@napoleonrocke</t>
  </si>
  <si>
    <t>@aprivatehire</t>
  </si>
  <si>
    <t>@15NorthStreet</t>
  </si>
  <si>
    <t>@NicolaAubrey</t>
  </si>
  <si>
    <t>@WinchesterAD8</t>
  </si>
  <si>
    <t>@KingEdwardHouse</t>
  </si>
  <si>
    <t>@redduckblog</t>
  </si>
  <si>
    <t>Chat</t>
  </si>
  <si>
    <t>Face to face interaction</t>
  </si>
  <si>
    <t>Guidebook</t>
  </si>
  <si>
    <t>Socialmedia</t>
  </si>
  <si>
    <t>Price</t>
  </si>
  <si>
    <t>Social Interaction</t>
  </si>
  <si>
    <t>Opinion</t>
  </si>
  <si>
    <t>Materialism</t>
  </si>
  <si>
    <t>Photo(s)</t>
  </si>
  <si>
    <t>Demographic</t>
  </si>
  <si>
    <t>Communication</t>
  </si>
</sst>
</file>

<file path=xl/styles.xml><?xml version="1.0" encoding="utf-8"?>
<styleSheet xmlns="http://schemas.openxmlformats.org/spreadsheetml/2006/main" xmlns:mc="http://schemas.openxmlformats.org/markup-compatibility/2006" xmlns:x14ac="http://schemas.microsoft.com/office/spreadsheetml/2009/9/ac" mc:Ignorable="x14ac">
  <fonts count="11">
    <font>
      <sz val="11"/>
      <color theme="1"/>
      <name val="Calibri"/>
      <family val="2"/>
      <scheme val="minor"/>
    </font>
    <font>
      <sz val="10"/>
      <color rgb="FF000000"/>
      <name val="Arial"/>
    </font>
    <font>
      <sz val="10"/>
      <color rgb="FF000000"/>
      <name val="Arial"/>
      <family val="2"/>
    </font>
    <font>
      <sz val="11"/>
      <color theme="1"/>
      <name val="Calibri"/>
      <family val="2"/>
      <scheme val="minor"/>
    </font>
    <font>
      <sz val="12"/>
      <color theme="1"/>
      <name val="Calibri"/>
      <family val="2"/>
      <scheme val="minor"/>
    </font>
    <font>
      <sz val="12"/>
      <name val="Droid Sans"/>
    </font>
    <font>
      <u/>
      <sz val="12"/>
      <color rgb="FF0000FF"/>
      <name val="Droid Sans"/>
    </font>
    <font>
      <sz val="12"/>
      <color rgb="FF000000"/>
      <name val="Arial"/>
      <family val="2"/>
    </font>
    <font>
      <sz val="12"/>
      <color theme="1"/>
      <name val="Droit sans"/>
    </font>
    <font>
      <b/>
      <sz val="14"/>
      <color rgb="FFFF0000"/>
      <name val="Arial"/>
      <family val="2"/>
    </font>
    <font>
      <sz val="10"/>
      <color theme="1"/>
      <name val="Arial"/>
      <family val="2"/>
    </font>
  </fonts>
  <fills count="3">
    <fill>
      <patternFill patternType="none"/>
    </fill>
    <fill>
      <patternFill patternType="gray125"/>
    </fill>
    <fill>
      <patternFill patternType="solid">
        <fgColor theme="4" tint="0.79998168889431442"/>
        <bgColor indexed="65"/>
      </patternFill>
    </fill>
  </fills>
  <borders count="7">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5">
    <xf numFmtId="0" fontId="0" fillId="0" borderId="0"/>
    <xf numFmtId="0" fontId="1" fillId="0" borderId="0"/>
    <xf numFmtId="0" fontId="1" fillId="0" borderId="0"/>
    <xf numFmtId="0" fontId="2" fillId="0" borderId="0"/>
    <xf numFmtId="0" fontId="3" fillId="2" borderId="0" applyNumberFormat="0" applyBorder="0" applyAlignment="0" applyProtection="0"/>
  </cellStyleXfs>
  <cellXfs count="47">
    <xf numFmtId="0" fontId="0" fillId="0" borderId="0" xfId="0"/>
    <xf numFmtId="0" fontId="4" fillId="2" borderId="1" xfId="4" applyFont="1" applyBorder="1" applyAlignment="1">
      <alignment horizontal="center" vertical="center"/>
    </xf>
    <xf numFmtId="0" fontId="4" fillId="2" borderId="1" xfId="4" applyFont="1" applyBorder="1" applyAlignment="1">
      <alignment horizontal="center" vertical="center" wrapText="1"/>
    </xf>
    <xf numFmtId="0" fontId="4" fillId="2" borderId="0" xfId="4" applyFont="1" applyAlignment="1"/>
    <xf numFmtId="14" fontId="5" fillId="0" borderId="0" xfId="3" applyNumberFormat="1" applyFont="1" applyAlignment="1">
      <alignment horizontal="center" vertical="center"/>
    </xf>
    <xf numFmtId="0" fontId="6" fillId="0" borderId="0" xfId="3" applyFont="1" applyAlignment="1">
      <alignment vertical="center"/>
    </xf>
    <xf numFmtId="0" fontId="5" fillId="0" borderId="0" xfId="3" applyFont="1" applyAlignment="1">
      <alignment vertical="center"/>
    </xf>
    <xf numFmtId="0" fontId="5" fillId="0" borderId="0" xfId="3" applyFont="1" applyAlignment="1">
      <alignment vertical="center" wrapText="1"/>
    </xf>
    <xf numFmtId="0" fontId="6" fillId="0" borderId="0" xfId="3" applyFont="1" applyAlignment="1">
      <alignment horizontal="left" vertical="center"/>
    </xf>
    <xf numFmtId="0" fontId="5" fillId="0" borderId="0" xfId="3" applyFont="1" applyAlignment="1">
      <alignment horizontal="left" vertical="center"/>
    </xf>
    <xf numFmtId="0" fontId="5" fillId="0" borderId="0" xfId="3" applyFont="1" applyAlignment="1">
      <alignment horizontal="left" vertical="center" wrapText="1"/>
    </xf>
    <xf numFmtId="0" fontId="7" fillId="0" borderId="0" xfId="2" applyFont="1" applyAlignment="1"/>
    <xf numFmtId="14" fontId="5" fillId="0" borderId="0" xfId="1" applyNumberFormat="1" applyFont="1" applyAlignment="1">
      <alignment horizontal="center" vertical="center"/>
    </xf>
    <xf numFmtId="0" fontId="6" fillId="0" borderId="0" xfId="1" applyFont="1" applyAlignment="1">
      <alignment vertical="center"/>
    </xf>
    <xf numFmtId="0" fontId="5" fillId="0" borderId="0" xfId="1" applyFont="1" applyAlignment="1">
      <alignment vertical="center"/>
    </xf>
    <xf numFmtId="0" fontId="5" fillId="0" borderId="0" xfId="1" applyFont="1" applyAlignment="1">
      <alignment vertical="center" wrapText="1"/>
    </xf>
    <xf numFmtId="0" fontId="6" fillId="0" borderId="0" xfId="1" applyFont="1" applyAlignment="1">
      <alignment horizontal="left" vertical="center"/>
    </xf>
    <xf numFmtId="0" fontId="5" fillId="0" borderId="0" xfId="1" applyFont="1" applyAlignment="1">
      <alignment horizontal="left" vertical="center"/>
    </xf>
    <xf numFmtId="0" fontId="5" fillId="0" borderId="0" xfId="1" applyFont="1" applyAlignment="1">
      <alignment horizontal="left" vertical="center" wrapText="1"/>
    </xf>
    <xf numFmtId="14" fontId="5" fillId="0" borderId="0" xfId="2" applyNumberFormat="1" applyFont="1" applyAlignment="1">
      <alignment horizontal="center" vertical="center"/>
    </xf>
    <xf numFmtId="0" fontId="6" fillId="0" borderId="0" xfId="2" applyFont="1" applyAlignment="1">
      <alignment vertical="center"/>
    </xf>
    <xf numFmtId="0" fontId="5" fillId="0" borderId="0" xfId="2" applyFont="1" applyAlignment="1">
      <alignment vertical="center"/>
    </xf>
    <xf numFmtId="0" fontId="5" fillId="0" borderId="0" xfId="2" applyFont="1" applyAlignment="1">
      <alignment vertical="center" wrapText="1"/>
    </xf>
    <xf numFmtId="0" fontId="6" fillId="0" borderId="0" xfId="2" applyFont="1" applyAlignment="1">
      <alignment horizontal="left" vertical="center"/>
    </xf>
    <xf numFmtId="0" fontId="5" fillId="0" borderId="0" xfId="2" applyFont="1" applyAlignment="1">
      <alignment horizontal="left" vertical="center"/>
    </xf>
    <xf numFmtId="0" fontId="5" fillId="0" borderId="0" xfId="2" applyFont="1" applyAlignment="1">
      <alignment horizontal="left" vertical="center" wrapText="1"/>
    </xf>
    <xf numFmtId="0" fontId="5" fillId="0" borderId="0" xfId="3" quotePrefix="1" applyFont="1" applyAlignment="1">
      <alignment horizontal="left" vertical="center" wrapText="1"/>
    </xf>
    <xf numFmtId="0" fontId="5" fillId="0" borderId="0" xfId="1" quotePrefix="1" applyFont="1" applyAlignment="1">
      <alignment horizontal="left" vertical="center" wrapText="1"/>
    </xf>
    <xf numFmtId="0" fontId="5" fillId="0" borderId="0" xfId="2" quotePrefix="1" applyFont="1" applyAlignment="1">
      <alignment vertical="center" wrapText="1"/>
    </xf>
    <xf numFmtId="0" fontId="6" fillId="0" borderId="0" xfId="2" applyFont="1" applyAlignment="1">
      <alignment horizontal="left" vertical="center" wrapText="1"/>
    </xf>
    <xf numFmtId="0" fontId="6" fillId="0" borderId="0" xfId="3" applyFont="1" applyAlignment="1">
      <alignment horizontal="left" vertical="center" wrapText="1"/>
    </xf>
    <xf numFmtId="0" fontId="7" fillId="0" borderId="0" xfId="3" applyFont="1" applyAlignment="1"/>
    <xf numFmtId="0" fontId="5" fillId="0" borderId="0" xfId="3" quotePrefix="1" applyFont="1" applyAlignment="1">
      <alignment vertical="center" wrapText="1"/>
    </xf>
    <xf numFmtId="0" fontId="7" fillId="0" borderId="0" xfId="1" applyFont="1" applyAlignment="1"/>
    <xf numFmtId="0" fontId="4" fillId="0" borderId="0" xfId="0" applyFont="1"/>
    <xf numFmtId="0" fontId="8" fillId="0" borderId="0" xfId="0" applyFont="1"/>
    <xf numFmtId="14" fontId="4" fillId="2" borderId="1" xfId="4" applyNumberFormat="1" applyFont="1" applyBorder="1" applyAlignment="1">
      <alignment horizontal="center" vertical="center"/>
    </xf>
    <xf numFmtId="14" fontId="0" fillId="0" borderId="0" xfId="0" applyNumberFormat="1"/>
    <xf numFmtId="14" fontId="4" fillId="0" borderId="0" xfId="0" applyNumberFormat="1" applyFont="1"/>
    <xf numFmtId="14" fontId="7" fillId="0" borderId="0" xfId="2" applyNumberFormat="1" applyFont="1" applyAlignment="1"/>
    <xf numFmtId="0" fontId="7" fillId="0" borderId="0" xfId="2" applyFont="1" applyAlignment="1">
      <alignment horizontal="left"/>
    </xf>
    <xf numFmtId="0" fontId="9" fillId="0" borderId="0" xfId="2" applyFont="1" applyAlignment="1"/>
    <xf numFmtId="0" fontId="10" fillId="0" borderId="2" xfId="0" applyFont="1" applyBorder="1" applyAlignment="1">
      <alignment vertical="center"/>
    </xf>
    <xf numFmtId="0" fontId="10" fillId="0" borderId="3" xfId="0" applyFont="1" applyBorder="1" applyAlignment="1">
      <alignment vertical="center"/>
    </xf>
    <xf numFmtId="0" fontId="10" fillId="0" borderId="4" xfId="0" applyFont="1" applyBorder="1" applyAlignment="1">
      <alignment vertical="center"/>
    </xf>
    <xf numFmtId="0" fontId="10" fillId="0" borderId="5" xfId="0" applyFont="1" applyBorder="1" applyAlignment="1">
      <alignment vertical="center"/>
    </xf>
    <xf numFmtId="0" fontId="10" fillId="0" borderId="6" xfId="0" applyFont="1" applyBorder="1" applyAlignment="1">
      <alignment vertical="center"/>
    </xf>
  </cellXfs>
  <cellStyles count="5">
    <cellStyle name="20% - Accent1" xfId="4" builtinId="30"/>
    <cellStyle name="Normal" xfId="0" builtinId="0"/>
    <cellStyle name="Normal 2" xfId="1"/>
    <cellStyle name="Normal 2 2" xfId="3"/>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Sentiment</a:t>
            </a:r>
            <a:r>
              <a:rPr lang="en-US" baseline="0"/>
              <a:t> Scores</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[1]Sheet1!$AZ$44</c:f>
              <c:strCache>
                <c:ptCount val="1"/>
                <c:pt idx="0">
                  <c:v>Africa</c:v>
                </c:pt>
              </c:strCache>
            </c:strRef>
          </c:tx>
          <c:spPr>
            <a:solidFill>
              <a:schemeClr val="accent1"/>
            </a:solidFill>
            <a:ln>
              <a:noFill/>
            </a:ln>
            <a:effectLst/>
            <a:sp3d/>
          </c:spPr>
          <c:invertIfNegative val="0"/>
          <c:cat>
            <c:strRef>
              <c:f>[1]Sheet1!$AY$45:$AY$59</c:f>
              <c:strCache>
                <c:ptCount val="15"/>
                <c:pt idx="0">
                  <c:v>Price</c:v>
                </c:pt>
                <c:pt idx="2">
                  <c:v>Social Interaction</c:v>
                </c:pt>
                <c:pt idx="3">
                  <c:v>Location</c:v>
                </c:pt>
                <c:pt idx="5">
                  <c:v>Opinion</c:v>
                </c:pt>
                <c:pt idx="7">
                  <c:v>Materialism</c:v>
                </c:pt>
                <c:pt idx="9">
                  <c:v>Photo(s)</c:v>
                </c:pt>
                <c:pt idx="11">
                  <c:v>Demographic</c:v>
                </c:pt>
                <c:pt idx="13">
                  <c:v>Communication</c:v>
                </c:pt>
              </c:strCache>
            </c:strRef>
          </c:cat>
          <c:val>
            <c:numRef>
              <c:f>[1]Sheet1!$AZ$45:$AZ$59</c:f>
              <c:numCache>
                <c:formatCode>General</c:formatCode>
                <c:ptCount val="15"/>
                <c:pt idx="0">
                  <c:v>0.51</c:v>
                </c:pt>
                <c:pt idx="2">
                  <c:v>0.49</c:v>
                </c:pt>
                <c:pt idx="3">
                  <c:v>0.49</c:v>
                </c:pt>
                <c:pt idx="5">
                  <c:v>-0.34</c:v>
                </c:pt>
                <c:pt idx="7">
                  <c:v>0.45</c:v>
                </c:pt>
                <c:pt idx="9">
                  <c:v>0</c:v>
                </c:pt>
                <c:pt idx="11">
                  <c:v>0.44</c:v>
                </c:pt>
                <c:pt idx="13">
                  <c:v>0.52</c:v>
                </c:pt>
              </c:numCache>
            </c:numRef>
          </c:val>
        </c:ser>
        <c:ser>
          <c:idx val="1"/>
          <c:order val="1"/>
          <c:tx>
            <c:strRef>
              <c:f>[1]Sheet1!$BA$44</c:f>
              <c:strCache>
                <c:ptCount val="1"/>
                <c:pt idx="0">
                  <c:v>Asia</c:v>
                </c:pt>
              </c:strCache>
            </c:strRef>
          </c:tx>
          <c:spPr>
            <a:solidFill>
              <a:schemeClr val="accent2"/>
            </a:solidFill>
            <a:ln>
              <a:noFill/>
            </a:ln>
            <a:effectLst/>
            <a:sp3d/>
          </c:spPr>
          <c:invertIfNegative val="0"/>
          <c:cat>
            <c:strRef>
              <c:f>[1]Sheet1!$AY$45:$AY$59</c:f>
              <c:strCache>
                <c:ptCount val="15"/>
                <c:pt idx="0">
                  <c:v>Price</c:v>
                </c:pt>
                <c:pt idx="2">
                  <c:v>Social Interaction</c:v>
                </c:pt>
                <c:pt idx="3">
                  <c:v>Location</c:v>
                </c:pt>
                <c:pt idx="5">
                  <c:v>Opinion</c:v>
                </c:pt>
                <c:pt idx="7">
                  <c:v>Materialism</c:v>
                </c:pt>
                <c:pt idx="9">
                  <c:v>Photo(s)</c:v>
                </c:pt>
                <c:pt idx="11">
                  <c:v>Demographic</c:v>
                </c:pt>
                <c:pt idx="13">
                  <c:v>Communication</c:v>
                </c:pt>
              </c:strCache>
            </c:strRef>
          </c:cat>
          <c:val>
            <c:numRef>
              <c:f>[1]Sheet1!$BA$45:$BA$59</c:f>
              <c:numCache>
                <c:formatCode>General</c:formatCode>
                <c:ptCount val="15"/>
                <c:pt idx="0">
                  <c:v>0.54</c:v>
                </c:pt>
                <c:pt idx="2">
                  <c:v>0.54</c:v>
                </c:pt>
                <c:pt idx="3">
                  <c:v>0.78</c:v>
                </c:pt>
                <c:pt idx="5">
                  <c:v>0.55000000000000004</c:v>
                </c:pt>
                <c:pt idx="7">
                  <c:v>0.76</c:v>
                </c:pt>
                <c:pt idx="9">
                  <c:v>0.74</c:v>
                </c:pt>
                <c:pt idx="11">
                  <c:v>0.82</c:v>
                </c:pt>
                <c:pt idx="13">
                  <c:v>0.74</c:v>
                </c:pt>
              </c:numCache>
            </c:numRef>
          </c:val>
        </c:ser>
        <c:ser>
          <c:idx val="2"/>
          <c:order val="2"/>
          <c:tx>
            <c:strRef>
              <c:f>[1]Sheet1!$BB$44</c:f>
              <c:strCache>
                <c:ptCount val="1"/>
                <c:pt idx="0">
                  <c:v>Europe</c:v>
                </c:pt>
              </c:strCache>
            </c:strRef>
          </c:tx>
          <c:spPr>
            <a:solidFill>
              <a:schemeClr val="accent3"/>
            </a:solidFill>
            <a:ln>
              <a:noFill/>
            </a:ln>
            <a:effectLst/>
            <a:sp3d/>
          </c:spPr>
          <c:invertIfNegative val="0"/>
          <c:cat>
            <c:strRef>
              <c:f>[1]Sheet1!$AY$45:$AY$59</c:f>
              <c:strCache>
                <c:ptCount val="15"/>
                <c:pt idx="0">
                  <c:v>Price</c:v>
                </c:pt>
                <c:pt idx="2">
                  <c:v>Social Interaction</c:v>
                </c:pt>
                <c:pt idx="3">
                  <c:v>Location</c:v>
                </c:pt>
                <c:pt idx="5">
                  <c:v>Opinion</c:v>
                </c:pt>
                <c:pt idx="7">
                  <c:v>Materialism</c:v>
                </c:pt>
                <c:pt idx="9">
                  <c:v>Photo(s)</c:v>
                </c:pt>
                <c:pt idx="11">
                  <c:v>Demographic</c:v>
                </c:pt>
                <c:pt idx="13">
                  <c:v>Communication</c:v>
                </c:pt>
              </c:strCache>
            </c:strRef>
          </c:cat>
          <c:val>
            <c:numRef>
              <c:f>[1]Sheet1!$BB$45:$BB$59</c:f>
              <c:numCache>
                <c:formatCode>General</c:formatCode>
                <c:ptCount val="15"/>
                <c:pt idx="0">
                  <c:v>0.66</c:v>
                </c:pt>
                <c:pt idx="2">
                  <c:v>0.61</c:v>
                </c:pt>
                <c:pt idx="3">
                  <c:v>0.71</c:v>
                </c:pt>
                <c:pt idx="5">
                  <c:v>0.68</c:v>
                </c:pt>
                <c:pt idx="7">
                  <c:v>0.71</c:v>
                </c:pt>
                <c:pt idx="9">
                  <c:v>0.82</c:v>
                </c:pt>
                <c:pt idx="11">
                  <c:v>0.63</c:v>
                </c:pt>
                <c:pt idx="13">
                  <c:v>0.54</c:v>
                </c:pt>
              </c:numCache>
            </c:numRef>
          </c:val>
        </c:ser>
        <c:ser>
          <c:idx val="3"/>
          <c:order val="3"/>
          <c:tx>
            <c:strRef>
              <c:f>[1]Sheet1!$BC$44</c:f>
              <c:strCache>
                <c:ptCount val="1"/>
                <c:pt idx="0">
                  <c:v>North America</c:v>
                </c:pt>
              </c:strCache>
            </c:strRef>
          </c:tx>
          <c:spPr>
            <a:solidFill>
              <a:schemeClr val="accent4"/>
            </a:solidFill>
            <a:ln>
              <a:noFill/>
            </a:ln>
            <a:effectLst/>
            <a:sp3d/>
          </c:spPr>
          <c:invertIfNegative val="0"/>
          <c:cat>
            <c:strRef>
              <c:f>[1]Sheet1!$AY$45:$AY$59</c:f>
              <c:strCache>
                <c:ptCount val="15"/>
                <c:pt idx="0">
                  <c:v>Price</c:v>
                </c:pt>
                <c:pt idx="2">
                  <c:v>Social Interaction</c:v>
                </c:pt>
                <c:pt idx="3">
                  <c:v>Location</c:v>
                </c:pt>
                <c:pt idx="5">
                  <c:v>Opinion</c:v>
                </c:pt>
                <c:pt idx="7">
                  <c:v>Materialism</c:v>
                </c:pt>
                <c:pt idx="9">
                  <c:v>Photo(s)</c:v>
                </c:pt>
                <c:pt idx="11">
                  <c:v>Demographic</c:v>
                </c:pt>
                <c:pt idx="13">
                  <c:v>Communication</c:v>
                </c:pt>
              </c:strCache>
            </c:strRef>
          </c:cat>
          <c:val>
            <c:numRef>
              <c:f>[1]Sheet1!$BC$45:$BC$59</c:f>
              <c:numCache>
                <c:formatCode>General</c:formatCode>
                <c:ptCount val="15"/>
                <c:pt idx="0">
                  <c:v>0.56999999999999995</c:v>
                </c:pt>
                <c:pt idx="2">
                  <c:v>0.6</c:v>
                </c:pt>
                <c:pt idx="3">
                  <c:v>0.62</c:v>
                </c:pt>
                <c:pt idx="5">
                  <c:v>0.63</c:v>
                </c:pt>
                <c:pt idx="7">
                  <c:v>0.68</c:v>
                </c:pt>
                <c:pt idx="9">
                  <c:v>0.71</c:v>
                </c:pt>
                <c:pt idx="11">
                  <c:v>0.63</c:v>
                </c:pt>
                <c:pt idx="13">
                  <c:v>0</c:v>
                </c:pt>
              </c:numCache>
            </c:numRef>
          </c:val>
        </c:ser>
        <c:ser>
          <c:idx val="4"/>
          <c:order val="4"/>
          <c:tx>
            <c:strRef>
              <c:f>[1]Sheet1!$BD$44</c:f>
              <c:strCache>
                <c:ptCount val="1"/>
                <c:pt idx="0">
                  <c:v>South America</c:v>
                </c:pt>
              </c:strCache>
            </c:strRef>
          </c:tx>
          <c:spPr>
            <a:solidFill>
              <a:schemeClr val="accent5"/>
            </a:solidFill>
            <a:ln>
              <a:noFill/>
            </a:ln>
            <a:effectLst/>
            <a:sp3d/>
          </c:spPr>
          <c:invertIfNegative val="0"/>
          <c:cat>
            <c:strRef>
              <c:f>[1]Sheet1!$AY$45:$AY$59</c:f>
              <c:strCache>
                <c:ptCount val="15"/>
                <c:pt idx="0">
                  <c:v>Price</c:v>
                </c:pt>
                <c:pt idx="2">
                  <c:v>Social Interaction</c:v>
                </c:pt>
                <c:pt idx="3">
                  <c:v>Location</c:v>
                </c:pt>
                <c:pt idx="5">
                  <c:v>Opinion</c:v>
                </c:pt>
                <c:pt idx="7">
                  <c:v>Materialism</c:v>
                </c:pt>
                <c:pt idx="9">
                  <c:v>Photo(s)</c:v>
                </c:pt>
                <c:pt idx="11">
                  <c:v>Demographic</c:v>
                </c:pt>
                <c:pt idx="13">
                  <c:v>Communication</c:v>
                </c:pt>
              </c:strCache>
            </c:strRef>
          </c:cat>
          <c:val>
            <c:numRef>
              <c:f>[1]Sheet1!$BD$45:$BD$59</c:f>
              <c:numCache>
                <c:formatCode>General</c:formatCode>
                <c:ptCount val="15"/>
                <c:pt idx="0">
                  <c:v>0.87</c:v>
                </c:pt>
                <c:pt idx="2">
                  <c:v>0.88</c:v>
                </c:pt>
                <c:pt idx="3">
                  <c:v>0.8</c:v>
                </c:pt>
                <c:pt idx="5">
                  <c:v>0.97</c:v>
                </c:pt>
                <c:pt idx="7">
                  <c:v>0.84</c:v>
                </c:pt>
                <c:pt idx="9">
                  <c:v>0.97</c:v>
                </c:pt>
                <c:pt idx="11">
                  <c:v>0</c:v>
                </c:pt>
                <c:pt idx="13">
                  <c:v>0.87</c:v>
                </c:pt>
              </c:numCache>
            </c:numRef>
          </c:val>
        </c:ser>
        <c:ser>
          <c:idx val="5"/>
          <c:order val="5"/>
          <c:tx>
            <c:strRef>
              <c:f>[1]Sheet1!$BE$44</c:f>
              <c:strCache>
                <c:ptCount val="1"/>
                <c:pt idx="0">
                  <c:v>Oceania</c:v>
                </c:pt>
              </c:strCache>
            </c:strRef>
          </c:tx>
          <c:spPr>
            <a:solidFill>
              <a:schemeClr val="accent6"/>
            </a:solidFill>
            <a:ln>
              <a:noFill/>
            </a:ln>
            <a:effectLst/>
            <a:sp3d/>
          </c:spPr>
          <c:invertIfNegative val="0"/>
          <c:cat>
            <c:strRef>
              <c:f>[1]Sheet1!$AY$45:$AY$59</c:f>
              <c:strCache>
                <c:ptCount val="15"/>
                <c:pt idx="0">
                  <c:v>Price</c:v>
                </c:pt>
                <c:pt idx="2">
                  <c:v>Social Interaction</c:v>
                </c:pt>
                <c:pt idx="3">
                  <c:v>Location</c:v>
                </c:pt>
                <c:pt idx="5">
                  <c:v>Opinion</c:v>
                </c:pt>
                <c:pt idx="7">
                  <c:v>Materialism</c:v>
                </c:pt>
                <c:pt idx="9">
                  <c:v>Photo(s)</c:v>
                </c:pt>
                <c:pt idx="11">
                  <c:v>Demographic</c:v>
                </c:pt>
                <c:pt idx="13">
                  <c:v>Communication</c:v>
                </c:pt>
              </c:strCache>
            </c:strRef>
          </c:cat>
          <c:val>
            <c:numRef>
              <c:f>[1]Sheet1!$BE$45:$BE$59</c:f>
              <c:numCache>
                <c:formatCode>General</c:formatCode>
                <c:ptCount val="15"/>
                <c:pt idx="0">
                  <c:v>0.61</c:v>
                </c:pt>
                <c:pt idx="2">
                  <c:v>0.65</c:v>
                </c:pt>
                <c:pt idx="3">
                  <c:v>0.74</c:v>
                </c:pt>
                <c:pt idx="5">
                  <c:v>0.82</c:v>
                </c:pt>
                <c:pt idx="7">
                  <c:v>0.78</c:v>
                </c:pt>
                <c:pt idx="9">
                  <c:v>0.86</c:v>
                </c:pt>
                <c:pt idx="11">
                  <c:v>0.79</c:v>
                </c:pt>
                <c:pt idx="13">
                  <c:v>0.56000000000000005</c:v>
                </c:pt>
              </c:numCache>
            </c:numRef>
          </c:val>
        </c:ser>
        <c:dLbls>
          <c:showLegendKey val="0"/>
          <c:showVal val="0"/>
          <c:showCatName val="0"/>
          <c:showSerName val="0"/>
          <c:showPercent val="0"/>
          <c:showBubbleSize val="0"/>
        </c:dLbls>
        <c:gapWidth val="219"/>
        <c:shape val="box"/>
        <c:axId val="222403856"/>
        <c:axId val="222401504"/>
        <c:axId val="0"/>
      </c:bar3DChart>
      <c:catAx>
        <c:axId val="22240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401504"/>
        <c:crosses val="autoZero"/>
        <c:auto val="1"/>
        <c:lblAlgn val="ctr"/>
        <c:lblOffset val="100"/>
        <c:noMultiLvlLbl val="0"/>
      </c:catAx>
      <c:valAx>
        <c:axId val="222401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403856"/>
        <c:crosses val="autoZero"/>
        <c:crossBetween val="between"/>
      </c:valAx>
      <c:spPr>
        <a:noFill/>
        <a:ln>
          <a:noFill/>
        </a:ln>
        <a:effectLst>
          <a:outerShdw blurRad="50800" dist="165100" dir="5400000" sx="1000" sy="1000" algn="ctr" rotWithShape="0">
            <a:srgbClr val="000000">
              <a:alpha val="43137"/>
            </a:srgbClr>
          </a:outerShdw>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scene3d>
      <a:camera prst="orthographicFront"/>
      <a:lightRig rig="threePt" dir="t"/>
    </a:scene3d>
    <a:sp3d/>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0</xdr:colOff>
      <xdr:row>2</xdr:row>
      <xdr:rowOff>0</xdr:rowOff>
    </xdr:from>
    <xdr:to>
      <xdr:col>12</xdr:col>
      <xdr:colOff>114300</xdr:colOff>
      <xdr:row>16</xdr:row>
      <xdr:rowOff>62593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LL/Desktop/Final%20report/Cleaned_Dataset(final)_19June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bnb"/>
      <sheetName val="Asia"/>
      <sheetName val="Africa"/>
      <sheetName val="Europe"/>
      <sheetName val="North America"/>
      <sheetName val="South America"/>
      <sheetName val="Oceania"/>
      <sheetName val="Analysis"/>
      <sheetName val="Sheet1"/>
    </sheetNames>
    <sheetDataSet>
      <sheetData sheetId="0"/>
      <sheetData sheetId="1"/>
      <sheetData sheetId="2"/>
      <sheetData sheetId="3"/>
      <sheetData sheetId="4"/>
      <sheetData sheetId="5"/>
      <sheetData sheetId="6"/>
      <sheetData sheetId="7"/>
      <sheetData sheetId="8">
        <row r="44">
          <cell r="AZ44" t="str">
            <v>Africa</v>
          </cell>
          <cell r="BA44" t="str">
            <v>Asia</v>
          </cell>
          <cell r="BB44" t="str">
            <v>Europe</v>
          </cell>
          <cell r="BC44" t="str">
            <v>North America</v>
          </cell>
          <cell r="BD44" t="str">
            <v>South America</v>
          </cell>
          <cell r="BE44" t="str">
            <v>Oceania</v>
          </cell>
        </row>
        <row r="45">
          <cell r="AY45" t="str">
            <v>Price</v>
          </cell>
          <cell r="AZ45">
            <v>0.51</v>
          </cell>
          <cell r="BA45">
            <v>0.54</v>
          </cell>
          <cell r="BB45">
            <v>0.66</v>
          </cell>
          <cell r="BC45">
            <v>0.56999999999999995</v>
          </cell>
          <cell r="BD45">
            <v>0.87</v>
          </cell>
          <cell r="BE45">
            <v>0.61</v>
          </cell>
        </row>
        <row r="46">
          <cell r="AY46"/>
          <cell r="AZ46"/>
          <cell r="BA46"/>
          <cell r="BB46"/>
          <cell r="BC46"/>
          <cell r="BD46"/>
          <cell r="BE46"/>
        </row>
        <row r="47">
          <cell r="AY47" t="str">
            <v>Social Interaction</v>
          </cell>
          <cell r="AZ47">
            <v>0.49</v>
          </cell>
          <cell r="BA47">
            <v>0.54</v>
          </cell>
          <cell r="BB47">
            <v>0.61</v>
          </cell>
          <cell r="BC47">
            <v>0.6</v>
          </cell>
          <cell r="BD47">
            <v>0.88</v>
          </cell>
          <cell r="BE47">
            <v>0.65</v>
          </cell>
        </row>
        <row r="48">
          <cell r="AY48" t="str">
            <v>Location</v>
          </cell>
          <cell r="AZ48">
            <v>0.49</v>
          </cell>
          <cell r="BA48">
            <v>0.78</v>
          </cell>
          <cell r="BB48">
            <v>0.71</v>
          </cell>
          <cell r="BC48">
            <v>0.62</v>
          </cell>
          <cell r="BD48">
            <v>0.8</v>
          </cell>
          <cell r="BE48">
            <v>0.74</v>
          </cell>
        </row>
        <row r="49">
          <cell r="AY49"/>
          <cell r="AZ49"/>
          <cell r="BA49"/>
          <cell r="BB49"/>
          <cell r="BC49"/>
          <cell r="BD49"/>
          <cell r="BE49"/>
        </row>
        <row r="50">
          <cell r="AY50" t="str">
            <v>Opinion</v>
          </cell>
          <cell r="AZ50">
            <v>-0.34</v>
          </cell>
          <cell r="BA50">
            <v>0.55000000000000004</v>
          </cell>
          <cell r="BB50">
            <v>0.68</v>
          </cell>
          <cell r="BC50">
            <v>0.63</v>
          </cell>
          <cell r="BD50">
            <v>0.97</v>
          </cell>
          <cell r="BE50">
            <v>0.82</v>
          </cell>
        </row>
        <row r="51">
          <cell r="AY51"/>
          <cell r="AZ51"/>
          <cell r="BA51"/>
          <cell r="BB51"/>
          <cell r="BC51"/>
          <cell r="BD51"/>
          <cell r="BE51"/>
        </row>
        <row r="52">
          <cell r="AY52" t="str">
            <v>Materialism</v>
          </cell>
          <cell r="AZ52">
            <v>0.45</v>
          </cell>
          <cell r="BA52">
            <v>0.76</v>
          </cell>
          <cell r="BB52">
            <v>0.71</v>
          </cell>
          <cell r="BC52">
            <v>0.68</v>
          </cell>
          <cell r="BD52">
            <v>0.84</v>
          </cell>
          <cell r="BE52">
            <v>0.78</v>
          </cell>
        </row>
        <row r="53">
          <cell r="AY53"/>
          <cell r="AZ53"/>
          <cell r="BA53"/>
          <cell r="BB53"/>
          <cell r="BC53"/>
          <cell r="BD53"/>
          <cell r="BE53"/>
        </row>
        <row r="54">
          <cell r="AY54" t="str">
            <v>Photo(s)</v>
          </cell>
          <cell r="AZ54">
            <v>0</v>
          </cell>
          <cell r="BA54">
            <v>0.74</v>
          </cell>
          <cell r="BB54">
            <v>0.82</v>
          </cell>
          <cell r="BC54">
            <v>0.71</v>
          </cell>
          <cell r="BD54">
            <v>0.97</v>
          </cell>
          <cell r="BE54">
            <v>0.86</v>
          </cell>
        </row>
        <row r="55">
          <cell r="AY55"/>
          <cell r="AZ55"/>
          <cell r="BA55"/>
          <cell r="BB55"/>
          <cell r="BC55"/>
          <cell r="BD55"/>
          <cell r="BE55"/>
        </row>
        <row r="56">
          <cell r="AY56" t="str">
            <v>Demographic</v>
          </cell>
          <cell r="AZ56">
            <v>0.44</v>
          </cell>
          <cell r="BA56">
            <v>0.82</v>
          </cell>
          <cell r="BB56">
            <v>0.63</v>
          </cell>
          <cell r="BC56">
            <v>0.63</v>
          </cell>
          <cell r="BD56">
            <v>0</v>
          </cell>
          <cell r="BE56">
            <v>0.79</v>
          </cell>
        </row>
        <row r="57">
          <cell r="AY57"/>
          <cell r="AZ57"/>
          <cell r="BA57"/>
          <cell r="BB57"/>
          <cell r="BC57"/>
          <cell r="BD57"/>
          <cell r="BE57"/>
        </row>
        <row r="58">
          <cell r="AY58" t="str">
            <v>Communication</v>
          </cell>
          <cell r="AZ58">
            <v>0.52</v>
          </cell>
          <cell r="BA58">
            <v>0.74</v>
          </cell>
          <cell r="BB58">
            <v>0.54</v>
          </cell>
          <cell r="BC58">
            <v>0</v>
          </cell>
          <cell r="BD58">
            <v>0.87</v>
          </cell>
          <cell r="BE58">
            <v>0.56000000000000005</v>
          </cell>
        </row>
        <row r="59">
          <cell r="AY59"/>
          <cell r="AZ59"/>
          <cell r="BA59"/>
          <cell r="BB59"/>
          <cell r="BC59"/>
          <cell r="BD59"/>
          <cell r="BE59"/>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th.airbnb.com/users/154750018/listings" TargetMode="External"/><Relationship Id="rId18" Type="http://schemas.openxmlformats.org/officeDocument/2006/relationships/hyperlink" Target="http://www.tutorialguidacomefare.com/" TargetMode="External"/><Relationship Id="rId26" Type="http://schemas.openxmlformats.org/officeDocument/2006/relationships/hyperlink" Target="http://veryitchyfeet.com/" TargetMode="External"/><Relationship Id="rId39" Type="http://schemas.openxmlformats.org/officeDocument/2006/relationships/hyperlink" Target="http://allafrica.com/" TargetMode="External"/><Relationship Id="rId3" Type="http://schemas.openxmlformats.org/officeDocument/2006/relationships/hyperlink" Target="https://th.airbnb.com/users/154750018/listings" TargetMode="External"/><Relationship Id="rId21" Type="http://schemas.openxmlformats.org/officeDocument/2006/relationships/hyperlink" Target="https://th.airbnb.com/users/154750018/listings" TargetMode="External"/><Relationship Id="rId34" Type="http://schemas.openxmlformats.org/officeDocument/2006/relationships/hyperlink" Target="http://tentaran.com/" TargetMode="External"/><Relationship Id="rId42" Type="http://schemas.openxmlformats.org/officeDocument/2006/relationships/hyperlink" Target="http://thegoldenmoon.com/" TargetMode="External"/><Relationship Id="rId47" Type="http://schemas.openxmlformats.org/officeDocument/2006/relationships/hyperlink" Target="http://taygo.com/" TargetMode="External"/><Relationship Id="rId50" Type="http://schemas.openxmlformats.org/officeDocument/2006/relationships/hyperlink" Target="http://happyguest.co.uk/" TargetMode="External"/><Relationship Id="rId7" Type="http://schemas.openxmlformats.org/officeDocument/2006/relationships/hyperlink" Target="http://www.escout.me/" TargetMode="External"/><Relationship Id="rId12" Type="http://schemas.openxmlformats.org/officeDocument/2006/relationships/hyperlink" Target="http://torontonicity.com/" TargetMode="External"/><Relationship Id="rId17" Type="http://schemas.openxmlformats.org/officeDocument/2006/relationships/hyperlink" Target="http://www.tutorialguidacomefare.com/" TargetMode="External"/><Relationship Id="rId25" Type="http://schemas.openxmlformats.org/officeDocument/2006/relationships/hyperlink" Target="http://maxilaria.com.gr/" TargetMode="External"/><Relationship Id="rId33" Type="http://schemas.openxmlformats.org/officeDocument/2006/relationships/hyperlink" Target="http://trak.in/" TargetMode="External"/><Relationship Id="rId38" Type="http://schemas.openxmlformats.org/officeDocument/2006/relationships/hyperlink" Target="http://collegetimes.com/" TargetMode="External"/><Relationship Id="rId46" Type="http://schemas.openxmlformats.org/officeDocument/2006/relationships/hyperlink" Target="http://recommend.my/" TargetMode="External"/><Relationship Id="rId2" Type="http://schemas.openxmlformats.org/officeDocument/2006/relationships/hyperlink" Target="https://th.airbnb.com/users/154750018/listings" TargetMode="External"/><Relationship Id="rId16" Type="http://schemas.openxmlformats.org/officeDocument/2006/relationships/hyperlink" Target="http://www.tutorialguidacomefare.com/" TargetMode="External"/><Relationship Id="rId20" Type="http://schemas.openxmlformats.org/officeDocument/2006/relationships/hyperlink" Target="https://th.airbnb.com/users/154750018/listings" TargetMode="External"/><Relationship Id="rId29" Type="http://schemas.openxmlformats.org/officeDocument/2006/relationships/hyperlink" Target="http://happyguest.co.uk/" TargetMode="External"/><Relationship Id="rId41" Type="http://schemas.openxmlformats.org/officeDocument/2006/relationships/hyperlink" Target="http://thegoldenmoon.com/" TargetMode="External"/><Relationship Id="rId1" Type="http://schemas.openxmlformats.org/officeDocument/2006/relationships/hyperlink" Target="https://th.airbnb.com/users/154750018/listings" TargetMode="External"/><Relationship Id="rId6" Type="http://schemas.openxmlformats.org/officeDocument/2006/relationships/hyperlink" Target="http://jobtensor.com/" TargetMode="External"/><Relationship Id="rId11" Type="http://schemas.openxmlformats.org/officeDocument/2006/relationships/hyperlink" Target="http://thegoldenmoon.com/" TargetMode="External"/><Relationship Id="rId24" Type="http://schemas.openxmlformats.org/officeDocument/2006/relationships/hyperlink" Target="http://emacity.com/" TargetMode="External"/><Relationship Id="rId32" Type="http://schemas.openxmlformats.org/officeDocument/2006/relationships/hyperlink" Target="http://thegoldenmoon.com/" TargetMode="External"/><Relationship Id="rId37" Type="http://schemas.openxmlformats.org/officeDocument/2006/relationships/hyperlink" Target="http://allafrica.com/" TargetMode="External"/><Relationship Id="rId40" Type="http://schemas.openxmlformats.org/officeDocument/2006/relationships/hyperlink" Target="http://sumos.io/" TargetMode="External"/><Relationship Id="rId45" Type="http://schemas.openxmlformats.org/officeDocument/2006/relationships/hyperlink" Target="http://boston.com/" TargetMode="External"/><Relationship Id="rId53" Type="http://schemas.openxmlformats.org/officeDocument/2006/relationships/printerSettings" Target="../printerSettings/printerSettings1.bin"/><Relationship Id="rId5" Type="http://schemas.openxmlformats.org/officeDocument/2006/relationships/hyperlink" Target="https://th.airbnb.com/users/154750018/listings" TargetMode="External"/><Relationship Id="rId15" Type="http://schemas.openxmlformats.org/officeDocument/2006/relationships/hyperlink" Target="https://th.airbnb.com/users/154750018/listings" TargetMode="External"/><Relationship Id="rId23" Type="http://schemas.openxmlformats.org/officeDocument/2006/relationships/hyperlink" Target="http://emacity.com/" TargetMode="External"/><Relationship Id="rId28" Type="http://schemas.openxmlformats.org/officeDocument/2006/relationships/hyperlink" Target="https://www.linkedin.com/in/owen-eszeki-547a4113/" TargetMode="External"/><Relationship Id="rId36" Type="http://schemas.openxmlformats.org/officeDocument/2006/relationships/hyperlink" Target="http://allafrica.com/" TargetMode="External"/><Relationship Id="rId49" Type="http://schemas.openxmlformats.org/officeDocument/2006/relationships/hyperlink" Target="http://palmspringshouse.com/" TargetMode="External"/><Relationship Id="rId10" Type="http://schemas.openxmlformats.org/officeDocument/2006/relationships/hyperlink" Target="http://recommend.my/" TargetMode="External"/><Relationship Id="rId19" Type="http://schemas.openxmlformats.org/officeDocument/2006/relationships/hyperlink" Target="http://homesgofast.com/" TargetMode="External"/><Relationship Id="rId31" Type="http://schemas.openxmlformats.org/officeDocument/2006/relationships/hyperlink" Target="http://vogue.fr/" TargetMode="External"/><Relationship Id="rId44" Type="http://schemas.openxmlformats.org/officeDocument/2006/relationships/hyperlink" Target="http://tvsun.org/" TargetMode="External"/><Relationship Id="rId52" Type="http://schemas.openxmlformats.org/officeDocument/2006/relationships/hyperlink" Target="http://palmspringshouse.com/" TargetMode="External"/><Relationship Id="rId4" Type="http://schemas.openxmlformats.org/officeDocument/2006/relationships/hyperlink" Target="https://th.airbnb.com/users/154750018/listings" TargetMode="External"/><Relationship Id="rId9" Type="http://schemas.openxmlformats.org/officeDocument/2006/relationships/hyperlink" Target="http://recommend.my/" TargetMode="External"/><Relationship Id="rId14" Type="http://schemas.openxmlformats.org/officeDocument/2006/relationships/hyperlink" Target="https://th.airbnb.com/users/154750018/listings" TargetMode="External"/><Relationship Id="rId22" Type="http://schemas.openxmlformats.org/officeDocument/2006/relationships/hyperlink" Target="https://th.airbnb.com/users/154750018/listings" TargetMode="External"/><Relationship Id="rId27" Type="http://schemas.openxmlformats.org/officeDocument/2006/relationships/hyperlink" Target="http://thegoldenmoon.com/" TargetMode="External"/><Relationship Id="rId30" Type="http://schemas.openxmlformats.org/officeDocument/2006/relationships/hyperlink" Target="http://thegoldenmoon.com/" TargetMode="External"/><Relationship Id="rId35" Type="http://schemas.openxmlformats.org/officeDocument/2006/relationships/hyperlink" Target="http://allafrica.com/" TargetMode="External"/><Relationship Id="rId43" Type="http://schemas.openxmlformats.org/officeDocument/2006/relationships/hyperlink" Target="http://awesomewebdesigns.ca/" TargetMode="External"/><Relationship Id="rId48" Type="http://schemas.openxmlformats.org/officeDocument/2006/relationships/hyperlink" Target="http://palmspringshouse.com/" TargetMode="External"/><Relationship Id="rId8" Type="http://schemas.openxmlformats.org/officeDocument/2006/relationships/hyperlink" Target="http://recommend.my/" TargetMode="External"/><Relationship Id="rId51" Type="http://schemas.openxmlformats.org/officeDocument/2006/relationships/hyperlink" Target="http://thegoldenmoon.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recommend.my/" TargetMode="External"/><Relationship Id="rId13" Type="http://schemas.openxmlformats.org/officeDocument/2006/relationships/hyperlink" Target="https://th.airbnb.com/users/154750018/listings" TargetMode="External"/><Relationship Id="rId18" Type="http://schemas.openxmlformats.org/officeDocument/2006/relationships/printerSettings" Target="../printerSettings/printerSettings2.bin"/><Relationship Id="rId3" Type="http://schemas.openxmlformats.org/officeDocument/2006/relationships/hyperlink" Target="https://th.airbnb.com/users/154750018/listings" TargetMode="External"/><Relationship Id="rId7" Type="http://schemas.openxmlformats.org/officeDocument/2006/relationships/hyperlink" Target="http://recommend.my/" TargetMode="External"/><Relationship Id="rId12" Type="http://schemas.openxmlformats.org/officeDocument/2006/relationships/hyperlink" Target="https://th.airbnb.com/users/154750018/listings" TargetMode="External"/><Relationship Id="rId17" Type="http://schemas.openxmlformats.org/officeDocument/2006/relationships/hyperlink" Target="http://recommend.my/" TargetMode="External"/><Relationship Id="rId2" Type="http://schemas.openxmlformats.org/officeDocument/2006/relationships/hyperlink" Target="https://th.airbnb.com/users/154750018/listings" TargetMode="External"/><Relationship Id="rId16" Type="http://schemas.openxmlformats.org/officeDocument/2006/relationships/hyperlink" Target="http://tentaran.com/" TargetMode="External"/><Relationship Id="rId1" Type="http://schemas.openxmlformats.org/officeDocument/2006/relationships/hyperlink" Target="https://th.airbnb.com/users/154750018/listings" TargetMode="External"/><Relationship Id="rId6" Type="http://schemas.openxmlformats.org/officeDocument/2006/relationships/hyperlink" Target="http://recommend.my/" TargetMode="External"/><Relationship Id="rId11" Type="http://schemas.openxmlformats.org/officeDocument/2006/relationships/hyperlink" Target="https://th.airbnb.com/users/154750018/listings" TargetMode="External"/><Relationship Id="rId5" Type="http://schemas.openxmlformats.org/officeDocument/2006/relationships/hyperlink" Target="https://th.airbnb.com/users/154750018/listings" TargetMode="External"/><Relationship Id="rId15" Type="http://schemas.openxmlformats.org/officeDocument/2006/relationships/hyperlink" Target="http://trak.in/" TargetMode="External"/><Relationship Id="rId10" Type="http://schemas.openxmlformats.org/officeDocument/2006/relationships/hyperlink" Target="https://th.airbnb.com/users/154750018/listings" TargetMode="External"/><Relationship Id="rId4" Type="http://schemas.openxmlformats.org/officeDocument/2006/relationships/hyperlink" Target="https://th.airbnb.com/users/154750018/listings" TargetMode="External"/><Relationship Id="rId9" Type="http://schemas.openxmlformats.org/officeDocument/2006/relationships/hyperlink" Target="https://th.airbnb.com/users/154750018/listings" TargetMode="External"/><Relationship Id="rId14" Type="http://schemas.openxmlformats.org/officeDocument/2006/relationships/hyperlink" Target="https://th.airbnb.com/users/154750018/listing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allafrica.com/" TargetMode="External"/><Relationship Id="rId2" Type="http://schemas.openxmlformats.org/officeDocument/2006/relationships/hyperlink" Target="http://allafrica.com/" TargetMode="External"/><Relationship Id="rId1" Type="http://schemas.openxmlformats.org/officeDocument/2006/relationships/hyperlink" Target="http://allafrica.com/" TargetMode="External"/><Relationship Id="rId4" Type="http://schemas.openxmlformats.org/officeDocument/2006/relationships/hyperlink" Target="http://allafrica.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thegoldenmoon.com/" TargetMode="External"/><Relationship Id="rId13" Type="http://schemas.openxmlformats.org/officeDocument/2006/relationships/hyperlink" Target="http://thegoldenmoon.com/" TargetMode="External"/><Relationship Id="rId18" Type="http://schemas.openxmlformats.org/officeDocument/2006/relationships/hyperlink" Target="http://thegoldenmoon.com/" TargetMode="External"/><Relationship Id="rId3" Type="http://schemas.openxmlformats.org/officeDocument/2006/relationships/hyperlink" Target="http://www.tutorialguidacomefare.com/" TargetMode="External"/><Relationship Id="rId7" Type="http://schemas.openxmlformats.org/officeDocument/2006/relationships/hyperlink" Target="http://maxilaria.com.gr/" TargetMode="External"/><Relationship Id="rId12" Type="http://schemas.openxmlformats.org/officeDocument/2006/relationships/hyperlink" Target="http://vogue.fr/" TargetMode="External"/><Relationship Id="rId17" Type="http://schemas.openxmlformats.org/officeDocument/2006/relationships/hyperlink" Target="http://happyguest.co.uk/" TargetMode="External"/><Relationship Id="rId2" Type="http://schemas.openxmlformats.org/officeDocument/2006/relationships/hyperlink" Target="http://thegoldenmoon.com/" TargetMode="External"/><Relationship Id="rId16" Type="http://schemas.openxmlformats.org/officeDocument/2006/relationships/hyperlink" Target="http://thegoldenmoon.com/" TargetMode="External"/><Relationship Id="rId1" Type="http://schemas.openxmlformats.org/officeDocument/2006/relationships/hyperlink" Target="http://jobtensor.com/" TargetMode="External"/><Relationship Id="rId6" Type="http://schemas.openxmlformats.org/officeDocument/2006/relationships/hyperlink" Target="http://homesgofast.com/" TargetMode="External"/><Relationship Id="rId11" Type="http://schemas.openxmlformats.org/officeDocument/2006/relationships/hyperlink" Target="http://thegoldenmoon.com/" TargetMode="External"/><Relationship Id="rId5" Type="http://schemas.openxmlformats.org/officeDocument/2006/relationships/hyperlink" Target="http://www.tutorialguidacomefare.com/" TargetMode="External"/><Relationship Id="rId15" Type="http://schemas.openxmlformats.org/officeDocument/2006/relationships/hyperlink" Target="http://thegoldenmoon.com/" TargetMode="External"/><Relationship Id="rId10" Type="http://schemas.openxmlformats.org/officeDocument/2006/relationships/hyperlink" Target="http://happyguest.co.uk/" TargetMode="External"/><Relationship Id="rId4" Type="http://schemas.openxmlformats.org/officeDocument/2006/relationships/hyperlink" Target="http://www.tutorialguidacomefare.com/" TargetMode="External"/><Relationship Id="rId9" Type="http://schemas.openxmlformats.org/officeDocument/2006/relationships/hyperlink" Target="https://www.linkedin.com/in/owen-eszeki-547a4113/" TargetMode="External"/><Relationship Id="rId14" Type="http://schemas.openxmlformats.org/officeDocument/2006/relationships/hyperlink" Target="http://collegetimes.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boston.com/" TargetMode="External"/><Relationship Id="rId3" Type="http://schemas.openxmlformats.org/officeDocument/2006/relationships/hyperlink" Target="http://emacity.com/" TargetMode="External"/><Relationship Id="rId7" Type="http://schemas.openxmlformats.org/officeDocument/2006/relationships/hyperlink" Target="http://tvsun.org/" TargetMode="External"/><Relationship Id="rId12" Type="http://schemas.openxmlformats.org/officeDocument/2006/relationships/hyperlink" Target="http://palmspringshouse.com/" TargetMode="External"/><Relationship Id="rId2" Type="http://schemas.openxmlformats.org/officeDocument/2006/relationships/hyperlink" Target="http://torontonicity.com/" TargetMode="External"/><Relationship Id="rId1" Type="http://schemas.openxmlformats.org/officeDocument/2006/relationships/hyperlink" Target="http://www.escout.me/" TargetMode="External"/><Relationship Id="rId6" Type="http://schemas.openxmlformats.org/officeDocument/2006/relationships/hyperlink" Target="http://awesomewebdesigns.ca/" TargetMode="External"/><Relationship Id="rId11" Type="http://schemas.openxmlformats.org/officeDocument/2006/relationships/hyperlink" Target="http://palmspringshouse.com/" TargetMode="External"/><Relationship Id="rId5" Type="http://schemas.openxmlformats.org/officeDocument/2006/relationships/hyperlink" Target="http://sumos.io/" TargetMode="External"/><Relationship Id="rId10" Type="http://schemas.openxmlformats.org/officeDocument/2006/relationships/hyperlink" Target="http://palmspringshouse.com/" TargetMode="External"/><Relationship Id="rId4" Type="http://schemas.openxmlformats.org/officeDocument/2006/relationships/hyperlink" Target="http://emacity.com/" TargetMode="External"/><Relationship Id="rId9" Type="http://schemas.openxmlformats.org/officeDocument/2006/relationships/hyperlink" Target="http://taygo.com/"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veryitchyfeet.com/"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outlinePr summaryBelow="0" summaryRight="0"/>
  </sheetPr>
  <dimension ref="A1:I6713"/>
  <sheetViews>
    <sheetView zoomScale="68" zoomScaleNormal="68" workbookViewId="0">
      <pane ySplit="1" topLeftCell="A104" activePane="bottomLeft" state="frozen"/>
      <selection pane="bottomLeft" activeCell="G11" sqref="G11"/>
    </sheetView>
  </sheetViews>
  <sheetFormatPr defaultColWidth="14.42578125" defaultRowHeight="15.75" customHeight="1"/>
  <cols>
    <col min="1" max="1" width="15.28515625" style="39" customWidth="1"/>
    <col min="2" max="2" width="20.140625" style="11" customWidth="1"/>
    <col min="3" max="3" width="23.85546875" style="11" customWidth="1"/>
    <col min="4" max="4" width="46.42578125" style="11" customWidth="1"/>
    <col min="5" max="5" width="26" style="11" customWidth="1"/>
    <col min="6" max="6" width="21.5703125" style="11" customWidth="1"/>
    <col min="7" max="7" width="45" style="11" customWidth="1"/>
    <col min="8" max="8" width="32.42578125" style="35" customWidth="1"/>
    <col min="9" max="9" width="73.140625" style="11" customWidth="1"/>
    <col min="10" max="16384" width="14.42578125" style="11"/>
  </cols>
  <sheetData>
    <row r="1" spans="1:9" s="3" customFormat="1" ht="29.25" customHeight="1">
      <c r="A1" s="36" t="s">
        <v>0</v>
      </c>
      <c r="B1" s="1" t="s">
        <v>1</v>
      </c>
      <c r="C1" s="1" t="s">
        <v>2</v>
      </c>
      <c r="D1" s="2" t="s">
        <v>3</v>
      </c>
      <c r="E1" s="1" t="s">
        <v>5</v>
      </c>
      <c r="F1" s="1" t="s">
        <v>6</v>
      </c>
      <c r="G1" s="1" t="s">
        <v>13003</v>
      </c>
      <c r="H1" s="1" t="s">
        <v>4</v>
      </c>
      <c r="I1" s="2" t="s">
        <v>7</v>
      </c>
    </row>
    <row r="2" spans="1:9" ht="150">
      <c r="A2" s="12">
        <v>43565.533865740741</v>
      </c>
      <c r="B2" s="13" t="str">
        <f>HYPERLINK("https://twitter.com/SayF8945","@SayF8945")</f>
        <v>@SayF8945</v>
      </c>
      <c r="C2" s="14" t="s">
        <v>6039</v>
      </c>
      <c r="D2" s="15" t="s">
        <v>12790</v>
      </c>
      <c r="E2" s="16" t="str">
        <f>HYPERLINK("http://twitter.com","Twitter Web Client")</f>
        <v>Twitter Web Client</v>
      </c>
      <c r="F2" s="12">
        <v>40510.492696759262</v>
      </c>
      <c r="G2" s="17" t="s">
        <v>13004</v>
      </c>
      <c r="H2" s="35" t="s">
        <v>6040</v>
      </c>
      <c r="I2" s="18" t="s">
        <v>6041</v>
      </c>
    </row>
    <row r="3" spans="1:9" ht="195">
      <c r="A3" s="19">
        <v>43544.782314814816</v>
      </c>
      <c r="B3" s="20" t="str">
        <f>HYPERLINK("https://twitter.com/ChristianLaneWR","@ChristianLaneWR")</f>
        <v>@ChristianLaneWR</v>
      </c>
      <c r="C3" s="21" t="s">
        <v>9337</v>
      </c>
      <c r="D3" s="22" t="s">
        <v>12811</v>
      </c>
      <c r="E3" s="23" t="str">
        <f>HYPERLINK("http://twitter.com/download/iphone","Twitter for iPhone")</f>
        <v>Twitter for iPhone</v>
      </c>
      <c r="F3" s="19">
        <v>40860.382962962962</v>
      </c>
      <c r="G3" s="24" t="s">
        <v>13004</v>
      </c>
      <c r="H3" s="35" t="s">
        <v>12812</v>
      </c>
      <c r="I3" s="25" t="s">
        <v>12813</v>
      </c>
    </row>
    <row r="4" spans="1:9" ht="75">
      <c r="A4" s="4">
        <v>43557.282465277778</v>
      </c>
      <c r="B4" s="5" t="str">
        <f>HYPERLINK("https://twitter.com/Propertyafrica1","@Propertyafrica1")</f>
        <v>@Propertyafrica1</v>
      </c>
      <c r="C4" s="6" t="s">
        <v>12592</v>
      </c>
      <c r="D4" s="7" t="s">
        <v>12884</v>
      </c>
      <c r="E4" s="8" t="str">
        <f>HYPERLINK("http://www.facebook.com/twitter","Facebook")</f>
        <v>Facebook</v>
      </c>
      <c r="F4" s="4">
        <v>42705.198206018518</v>
      </c>
      <c r="G4" s="9" t="s">
        <v>445</v>
      </c>
      <c r="H4" s="35" t="s">
        <v>12593</v>
      </c>
      <c r="I4" s="10" t="s">
        <v>12594</v>
      </c>
    </row>
    <row r="5" spans="1:9" ht="45">
      <c r="A5" s="12">
        <v>43579.792256944449</v>
      </c>
      <c r="B5" s="13" t="str">
        <f>HYPERLINK("https://twitter.com/allafrica","@allafrica")</f>
        <v>@allafrica</v>
      </c>
      <c r="C5" s="13" t="s">
        <v>444</v>
      </c>
      <c r="D5" s="15" t="s">
        <v>12908</v>
      </c>
      <c r="E5" s="16" t="str">
        <f>HYPERLINK("http://allafrica.com/","allAfrica.com")</f>
        <v>allAfrica.com</v>
      </c>
      <c r="F5" s="12">
        <v>39731.269236111111</v>
      </c>
      <c r="G5" s="17" t="s">
        <v>445</v>
      </c>
      <c r="H5" s="35" t="s">
        <v>445</v>
      </c>
      <c r="I5" s="18" t="s">
        <v>446</v>
      </c>
    </row>
    <row r="6" spans="1:9" ht="45">
      <c r="A6" s="12">
        <v>43579.625104166669</v>
      </c>
      <c r="B6" s="13" t="str">
        <f>HYPERLINK("https://twitter.com/allafrica","@allafrica")</f>
        <v>@allafrica</v>
      </c>
      <c r="C6" s="13" t="s">
        <v>444</v>
      </c>
      <c r="D6" s="15" t="s">
        <v>12908</v>
      </c>
      <c r="E6" s="16" t="str">
        <f>HYPERLINK("http://allafrica.com/","allAfrica.com")</f>
        <v>allAfrica.com</v>
      </c>
      <c r="F6" s="12">
        <v>39731.269236111111</v>
      </c>
      <c r="G6" s="17" t="s">
        <v>445</v>
      </c>
      <c r="H6" s="35" t="s">
        <v>445</v>
      </c>
      <c r="I6" s="18" t="s">
        <v>446</v>
      </c>
    </row>
    <row r="7" spans="1:9" ht="45">
      <c r="A7" s="12">
        <v>43579.458807870367</v>
      </c>
      <c r="B7" s="13" t="str">
        <f>HYPERLINK("https://twitter.com/allafrica","@allafrica")</f>
        <v>@allafrica</v>
      </c>
      <c r="C7" s="13" t="s">
        <v>444</v>
      </c>
      <c r="D7" s="15" t="s">
        <v>12908</v>
      </c>
      <c r="E7" s="16" t="str">
        <f>HYPERLINK("http://allafrica.com/","allAfrica.com")</f>
        <v>allAfrica.com</v>
      </c>
      <c r="F7" s="12">
        <v>39731.269236111111</v>
      </c>
      <c r="G7" s="17" t="s">
        <v>445</v>
      </c>
      <c r="H7" s="35" t="s">
        <v>445</v>
      </c>
      <c r="I7" s="18" t="s">
        <v>446</v>
      </c>
    </row>
    <row r="8" spans="1:9" ht="45">
      <c r="A8" s="12">
        <v>43579.179583333331</v>
      </c>
      <c r="B8" s="13" t="str">
        <f>HYPERLINK("https://twitter.com/allafrica","@allafrica")</f>
        <v>@allafrica</v>
      </c>
      <c r="C8" s="13" t="s">
        <v>444</v>
      </c>
      <c r="D8" s="15" t="s">
        <v>12908</v>
      </c>
      <c r="E8" s="16" t="str">
        <f>HYPERLINK("http://allafrica.com/","allAfrica.com")</f>
        <v>allAfrica.com</v>
      </c>
      <c r="F8" s="12">
        <v>39731.269236111111</v>
      </c>
      <c r="G8" s="17" t="s">
        <v>445</v>
      </c>
      <c r="H8" s="35" t="s">
        <v>445</v>
      </c>
      <c r="I8" s="18" t="s">
        <v>446</v>
      </c>
    </row>
    <row r="9" spans="1:9" ht="45">
      <c r="A9" s="12">
        <v>43571.341400462959</v>
      </c>
      <c r="B9" s="13" t="str">
        <f>HYPERLINK("https://twitter.com/BenvAZA","@BenvAZA")</f>
        <v>@BenvAZA</v>
      </c>
      <c r="C9" s="14" t="s">
        <v>3720</v>
      </c>
      <c r="D9" s="15" t="s">
        <v>3721</v>
      </c>
      <c r="E9" s="16" t="str">
        <f>HYPERLINK("http://twitter.com","Twitter Web Client")</f>
        <v>Twitter Web Client</v>
      </c>
      <c r="F9" s="12">
        <v>41646.052835648152</v>
      </c>
      <c r="G9" s="17" t="s">
        <v>445</v>
      </c>
      <c r="H9" s="35" t="s">
        <v>3722</v>
      </c>
      <c r="I9" s="18" t="s">
        <v>3723</v>
      </c>
    </row>
    <row r="10" spans="1:9" ht="90">
      <c r="A10" s="12">
        <v>43576.424560185187</v>
      </c>
      <c r="B10" s="13" t="str">
        <f>HYPERLINK("https://twitter.com/DrSinkala","@DrSinkala")</f>
        <v>@DrSinkala</v>
      </c>
      <c r="C10" s="14" t="s">
        <v>1947</v>
      </c>
      <c r="D10" s="15" t="s">
        <v>1948</v>
      </c>
      <c r="E10" s="16" t="str">
        <f>HYPERLINK("http://twitter.com/download/iphone","Twitter for iPhone")</f>
        <v>Twitter for iPhone</v>
      </c>
      <c r="F10" s="12">
        <v>40803.366412037038</v>
      </c>
      <c r="G10" s="17" t="s">
        <v>445</v>
      </c>
      <c r="H10" s="35" t="s">
        <v>1949</v>
      </c>
      <c r="I10" s="18" t="s">
        <v>1950</v>
      </c>
    </row>
    <row r="11" spans="1:9" ht="150">
      <c r="A11" s="4">
        <v>43562.445196759261</v>
      </c>
      <c r="B11" s="5" t="str">
        <f>HYPERLINK("https://twitter.com/kwirirayi","@kwirirayi")</f>
        <v>@kwirirayi</v>
      </c>
      <c r="C11" s="6" t="s">
        <v>10678</v>
      </c>
      <c r="D11" s="7" t="s">
        <v>10679</v>
      </c>
      <c r="E11" s="8" t="str">
        <f>HYPERLINK("http://twitter.com/download/android","Twitter for Android")</f>
        <v>Twitter for Android</v>
      </c>
      <c r="F11" s="4">
        <v>39917.509074074071</v>
      </c>
      <c r="G11" s="9" t="s">
        <v>445</v>
      </c>
      <c r="H11" s="35" t="s">
        <v>10680</v>
      </c>
      <c r="I11" s="10" t="s">
        <v>10681</v>
      </c>
    </row>
    <row r="12" spans="1:9" ht="90">
      <c r="A12" s="12">
        <v>43570.286655092597</v>
      </c>
      <c r="B12" s="13" t="str">
        <f>HYPERLINK("https://twitter.com/duvha2","@duvha2")</f>
        <v>@duvha2</v>
      </c>
      <c r="C12" s="14" t="s">
        <v>4260</v>
      </c>
      <c r="D12" s="15" t="s">
        <v>12909</v>
      </c>
      <c r="E12" s="16" t="str">
        <f>HYPERLINK("https://mobile.twitter.com","Twitter Web App")</f>
        <v>Twitter Web App</v>
      </c>
      <c r="F12" s="12">
        <v>42310.244756944448</v>
      </c>
      <c r="G12" s="17" t="s">
        <v>445</v>
      </c>
      <c r="H12" s="35" t="s">
        <v>4261</v>
      </c>
      <c r="I12" s="18" t="s">
        <v>4262</v>
      </c>
    </row>
    <row r="13" spans="1:9" ht="45">
      <c r="A13" s="12">
        <v>43578.191469907411</v>
      </c>
      <c r="B13" s="13" t="str">
        <f>HYPERLINK("https://twitter.com/WelsWG","@WelsWG")</f>
        <v>@WelsWG</v>
      </c>
      <c r="C13" s="14" t="s">
        <v>1367</v>
      </c>
      <c r="D13" s="15" t="s">
        <v>1368</v>
      </c>
      <c r="E13" s="16" t="str">
        <f>HYPERLINK("http://twitter.com/download/android","Twitter for Android")</f>
        <v>Twitter for Android</v>
      </c>
      <c r="F13" s="12">
        <v>43124.677048611113</v>
      </c>
      <c r="G13" s="17" t="s">
        <v>445</v>
      </c>
      <c r="H13" s="35" t="s">
        <v>1369</v>
      </c>
      <c r="I13" s="18" t="s">
        <v>1370</v>
      </c>
    </row>
    <row r="14" spans="1:9" ht="30">
      <c r="A14" s="12">
        <v>43568.000462962962</v>
      </c>
      <c r="B14" s="13" t="str">
        <f>HYPERLINK("https://twitter.com/NileFM","@NileFM")</f>
        <v>@NileFM</v>
      </c>
      <c r="C14" s="14" t="s">
        <v>4901</v>
      </c>
      <c r="D14" s="15" t="s">
        <v>4902</v>
      </c>
      <c r="E14" s="16" t="str">
        <f>HYPERLINK("https://www.hootsuite.com","Hootsuite Inc.")</f>
        <v>Hootsuite Inc.</v>
      </c>
      <c r="F14" s="12">
        <v>39923.273969907408</v>
      </c>
      <c r="G14" s="17" t="s">
        <v>445</v>
      </c>
      <c r="H14" s="35" t="s">
        <v>4903</v>
      </c>
      <c r="I14" s="18" t="s">
        <v>4904</v>
      </c>
    </row>
    <row r="15" spans="1:9" ht="75">
      <c r="A15" s="4">
        <v>43562.131840277776</v>
      </c>
      <c r="B15" s="5" t="str">
        <f>HYPERLINK("https://twitter.com/MohmdElemam","@MohmdElemam")</f>
        <v>@MohmdElemam</v>
      </c>
      <c r="C15" s="6" t="s">
        <v>10740</v>
      </c>
      <c r="D15" s="7" t="s">
        <v>10741</v>
      </c>
      <c r="E15" s="8" t="str">
        <f>HYPERLINK("http://twitter.com","Twitter Web Client")</f>
        <v>Twitter Web Client</v>
      </c>
      <c r="F15" s="4">
        <v>40755.30159722222</v>
      </c>
      <c r="G15" s="17" t="s">
        <v>445</v>
      </c>
      <c r="H15" s="35" t="s">
        <v>10742</v>
      </c>
      <c r="I15" s="10" t="s">
        <v>10743</v>
      </c>
    </row>
    <row r="16" spans="1:9" ht="90">
      <c r="A16" s="19">
        <v>43548.133298611108</v>
      </c>
      <c r="B16" s="20" t="str">
        <f>HYPERLINK("https://twitter.com/Oselbadawy","@Oselbadawy")</f>
        <v>@Oselbadawy</v>
      </c>
      <c r="C16" s="21" t="s">
        <v>8400</v>
      </c>
      <c r="D16" s="22" t="s">
        <v>8401</v>
      </c>
      <c r="E16" s="23" t="str">
        <f>HYPERLINK("http://www.facebook.com/twitter","Facebook")</f>
        <v>Facebook</v>
      </c>
      <c r="F16" s="19">
        <v>40373.431770833333</v>
      </c>
      <c r="G16" s="17" t="s">
        <v>445</v>
      </c>
      <c r="H16" s="35" t="s">
        <v>8402</v>
      </c>
      <c r="I16" s="25" t="s">
        <v>8403</v>
      </c>
    </row>
    <row r="17" spans="1:9" ht="45">
      <c r="A17" s="4">
        <v>43564.967939814815</v>
      </c>
      <c r="B17" s="5" t="str">
        <f>HYPERLINK("https://twitter.com/theforeverman","@theforeverman")</f>
        <v>@theforeverman</v>
      </c>
      <c r="C17" s="6" t="s">
        <v>6359</v>
      </c>
      <c r="D17" s="7" t="s">
        <v>6360</v>
      </c>
      <c r="E17" s="8" t="str">
        <f>HYPERLINK("http://twitter.com","Twitter Web Client")</f>
        <v>Twitter Web Client</v>
      </c>
      <c r="F17" s="4">
        <v>39921.105150462965</v>
      </c>
      <c r="G17" s="9" t="s">
        <v>445</v>
      </c>
      <c r="H17" s="35" t="s">
        <v>63</v>
      </c>
      <c r="I17" s="10" t="s">
        <v>6361</v>
      </c>
    </row>
    <row r="18" spans="1:9" ht="45">
      <c r="A18" s="12">
        <v>43580.80368055556</v>
      </c>
      <c r="B18" s="13" t="str">
        <f>HYPERLINK("https://twitter.com/mjaspinall","@mjaspinall")</f>
        <v>@mjaspinall</v>
      </c>
      <c r="C18" s="14" t="s">
        <v>61</v>
      </c>
      <c r="D18" s="15" t="s">
        <v>62</v>
      </c>
      <c r="E18" s="16" t="str">
        <f>HYPERLINK("http://twitter.com/download/iphone","Twitter for iPhone")</f>
        <v>Twitter for iPhone</v>
      </c>
      <c r="F18" s="12">
        <v>39995.777812500004</v>
      </c>
      <c r="G18" s="9" t="s">
        <v>445</v>
      </c>
      <c r="H18" s="35" t="s">
        <v>63</v>
      </c>
      <c r="I18" s="18" t="s">
        <v>64</v>
      </c>
    </row>
    <row r="19" spans="1:9" ht="150">
      <c r="A19" s="12">
        <v>43570.175543981481</v>
      </c>
      <c r="B19" s="13" t="str">
        <f>HYPERLINK("https://twitter.com/Brian_Butchart","@Brian_Butchart")</f>
        <v>@Brian_Butchart</v>
      </c>
      <c r="C19" s="14" t="s">
        <v>4306</v>
      </c>
      <c r="D19" s="15" t="s">
        <v>4307</v>
      </c>
      <c r="E19" s="16" t="str">
        <f>HYPERLINK("http://twitter.com","Twitter Web Client")</f>
        <v>Twitter Web Client</v>
      </c>
      <c r="F19" s="12">
        <v>41234.895405092597</v>
      </c>
      <c r="G19" s="9" t="s">
        <v>445</v>
      </c>
      <c r="H19" s="35" t="s">
        <v>63</v>
      </c>
      <c r="I19" s="18" t="s">
        <v>4308</v>
      </c>
    </row>
    <row r="20" spans="1:9" ht="45">
      <c r="A20" s="12">
        <v>43569.344953703709</v>
      </c>
      <c r="B20" s="13" t="str">
        <f>HYPERLINK("https://twitter.com/Madammoto1","@Madammoto1")</f>
        <v>@Madammoto1</v>
      </c>
      <c r="C20" s="14" t="s">
        <v>4541</v>
      </c>
      <c r="D20" s="15" t="s">
        <v>4542</v>
      </c>
      <c r="E20" s="16" t="str">
        <f>HYPERLINK("http://twitter.com/download/iphone","Twitter for iPhone")</f>
        <v>Twitter for iPhone</v>
      </c>
      <c r="F20" s="12">
        <v>40973.349386574075</v>
      </c>
      <c r="G20" s="9" t="s">
        <v>445</v>
      </c>
      <c r="H20" s="35" t="s">
        <v>63</v>
      </c>
      <c r="I20" s="18" t="s">
        <v>4543</v>
      </c>
    </row>
    <row r="21" spans="1:9" ht="90">
      <c r="A21" s="12">
        <v>43580.837430555555</v>
      </c>
      <c r="B21" s="13" t="str">
        <f>HYPERLINK("https://twitter.com/SaintlyVi","@SaintlyVi")</f>
        <v>@SaintlyVi</v>
      </c>
      <c r="C21" s="14" t="s">
        <v>25</v>
      </c>
      <c r="D21" s="15" t="s">
        <v>26</v>
      </c>
      <c r="E21" s="16" t="str">
        <f>HYPERLINK("http://twitter.com/download/iphone","Twitter for iPhone")</f>
        <v>Twitter for iPhone</v>
      </c>
      <c r="F21" s="12">
        <v>41494.013344907406</v>
      </c>
      <c r="G21" s="9" t="s">
        <v>445</v>
      </c>
      <c r="H21" s="35" t="s">
        <v>27</v>
      </c>
      <c r="I21" s="18" t="s">
        <v>28</v>
      </c>
    </row>
    <row r="22" spans="1:9" ht="90">
      <c r="A22" s="19">
        <v>43542.91375</v>
      </c>
      <c r="B22" s="20" t="str">
        <f>HYPERLINK("https://twitter.com/MrsSamBarnard","@MrsSamBarnard")</f>
        <v>@MrsSamBarnard</v>
      </c>
      <c r="C22" s="21" t="s">
        <v>9995</v>
      </c>
      <c r="D22" s="22" t="s">
        <v>9996</v>
      </c>
      <c r="E22" s="23" t="str">
        <f>HYPERLINK("https://ifttt.com","IFTTT")</f>
        <v>IFTTT</v>
      </c>
      <c r="F22" s="19">
        <v>39969.106712962966</v>
      </c>
      <c r="G22" s="9" t="s">
        <v>445</v>
      </c>
      <c r="H22" s="35" t="s">
        <v>885</v>
      </c>
      <c r="I22" s="25" t="s">
        <v>9997</v>
      </c>
    </row>
    <row r="23" spans="1:9" ht="75">
      <c r="A23" s="19">
        <v>43542.462372685186</v>
      </c>
      <c r="B23" s="20" t="str">
        <f>HYPERLINK("https://twitter.com/CathyStadler2","@CathyStadler2")</f>
        <v>@CathyStadler2</v>
      </c>
      <c r="C23" s="21" t="s">
        <v>10159</v>
      </c>
      <c r="D23" s="22" t="s">
        <v>10160</v>
      </c>
      <c r="E23" s="23" t="str">
        <f>HYPERLINK("http://twitter.com/download/android","Twitter for Android")</f>
        <v>Twitter for Android</v>
      </c>
      <c r="F23" s="19">
        <v>41222.218449074076</v>
      </c>
      <c r="G23" s="9" t="s">
        <v>445</v>
      </c>
      <c r="H23" s="35" t="s">
        <v>885</v>
      </c>
      <c r="I23" s="25" t="s">
        <v>10161</v>
      </c>
    </row>
    <row r="24" spans="1:9" ht="90">
      <c r="A24" s="4">
        <v>43560.311018518521</v>
      </c>
      <c r="B24" s="5" t="str">
        <f>HYPERLINK("https://twitter.com/kingkudza","@kingkudza")</f>
        <v>@kingkudza</v>
      </c>
      <c r="C24" s="6" t="s">
        <v>11465</v>
      </c>
      <c r="D24" s="7" t="s">
        <v>11466</v>
      </c>
      <c r="E24" s="8" t="str">
        <f>HYPERLINK("http://twitter.com/download/iphone","Twitter for iPhone")</f>
        <v>Twitter for iPhone</v>
      </c>
      <c r="F24" s="4">
        <v>40673.576053240744</v>
      </c>
      <c r="G24" s="9" t="s">
        <v>445</v>
      </c>
      <c r="H24" s="35" t="s">
        <v>885</v>
      </c>
      <c r="I24" s="10" t="s">
        <v>11467</v>
      </c>
    </row>
    <row r="25" spans="1:9" ht="75">
      <c r="A25" s="12">
        <v>43579.175937499997</v>
      </c>
      <c r="B25" s="13" t="str">
        <f>HYPERLINK("https://twitter.com/BigDaddyLiberty","@BigDaddyLiberty")</f>
        <v>@BigDaddyLiberty</v>
      </c>
      <c r="C25" s="14" t="s">
        <v>883</v>
      </c>
      <c r="D25" s="15" t="s">
        <v>884</v>
      </c>
      <c r="E25" s="16" t="str">
        <f>HYPERLINK("http://twitter.com","Twitter Web Client")</f>
        <v>Twitter Web Client</v>
      </c>
      <c r="F25" s="12">
        <v>40417.198935185181</v>
      </c>
      <c r="G25" s="9" t="s">
        <v>445</v>
      </c>
      <c r="H25" s="35" t="s">
        <v>885</v>
      </c>
      <c r="I25" s="18" t="s">
        <v>886</v>
      </c>
    </row>
    <row r="26" spans="1:9" ht="75">
      <c r="A26" s="12">
        <v>43578.919629629629</v>
      </c>
      <c r="B26" s="13" t="str">
        <f>HYPERLINK("https://twitter.com/GotzCEO","@GotzCEO")</f>
        <v>@GotzCEO</v>
      </c>
      <c r="C26" s="14" t="s">
        <v>993</v>
      </c>
      <c r="D26" s="15" t="s">
        <v>994</v>
      </c>
      <c r="E26" s="16" t="str">
        <f>HYPERLINK("http://instagram.com","Instagram")</f>
        <v>Instagram</v>
      </c>
      <c r="F26" s="12">
        <v>42052.261134259257</v>
      </c>
      <c r="G26" s="9" t="s">
        <v>445</v>
      </c>
      <c r="H26" s="35" t="s">
        <v>885</v>
      </c>
      <c r="I26" s="18" t="s">
        <v>995</v>
      </c>
    </row>
    <row r="27" spans="1:9" ht="90">
      <c r="A27" s="12">
        <v>43571.40902777778</v>
      </c>
      <c r="B27" s="13" t="str">
        <f>HYPERLINK("https://twitter.com/CapeTalk","@CapeTalk")</f>
        <v>@CapeTalk</v>
      </c>
      <c r="C27" s="14" t="s">
        <v>3681</v>
      </c>
      <c r="D27" s="15" t="s">
        <v>3682</v>
      </c>
      <c r="E27" s="16" t="str">
        <f>HYPERLINK("https://buffer.com","Buffer")</f>
        <v>Buffer</v>
      </c>
      <c r="F27" s="12">
        <v>39928.413495370369</v>
      </c>
      <c r="G27" s="9" t="s">
        <v>445</v>
      </c>
      <c r="H27" s="35" t="s">
        <v>885</v>
      </c>
      <c r="I27" s="18" t="s">
        <v>3683</v>
      </c>
    </row>
    <row r="28" spans="1:9" ht="75">
      <c r="A28" s="12">
        <v>43571.044583333336</v>
      </c>
      <c r="B28" s="13" t="str">
        <f>HYPERLINK("https://twitter.com/RemaxCPT","@RemaxCPT")</f>
        <v>@RemaxCPT</v>
      </c>
      <c r="C28" s="14" t="s">
        <v>3887</v>
      </c>
      <c r="D28" s="15" t="s">
        <v>3888</v>
      </c>
      <c r="E28" s="16" t="str">
        <f>HYPERLINK("http://www.facebook.com/twitter","Facebook")</f>
        <v>Facebook</v>
      </c>
      <c r="F28" s="12">
        <v>41565.547476851854</v>
      </c>
      <c r="G28" s="9" t="s">
        <v>445</v>
      </c>
      <c r="H28" s="35" t="s">
        <v>885</v>
      </c>
      <c r="I28" s="18" t="s">
        <v>3889</v>
      </c>
    </row>
    <row r="29" spans="1:9" ht="60">
      <c r="A29" s="12">
        <v>43571.041817129633</v>
      </c>
      <c r="B29" s="13" t="str">
        <f>HYPERLINK("https://twitter.com/CapeTalk","@CapeTalk")</f>
        <v>@CapeTalk</v>
      </c>
      <c r="C29" s="14" t="s">
        <v>3681</v>
      </c>
      <c r="D29" s="15" t="s">
        <v>3891</v>
      </c>
      <c r="E29" s="16" t="str">
        <f>HYPERLINK("https://buffer.com","Buffer")</f>
        <v>Buffer</v>
      </c>
      <c r="F29" s="12">
        <v>39928.413495370369</v>
      </c>
      <c r="G29" s="9" t="s">
        <v>445</v>
      </c>
      <c r="H29" s="35" t="s">
        <v>885</v>
      </c>
      <c r="I29" s="18" t="s">
        <v>3683</v>
      </c>
    </row>
    <row r="30" spans="1:9" ht="60">
      <c r="A30" s="12">
        <v>43570.481261574074</v>
      </c>
      <c r="B30" s="13" t="str">
        <f>HYPERLINK("https://twitter.com/CapeTalk","@CapeTalk")</f>
        <v>@CapeTalk</v>
      </c>
      <c r="C30" s="14" t="s">
        <v>3681</v>
      </c>
      <c r="D30" s="15" t="s">
        <v>4114</v>
      </c>
      <c r="E30" s="16" t="str">
        <f>HYPERLINK("https://buffer.com","Buffer")</f>
        <v>Buffer</v>
      </c>
      <c r="F30" s="12">
        <v>39928.413495370369</v>
      </c>
      <c r="G30" s="9" t="s">
        <v>445</v>
      </c>
      <c r="H30" s="35" t="s">
        <v>885</v>
      </c>
      <c r="I30" s="18" t="s">
        <v>3683</v>
      </c>
    </row>
    <row r="31" spans="1:9" ht="90">
      <c r="A31" s="12">
        <v>43570.418749999997</v>
      </c>
      <c r="B31" s="13" t="str">
        <f>HYPERLINK("https://twitter.com/CapeTalk","@CapeTalk")</f>
        <v>@CapeTalk</v>
      </c>
      <c r="C31" s="14" t="s">
        <v>3681</v>
      </c>
      <c r="D31" s="15" t="s">
        <v>4166</v>
      </c>
      <c r="E31" s="16" t="str">
        <f>HYPERLINK("https://buffer.com","Buffer")</f>
        <v>Buffer</v>
      </c>
      <c r="F31" s="12">
        <v>39928.413495370369</v>
      </c>
      <c r="G31" s="9" t="s">
        <v>445</v>
      </c>
      <c r="H31" s="35" t="s">
        <v>885</v>
      </c>
      <c r="I31" s="18" t="s">
        <v>3683</v>
      </c>
    </row>
    <row r="32" spans="1:9" ht="75">
      <c r="A32" s="12">
        <v>43570.398460648154</v>
      </c>
      <c r="B32" s="13" t="str">
        <f>HYPERLINK("https://twitter.com/CapeTalk","@CapeTalk")</f>
        <v>@CapeTalk</v>
      </c>
      <c r="C32" s="14" t="s">
        <v>3681</v>
      </c>
      <c r="D32" s="15" t="s">
        <v>4178</v>
      </c>
      <c r="E32" s="16" t="str">
        <f>HYPERLINK("https://buffer.com","Buffer")</f>
        <v>Buffer</v>
      </c>
      <c r="F32" s="12">
        <v>39928.413495370369</v>
      </c>
      <c r="G32" s="9" t="s">
        <v>445</v>
      </c>
      <c r="H32" s="35" t="s">
        <v>885</v>
      </c>
      <c r="I32" s="18" t="s">
        <v>3683</v>
      </c>
    </row>
    <row r="33" spans="1:9" ht="105">
      <c r="A33" s="4">
        <v>43559.628287037034</v>
      </c>
      <c r="B33" s="5" t="str">
        <f>HYPERLINK("https://twitter.com/knightfrankSA","@knightfrankSA")</f>
        <v>@knightfrankSA</v>
      </c>
      <c r="C33" s="6" t="s">
        <v>11729</v>
      </c>
      <c r="D33" s="7" t="s">
        <v>11730</v>
      </c>
      <c r="E33" s="8" t="str">
        <f>HYPERLINK("http://twitter.com","Twitter Web Client")</f>
        <v>Twitter Web Client</v>
      </c>
      <c r="F33" s="4">
        <v>41620.242465277777</v>
      </c>
      <c r="G33" s="9" t="s">
        <v>445</v>
      </c>
      <c r="H33" s="35" t="s">
        <v>11731</v>
      </c>
      <c r="I33" s="10" t="s">
        <v>11732</v>
      </c>
    </row>
    <row r="34" spans="1:9" ht="105">
      <c r="A34" s="4">
        <v>43559.599259259259</v>
      </c>
      <c r="B34" s="5" t="str">
        <f>HYPERLINK("https://twitter.com/knightfrankSA","@knightfrankSA")</f>
        <v>@knightfrankSA</v>
      </c>
      <c r="C34" s="6" t="s">
        <v>11729</v>
      </c>
      <c r="D34" s="7" t="s">
        <v>11754</v>
      </c>
      <c r="E34" s="8" t="str">
        <f>HYPERLINK("http://twitter.com","Twitter Web Client")</f>
        <v>Twitter Web Client</v>
      </c>
      <c r="F34" s="4">
        <v>41620.242465277777</v>
      </c>
      <c r="G34" s="9" t="s">
        <v>445</v>
      </c>
      <c r="H34" s="35" t="s">
        <v>11731</v>
      </c>
      <c r="I34" s="10" t="s">
        <v>11732</v>
      </c>
    </row>
    <row r="35" spans="1:9" ht="75">
      <c r="A35" s="12">
        <v>43570.219189814816</v>
      </c>
      <c r="B35" s="13" t="str">
        <f>HYPERLINK("https://twitter.com/veengwenya13","@veengwenya13")</f>
        <v>@veengwenya13</v>
      </c>
      <c r="C35" s="14" t="s">
        <v>4296</v>
      </c>
      <c r="D35" s="15" t="s">
        <v>4297</v>
      </c>
      <c r="E35" s="16" t="str">
        <f>HYPERLINK("http://twitter.com/download/iphone","Twitter for iPhone")</f>
        <v>Twitter for iPhone</v>
      </c>
      <c r="F35" s="12">
        <v>42337.031168981484</v>
      </c>
      <c r="G35" s="17" t="s">
        <v>445</v>
      </c>
      <c r="H35" s="35" t="s">
        <v>4298</v>
      </c>
      <c r="I35" s="18" t="s">
        <v>4299</v>
      </c>
    </row>
    <row r="36" spans="1:9" ht="90">
      <c r="A36" s="12">
        <v>43576.347812499997</v>
      </c>
      <c r="B36" s="13" t="str">
        <f>HYPERLINK("https://twitter.com/holisresort","@holisresort")</f>
        <v>@holisresort</v>
      </c>
      <c r="C36" s="14" t="s">
        <v>1983</v>
      </c>
      <c r="D36" s="15" t="s">
        <v>1984</v>
      </c>
      <c r="E36" s="16" t="str">
        <f>HYPERLINK("http://twitter.com/download/android","Twitter for Android")</f>
        <v>Twitter for Android</v>
      </c>
      <c r="F36" s="12">
        <v>43563.266898148147</v>
      </c>
      <c r="G36" s="17" t="s">
        <v>445</v>
      </c>
      <c r="H36" s="35" t="s">
        <v>1985</v>
      </c>
      <c r="I36" s="18" t="s">
        <v>1986</v>
      </c>
    </row>
    <row r="37" spans="1:9" ht="45">
      <c r="A37" s="19">
        <v>43544.165243055555</v>
      </c>
      <c r="B37" s="20" t="str">
        <f>HYPERLINK("https://twitter.com/tia__africa","@tia__africa")</f>
        <v>@tia__africa</v>
      </c>
      <c r="C37" s="21" t="s">
        <v>9590</v>
      </c>
      <c r="D37" s="22" t="s">
        <v>9591</v>
      </c>
      <c r="E37" s="23" t="str">
        <f>HYPERLINK("http://twitter.com","Twitter Web Client")</f>
        <v>Twitter Web Client</v>
      </c>
      <c r="F37" s="19">
        <v>42827.611400462964</v>
      </c>
      <c r="G37" s="24" t="s">
        <v>445</v>
      </c>
      <c r="H37" s="35" t="s">
        <v>9592</v>
      </c>
      <c r="I37" s="25" t="s">
        <v>9593</v>
      </c>
    </row>
    <row r="38" spans="1:9" ht="105">
      <c r="A38" s="12">
        <v>43578.989907407406</v>
      </c>
      <c r="B38" s="13" t="str">
        <f>HYPERLINK("https://twitter.com/OutTherefran","@OutTherefran")</f>
        <v>@OutTherefran</v>
      </c>
      <c r="C38" s="14" t="s">
        <v>980</v>
      </c>
      <c r="D38" s="15" t="s">
        <v>981</v>
      </c>
      <c r="E38" s="16" t="str">
        <f>HYPERLINK("http://twitter.com/download/android","Twitter for Android")</f>
        <v>Twitter for Android</v>
      </c>
      <c r="F38" s="12">
        <v>41780.992673611108</v>
      </c>
      <c r="G38" s="17" t="s">
        <v>445</v>
      </c>
      <c r="H38" s="35" t="s">
        <v>982</v>
      </c>
      <c r="I38" s="18" t="s">
        <v>983</v>
      </c>
    </row>
    <row r="39" spans="1:9" ht="45">
      <c r="A39" s="12">
        <v>43570.250625000001</v>
      </c>
      <c r="B39" s="13" t="str">
        <f>HYPERLINK("https://twitter.com/VIRAConsulting","@VIRAConsulting")</f>
        <v>@VIRAConsulting</v>
      </c>
      <c r="C39" s="14" t="s">
        <v>4274</v>
      </c>
      <c r="D39" s="15" t="s">
        <v>4275</v>
      </c>
      <c r="E39" s="16" t="str">
        <f>HYPERLINK("http://www.facebook.com/twitter","Facebook")</f>
        <v>Facebook</v>
      </c>
      <c r="F39" s="12">
        <v>40315.325231481482</v>
      </c>
      <c r="G39" s="17" t="s">
        <v>445</v>
      </c>
      <c r="H39" s="35" t="s">
        <v>4276</v>
      </c>
      <c r="I39" s="18" t="s">
        <v>4277</v>
      </c>
    </row>
    <row r="40" spans="1:9" ht="90">
      <c r="A40" s="12">
        <v>43571.408449074079</v>
      </c>
      <c r="B40" s="13" t="str">
        <f>HYPERLINK("https://twitter.com/Radio702","@Radio702")</f>
        <v>@Radio702</v>
      </c>
      <c r="C40" s="14">
        <v>702</v>
      </c>
      <c r="D40" s="15" t="s">
        <v>3682</v>
      </c>
      <c r="E40" s="16" t="str">
        <f>HYPERLINK("https://buffer.com","Buffer")</f>
        <v>Buffer</v>
      </c>
      <c r="F40" s="12">
        <v>39835.108807870369</v>
      </c>
      <c r="G40" s="17" t="s">
        <v>445</v>
      </c>
      <c r="H40" s="35" t="s">
        <v>3684</v>
      </c>
      <c r="I40" s="18" t="s">
        <v>3685</v>
      </c>
    </row>
    <row r="41" spans="1:9" ht="60">
      <c r="A41" s="12">
        <v>43571.041817129633</v>
      </c>
      <c r="B41" s="13" t="str">
        <f>HYPERLINK("https://twitter.com/Radio702","@Radio702")</f>
        <v>@Radio702</v>
      </c>
      <c r="C41" s="14">
        <v>702</v>
      </c>
      <c r="D41" s="15" t="s">
        <v>3891</v>
      </c>
      <c r="E41" s="16" t="str">
        <f>HYPERLINK("https://buffer.com","Buffer")</f>
        <v>Buffer</v>
      </c>
      <c r="F41" s="12">
        <v>39835.108807870369</v>
      </c>
      <c r="G41" s="17" t="s">
        <v>445</v>
      </c>
      <c r="H41" s="35" t="s">
        <v>3684</v>
      </c>
      <c r="I41" s="18" t="s">
        <v>3685</v>
      </c>
    </row>
    <row r="42" spans="1:9" ht="60">
      <c r="A42" s="12">
        <v>43570.481261574074</v>
      </c>
      <c r="B42" s="13" t="str">
        <f>HYPERLINK("https://twitter.com/Radio702","@Radio702")</f>
        <v>@Radio702</v>
      </c>
      <c r="C42" s="14">
        <v>702</v>
      </c>
      <c r="D42" s="15" t="s">
        <v>4114</v>
      </c>
      <c r="E42" s="16" t="str">
        <f>HYPERLINK("https://buffer.com","Buffer")</f>
        <v>Buffer</v>
      </c>
      <c r="F42" s="12">
        <v>39835.108807870369</v>
      </c>
      <c r="G42" s="17" t="s">
        <v>445</v>
      </c>
      <c r="H42" s="35" t="s">
        <v>3684</v>
      </c>
      <c r="I42" s="18" t="s">
        <v>3685</v>
      </c>
    </row>
    <row r="43" spans="1:9" ht="90">
      <c r="A43" s="12">
        <v>43570.41878472222</v>
      </c>
      <c r="B43" s="13" t="str">
        <f>HYPERLINK("https://twitter.com/Radio702","@Radio702")</f>
        <v>@Radio702</v>
      </c>
      <c r="C43" s="14">
        <v>702</v>
      </c>
      <c r="D43" s="15" t="s">
        <v>4166</v>
      </c>
      <c r="E43" s="16" t="str">
        <f>HYPERLINK("https://buffer.com","Buffer")</f>
        <v>Buffer</v>
      </c>
      <c r="F43" s="12">
        <v>39835.108807870369</v>
      </c>
      <c r="G43" s="17" t="s">
        <v>445</v>
      </c>
      <c r="H43" s="35" t="s">
        <v>3684</v>
      </c>
      <c r="I43" s="18" t="s">
        <v>3685</v>
      </c>
    </row>
    <row r="44" spans="1:9" ht="75">
      <c r="A44" s="12">
        <v>43570.398263888885</v>
      </c>
      <c r="B44" s="13" t="str">
        <f>HYPERLINK("https://twitter.com/Radio702","@Radio702")</f>
        <v>@Radio702</v>
      </c>
      <c r="C44" s="14">
        <v>702</v>
      </c>
      <c r="D44" s="15" t="s">
        <v>4178</v>
      </c>
      <c r="E44" s="16" t="str">
        <f>HYPERLINK("https://buffer.com","Buffer")</f>
        <v>Buffer</v>
      </c>
      <c r="F44" s="12">
        <v>39835.108807870369</v>
      </c>
      <c r="G44" s="17" t="s">
        <v>445</v>
      </c>
      <c r="H44" s="35" t="s">
        <v>3684</v>
      </c>
      <c r="I44" s="18" t="s">
        <v>3685</v>
      </c>
    </row>
    <row r="45" spans="1:9" ht="75">
      <c r="A45" s="12">
        <v>43568.920393518521</v>
      </c>
      <c r="B45" s="13" t="str">
        <f>HYPERLINK("https://twitter.com/andrebruton","@andrebruton")</f>
        <v>@andrebruton</v>
      </c>
      <c r="C45" s="14" t="s">
        <v>4624</v>
      </c>
      <c r="D45" s="15" t="s">
        <v>4625</v>
      </c>
      <c r="E45" s="16" t="str">
        <f>HYPERLINK("http://twitter.com","Twitter Web Client")</f>
        <v>Twitter Web Client</v>
      </c>
      <c r="F45" s="12">
        <v>39802.00408564815</v>
      </c>
      <c r="G45" s="17" t="s">
        <v>445</v>
      </c>
      <c r="H45" s="35" t="s">
        <v>4626</v>
      </c>
      <c r="I45" s="18" t="s">
        <v>4627</v>
      </c>
    </row>
    <row r="46" spans="1:9" ht="45">
      <c r="A46" s="19">
        <v>43545.197546296295</v>
      </c>
      <c r="B46" s="20" t="str">
        <f>HYPERLINK("https://twitter.com/23aurora1","@23aurora1")</f>
        <v>@23aurora1</v>
      </c>
      <c r="C46" s="21" t="s">
        <v>3751</v>
      </c>
      <c r="D46" s="22" t="s">
        <v>9262</v>
      </c>
      <c r="E46" s="23" t="str">
        <f>HYPERLINK("http://twitter.com/download/android","Twitter for Android")</f>
        <v>Twitter for Android</v>
      </c>
      <c r="F46" s="19">
        <v>43148.978495370371</v>
      </c>
      <c r="G46" s="17" t="s">
        <v>445</v>
      </c>
      <c r="H46" s="35" t="s">
        <v>3753</v>
      </c>
      <c r="I46" s="25" t="s">
        <v>3754</v>
      </c>
    </row>
    <row r="47" spans="1:9" ht="45">
      <c r="A47" s="12">
        <v>43571.293263888889</v>
      </c>
      <c r="B47" s="13" t="str">
        <f>HYPERLINK("https://twitter.com/23aurora1","@23aurora1")</f>
        <v>@23aurora1</v>
      </c>
      <c r="C47" s="14" t="s">
        <v>3751</v>
      </c>
      <c r="D47" s="15" t="s">
        <v>3752</v>
      </c>
      <c r="E47" s="16" t="str">
        <f>HYPERLINK("http://twitter.com","Twitter Web Client")</f>
        <v>Twitter Web Client</v>
      </c>
      <c r="F47" s="12">
        <v>43148.978495370371</v>
      </c>
      <c r="G47" s="17" t="s">
        <v>445</v>
      </c>
      <c r="H47" s="35" t="s">
        <v>3753</v>
      </c>
      <c r="I47" s="18" t="s">
        <v>3754</v>
      </c>
    </row>
    <row r="48" spans="1:9" ht="45">
      <c r="A48" s="12">
        <v>43566.947858796295</v>
      </c>
      <c r="B48" s="13" t="str">
        <f>HYPERLINK("https://twitter.com/23aurora1","@23aurora1")</f>
        <v>@23aurora1</v>
      </c>
      <c r="C48" s="14" t="s">
        <v>3751</v>
      </c>
      <c r="D48" s="15" t="s">
        <v>5301</v>
      </c>
      <c r="E48" s="16" t="str">
        <f>HYPERLINK("https://www.hootsuite.com","Hootsuite Inc.")</f>
        <v>Hootsuite Inc.</v>
      </c>
      <c r="F48" s="12">
        <v>43148.978495370371</v>
      </c>
      <c r="G48" s="17" t="s">
        <v>445</v>
      </c>
      <c r="H48" s="35" t="s">
        <v>3753</v>
      </c>
      <c r="I48" s="18" t="s">
        <v>3754</v>
      </c>
    </row>
    <row r="49" spans="1:9" ht="255">
      <c r="A49" s="12">
        <v>43572.952708333338</v>
      </c>
      <c r="B49" s="13" t="str">
        <f>HYPERLINK("https://twitter.com/Karoo_stories","@Karoo_stories")</f>
        <v>@Karoo_stories</v>
      </c>
      <c r="C49" s="14" t="s">
        <v>3046</v>
      </c>
      <c r="D49" s="15" t="s">
        <v>3047</v>
      </c>
      <c r="E49" s="16" t="str">
        <f>HYPERLINK("http://twitter.com/download/iphone","Twitter for iPhone")</f>
        <v>Twitter for iPhone</v>
      </c>
      <c r="F49" s="12">
        <v>40949.059120370366</v>
      </c>
      <c r="G49" s="17" t="s">
        <v>445</v>
      </c>
      <c r="H49" s="35" t="s">
        <v>3048</v>
      </c>
      <c r="I49" s="18" t="s">
        <v>3049</v>
      </c>
    </row>
    <row r="50" spans="1:9" ht="255">
      <c r="A50" s="12">
        <v>43572.947395833333</v>
      </c>
      <c r="B50" s="13" t="str">
        <f>HYPERLINK("https://twitter.com/Karoo_stories","@Karoo_stories")</f>
        <v>@Karoo_stories</v>
      </c>
      <c r="C50" s="14" t="s">
        <v>3046</v>
      </c>
      <c r="D50" s="15" t="s">
        <v>3050</v>
      </c>
      <c r="E50" s="16" t="str">
        <f>HYPERLINK("http://twitter.com/download/iphone","Twitter for iPhone")</f>
        <v>Twitter for iPhone</v>
      </c>
      <c r="F50" s="12">
        <v>40949.059120370366</v>
      </c>
      <c r="G50" s="17" t="s">
        <v>445</v>
      </c>
      <c r="H50" s="35" t="s">
        <v>3048</v>
      </c>
      <c r="I50" s="18" t="s">
        <v>3049</v>
      </c>
    </row>
    <row r="51" spans="1:9" ht="180">
      <c r="A51" s="12">
        <v>43572.901087962964</v>
      </c>
      <c r="B51" s="13" t="str">
        <f>HYPERLINK("https://twitter.com/Karoo_stories","@Karoo_stories")</f>
        <v>@Karoo_stories</v>
      </c>
      <c r="C51" s="14" t="s">
        <v>3046</v>
      </c>
      <c r="D51" s="15" t="s">
        <v>3062</v>
      </c>
      <c r="E51" s="16" t="str">
        <f>HYPERLINK("http://twitter.com/download/iphone","Twitter for iPhone")</f>
        <v>Twitter for iPhone</v>
      </c>
      <c r="F51" s="12">
        <v>40949.059120370366</v>
      </c>
      <c r="G51" s="17" t="s">
        <v>445</v>
      </c>
      <c r="H51" s="35" t="s">
        <v>3048</v>
      </c>
      <c r="I51" s="18" t="s">
        <v>3049</v>
      </c>
    </row>
    <row r="52" spans="1:9" ht="270">
      <c r="A52" s="12">
        <v>43572.889016203699</v>
      </c>
      <c r="B52" s="13" t="str">
        <f>HYPERLINK("https://twitter.com/Karoo_stories","@Karoo_stories")</f>
        <v>@Karoo_stories</v>
      </c>
      <c r="C52" s="14" t="s">
        <v>3046</v>
      </c>
      <c r="D52" s="15" t="s">
        <v>3067</v>
      </c>
      <c r="E52" s="16" t="str">
        <f>HYPERLINK("http://twitter.com/download/iphone","Twitter for iPhone")</f>
        <v>Twitter for iPhone</v>
      </c>
      <c r="F52" s="12">
        <v>40949.059120370366</v>
      </c>
      <c r="G52" s="17" t="s">
        <v>445</v>
      </c>
      <c r="H52" s="35" t="s">
        <v>3048</v>
      </c>
      <c r="I52" s="18" t="s">
        <v>3049</v>
      </c>
    </row>
    <row r="53" spans="1:9" ht="120">
      <c r="A53" s="19">
        <v>43550.158703703702</v>
      </c>
      <c r="B53" s="20" t="str">
        <f>HYPERLINK("https://twitter.com/GHProperty_Guru","@GHProperty_Guru")</f>
        <v>@GHProperty_Guru</v>
      </c>
      <c r="C53" s="21" t="s">
        <v>7806</v>
      </c>
      <c r="D53" s="22" t="s">
        <v>7807</v>
      </c>
      <c r="E53" s="23" t="str">
        <f>HYPERLINK("http://twitter.com/download/android","Twitter for Android")</f>
        <v>Twitter for Android</v>
      </c>
      <c r="F53" s="19">
        <v>42762.622083333335</v>
      </c>
      <c r="G53" s="24" t="s">
        <v>445</v>
      </c>
      <c r="H53" s="35" t="s">
        <v>7808</v>
      </c>
      <c r="I53" s="25" t="s">
        <v>7809</v>
      </c>
    </row>
    <row r="54" spans="1:9" ht="120">
      <c r="A54" s="19">
        <v>43550.140902777777</v>
      </c>
      <c r="B54" s="20" t="str">
        <f>HYPERLINK("https://twitter.com/GHProperty_Guru","@GHProperty_Guru")</f>
        <v>@GHProperty_Guru</v>
      </c>
      <c r="C54" s="21" t="s">
        <v>7806</v>
      </c>
      <c r="D54" s="22" t="s">
        <v>7816</v>
      </c>
      <c r="E54" s="23" t="str">
        <f>HYPERLINK("http://twitter.com/download/android","Twitter for Android")</f>
        <v>Twitter for Android</v>
      </c>
      <c r="F54" s="19">
        <v>42762.622083333335</v>
      </c>
      <c r="G54" s="24" t="s">
        <v>445</v>
      </c>
      <c r="H54" s="35" t="s">
        <v>7808</v>
      </c>
      <c r="I54" s="25" t="s">
        <v>7809</v>
      </c>
    </row>
    <row r="55" spans="1:9" ht="120">
      <c r="A55" s="19">
        <v>43550.139421296291</v>
      </c>
      <c r="B55" s="20" t="str">
        <f>HYPERLINK("https://twitter.com/GHProperty_Guru","@GHProperty_Guru")</f>
        <v>@GHProperty_Guru</v>
      </c>
      <c r="C55" s="21" t="s">
        <v>7806</v>
      </c>
      <c r="D55" s="22" t="s">
        <v>7820</v>
      </c>
      <c r="E55" s="23" t="str">
        <f>HYPERLINK("http://twitter.com/download/android","Twitter for Android")</f>
        <v>Twitter for Android</v>
      </c>
      <c r="F55" s="19">
        <v>42762.622083333335</v>
      </c>
      <c r="G55" s="24" t="s">
        <v>445</v>
      </c>
      <c r="H55" s="35" t="s">
        <v>7808</v>
      </c>
      <c r="I55" s="25" t="s">
        <v>7809</v>
      </c>
    </row>
    <row r="56" spans="1:9" ht="90">
      <c r="A56" s="4">
        <v>43562.992928240739</v>
      </c>
      <c r="B56" s="5" t="str">
        <f>HYPERLINK("https://twitter.com/mountainvc1957","@mountainvc1957")</f>
        <v>@mountainvc1957</v>
      </c>
      <c r="C56" s="6" t="s">
        <v>10515</v>
      </c>
      <c r="D56" s="7" t="s">
        <v>10516</v>
      </c>
      <c r="E56" s="8" t="str">
        <f>HYPERLINK("http://twitter.com","Twitter Web Client")</f>
        <v>Twitter Web Client</v>
      </c>
      <c r="F56" s="4">
        <v>43554.066041666665</v>
      </c>
      <c r="G56" s="9" t="s">
        <v>445</v>
      </c>
      <c r="H56" s="35" t="s">
        <v>10517</v>
      </c>
      <c r="I56" s="10" t="s">
        <v>10518</v>
      </c>
    </row>
    <row r="57" spans="1:9" ht="30">
      <c r="A57" s="4">
        <v>43563.415231481486</v>
      </c>
      <c r="B57" s="5" t="str">
        <f>HYPERLINK("https://twitter.com/360Ev","@360Ev")</f>
        <v>@360Ev</v>
      </c>
      <c r="C57" s="6" t="s">
        <v>10297</v>
      </c>
      <c r="D57" s="7" t="s">
        <v>10298</v>
      </c>
      <c r="E57" s="8" t="str">
        <f>HYPERLINK("http://twitter.com/download/android","Twitter for Android")</f>
        <v>Twitter for Android</v>
      </c>
      <c r="F57" s="4">
        <v>41331.942210648151</v>
      </c>
      <c r="G57" s="17" t="s">
        <v>445</v>
      </c>
      <c r="H57" s="35" t="s">
        <v>10299</v>
      </c>
      <c r="I57" s="10" t="s">
        <v>10300</v>
      </c>
    </row>
    <row r="58" spans="1:9" ht="45">
      <c r="A58" s="12">
        <v>43570.298854166671</v>
      </c>
      <c r="B58" s="13" t="str">
        <f>HYPERLINK("https://twitter.com/Dane_Dante","@Dane_Dante")</f>
        <v>@Dane_Dante</v>
      </c>
      <c r="C58" s="14" t="s">
        <v>4247</v>
      </c>
      <c r="D58" s="15" t="s">
        <v>4248</v>
      </c>
      <c r="E58" s="16" t="str">
        <f>HYPERLINK("http://twitter.com/download/iphone","Twitter for iPhone")</f>
        <v>Twitter for iPhone</v>
      </c>
      <c r="F58" s="12">
        <v>40757.221759259257</v>
      </c>
      <c r="G58" s="17" t="s">
        <v>445</v>
      </c>
      <c r="H58" s="35" t="s">
        <v>4249</v>
      </c>
      <c r="I58" s="18" t="s">
        <v>4250</v>
      </c>
    </row>
    <row r="59" spans="1:9" ht="60">
      <c r="A59" s="19">
        <v>43548.484699074077</v>
      </c>
      <c r="B59" s="20" t="str">
        <f>HYPERLINK("https://twitter.com/JoburgLaundry","@JoburgLaundry")</f>
        <v>@JoburgLaundry</v>
      </c>
      <c r="C59" s="21" t="s">
        <v>8301</v>
      </c>
      <c r="D59" s="22" t="s">
        <v>8302</v>
      </c>
      <c r="E59" s="23" t="str">
        <f>HYPERLINK("http://twitter.com","Twitter Web Client")</f>
        <v>Twitter Web Client</v>
      </c>
      <c r="F59" s="19">
        <v>43487.005196759259</v>
      </c>
      <c r="G59" s="17" t="s">
        <v>445</v>
      </c>
      <c r="H59" s="35" t="s">
        <v>917</v>
      </c>
      <c r="I59" s="25" t="s">
        <v>8303</v>
      </c>
    </row>
    <row r="60" spans="1:9" ht="105">
      <c r="A60" s="19">
        <v>43544.091435185182</v>
      </c>
      <c r="B60" s="20" t="str">
        <f>HYPERLINK("https://twitter.com/greensidebnbs","@greensidebnbs")</f>
        <v>@greensidebnbs</v>
      </c>
      <c r="C60" s="21" t="s">
        <v>9619</v>
      </c>
      <c r="D60" s="22" t="s">
        <v>9620</v>
      </c>
      <c r="E60" s="23" t="str">
        <f>HYPERLINK("http://twitter.com","Twitter Web Client")</f>
        <v>Twitter Web Client</v>
      </c>
      <c r="F60" s="19">
        <v>43305.431076388893</v>
      </c>
      <c r="G60" s="17" t="s">
        <v>445</v>
      </c>
      <c r="H60" s="35" t="s">
        <v>917</v>
      </c>
      <c r="I60" s="25" t="s">
        <v>9621</v>
      </c>
    </row>
    <row r="61" spans="1:9" ht="60">
      <c r="A61" s="4">
        <v>43558.534780092596</v>
      </c>
      <c r="B61" s="5" t="str">
        <f>HYPERLINK("https://twitter.com/MadleyKatherine","@MadleyKatherine")</f>
        <v>@MadleyKatherine</v>
      </c>
      <c r="C61" s="6" t="s">
        <v>12138</v>
      </c>
      <c r="D61" s="7" t="s">
        <v>12139</v>
      </c>
      <c r="E61" s="8" t="str">
        <f>HYPERLINK("http://twitter.com/download/android","Twitter for Android")</f>
        <v>Twitter for Android</v>
      </c>
      <c r="F61" s="4">
        <v>41498.278425925928</v>
      </c>
      <c r="G61" s="17" t="s">
        <v>445</v>
      </c>
      <c r="H61" s="35" t="s">
        <v>917</v>
      </c>
      <c r="I61" s="10" t="s">
        <v>12140</v>
      </c>
    </row>
    <row r="62" spans="1:9" ht="60">
      <c r="A62" s="4">
        <v>43558.116157407407</v>
      </c>
      <c r="B62" s="5" t="str">
        <f>HYPERLINK("https://twitter.com/greensidebnbs","@greensidebnbs")</f>
        <v>@greensidebnbs</v>
      </c>
      <c r="C62" s="6" t="s">
        <v>9619</v>
      </c>
      <c r="D62" s="7" t="s">
        <v>12316</v>
      </c>
      <c r="E62" s="8" t="str">
        <f>HYPERLINK("http://twitter.com","Twitter Web Client")</f>
        <v>Twitter Web Client</v>
      </c>
      <c r="F62" s="4">
        <v>43305.431076388893</v>
      </c>
      <c r="G62" s="17" t="s">
        <v>445</v>
      </c>
      <c r="H62" s="35" t="s">
        <v>917</v>
      </c>
      <c r="I62" s="10" t="s">
        <v>9621</v>
      </c>
    </row>
    <row r="63" spans="1:9" ht="225">
      <c r="A63" s="12">
        <v>43579.139097222222</v>
      </c>
      <c r="B63" s="13" t="str">
        <f>HYPERLINK("https://twitter.com/dibayley11","@dibayley11")</f>
        <v>@dibayley11</v>
      </c>
      <c r="C63" s="14" t="s">
        <v>915</v>
      </c>
      <c r="D63" s="15" t="s">
        <v>916</v>
      </c>
      <c r="E63" s="16" t="str">
        <f>HYPERLINK("http://twitter.com","Twitter Web Client")</f>
        <v>Twitter Web Client</v>
      </c>
      <c r="F63" s="12">
        <v>40596.1246875</v>
      </c>
      <c r="G63" s="17" t="s">
        <v>445</v>
      </c>
      <c r="H63" s="35" t="s">
        <v>917</v>
      </c>
      <c r="I63" s="18" t="s">
        <v>918</v>
      </c>
    </row>
    <row r="64" spans="1:9" ht="45">
      <c r="A64" s="12">
        <v>43578.490543981483</v>
      </c>
      <c r="B64" s="13" t="str">
        <f>HYPERLINK("https://twitter.com/SACommercialPro","@SACommercialPro")</f>
        <v>@SACommercialPro</v>
      </c>
      <c r="C64" s="14" t="s">
        <v>1178</v>
      </c>
      <c r="D64" s="15" t="s">
        <v>1179</v>
      </c>
      <c r="E64" s="16" t="str">
        <f>HYPERLINK("http://www.facebook.com/twitter","Facebook")</f>
        <v>Facebook</v>
      </c>
      <c r="F64" s="12">
        <v>40840.510150462964</v>
      </c>
      <c r="G64" s="17" t="s">
        <v>445</v>
      </c>
      <c r="H64" s="35" t="s">
        <v>917</v>
      </c>
      <c r="I64" s="18" t="s">
        <v>1180</v>
      </c>
    </row>
    <row r="65" spans="1:9" ht="45">
      <c r="A65" s="12">
        <v>43578.113356481481</v>
      </c>
      <c r="B65" s="13" t="str">
        <f>HYPERLINK("https://twitter.com/SACommercialPro","@SACommercialPro")</f>
        <v>@SACommercialPro</v>
      </c>
      <c r="C65" s="14" t="s">
        <v>1178</v>
      </c>
      <c r="D65" s="15" t="s">
        <v>1396</v>
      </c>
      <c r="E65" s="16" t="str">
        <f>HYPERLINK("http://www.facebook.com/twitter","Facebook")</f>
        <v>Facebook</v>
      </c>
      <c r="F65" s="12">
        <v>40840.510150462964</v>
      </c>
      <c r="G65" s="17" t="s">
        <v>445</v>
      </c>
      <c r="H65" s="35" t="s">
        <v>917</v>
      </c>
      <c r="I65" s="18" t="s">
        <v>1180</v>
      </c>
    </row>
    <row r="66" spans="1:9" ht="90">
      <c r="A66" s="12">
        <v>43573.250104166669</v>
      </c>
      <c r="B66" s="13" t="str">
        <f>HYPERLINK("https://twitter.com/MyOfficeMag","@MyOfficeMag")</f>
        <v>@MyOfficeMag</v>
      </c>
      <c r="C66" s="14" t="s">
        <v>2955</v>
      </c>
      <c r="D66" s="15" t="s">
        <v>2956</v>
      </c>
      <c r="E66" s="16" t="str">
        <f>HYPERLINK("https://buffer.com","Buffer")</f>
        <v>Buffer</v>
      </c>
      <c r="F66" s="12">
        <v>42397.225046296298</v>
      </c>
      <c r="G66" s="17" t="s">
        <v>445</v>
      </c>
      <c r="H66" s="35" t="s">
        <v>917</v>
      </c>
      <c r="I66" s="18"/>
    </row>
    <row r="67" spans="1:9" ht="90">
      <c r="A67" s="12">
        <v>43572.418923611112</v>
      </c>
      <c r="B67" s="13" t="str">
        <f>HYPERLINK("https://twitter.com/AKamolane","@AKamolane")</f>
        <v>@AKamolane</v>
      </c>
      <c r="C67" s="14" t="s">
        <v>3257</v>
      </c>
      <c r="D67" s="15" t="s">
        <v>3258</v>
      </c>
      <c r="E67" s="16" t="str">
        <f>HYPERLINK("https://mobile.twitter.com","Twitter Web App")</f>
        <v>Twitter Web App</v>
      </c>
      <c r="F67" s="12">
        <v>43568.421620370369</v>
      </c>
      <c r="G67" s="17" t="s">
        <v>445</v>
      </c>
      <c r="H67" s="35" t="s">
        <v>917</v>
      </c>
      <c r="I67" s="18" t="s">
        <v>3259</v>
      </c>
    </row>
    <row r="68" spans="1:9" ht="60">
      <c r="A68" s="12">
        <v>43572.334027777775</v>
      </c>
      <c r="B68" s="13" t="str">
        <f>HYPERLINK("https://twitter.com/nicky4angel","@nicky4angel")</f>
        <v>@nicky4angel</v>
      </c>
      <c r="C68" s="14" t="s">
        <v>3326</v>
      </c>
      <c r="D68" s="15" t="s">
        <v>3327</v>
      </c>
      <c r="E68" s="16" t="str">
        <f>HYPERLINK("http://twitter.com","Twitter Web Client")</f>
        <v>Twitter Web Client</v>
      </c>
      <c r="F68" s="12">
        <v>42153.782719907409</v>
      </c>
      <c r="G68" s="17" t="s">
        <v>445</v>
      </c>
      <c r="H68" s="35" t="s">
        <v>917</v>
      </c>
      <c r="I68" s="18" t="s">
        <v>3328</v>
      </c>
    </row>
    <row r="69" spans="1:9" ht="30">
      <c r="A69" s="12">
        <v>43572.247627314813</v>
      </c>
      <c r="B69" s="13" t="str">
        <f>HYPERLINK("https://twitter.com/Phaphama_Ngo","@Phaphama_Ngo")</f>
        <v>@Phaphama_Ngo</v>
      </c>
      <c r="C69" s="14" t="s">
        <v>3358</v>
      </c>
      <c r="D69" s="15" t="s">
        <v>3359</v>
      </c>
      <c r="E69" s="16" t="str">
        <f>HYPERLINK("http://twitter.com/download/iphone","Twitter for iPhone")</f>
        <v>Twitter for iPhone</v>
      </c>
      <c r="F69" s="12">
        <v>40567.101342592592</v>
      </c>
      <c r="G69" s="17" t="s">
        <v>445</v>
      </c>
      <c r="H69" s="35" t="s">
        <v>917</v>
      </c>
      <c r="I69" s="18" t="s">
        <v>3360</v>
      </c>
    </row>
    <row r="70" spans="1:9" ht="90">
      <c r="A70" s="12">
        <v>43570.954548611116</v>
      </c>
      <c r="B70" s="13" t="str">
        <f>HYPERLINK("https://twitter.com/TyanaiTracy","@TyanaiTracy")</f>
        <v>@TyanaiTracy</v>
      </c>
      <c r="C70" s="14" t="s">
        <v>3919</v>
      </c>
      <c r="D70" s="15" t="s">
        <v>3920</v>
      </c>
      <c r="E70" s="16" t="str">
        <f>HYPERLINK("http://twitter.com/download/android","Twitter for Android")</f>
        <v>Twitter for Android</v>
      </c>
      <c r="F70" s="12">
        <v>40833.217418981483</v>
      </c>
      <c r="G70" s="17" t="s">
        <v>445</v>
      </c>
      <c r="H70" s="35" t="s">
        <v>917</v>
      </c>
      <c r="I70" s="18" t="s">
        <v>3921</v>
      </c>
    </row>
    <row r="71" spans="1:9" ht="105">
      <c r="A71" s="12">
        <v>43570.24217592593</v>
      </c>
      <c r="B71" s="13" t="str">
        <f>HYPERLINK("https://twitter.com/EloquentTash","@EloquentTash")</f>
        <v>@EloquentTash</v>
      </c>
      <c r="C71" s="14" t="s">
        <v>4282</v>
      </c>
      <c r="D71" s="15" t="s">
        <v>4283</v>
      </c>
      <c r="E71" s="16" t="str">
        <f>HYPERLINK("http://twitter.com/download/android","Twitter for Android")</f>
        <v>Twitter for Android</v>
      </c>
      <c r="F71" s="12">
        <v>40283.510324074072</v>
      </c>
      <c r="G71" s="17" t="s">
        <v>445</v>
      </c>
      <c r="H71" s="35" t="s">
        <v>917</v>
      </c>
      <c r="I71" s="18" t="s">
        <v>4284</v>
      </c>
    </row>
    <row r="72" spans="1:9" ht="105">
      <c r="A72" s="12">
        <v>43569.181909722218</v>
      </c>
      <c r="B72" s="13" t="str">
        <f>HYPERLINK("https://twitter.com/dibayley11","@dibayley11")</f>
        <v>@dibayley11</v>
      </c>
      <c r="C72" s="14" t="s">
        <v>915</v>
      </c>
      <c r="D72" s="15" t="s">
        <v>4581</v>
      </c>
      <c r="E72" s="16" t="str">
        <f>HYPERLINK("http://twitter.com","Twitter Web Client")</f>
        <v>Twitter Web Client</v>
      </c>
      <c r="F72" s="12">
        <v>40596.1246875</v>
      </c>
      <c r="G72" s="17" t="s">
        <v>445</v>
      </c>
      <c r="H72" s="35" t="s">
        <v>917</v>
      </c>
      <c r="I72" s="18" t="s">
        <v>918</v>
      </c>
    </row>
    <row r="73" spans="1:9" ht="75">
      <c r="A73" s="4">
        <v>43562.350717592592</v>
      </c>
      <c r="B73" s="5" t="str">
        <f>HYPERLINK("https://twitter.com/TraveBase_Ug","@TraveBase_Ug")</f>
        <v>@TraveBase_Ug</v>
      </c>
      <c r="C73" s="6" t="s">
        <v>10700</v>
      </c>
      <c r="D73" s="7" t="s">
        <v>10701</v>
      </c>
      <c r="E73" s="8" t="str">
        <f>HYPERLINK("http://twitter.com/download/android","Twitter for Android")</f>
        <v>Twitter for Android</v>
      </c>
      <c r="F73" s="4">
        <v>41204.990150462967</v>
      </c>
      <c r="G73" s="17" t="s">
        <v>445</v>
      </c>
      <c r="H73" s="35" t="s">
        <v>10702</v>
      </c>
      <c r="I73" s="10" t="s">
        <v>10703</v>
      </c>
    </row>
    <row r="74" spans="1:9" ht="75">
      <c r="A74" s="12">
        <v>43572.965763888889</v>
      </c>
      <c r="B74" s="13" t="str">
        <f>HYPERLINK("https://twitter.com/NoohSinanR","@NoohSinanR")</f>
        <v>@NoohSinanR</v>
      </c>
      <c r="C74" s="14" t="s">
        <v>3041</v>
      </c>
      <c r="D74" s="15" t="s">
        <v>3042</v>
      </c>
      <c r="E74" s="16" t="str">
        <f>HYPERLINK("http://www.facebook.com/twitter","Facebook")</f>
        <v>Facebook</v>
      </c>
      <c r="F74" s="12">
        <v>40687.599247685182</v>
      </c>
      <c r="G74" s="17" t="s">
        <v>445</v>
      </c>
      <c r="H74" s="35" t="s">
        <v>3043</v>
      </c>
      <c r="I74" s="18" t="s">
        <v>3044</v>
      </c>
    </row>
    <row r="75" spans="1:9" ht="60">
      <c r="A75" s="12">
        <v>43573.25399305555</v>
      </c>
      <c r="B75" s="13" t="str">
        <f>HYPERLINK("https://twitter.com/MargaretLogan6","@MargaretLogan6")</f>
        <v>@MargaretLogan6</v>
      </c>
      <c r="C75" s="14" t="s">
        <v>2952</v>
      </c>
      <c r="D75" s="15" t="s">
        <v>2953</v>
      </c>
      <c r="E75" s="16" t="str">
        <f>HYPERLINK("http://twitter.com/download/iphone","Twitter for iPhone")</f>
        <v>Twitter for iPhone</v>
      </c>
      <c r="F75" s="12">
        <v>41021.992418981477</v>
      </c>
      <c r="G75" s="17" t="s">
        <v>445</v>
      </c>
      <c r="H75" s="35" t="s">
        <v>2954</v>
      </c>
      <c r="I75" s="18"/>
    </row>
    <row r="76" spans="1:9" ht="90">
      <c r="A76" s="4">
        <v>43563.033946759257</v>
      </c>
      <c r="B76" s="5" t="str">
        <f>HYPERLINK("https://twitter.com/Monique_PR_","@Monique_PR_")</f>
        <v>@Monique_PR_</v>
      </c>
      <c r="C76" s="6" t="s">
        <v>10497</v>
      </c>
      <c r="D76" s="7" t="s">
        <v>10498</v>
      </c>
      <c r="E76" s="8" t="str">
        <f>HYPERLINK("http://instagram.com","Instagram")</f>
        <v>Instagram</v>
      </c>
      <c r="F76" s="4">
        <v>41535.004999999997</v>
      </c>
      <c r="G76" s="9" t="s">
        <v>445</v>
      </c>
      <c r="H76" s="35" t="s">
        <v>10499</v>
      </c>
      <c r="I76" s="10" t="s">
        <v>10500</v>
      </c>
    </row>
    <row r="77" spans="1:9" ht="90">
      <c r="A77" s="12">
        <v>43576.596736111111</v>
      </c>
      <c r="B77" s="13" t="str">
        <f>HYPERLINK("https://twitter.com/iamignition","@iamignition")</f>
        <v>@iamignition</v>
      </c>
      <c r="C77" s="14" t="s">
        <v>1895</v>
      </c>
      <c r="D77" s="15" t="s">
        <v>1896</v>
      </c>
      <c r="E77" s="16" t="str">
        <f>HYPERLINK("http://twitter.com/download/android","Twitter for Android")</f>
        <v>Twitter for Android</v>
      </c>
      <c r="F77" s="12">
        <v>40102.284849537034</v>
      </c>
      <c r="G77" s="17" t="s">
        <v>445</v>
      </c>
      <c r="H77" s="35" t="s">
        <v>1897</v>
      </c>
      <c r="I77" s="18" t="s">
        <v>1898</v>
      </c>
    </row>
    <row r="78" spans="1:9" ht="90">
      <c r="A78" s="12">
        <v>43571.320486111115</v>
      </c>
      <c r="B78" s="13" t="str">
        <f>HYPERLINK("https://twitter.com/Check_DC","@Check_DC")</f>
        <v>@Check_DC</v>
      </c>
      <c r="C78" s="14" t="s">
        <v>3738</v>
      </c>
      <c r="D78" s="15" t="s">
        <v>3739</v>
      </c>
      <c r="E78" s="16" t="str">
        <f>HYPERLINK("http://twitter.com","Twitter Web Client")</f>
        <v>Twitter Web Client</v>
      </c>
      <c r="F78" s="12">
        <v>41148.51121527778</v>
      </c>
      <c r="G78" s="17" t="s">
        <v>445</v>
      </c>
      <c r="H78" s="35" t="s">
        <v>1897</v>
      </c>
      <c r="I78" s="18" t="s">
        <v>3740</v>
      </c>
    </row>
    <row r="79" spans="1:9" ht="75">
      <c r="A79" s="12">
        <v>43580.776006944448</v>
      </c>
      <c r="B79" s="13" t="str">
        <f>HYPERLINK("https://twitter.com/Tourism_preneur","@Tourism_preneur")</f>
        <v>@Tourism_preneur</v>
      </c>
      <c r="C79" s="14" t="s">
        <v>82</v>
      </c>
      <c r="D79" s="15" t="s">
        <v>83</v>
      </c>
      <c r="E79" s="16" t="str">
        <f>HYPERLINK("http://www.facebook.com/twitter","Facebook")</f>
        <v>Facebook</v>
      </c>
      <c r="F79" s="12">
        <v>40181.595462962963</v>
      </c>
      <c r="G79" s="17" t="s">
        <v>445</v>
      </c>
      <c r="H79" s="35" t="s">
        <v>84</v>
      </c>
      <c r="I79" s="18" t="s">
        <v>85</v>
      </c>
    </row>
    <row r="80" spans="1:9" ht="45">
      <c r="A80" s="12">
        <v>43580.735914351855</v>
      </c>
      <c r="B80" s="13" t="str">
        <f>HYPERLINK("https://twitter.com/Lipsie","@Lipsie")</f>
        <v>@Lipsie</v>
      </c>
      <c r="C80" s="14" t="s">
        <v>111</v>
      </c>
      <c r="D80" s="15" t="s">
        <v>112</v>
      </c>
      <c r="E80" s="16" t="str">
        <f>HYPERLINK("http://twitter.com/download/iphone","Twitter for iPhone")</f>
        <v>Twitter for iPhone</v>
      </c>
      <c r="F80" s="12">
        <v>39943.615613425922</v>
      </c>
      <c r="G80" s="17" t="s">
        <v>445</v>
      </c>
      <c r="H80" s="35" t="s">
        <v>113</v>
      </c>
      <c r="I80" s="18" t="s">
        <v>114</v>
      </c>
    </row>
    <row r="81" spans="1:9" ht="45">
      <c r="A81" s="12">
        <v>43577.186435185184</v>
      </c>
      <c r="B81" s="13" t="str">
        <f>HYPERLINK("https://twitter.com/Ak42112000","@Ak42112000")</f>
        <v>@Ak42112000</v>
      </c>
      <c r="C81" s="14" t="s">
        <v>1712</v>
      </c>
      <c r="D81" s="15" t="s">
        <v>1713</v>
      </c>
      <c r="E81" s="16" t="str">
        <f>HYPERLINK("http://twitter.com/download/android","Twitter for Android")</f>
        <v>Twitter for Android</v>
      </c>
      <c r="F81" s="12">
        <v>43567.345034722224</v>
      </c>
      <c r="G81" s="17" t="s">
        <v>445</v>
      </c>
      <c r="H81" s="35" t="s">
        <v>1714</v>
      </c>
      <c r="I81" s="18" t="s">
        <v>1715</v>
      </c>
    </row>
    <row r="82" spans="1:9" ht="105">
      <c r="A82" s="12">
        <v>43574.039641203708</v>
      </c>
      <c r="B82" s="13" t="str">
        <f>HYPERLINK("https://twitter.com/EAluxurytravel","@EAluxurytravel")</f>
        <v>@EAluxurytravel</v>
      </c>
      <c r="C82" s="14" t="s">
        <v>2681</v>
      </c>
      <c r="D82" s="15" t="s">
        <v>2682</v>
      </c>
      <c r="E82" s="16" t="str">
        <f>HYPERLINK("http://twitter.com/download/android","Twitter for Android")</f>
        <v>Twitter for Android</v>
      </c>
      <c r="F82" s="12">
        <v>39979.17597222222</v>
      </c>
      <c r="G82" s="17" t="s">
        <v>445</v>
      </c>
      <c r="H82" s="35" t="s">
        <v>2683</v>
      </c>
      <c r="I82" s="18" t="s">
        <v>2684</v>
      </c>
    </row>
    <row r="83" spans="1:9" ht="60">
      <c r="A83" s="4">
        <v>43564.037199074075</v>
      </c>
      <c r="B83" s="5" t="str">
        <f>HYPERLINK("https://twitter.com/ouedlaouhomes","@ouedlaouhomes")</f>
        <v>@ouedlaouhomes</v>
      </c>
      <c r="C83" s="6" t="s">
        <v>6815</v>
      </c>
      <c r="D83" s="7" t="s">
        <v>6816</v>
      </c>
      <c r="E83" s="8" t="str">
        <f>HYPERLINK("http://twitter.com/download/iphone","Twitter for iPhone")</f>
        <v>Twitter for iPhone</v>
      </c>
      <c r="F83" s="4">
        <v>43204.885011574079</v>
      </c>
      <c r="G83" s="17" t="s">
        <v>445</v>
      </c>
      <c r="H83" s="35" t="s">
        <v>6817</v>
      </c>
      <c r="I83" s="10" t="s">
        <v>6818</v>
      </c>
    </row>
    <row r="84" spans="1:9" ht="150">
      <c r="A84" s="12">
        <v>43580.640856481477</v>
      </c>
      <c r="B84" s="13" t="str">
        <f>HYPERLINK("https://twitter.com/ladyb33zar","@ladyb33zar")</f>
        <v>@ladyb33zar</v>
      </c>
      <c r="C84" s="14" t="s">
        <v>190</v>
      </c>
      <c r="D84" s="15" t="s">
        <v>191</v>
      </c>
      <c r="E84" s="16" t="str">
        <f>HYPERLINK("http://twitter.com/download/android","Twitter for Android")</f>
        <v>Twitter for Android</v>
      </c>
      <c r="F84" s="12">
        <v>39968.908958333333</v>
      </c>
      <c r="G84" s="17" t="s">
        <v>445</v>
      </c>
      <c r="H84" s="35" t="s">
        <v>192</v>
      </c>
      <c r="I84" s="18" t="s">
        <v>193</v>
      </c>
    </row>
    <row r="85" spans="1:9" ht="180">
      <c r="A85" s="12">
        <v>43571.921539351853</v>
      </c>
      <c r="B85" s="13" t="str">
        <f>HYPERLINK("https://twitter.com/ladyb33zar","@ladyb33zar")</f>
        <v>@ladyb33zar</v>
      </c>
      <c r="C85" s="14" t="s">
        <v>190</v>
      </c>
      <c r="D85" s="15" t="s">
        <v>3499</v>
      </c>
      <c r="E85" s="16" t="str">
        <f>HYPERLINK("http://twitter.com/download/android","Twitter for Android")</f>
        <v>Twitter for Android</v>
      </c>
      <c r="F85" s="12">
        <v>39968.450624999998</v>
      </c>
      <c r="G85" s="17" t="s">
        <v>445</v>
      </c>
      <c r="H85" s="35" t="s">
        <v>192</v>
      </c>
      <c r="I85" s="18" t="s">
        <v>193</v>
      </c>
    </row>
    <row r="86" spans="1:9" ht="45">
      <c r="A86" s="12">
        <v>43567.575185185182</v>
      </c>
      <c r="B86" s="13" t="str">
        <f>HYPERLINK("https://twitter.com/bertrandboulle","@bertrandboulle")</f>
        <v>@bertrandboulle</v>
      </c>
      <c r="C86" s="14" t="s">
        <v>5035</v>
      </c>
      <c r="D86" s="15" t="s">
        <v>5036</v>
      </c>
      <c r="E86" s="16" t="str">
        <f>HYPERLINK("http://www.scoop.it","Scoop.it")</f>
        <v>Scoop.it</v>
      </c>
      <c r="F86" s="12">
        <v>40112.231516203705</v>
      </c>
      <c r="G86" s="17" t="s">
        <v>445</v>
      </c>
      <c r="H86" s="35" t="s">
        <v>5037</v>
      </c>
      <c r="I86" s="18" t="s">
        <v>5038</v>
      </c>
    </row>
    <row r="87" spans="1:9" ht="180">
      <c r="A87" s="4">
        <v>43560.476655092592</v>
      </c>
      <c r="B87" s="5" t="str">
        <f>HYPERLINK("https://twitter.com/NotaireDwarka","@NotaireDwarka")</f>
        <v>@NotaireDwarka</v>
      </c>
      <c r="C87" s="6" t="s">
        <v>11347</v>
      </c>
      <c r="D87" s="7" t="s">
        <v>11348</v>
      </c>
      <c r="E87" s="8" t="str">
        <f>HYPERLINK("http://twitter.com","Twitter Web Client")</f>
        <v>Twitter Web Client</v>
      </c>
      <c r="F87" s="4">
        <v>43552.952326388884</v>
      </c>
      <c r="G87" s="9" t="s">
        <v>445</v>
      </c>
      <c r="H87" s="35" t="s">
        <v>11349</v>
      </c>
      <c r="I87" s="10" t="s">
        <v>11350</v>
      </c>
    </row>
    <row r="88" spans="1:9" ht="45">
      <c r="A88" s="4">
        <v>43564.367928240739</v>
      </c>
      <c r="B88" s="5" t="str">
        <f>HYPERLINK("https://twitter.com/pkumako","@pkumako")</f>
        <v>@pkumako</v>
      </c>
      <c r="C88" s="6" t="s">
        <v>6658</v>
      </c>
      <c r="D88" s="7" t="s">
        <v>6642</v>
      </c>
      <c r="E88" s="8" t="str">
        <f>HYPERLINK("https://paper.li","Paper.li")</f>
        <v>Paper.li</v>
      </c>
      <c r="F88" s="4">
        <v>41241.644675925927</v>
      </c>
      <c r="G88" s="17" t="s">
        <v>445</v>
      </c>
      <c r="H88" s="35" t="s">
        <v>6659</v>
      </c>
      <c r="I88" s="10" t="s">
        <v>6660</v>
      </c>
    </row>
    <row r="89" spans="1:9" ht="45">
      <c r="A89" s="4">
        <v>43565.062222222223</v>
      </c>
      <c r="B89" s="5" t="str">
        <f>HYPERLINK("https://twitter.com/chantew1983","@chantew1983")</f>
        <v>@chantew1983</v>
      </c>
      <c r="C89" s="6" t="s">
        <v>6310</v>
      </c>
      <c r="D89" s="7" t="s">
        <v>6311</v>
      </c>
      <c r="E89" s="8" t="str">
        <f>HYPERLINK("http://instagram.com","Instagram")</f>
        <v>Instagram</v>
      </c>
      <c r="F89" s="4">
        <v>40845.229594907403</v>
      </c>
      <c r="G89" s="24" t="s">
        <v>445</v>
      </c>
      <c r="H89" s="35" t="s">
        <v>724</v>
      </c>
      <c r="I89" s="10" t="s">
        <v>6312</v>
      </c>
    </row>
    <row r="90" spans="1:9" ht="105">
      <c r="A90" s="4">
        <v>43565.041805555556</v>
      </c>
      <c r="B90" s="5" t="str">
        <f>HYPERLINK("https://twitter.com/cardilogix","@cardilogix")</f>
        <v>@cardilogix</v>
      </c>
      <c r="C90" s="6" t="s">
        <v>6335</v>
      </c>
      <c r="D90" s="7" t="s">
        <v>6336</v>
      </c>
      <c r="E90" s="8" t="str">
        <f>HYPERLINK("https://buffer.com","Buffer")</f>
        <v>Buffer</v>
      </c>
      <c r="F90" s="4">
        <v>41345.29587962963</v>
      </c>
      <c r="G90" s="24" t="s">
        <v>445</v>
      </c>
      <c r="H90" s="35" t="s">
        <v>724</v>
      </c>
      <c r="I90" s="10" t="s">
        <v>6337</v>
      </c>
    </row>
    <row r="91" spans="1:9" ht="60">
      <c r="A91" s="4">
        <v>43563.067442129628</v>
      </c>
      <c r="B91" s="5" t="str">
        <f>HYPERLINK("https://twitter.com/travelopulent","@travelopulent")</f>
        <v>@travelopulent</v>
      </c>
      <c r="C91" s="6" t="s">
        <v>10477</v>
      </c>
      <c r="D91" s="7" t="s">
        <v>10478</v>
      </c>
      <c r="E91" s="8" t="str">
        <f>HYPERLINK("http://twitter.com","Twitter Web Client")</f>
        <v>Twitter Web Client</v>
      </c>
      <c r="F91" s="4">
        <v>40288.198599537034</v>
      </c>
      <c r="G91" s="24" t="s">
        <v>445</v>
      </c>
      <c r="H91" s="35" t="s">
        <v>724</v>
      </c>
      <c r="I91" s="10" t="s">
        <v>10479</v>
      </c>
    </row>
    <row r="92" spans="1:9" ht="45">
      <c r="A92" s="12">
        <v>43579.369340277779</v>
      </c>
      <c r="B92" s="13" t="str">
        <f>HYPERLINK("https://twitter.com/ungerlm","@ungerlm")</f>
        <v>@ungerlm</v>
      </c>
      <c r="C92" s="14" t="s">
        <v>722</v>
      </c>
      <c r="D92" s="15" t="s">
        <v>723</v>
      </c>
      <c r="E92" s="16" t="str">
        <f>HYPERLINK("http://www.scoop.it","Scoop.it")</f>
        <v>Scoop.it</v>
      </c>
      <c r="F92" s="12">
        <v>40611.975300925929</v>
      </c>
      <c r="G92" s="24" t="s">
        <v>445</v>
      </c>
      <c r="H92" s="35" t="s">
        <v>724</v>
      </c>
      <c r="I92" s="18" t="s">
        <v>725</v>
      </c>
    </row>
    <row r="93" spans="1:9" ht="105">
      <c r="A93" s="12">
        <v>43579.108912037038</v>
      </c>
      <c r="B93" s="13" t="str">
        <f>HYPERLINK("https://twitter.com/ITOnlineSA","@ITOnlineSA")</f>
        <v>@ITOnlineSA</v>
      </c>
      <c r="C93" s="14" t="s">
        <v>923</v>
      </c>
      <c r="D93" s="15" t="s">
        <v>924</v>
      </c>
      <c r="E93" s="16" t="str">
        <f>HYPERLINK("http://twitter.com","Twitter Web Client")</f>
        <v>Twitter Web Client</v>
      </c>
      <c r="F93" s="12">
        <v>40717.299560185187</v>
      </c>
      <c r="G93" s="24" t="s">
        <v>445</v>
      </c>
      <c r="H93" s="35" t="s">
        <v>724</v>
      </c>
      <c r="I93" s="18" t="s">
        <v>925</v>
      </c>
    </row>
    <row r="94" spans="1:9" ht="105">
      <c r="A94" s="12">
        <v>43579.066041666665</v>
      </c>
      <c r="B94" s="13" t="str">
        <f>HYPERLINK("https://twitter.com/BrenthurstSA","@BrenthurstSA")</f>
        <v>@BrenthurstSA</v>
      </c>
      <c r="C94" s="14" t="s">
        <v>943</v>
      </c>
      <c r="D94" s="15" t="s">
        <v>944</v>
      </c>
      <c r="E94" s="16" t="str">
        <f>HYPERLINK("http://twitter.com","Twitter Web Client")</f>
        <v>Twitter Web Client</v>
      </c>
      <c r="F94" s="12">
        <v>40771.066875000004</v>
      </c>
      <c r="G94" s="24" t="s">
        <v>445</v>
      </c>
      <c r="H94" s="35" t="s">
        <v>724</v>
      </c>
      <c r="I94" s="18" t="s">
        <v>945</v>
      </c>
    </row>
    <row r="95" spans="1:9" ht="75">
      <c r="A95" s="12">
        <v>43574.105833333335</v>
      </c>
      <c r="B95" s="13" t="str">
        <f>HYPERLINK("https://twitter.com/_Okay_You_","@_Okay_You_")</f>
        <v>@_Okay_You_</v>
      </c>
      <c r="C95" s="14" t="s">
        <v>2673</v>
      </c>
      <c r="D95" s="15" t="s">
        <v>2674</v>
      </c>
      <c r="E95" s="16" t="str">
        <f>HYPERLINK("http://twitter.com/download/iphone","Twitter for iPhone")</f>
        <v>Twitter for iPhone</v>
      </c>
      <c r="F95" s="12">
        <v>41385.478993055556</v>
      </c>
      <c r="G95" s="24" t="s">
        <v>445</v>
      </c>
      <c r="H95" s="35" t="s">
        <v>724</v>
      </c>
      <c r="I95" s="18" t="s">
        <v>2675</v>
      </c>
    </row>
    <row r="96" spans="1:9" ht="45">
      <c r="A96" s="12">
        <v>43571.389606481476</v>
      </c>
      <c r="B96" s="13" t="str">
        <f>HYPERLINK("https://twitter.com/WegBreekSA","@WegBreekSA")</f>
        <v>@WegBreekSA</v>
      </c>
      <c r="C96" s="14" t="s">
        <v>3693</v>
      </c>
      <c r="D96" s="15" t="s">
        <v>3694</v>
      </c>
      <c r="E96" s="16" t="str">
        <f>HYPERLINK("http://twitter.com/download/android","Twitter for Android")</f>
        <v>Twitter for Android</v>
      </c>
      <c r="F96" s="12">
        <v>42057.463252314818</v>
      </c>
      <c r="G96" s="24" t="s">
        <v>445</v>
      </c>
      <c r="H96" s="35" t="s">
        <v>724</v>
      </c>
      <c r="I96" s="18" t="s">
        <v>3695</v>
      </c>
    </row>
    <row r="97" spans="1:9" ht="180">
      <c r="A97" s="12">
        <v>43571.169965277775</v>
      </c>
      <c r="B97" s="13" t="str">
        <f>HYPERLINK("https://twitter.com/BrenthurstSA","@BrenthurstSA")</f>
        <v>@BrenthurstSA</v>
      </c>
      <c r="C97" s="14" t="s">
        <v>943</v>
      </c>
      <c r="D97" s="15" t="s">
        <v>3817</v>
      </c>
      <c r="E97" s="16" t="str">
        <f>HYPERLINK("http://twitter.com","Twitter Web Client")</f>
        <v>Twitter Web Client</v>
      </c>
      <c r="F97" s="12">
        <v>40771.066875000004</v>
      </c>
      <c r="G97" s="24" t="s">
        <v>445</v>
      </c>
      <c r="H97" s="35" t="s">
        <v>724</v>
      </c>
      <c r="I97" s="18" t="s">
        <v>945</v>
      </c>
    </row>
    <row r="98" spans="1:9" ht="60">
      <c r="A98" s="12">
        <v>43571.046620370369</v>
      </c>
      <c r="B98" s="13" t="str">
        <f>HYPERLINK("https://twitter.com/coinswop","@coinswop")</f>
        <v>@coinswop</v>
      </c>
      <c r="C98" s="14" t="s">
        <v>3880</v>
      </c>
      <c r="D98" s="15" t="s">
        <v>3881</v>
      </c>
      <c r="E98" s="16" t="str">
        <f>HYPERLINK("http://twitter.com","Twitter Web Client")</f>
        <v>Twitter Web Client</v>
      </c>
      <c r="F98" s="12">
        <v>43187.566875000004</v>
      </c>
      <c r="G98" s="24" t="s">
        <v>445</v>
      </c>
      <c r="H98" s="35" t="s">
        <v>724</v>
      </c>
      <c r="I98" s="18" t="s">
        <v>3882</v>
      </c>
    </row>
    <row r="99" spans="1:9" ht="45">
      <c r="A99" s="12">
        <v>43570.516666666663</v>
      </c>
      <c r="B99" s="13" t="str">
        <f>HYPERLINK("https://twitter.com/26DegreesSouth","@26DegreesSouth")</f>
        <v>@26DegreesSouth</v>
      </c>
      <c r="C99" s="14" t="s">
        <v>4093</v>
      </c>
      <c r="D99" s="15" t="s">
        <v>4094</v>
      </c>
      <c r="E99" s="16" t="str">
        <f>HYPERLINK("http://twitter.com","Twitter Web Client")</f>
        <v>Twitter Web Client</v>
      </c>
      <c r="F99" s="12">
        <v>40341.545902777776</v>
      </c>
      <c r="G99" s="24" t="s">
        <v>445</v>
      </c>
      <c r="H99" s="35" t="s">
        <v>724</v>
      </c>
      <c r="I99" s="18" t="s">
        <v>4095</v>
      </c>
    </row>
    <row r="100" spans="1:9" ht="45">
      <c r="A100" s="12">
        <v>43570.41788194445</v>
      </c>
      <c r="B100" s="13" t="str">
        <f>HYPERLINK("https://twitter.com/nathalivh","@nathalivh")</f>
        <v>@nathalivh</v>
      </c>
      <c r="C100" s="14" t="s">
        <v>4170</v>
      </c>
      <c r="D100" s="15" t="s">
        <v>4171</v>
      </c>
      <c r="E100" s="16" t="str">
        <f>HYPERLINK("http://twitter.com/download/android","Twitter for Android")</f>
        <v>Twitter for Android</v>
      </c>
      <c r="F100" s="12">
        <v>41432.691712962966</v>
      </c>
      <c r="G100" s="24" t="s">
        <v>445</v>
      </c>
      <c r="H100" s="35" t="s">
        <v>724</v>
      </c>
      <c r="I100" s="18" t="s">
        <v>4172</v>
      </c>
    </row>
    <row r="101" spans="1:9" ht="30">
      <c r="A101" s="12">
        <v>43565.920752314814</v>
      </c>
      <c r="B101" s="13" t="str">
        <f>HYPERLINK("https://twitter.com/selahled","@selahled")</f>
        <v>@selahled</v>
      </c>
      <c r="C101" s="14" t="s">
        <v>5853</v>
      </c>
      <c r="D101" s="15" t="s">
        <v>5854</v>
      </c>
      <c r="E101" s="16" t="str">
        <f>HYPERLINK("http://twitter.com/download/iphone","Twitter for iPhone")</f>
        <v>Twitter for iPhone</v>
      </c>
      <c r="F101" s="12">
        <v>42010.927662037036</v>
      </c>
      <c r="G101" s="24" t="s">
        <v>445</v>
      </c>
      <c r="H101" s="35" t="s">
        <v>724</v>
      </c>
      <c r="I101" s="18" t="s">
        <v>5855</v>
      </c>
    </row>
    <row r="102" spans="1:9" ht="105">
      <c r="A102" s="19">
        <v>43544.496655092589</v>
      </c>
      <c r="B102" s="20" t="str">
        <f>HYPERLINK("https://twitter.com/veronica_brits","@veronica_brits")</f>
        <v>@veronica_brits</v>
      </c>
      <c r="C102" s="21" t="s">
        <v>9436</v>
      </c>
      <c r="D102" s="22" t="s">
        <v>9437</v>
      </c>
      <c r="E102" s="23" t="str">
        <f>HYPERLINK("http://twitter.com/download/iphone","Twitter for iPhone")</f>
        <v>Twitter for iPhone</v>
      </c>
      <c r="F102" s="19">
        <v>41758.536458333336</v>
      </c>
      <c r="G102" s="24" t="s">
        <v>445</v>
      </c>
      <c r="H102" s="35" t="s">
        <v>9438</v>
      </c>
      <c r="I102" s="25" t="s">
        <v>9439</v>
      </c>
    </row>
    <row r="103" spans="1:9" ht="120">
      <c r="A103" s="4">
        <v>43560.06450231481</v>
      </c>
      <c r="B103" s="5" t="str">
        <f>HYPERLINK("https://twitter.com/orangevillegh","@orangevillegh")</f>
        <v>@orangevillegh</v>
      </c>
      <c r="C103" s="6" t="s">
        <v>11619</v>
      </c>
      <c r="D103" s="7" t="s">
        <v>11620</v>
      </c>
      <c r="E103" s="8" t="str">
        <f>HYPERLINK("http://www.facebook.com/twitter","Facebook")</f>
        <v>Facebook</v>
      </c>
      <c r="F103" s="4">
        <v>40329.149340277778</v>
      </c>
      <c r="G103" s="9" t="s">
        <v>445</v>
      </c>
      <c r="H103" s="35" t="s">
        <v>11621</v>
      </c>
      <c r="I103" s="10"/>
    </row>
    <row r="104" spans="1:9" ht="45">
      <c r="A104" s="12">
        <v>43571.197118055556</v>
      </c>
      <c r="B104" s="13" t="str">
        <f>HYPERLINK("https://twitter.com/KailendOrg","@KailendOrg")</f>
        <v>@KailendOrg</v>
      </c>
      <c r="C104" s="14" t="s">
        <v>3798</v>
      </c>
      <c r="D104" s="15" t="s">
        <v>3799</v>
      </c>
      <c r="E104" s="16" t="str">
        <f>HYPERLINK("http://twitter.com/download/iphone","Twitter for iPhone")</f>
        <v>Twitter for iPhone</v>
      </c>
      <c r="F104" s="12">
        <v>41819.632557870369</v>
      </c>
      <c r="G104" s="17" t="s">
        <v>445</v>
      </c>
      <c r="H104" s="35" t="s">
        <v>3800</v>
      </c>
      <c r="I104" s="18" t="s">
        <v>3801</v>
      </c>
    </row>
    <row r="105" spans="1:9" ht="75">
      <c r="A105" s="12">
        <v>43566.41815972222</v>
      </c>
      <c r="B105" s="13" t="str">
        <f>HYPERLINK("https://twitter.com/Tsitsikamma_SC","@Tsitsikamma_SC")</f>
        <v>@Tsitsikamma_SC</v>
      </c>
      <c r="C105" s="14" t="s">
        <v>5543</v>
      </c>
      <c r="D105" s="15" t="s">
        <v>5544</v>
      </c>
      <c r="E105" s="16" t="str">
        <f>HYPERLINK("http://twitter.com/download/android","Twitter for Android")</f>
        <v>Twitter for Android</v>
      </c>
      <c r="F105" s="12">
        <v>41949.152025462965</v>
      </c>
      <c r="G105" s="17" t="s">
        <v>445</v>
      </c>
      <c r="H105" s="35" t="s">
        <v>5545</v>
      </c>
      <c r="I105" s="18" t="s">
        <v>5546</v>
      </c>
    </row>
    <row r="106" spans="1:9" ht="75">
      <c r="A106" s="12">
        <v>43571.008414351847</v>
      </c>
      <c r="B106" s="13" t="str">
        <f>HYPERLINK("https://twitter.com/Letotoi","@Letotoi")</f>
        <v>@Letotoi</v>
      </c>
      <c r="C106" s="14" t="s">
        <v>3898</v>
      </c>
      <c r="D106" s="15" t="s">
        <v>3899</v>
      </c>
      <c r="E106" s="16" t="str">
        <f>HYPERLINK("http://twitter.com/download/iphone","Twitter for iPhone")</f>
        <v>Twitter for iPhone</v>
      </c>
      <c r="F106" s="12">
        <v>40565.898587962962</v>
      </c>
      <c r="G106" s="17" t="s">
        <v>445</v>
      </c>
      <c r="H106" s="35" t="s">
        <v>3900</v>
      </c>
      <c r="I106" s="18" t="s">
        <v>3901</v>
      </c>
    </row>
    <row r="107" spans="1:9" ht="75">
      <c r="A107" s="12">
        <v>43566.081875000003</v>
      </c>
      <c r="B107" s="13" t="str">
        <f>HYPERLINK("https://twitter.com/Ronyalassaad","@Ronyalassaad")</f>
        <v>@Ronyalassaad</v>
      </c>
      <c r="C107" s="14" t="s">
        <v>5805</v>
      </c>
      <c r="D107" s="15" t="s">
        <v>12809</v>
      </c>
      <c r="E107" s="16" t="str">
        <f>HYPERLINK("http://twitter.com","Twitter Web Client")</f>
        <v>Twitter Web Client</v>
      </c>
      <c r="F107" s="12">
        <v>40897.486932870372</v>
      </c>
      <c r="G107" s="17" t="s">
        <v>2783</v>
      </c>
      <c r="H107" s="35" t="s">
        <v>12810</v>
      </c>
      <c r="I107" s="18"/>
    </row>
    <row r="108" spans="1:9" ht="135">
      <c r="A108" s="4">
        <v>43557.944050925929</v>
      </c>
      <c r="B108" s="5" t="str">
        <f>HYPERLINK("https://twitter.com/Kelaiyavarun","@Kelaiyavarun")</f>
        <v>@Kelaiyavarun</v>
      </c>
      <c r="C108" s="6" t="s">
        <v>12358</v>
      </c>
      <c r="D108" s="7" t="s">
        <v>12911</v>
      </c>
      <c r="E108" s="8" t="str">
        <f>HYPERLINK("http://twitter.com","Twitter Web Client")</f>
        <v>Twitter Web Client</v>
      </c>
      <c r="F108" s="4">
        <v>40245.252372685187</v>
      </c>
      <c r="G108" s="9" t="s">
        <v>2783</v>
      </c>
      <c r="H108" s="35" t="s">
        <v>12359</v>
      </c>
      <c r="I108" s="10" t="s">
        <v>12360</v>
      </c>
    </row>
    <row r="109" spans="1:9" ht="105">
      <c r="A109" s="4">
        <v>43557.670914351853</v>
      </c>
      <c r="B109" s="5" t="str">
        <f>HYPERLINK("https://twitter.com/JayminSOfficial","@JayminSOfficial")</f>
        <v>@JayminSOfficial</v>
      </c>
      <c r="C109" s="6" t="s">
        <v>12416</v>
      </c>
      <c r="D109" s="7" t="s">
        <v>12912</v>
      </c>
      <c r="E109" s="8" t="str">
        <f>HYPERLINK("http://twitter.com","Twitter Web Client")</f>
        <v>Twitter Web Client</v>
      </c>
      <c r="F109" s="4">
        <v>41725.470208333332</v>
      </c>
      <c r="G109" s="9" t="s">
        <v>2783</v>
      </c>
      <c r="H109" s="35" t="s">
        <v>12417</v>
      </c>
      <c r="I109" s="10" t="s">
        <v>12418</v>
      </c>
    </row>
    <row r="110" spans="1:9" ht="90">
      <c r="A110" s="12">
        <v>43566.291192129633</v>
      </c>
      <c r="B110" s="13" t="str">
        <f>HYPERLINK("https://twitter.com/ijsteJournal","@ijsteJournal")</f>
        <v>@ijsteJournal</v>
      </c>
      <c r="C110" s="14" t="s">
        <v>5679</v>
      </c>
      <c r="D110" s="15" t="s">
        <v>12913</v>
      </c>
      <c r="E110" s="16" t="str">
        <f>HYPERLINK("http://www.linkedin.com/","LinkedIn")</f>
        <v>LinkedIn</v>
      </c>
      <c r="F110" s="12">
        <v>41818.191087962965</v>
      </c>
      <c r="G110" s="9" t="s">
        <v>2783</v>
      </c>
      <c r="H110" s="35" t="s">
        <v>5680</v>
      </c>
      <c r="I110" s="18" t="s">
        <v>5681</v>
      </c>
    </row>
    <row r="111" spans="1:9" ht="45">
      <c r="A111" s="4">
        <v>43557.613935185189</v>
      </c>
      <c r="B111" s="5" t="str">
        <f>HYPERLINK("https://twitter.com/ashishrbedekar","@ashishrbedekar")</f>
        <v>@ashishrbedekar</v>
      </c>
      <c r="C111" s="6" t="s">
        <v>12442</v>
      </c>
      <c r="D111" s="7" t="s">
        <v>12983</v>
      </c>
      <c r="E111" s="8" t="str">
        <f>HYPERLINK("http://twinybots.com","TwinyBots")</f>
        <v>TwinyBots</v>
      </c>
      <c r="F111" s="4">
        <v>39843.980717592596</v>
      </c>
      <c r="G111" s="9" t="s">
        <v>2783</v>
      </c>
      <c r="H111" s="35" t="s">
        <v>12443</v>
      </c>
      <c r="I111" s="10" t="s">
        <v>12444</v>
      </c>
    </row>
    <row r="112" spans="1:9" ht="60">
      <c r="A112" s="19">
        <v>43549.672673611116</v>
      </c>
      <c r="B112" s="20" t="str">
        <f>HYPERLINK("https://twitter.com/retailnewsasia","@retailnewsasia")</f>
        <v>@retailnewsasia</v>
      </c>
      <c r="C112" s="21" t="s">
        <v>7953</v>
      </c>
      <c r="D112" s="22" t="s">
        <v>12890</v>
      </c>
      <c r="E112" s="23" t="str">
        <f>HYPERLINK("https://www.retailnews.asia","RetailNews.asia")</f>
        <v>RetailNews.asia</v>
      </c>
      <c r="F112" s="19">
        <v>41993.998888888891</v>
      </c>
      <c r="G112" s="24" t="s">
        <v>2783</v>
      </c>
      <c r="H112" s="35" t="s">
        <v>7954</v>
      </c>
      <c r="I112" s="25" t="s">
        <v>7955</v>
      </c>
    </row>
    <row r="113" spans="1:9" ht="105">
      <c r="A113" s="4">
        <v>43563.291215277779</v>
      </c>
      <c r="B113" s="5" t="str">
        <f>HYPERLINK("https://twitter.com/AlphaData","@AlphaData")</f>
        <v>@AlphaData</v>
      </c>
      <c r="C113" s="6" t="s">
        <v>10396</v>
      </c>
      <c r="D113" s="7" t="s">
        <v>12900</v>
      </c>
      <c r="E113" s="8" t="str">
        <f>HYPERLINK("http://twitter.com","Twitter Web Client")</f>
        <v>Twitter Web Client</v>
      </c>
      <c r="F113" s="4">
        <v>40162.981944444444</v>
      </c>
      <c r="G113" s="9" t="s">
        <v>2783</v>
      </c>
      <c r="H113" s="35" t="s">
        <v>10397</v>
      </c>
      <c r="I113" s="10" t="s">
        <v>10398</v>
      </c>
    </row>
    <row r="114" spans="1:9" ht="60">
      <c r="A114" s="12">
        <v>43567.5159837963</v>
      </c>
      <c r="B114" s="13" t="str">
        <f>HYPERLINK("https://twitter.com/crs_consulting","@crs_consulting")</f>
        <v>@crs_consulting</v>
      </c>
      <c r="C114" s="14" t="s">
        <v>5076</v>
      </c>
      <c r="D114" s="15" t="s">
        <v>12914</v>
      </c>
      <c r="E114" s="16" t="str">
        <f>HYPERLINK("https://buffer.com","Buffer")</f>
        <v>Buffer</v>
      </c>
      <c r="F114" s="12">
        <v>42731.900185185186</v>
      </c>
      <c r="G114" s="17" t="s">
        <v>2783</v>
      </c>
      <c r="H114" s="35" t="s">
        <v>5077</v>
      </c>
      <c r="I114" s="18" t="s">
        <v>12915</v>
      </c>
    </row>
    <row r="115" spans="1:9" ht="75">
      <c r="A115" s="19">
        <v>43542.890335648146</v>
      </c>
      <c r="B115" s="20" t="str">
        <f>HYPERLINK("https://twitter.com/Khaled7766","@Khaled7766")</f>
        <v>@Khaled7766</v>
      </c>
      <c r="C115" s="21" t="s">
        <v>9998</v>
      </c>
      <c r="D115" s="22" t="s">
        <v>12928</v>
      </c>
      <c r="E115" s="23" t="str">
        <f>HYPERLINK("http://instagram.com","Instagram")</f>
        <v>Instagram</v>
      </c>
      <c r="F115" s="19">
        <v>40778.728020833332</v>
      </c>
      <c r="G115" s="24" t="s">
        <v>2783</v>
      </c>
      <c r="H115" s="35" t="s">
        <v>9999</v>
      </c>
      <c r="I115" s="25" t="s">
        <v>12929</v>
      </c>
    </row>
    <row r="116" spans="1:9" ht="90">
      <c r="A116" s="4">
        <v>43556.858958333338</v>
      </c>
      <c r="B116" s="5" t="str">
        <f>HYPERLINK("https://twitter.com/ooo7vivek","@ooo7vivek")</f>
        <v>@ooo7vivek</v>
      </c>
      <c r="C116" s="6" t="s">
        <v>12718</v>
      </c>
      <c r="D116" s="7" t="s">
        <v>12930</v>
      </c>
      <c r="E116" s="8" t="str">
        <f>HYPERLINK("http://twitter.com/download/android","Twitter for Android")</f>
        <v>Twitter for Android</v>
      </c>
      <c r="F116" s="4">
        <v>41065.117835648147</v>
      </c>
      <c r="G116" s="9" t="s">
        <v>2783</v>
      </c>
      <c r="H116" s="35" t="s">
        <v>12719</v>
      </c>
      <c r="I116" s="10" t="s">
        <v>12931</v>
      </c>
    </row>
    <row r="117" spans="1:9" ht="30">
      <c r="A117" s="4">
        <v>43564.663900462961</v>
      </c>
      <c r="B117" s="5" t="str">
        <f>HYPERLINK("https://twitter.com/50Folds","@50Folds")</f>
        <v>@50Folds</v>
      </c>
      <c r="C117" s="6" t="s">
        <v>2782</v>
      </c>
      <c r="D117" s="7" t="s">
        <v>4487</v>
      </c>
      <c r="E117" s="8" t="str">
        <f>HYPERLINK("https://buffer.com","Buffer")</f>
        <v>Buffer</v>
      </c>
      <c r="F117" s="4">
        <v>41457.411504629628</v>
      </c>
      <c r="G117" s="9" t="s">
        <v>2783</v>
      </c>
      <c r="H117" s="35" t="s">
        <v>2783</v>
      </c>
      <c r="I117" s="10" t="s">
        <v>2784</v>
      </c>
    </row>
    <row r="118" spans="1:9" ht="30">
      <c r="A118" s="4">
        <v>43563.396006944444</v>
      </c>
      <c r="B118" s="5" t="str">
        <f>HYPERLINK("https://twitter.com/50Folds","@50Folds")</f>
        <v>@50Folds</v>
      </c>
      <c r="C118" s="6" t="s">
        <v>2782</v>
      </c>
      <c r="D118" s="7" t="s">
        <v>4801</v>
      </c>
      <c r="E118" s="8" t="str">
        <f>HYPERLINK("https://buffer.com","Buffer")</f>
        <v>Buffer</v>
      </c>
      <c r="F118" s="4">
        <v>41457.411504629628</v>
      </c>
      <c r="G118" s="9" t="s">
        <v>2783</v>
      </c>
      <c r="H118" s="35" t="s">
        <v>2783</v>
      </c>
      <c r="I118" s="10" t="s">
        <v>2784</v>
      </c>
    </row>
    <row r="119" spans="1:9" ht="30">
      <c r="A119" s="12">
        <v>43573.663912037038</v>
      </c>
      <c r="B119" s="13" t="str">
        <f>HYPERLINK("https://twitter.com/50Folds","@50Folds")</f>
        <v>@50Folds</v>
      </c>
      <c r="C119" s="14" t="s">
        <v>2782</v>
      </c>
      <c r="D119" s="15" t="s">
        <v>1032</v>
      </c>
      <c r="E119" s="16" t="str">
        <f>HYPERLINK("https://buffer.com","Buffer")</f>
        <v>Buffer</v>
      </c>
      <c r="F119" s="12">
        <v>41457.411504629628</v>
      </c>
      <c r="G119" s="17" t="s">
        <v>2783</v>
      </c>
      <c r="H119" s="35" t="s">
        <v>2783</v>
      </c>
      <c r="I119" s="18" t="s">
        <v>2784</v>
      </c>
    </row>
    <row r="120" spans="1:9" ht="90">
      <c r="A120" s="19">
        <v>43549.818495370375</v>
      </c>
      <c r="B120" s="20" t="str">
        <f>HYPERLINK("https://twitter.com/DJDANJOH","@DJDANJOH")</f>
        <v>@DJDANJOH</v>
      </c>
      <c r="C120" s="21" t="s">
        <v>7919</v>
      </c>
      <c r="D120" s="22" t="s">
        <v>7920</v>
      </c>
      <c r="E120" s="23" t="str">
        <f>HYPERLINK("http://instagram.com","Instagram")</f>
        <v>Instagram</v>
      </c>
      <c r="F120" s="19">
        <v>40031.341689814813</v>
      </c>
      <c r="G120" s="17" t="s">
        <v>2783</v>
      </c>
      <c r="H120" s="35" t="s">
        <v>1833</v>
      </c>
      <c r="I120" s="25" t="s">
        <v>7921</v>
      </c>
    </row>
    <row r="121" spans="1:9" ht="75">
      <c r="A121" s="19">
        <v>43547.421030092592</v>
      </c>
      <c r="B121" s="20" t="str">
        <f>HYPERLINK("https://twitter.com/GokuOnNamek","@GokuOnNamek")</f>
        <v>@GokuOnNamek</v>
      </c>
      <c r="C121" s="21" t="s">
        <v>8555</v>
      </c>
      <c r="D121" s="22" t="s">
        <v>8556</v>
      </c>
      <c r="E121" s="23" t="str">
        <f>HYPERLINK("http://twitter.com/download/android","Twitter for Android")</f>
        <v>Twitter for Android</v>
      </c>
      <c r="F121" s="19">
        <v>43071.068402777775</v>
      </c>
      <c r="G121" s="17" t="s">
        <v>2783</v>
      </c>
      <c r="H121" s="35" t="s">
        <v>1833</v>
      </c>
      <c r="I121" s="25" t="s">
        <v>8557</v>
      </c>
    </row>
    <row r="122" spans="1:9" ht="75">
      <c r="A122" s="19">
        <v>43544.566574074073</v>
      </c>
      <c r="B122" s="20" t="str">
        <f>HYPERLINK("https://twitter.com/puriko82","@puriko82")</f>
        <v>@puriko82</v>
      </c>
      <c r="C122" s="21" t="s">
        <v>9409</v>
      </c>
      <c r="D122" s="22" t="s">
        <v>9410</v>
      </c>
      <c r="E122" s="23" t="str">
        <f>HYPERLINK("http://instagram.com","Instagram")</f>
        <v>Instagram</v>
      </c>
      <c r="F122" s="19">
        <v>40369.272615740745</v>
      </c>
      <c r="G122" s="17" t="s">
        <v>2783</v>
      </c>
      <c r="H122" s="35" t="s">
        <v>1833</v>
      </c>
      <c r="I122" s="25" t="s">
        <v>9411</v>
      </c>
    </row>
    <row r="123" spans="1:9" ht="30">
      <c r="A123" s="12">
        <v>43576.795891203699</v>
      </c>
      <c r="B123" s="13" t="str">
        <f>HYPERLINK("https://twitter.com/mitsuhirobot","@mitsuhirobot")</f>
        <v>@mitsuhirobot</v>
      </c>
      <c r="C123" s="14" t="s">
        <v>1831</v>
      </c>
      <c r="D123" s="15" t="s">
        <v>1832</v>
      </c>
      <c r="E123" s="16" t="str">
        <f>HYPERLINK("https://ifttt.com","IFTTT")</f>
        <v>IFTTT</v>
      </c>
      <c r="F123" s="12">
        <v>40353.448368055557</v>
      </c>
      <c r="G123" s="17" t="s">
        <v>2783</v>
      </c>
      <c r="H123" s="35" t="s">
        <v>1833</v>
      </c>
      <c r="I123" s="18"/>
    </row>
    <row r="124" spans="1:9" ht="30">
      <c r="A124" s="12">
        <v>43576.171099537038</v>
      </c>
      <c r="B124" s="13" t="str">
        <f>HYPERLINK("https://twitter.com/mitsuhirobot","@mitsuhirobot")</f>
        <v>@mitsuhirobot</v>
      </c>
      <c r="C124" s="14" t="s">
        <v>1831</v>
      </c>
      <c r="D124" s="15" t="s">
        <v>2036</v>
      </c>
      <c r="E124" s="16" t="str">
        <f>HYPERLINK("https://ifttt.com","IFTTT")</f>
        <v>IFTTT</v>
      </c>
      <c r="F124" s="12">
        <v>40353.448368055557</v>
      </c>
      <c r="G124" s="17" t="s">
        <v>2783</v>
      </c>
      <c r="H124" s="35" t="s">
        <v>1833</v>
      </c>
      <c r="I124" s="18"/>
    </row>
    <row r="125" spans="1:9" ht="30">
      <c r="A125" s="12">
        <v>43573.712141203709</v>
      </c>
      <c r="B125" s="13" t="str">
        <f>HYPERLINK("https://twitter.com/mitsuhirobot","@mitsuhirobot")</f>
        <v>@mitsuhirobot</v>
      </c>
      <c r="C125" s="14" t="s">
        <v>1831</v>
      </c>
      <c r="D125" s="15" t="s">
        <v>2762</v>
      </c>
      <c r="E125" s="16" t="str">
        <f>HYPERLINK("https://ifttt.com","IFTTT")</f>
        <v>IFTTT</v>
      </c>
      <c r="F125" s="12">
        <v>40353.448368055557</v>
      </c>
      <c r="G125" s="17" t="s">
        <v>2783</v>
      </c>
      <c r="H125" s="35" t="s">
        <v>1833</v>
      </c>
      <c r="I125" s="18"/>
    </row>
    <row r="126" spans="1:9" ht="30">
      <c r="A126" s="12">
        <v>43572.754421296297</v>
      </c>
      <c r="B126" s="13" t="str">
        <f>HYPERLINK("https://twitter.com/mitsuhirobot","@mitsuhirobot")</f>
        <v>@mitsuhirobot</v>
      </c>
      <c r="C126" s="14" t="s">
        <v>1831</v>
      </c>
      <c r="D126" s="15" t="s">
        <v>3102</v>
      </c>
      <c r="E126" s="16" t="str">
        <f>HYPERLINK("https://ifttt.com","IFTTT")</f>
        <v>IFTTT</v>
      </c>
      <c r="F126" s="12">
        <v>40353.448368055557</v>
      </c>
      <c r="G126" s="17" t="s">
        <v>2783</v>
      </c>
      <c r="H126" s="35" t="s">
        <v>1833</v>
      </c>
      <c r="I126" s="18"/>
    </row>
    <row r="127" spans="1:9" ht="30">
      <c r="A127" s="12">
        <v>43572.042870370366</v>
      </c>
      <c r="B127" s="13" t="str">
        <f>HYPERLINK("https://twitter.com/NAR","@NAR")</f>
        <v>@NAR</v>
      </c>
      <c r="C127" s="14" t="s">
        <v>3454</v>
      </c>
      <c r="D127" s="15" t="s">
        <v>3455</v>
      </c>
      <c r="E127" s="16" t="str">
        <f>HYPERLINK("http://www.socialflow.com","SocialFlow")</f>
        <v>SocialFlow</v>
      </c>
      <c r="F127" s="12">
        <v>40890.886863425927</v>
      </c>
      <c r="G127" s="17" t="s">
        <v>2783</v>
      </c>
      <c r="H127" s="35" t="s">
        <v>1833</v>
      </c>
      <c r="I127" s="18" t="s">
        <v>3456</v>
      </c>
    </row>
    <row r="128" spans="1:9" ht="30">
      <c r="A128" s="12">
        <v>43571.96261574074</v>
      </c>
      <c r="B128" s="13" t="str">
        <f>HYPERLINK("https://twitter.com/mitsuhirobot","@mitsuhirobot")</f>
        <v>@mitsuhirobot</v>
      </c>
      <c r="C128" s="14" t="s">
        <v>1831</v>
      </c>
      <c r="D128" s="15" t="s">
        <v>3477</v>
      </c>
      <c r="E128" s="16" t="str">
        <f>HYPERLINK("https://ifttt.com","IFTTT")</f>
        <v>IFTTT</v>
      </c>
      <c r="F128" s="12">
        <v>40353.448368055557</v>
      </c>
      <c r="G128" s="17" t="s">
        <v>2783</v>
      </c>
      <c r="H128" s="35" t="s">
        <v>1833</v>
      </c>
      <c r="I128" s="18"/>
    </row>
    <row r="129" spans="1:9" ht="30">
      <c r="A129" s="12">
        <v>43571.004872685182</v>
      </c>
      <c r="B129" s="13" t="str">
        <f>HYPERLINK("https://twitter.com/mitsuhirobot","@mitsuhirobot")</f>
        <v>@mitsuhirobot</v>
      </c>
      <c r="C129" s="14" t="s">
        <v>1831</v>
      </c>
      <c r="D129" s="15" t="s">
        <v>3902</v>
      </c>
      <c r="E129" s="16" t="str">
        <f>HYPERLINK("https://ifttt.com","IFTTT")</f>
        <v>IFTTT</v>
      </c>
      <c r="F129" s="12">
        <v>40353.448368055557</v>
      </c>
      <c r="G129" s="17" t="s">
        <v>2783</v>
      </c>
      <c r="H129" s="35" t="s">
        <v>1833</v>
      </c>
      <c r="I129" s="18"/>
    </row>
    <row r="130" spans="1:9" ht="45">
      <c r="A130" s="4">
        <v>43564.668680555551</v>
      </c>
      <c r="B130" s="5" t="str">
        <f>HYPERLINK("https://twitter.com/enginyd","@enginyd")</f>
        <v>@enginyd</v>
      </c>
      <c r="C130" s="6" t="s">
        <v>6462</v>
      </c>
      <c r="D130" s="7" t="s">
        <v>6463</v>
      </c>
      <c r="E130" s="8" t="str">
        <f>HYPERLINK("http://twitter.com","Twitter Web Client")</f>
        <v>Twitter Web Client</v>
      </c>
      <c r="F130" s="4">
        <v>40223.810370370367</v>
      </c>
      <c r="G130" s="17" t="s">
        <v>2783</v>
      </c>
      <c r="H130" s="35" t="s">
        <v>6464</v>
      </c>
      <c r="I130" s="10" t="s">
        <v>6465</v>
      </c>
    </row>
    <row r="131" spans="1:9" ht="45">
      <c r="A131" s="19">
        <v>43542.60460648148</v>
      </c>
      <c r="B131" s="20" t="str">
        <f t="shared" ref="B131:B136" si="0">HYPERLINK("https://twitter.com/LillianHanes","@LillianHanes")</f>
        <v>@LillianHanes</v>
      </c>
      <c r="C131" s="21" t="s">
        <v>556</v>
      </c>
      <c r="D131" s="22" t="s">
        <v>10080</v>
      </c>
      <c r="E131" s="23" t="str">
        <f t="shared" ref="E131:E136" si="1">HYPERLINK("https://mobile.twitter.com","Twitter Web App")</f>
        <v>Twitter Web App</v>
      </c>
      <c r="F131" s="19">
        <v>40250.143541666665</v>
      </c>
      <c r="G131" s="17" t="s">
        <v>2783</v>
      </c>
      <c r="H131" s="35" t="s">
        <v>558</v>
      </c>
      <c r="I131" s="25" t="s">
        <v>559</v>
      </c>
    </row>
    <row r="132" spans="1:9" ht="45">
      <c r="A132" s="4">
        <v>43562.571168981478</v>
      </c>
      <c r="B132" s="5" t="str">
        <f t="shared" si="0"/>
        <v>@LillianHanes</v>
      </c>
      <c r="C132" s="6" t="s">
        <v>556</v>
      </c>
      <c r="D132" s="7" t="s">
        <v>10651</v>
      </c>
      <c r="E132" s="8" t="str">
        <f t="shared" si="1"/>
        <v>Twitter Web App</v>
      </c>
      <c r="F132" s="4">
        <v>40250.143541666665</v>
      </c>
      <c r="G132" s="17" t="s">
        <v>2783</v>
      </c>
      <c r="H132" s="35" t="s">
        <v>558</v>
      </c>
      <c r="I132" s="10" t="s">
        <v>559</v>
      </c>
    </row>
    <row r="133" spans="1:9" ht="45">
      <c r="A133" s="4">
        <v>43560.572847222225</v>
      </c>
      <c r="B133" s="5" t="str">
        <f t="shared" si="0"/>
        <v>@LillianHanes</v>
      </c>
      <c r="C133" s="6" t="s">
        <v>556</v>
      </c>
      <c r="D133" s="7" t="s">
        <v>11276</v>
      </c>
      <c r="E133" s="8" t="str">
        <f t="shared" si="1"/>
        <v>Twitter Web App</v>
      </c>
      <c r="F133" s="4">
        <v>40250.143541666665</v>
      </c>
      <c r="G133" s="17" t="s">
        <v>2783</v>
      </c>
      <c r="H133" s="35" t="s">
        <v>558</v>
      </c>
      <c r="I133" s="10" t="s">
        <v>559</v>
      </c>
    </row>
    <row r="134" spans="1:9" ht="45">
      <c r="A134" s="4">
        <v>43557.59306712963</v>
      </c>
      <c r="B134" s="5" t="str">
        <f t="shared" si="0"/>
        <v>@LillianHanes</v>
      </c>
      <c r="C134" s="6" t="s">
        <v>556</v>
      </c>
      <c r="D134" s="7" t="s">
        <v>12449</v>
      </c>
      <c r="E134" s="8" t="str">
        <f t="shared" si="1"/>
        <v>Twitter Web App</v>
      </c>
      <c r="F134" s="4">
        <v>40250.143541666665</v>
      </c>
      <c r="G134" s="17" t="s">
        <v>2783</v>
      </c>
      <c r="H134" s="35" t="s">
        <v>558</v>
      </c>
      <c r="I134" s="10" t="s">
        <v>559</v>
      </c>
    </row>
    <row r="135" spans="1:9" ht="45">
      <c r="A135" s="12">
        <v>43579.593807870369</v>
      </c>
      <c r="B135" s="13" t="str">
        <f t="shared" si="0"/>
        <v>@LillianHanes</v>
      </c>
      <c r="C135" s="14" t="s">
        <v>556</v>
      </c>
      <c r="D135" s="15" t="s">
        <v>557</v>
      </c>
      <c r="E135" s="16" t="str">
        <f t="shared" si="1"/>
        <v>Twitter Web App</v>
      </c>
      <c r="F135" s="12">
        <v>40250.143541666665</v>
      </c>
      <c r="G135" s="17" t="s">
        <v>2783</v>
      </c>
      <c r="H135" s="35" t="s">
        <v>558</v>
      </c>
      <c r="I135" s="18" t="s">
        <v>559</v>
      </c>
    </row>
    <row r="136" spans="1:9" ht="45">
      <c r="A136" s="12">
        <v>43572.579837962963</v>
      </c>
      <c r="B136" s="13" t="str">
        <f t="shared" si="0"/>
        <v>@LillianHanes</v>
      </c>
      <c r="C136" s="14" t="s">
        <v>556</v>
      </c>
      <c r="D136" s="15" t="s">
        <v>3154</v>
      </c>
      <c r="E136" s="16" t="str">
        <f t="shared" si="1"/>
        <v>Twitter Web App</v>
      </c>
      <c r="F136" s="12">
        <v>40250.143541666665</v>
      </c>
      <c r="G136" s="17" t="s">
        <v>2783</v>
      </c>
      <c r="H136" s="35" t="s">
        <v>558</v>
      </c>
      <c r="I136" s="18" t="s">
        <v>559</v>
      </c>
    </row>
    <row r="137" spans="1:9" ht="60">
      <c r="A137" s="12">
        <v>43577.74936342593</v>
      </c>
      <c r="B137" s="13" t="str">
        <f>HYPERLINK("https://twitter.com/cotoacademy","@cotoacademy")</f>
        <v>@cotoacademy</v>
      </c>
      <c r="C137" s="14" t="s">
        <v>1514</v>
      </c>
      <c r="D137" s="15" t="s">
        <v>1515</v>
      </c>
      <c r="E137" s="16" t="str">
        <f t="shared" ref="E137:E145" si="2">HYPERLINK("http://twitter.com","Twitter Web Client")</f>
        <v>Twitter Web Client</v>
      </c>
      <c r="F137" s="12">
        <v>40560.245763888888</v>
      </c>
      <c r="G137" s="17" t="s">
        <v>2783</v>
      </c>
      <c r="H137" s="35" t="s">
        <v>1516</v>
      </c>
      <c r="I137" s="18" t="s">
        <v>1517</v>
      </c>
    </row>
    <row r="138" spans="1:9" ht="90">
      <c r="A138" s="19">
        <v>43551.003287037034</v>
      </c>
      <c r="B138" s="20" t="str">
        <f t="shared" ref="B138:B145" si="3">HYPERLINK("https://twitter.com/BedandStay","@BedandStay")</f>
        <v>@BedandStay</v>
      </c>
      <c r="C138" s="21" t="s">
        <v>309</v>
      </c>
      <c r="D138" s="22" t="s">
        <v>7454</v>
      </c>
      <c r="E138" s="23" t="str">
        <f t="shared" si="2"/>
        <v>Twitter Web Client</v>
      </c>
      <c r="F138" s="19">
        <v>43083.938125000001</v>
      </c>
      <c r="G138" s="17" t="s">
        <v>2783</v>
      </c>
      <c r="H138" s="35" t="s">
        <v>311</v>
      </c>
      <c r="I138" s="25" t="s">
        <v>312</v>
      </c>
    </row>
    <row r="139" spans="1:9" ht="105">
      <c r="A139" s="19">
        <v>43550.921458333338</v>
      </c>
      <c r="B139" s="20" t="str">
        <f t="shared" si="3"/>
        <v>@BedandStay</v>
      </c>
      <c r="C139" s="21" t="s">
        <v>309</v>
      </c>
      <c r="D139" s="22" t="s">
        <v>7470</v>
      </c>
      <c r="E139" s="23" t="str">
        <f t="shared" si="2"/>
        <v>Twitter Web Client</v>
      </c>
      <c r="F139" s="19">
        <v>43083.938125000001</v>
      </c>
      <c r="G139" s="17" t="s">
        <v>2783</v>
      </c>
      <c r="H139" s="35" t="s">
        <v>311</v>
      </c>
      <c r="I139" s="25" t="s">
        <v>312</v>
      </c>
    </row>
    <row r="140" spans="1:9" ht="105">
      <c r="A140" s="19">
        <v>43550.870694444442</v>
      </c>
      <c r="B140" s="20" t="str">
        <f t="shared" si="3"/>
        <v>@BedandStay</v>
      </c>
      <c r="C140" s="21" t="s">
        <v>309</v>
      </c>
      <c r="D140" s="22" t="s">
        <v>7482</v>
      </c>
      <c r="E140" s="23" t="str">
        <f t="shared" si="2"/>
        <v>Twitter Web Client</v>
      </c>
      <c r="F140" s="19">
        <v>43083.938125000001</v>
      </c>
      <c r="G140" s="17" t="s">
        <v>2783</v>
      </c>
      <c r="H140" s="35" t="s">
        <v>311</v>
      </c>
      <c r="I140" s="25" t="s">
        <v>312</v>
      </c>
    </row>
    <row r="141" spans="1:9" ht="120">
      <c r="A141" s="19">
        <v>43550.870196759264</v>
      </c>
      <c r="B141" s="20" t="str">
        <f t="shared" si="3"/>
        <v>@BedandStay</v>
      </c>
      <c r="C141" s="21" t="s">
        <v>309</v>
      </c>
      <c r="D141" s="22" t="s">
        <v>7483</v>
      </c>
      <c r="E141" s="23" t="str">
        <f t="shared" si="2"/>
        <v>Twitter Web Client</v>
      </c>
      <c r="F141" s="19">
        <v>43083.938125000001</v>
      </c>
      <c r="G141" s="17" t="s">
        <v>2783</v>
      </c>
      <c r="H141" s="35" t="s">
        <v>311</v>
      </c>
      <c r="I141" s="25" t="s">
        <v>312</v>
      </c>
    </row>
    <row r="142" spans="1:9" ht="90">
      <c r="A142" s="19">
        <v>43550.013761574075</v>
      </c>
      <c r="B142" s="20" t="str">
        <f t="shared" si="3"/>
        <v>@BedandStay</v>
      </c>
      <c r="C142" s="21" t="s">
        <v>309</v>
      </c>
      <c r="D142" s="22" t="s">
        <v>7863</v>
      </c>
      <c r="E142" s="23" t="str">
        <f t="shared" si="2"/>
        <v>Twitter Web Client</v>
      </c>
      <c r="F142" s="19">
        <v>43083.938125000001</v>
      </c>
      <c r="G142" s="17" t="s">
        <v>2783</v>
      </c>
      <c r="H142" s="35" t="s">
        <v>311</v>
      </c>
      <c r="I142" s="25" t="s">
        <v>312</v>
      </c>
    </row>
    <row r="143" spans="1:9" ht="120">
      <c r="A143" s="19">
        <v>43549.834247685183</v>
      </c>
      <c r="B143" s="20" t="str">
        <f t="shared" si="3"/>
        <v>@BedandStay</v>
      </c>
      <c r="C143" s="21" t="s">
        <v>309</v>
      </c>
      <c r="D143" s="22" t="s">
        <v>7905</v>
      </c>
      <c r="E143" s="23" t="str">
        <f t="shared" si="2"/>
        <v>Twitter Web Client</v>
      </c>
      <c r="F143" s="19">
        <v>43083.938125000001</v>
      </c>
      <c r="G143" s="17" t="s">
        <v>2783</v>
      </c>
      <c r="H143" s="35" t="s">
        <v>311</v>
      </c>
      <c r="I143" s="25" t="s">
        <v>312</v>
      </c>
    </row>
    <row r="144" spans="1:9" ht="120">
      <c r="A144" s="19">
        <v>43549.833020833335</v>
      </c>
      <c r="B144" s="20" t="str">
        <f t="shared" si="3"/>
        <v>@BedandStay</v>
      </c>
      <c r="C144" s="21" t="s">
        <v>309</v>
      </c>
      <c r="D144" s="22" t="s">
        <v>7909</v>
      </c>
      <c r="E144" s="23" t="str">
        <f t="shared" si="2"/>
        <v>Twitter Web Client</v>
      </c>
      <c r="F144" s="19">
        <v>43083.938125000001</v>
      </c>
      <c r="G144" s="17" t="s">
        <v>2783</v>
      </c>
      <c r="H144" s="35" t="s">
        <v>311</v>
      </c>
      <c r="I144" s="25" t="s">
        <v>312</v>
      </c>
    </row>
    <row r="145" spans="1:9" ht="150">
      <c r="A145" s="19">
        <v>43549.828773148147</v>
      </c>
      <c r="B145" s="20" t="str">
        <f t="shared" si="3"/>
        <v>@BedandStay</v>
      </c>
      <c r="C145" s="21" t="s">
        <v>309</v>
      </c>
      <c r="D145" s="22" t="s">
        <v>7914</v>
      </c>
      <c r="E145" s="23" t="str">
        <f t="shared" si="2"/>
        <v>Twitter Web Client</v>
      </c>
      <c r="F145" s="19">
        <v>43083.938125000001</v>
      </c>
      <c r="G145" s="17" t="s">
        <v>2783</v>
      </c>
      <c r="H145" s="35" t="s">
        <v>311</v>
      </c>
      <c r="I145" s="25" t="s">
        <v>312</v>
      </c>
    </row>
    <row r="146" spans="1:9" ht="45">
      <c r="A146" s="19">
        <v>43549.291678240741</v>
      </c>
      <c r="B146" s="20" t="str">
        <f>HYPERLINK("https://twitter.com/kuriharan","@kuriharan")</f>
        <v>@kuriharan</v>
      </c>
      <c r="C146" s="21" t="s">
        <v>8107</v>
      </c>
      <c r="D146" s="22" t="s">
        <v>8108</v>
      </c>
      <c r="E146" s="23" t="str">
        <f>HYPERLINK("https://about.twitter.com/products/tweetdeck","TweetDeck")</f>
        <v>TweetDeck</v>
      </c>
      <c r="F146" s="19">
        <v>40290.339837962965</v>
      </c>
      <c r="G146" s="17" t="s">
        <v>2783</v>
      </c>
      <c r="H146" s="35" t="s">
        <v>311</v>
      </c>
      <c r="I146" s="25" t="s">
        <v>8109</v>
      </c>
    </row>
    <row r="147" spans="1:9" ht="75">
      <c r="A147" s="19">
        <v>43549.181157407409</v>
      </c>
      <c r="B147" s="20" t="str">
        <f>HYPERLINK("https://twitter.com/tokyocreatives","@tokyocreatives")</f>
        <v>@tokyocreatives</v>
      </c>
      <c r="C147" s="21" t="s">
        <v>8139</v>
      </c>
      <c r="D147" s="22" t="s">
        <v>8140</v>
      </c>
      <c r="E147" s="23" t="str">
        <f t="shared" ref="E147:E192" si="4">HYPERLINK("http://twitter.com","Twitter Web Client")</f>
        <v>Twitter Web Client</v>
      </c>
      <c r="F147" s="19">
        <v>43012.10555555555</v>
      </c>
      <c r="G147" s="17" t="s">
        <v>2783</v>
      </c>
      <c r="H147" s="35" t="s">
        <v>311</v>
      </c>
      <c r="I147" s="25" t="s">
        <v>8141</v>
      </c>
    </row>
    <row r="148" spans="1:9" ht="90">
      <c r="A148" s="19">
        <v>43548.942453703705</v>
      </c>
      <c r="B148" s="20" t="str">
        <f t="shared" ref="B148:B192" si="5">HYPERLINK("https://twitter.com/BedandStay","@BedandStay")</f>
        <v>@BedandStay</v>
      </c>
      <c r="C148" s="21" t="s">
        <v>309</v>
      </c>
      <c r="D148" s="22" t="s">
        <v>8196</v>
      </c>
      <c r="E148" s="23" t="str">
        <f t="shared" si="4"/>
        <v>Twitter Web Client</v>
      </c>
      <c r="F148" s="19">
        <v>43083.938125000001</v>
      </c>
      <c r="G148" s="17" t="s">
        <v>2783</v>
      </c>
      <c r="H148" s="35" t="s">
        <v>311</v>
      </c>
      <c r="I148" s="25" t="s">
        <v>312</v>
      </c>
    </row>
    <row r="149" spans="1:9" ht="75">
      <c r="A149" s="19">
        <v>43548.913622685184</v>
      </c>
      <c r="B149" s="20" t="str">
        <f t="shared" si="5"/>
        <v>@BedandStay</v>
      </c>
      <c r="C149" s="21" t="s">
        <v>309</v>
      </c>
      <c r="D149" s="22" t="s">
        <v>8203</v>
      </c>
      <c r="E149" s="23" t="str">
        <f t="shared" si="4"/>
        <v>Twitter Web Client</v>
      </c>
      <c r="F149" s="19">
        <v>43083.938125000001</v>
      </c>
      <c r="G149" s="17" t="s">
        <v>2783</v>
      </c>
      <c r="H149" s="35" t="s">
        <v>311</v>
      </c>
      <c r="I149" s="25" t="s">
        <v>312</v>
      </c>
    </row>
    <row r="150" spans="1:9" ht="105">
      <c r="A150" s="19">
        <v>43548.810034722221</v>
      </c>
      <c r="B150" s="20" t="str">
        <f t="shared" si="5"/>
        <v>@BedandStay</v>
      </c>
      <c r="C150" s="21" t="s">
        <v>309</v>
      </c>
      <c r="D150" s="22" t="s">
        <v>8218</v>
      </c>
      <c r="E150" s="23" t="str">
        <f t="shared" si="4"/>
        <v>Twitter Web Client</v>
      </c>
      <c r="F150" s="19">
        <v>43083.938125000001</v>
      </c>
      <c r="G150" s="17" t="s">
        <v>2783</v>
      </c>
      <c r="H150" s="35" t="s">
        <v>311</v>
      </c>
      <c r="I150" s="25" t="s">
        <v>312</v>
      </c>
    </row>
    <row r="151" spans="1:9" ht="120">
      <c r="A151" s="19">
        <v>43548.791620370372</v>
      </c>
      <c r="B151" s="20" t="str">
        <f t="shared" si="5"/>
        <v>@BedandStay</v>
      </c>
      <c r="C151" s="21" t="s">
        <v>309</v>
      </c>
      <c r="D151" s="22" t="s">
        <v>8222</v>
      </c>
      <c r="E151" s="23" t="str">
        <f t="shared" si="4"/>
        <v>Twitter Web Client</v>
      </c>
      <c r="F151" s="19">
        <v>43083.938125000001</v>
      </c>
      <c r="G151" s="17" t="s">
        <v>2783</v>
      </c>
      <c r="H151" s="35" t="s">
        <v>311</v>
      </c>
      <c r="I151" s="25" t="s">
        <v>312</v>
      </c>
    </row>
    <row r="152" spans="1:9" ht="105">
      <c r="A152" s="19">
        <v>43548.787546296298</v>
      </c>
      <c r="B152" s="20" t="str">
        <f t="shared" si="5"/>
        <v>@BedandStay</v>
      </c>
      <c r="C152" s="21" t="s">
        <v>309</v>
      </c>
      <c r="D152" s="22" t="s">
        <v>8223</v>
      </c>
      <c r="E152" s="23" t="str">
        <f t="shared" si="4"/>
        <v>Twitter Web Client</v>
      </c>
      <c r="F152" s="19">
        <v>43083.938125000001</v>
      </c>
      <c r="G152" s="17" t="s">
        <v>2783</v>
      </c>
      <c r="H152" s="35" t="s">
        <v>311</v>
      </c>
      <c r="I152" s="25" t="s">
        <v>312</v>
      </c>
    </row>
    <row r="153" spans="1:9" ht="90">
      <c r="A153" s="19">
        <v>43546.08017361111</v>
      </c>
      <c r="B153" s="20" t="str">
        <f t="shared" si="5"/>
        <v>@BedandStay</v>
      </c>
      <c r="C153" s="21" t="s">
        <v>309</v>
      </c>
      <c r="D153" s="22" t="s">
        <v>8967</v>
      </c>
      <c r="E153" s="23" t="str">
        <f t="shared" si="4"/>
        <v>Twitter Web Client</v>
      </c>
      <c r="F153" s="19">
        <v>43083.938125000001</v>
      </c>
      <c r="G153" s="17" t="s">
        <v>2783</v>
      </c>
      <c r="H153" s="35" t="s">
        <v>311</v>
      </c>
      <c r="I153" s="25" t="s">
        <v>312</v>
      </c>
    </row>
    <row r="154" spans="1:9" ht="90">
      <c r="A154" s="19">
        <v>43546.079618055555</v>
      </c>
      <c r="B154" s="20" t="str">
        <f t="shared" si="5"/>
        <v>@BedandStay</v>
      </c>
      <c r="C154" s="21" t="s">
        <v>309</v>
      </c>
      <c r="D154" s="22" t="s">
        <v>8967</v>
      </c>
      <c r="E154" s="23" t="str">
        <f t="shared" si="4"/>
        <v>Twitter Web Client</v>
      </c>
      <c r="F154" s="19">
        <v>43083.938125000001</v>
      </c>
      <c r="G154" s="17" t="s">
        <v>2783</v>
      </c>
      <c r="H154" s="35" t="s">
        <v>311</v>
      </c>
      <c r="I154" s="25" t="s">
        <v>312</v>
      </c>
    </row>
    <row r="155" spans="1:9" ht="180">
      <c r="A155" s="19">
        <v>43545.906805555554</v>
      </c>
      <c r="B155" s="20" t="str">
        <f t="shared" si="5"/>
        <v>@BedandStay</v>
      </c>
      <c r="C155" s="21" t="s">
        <v>309</v>
      </c>
      <c r="D155" s="22" t="s">
        <v>9004</v>
      </c>
      <c r="E155" s="23" t="str">
        <f t="shared" si="4"/>
        <v>Twitter Web Client</v>
      </c>
      <c r="F155" s="19">
        <v>43083.938125000001</v>
      </c>
      <c r="G155" s="17" t="s">
        <v>2783</v>
      </c>
      <c r="H155" s="35" t="s">
        <v>311</v>
      </c>
      <c r="I155" s="25" t="s">
        <v>312</v>
      </c>
    </row>
    <row r="156" spans="1:9" ht="105">
      <c r="A156" s="19">
        <v>43545.904108796298</v>
      </c>
      <c r="B156" s="20" t="str">
        <f t="shared" si="5"/>
        <v>@BedandStay</v>
      </c>
      <c r="C156" s="21" t="s">
        <v>309</v>
      </c>
      <c r="D156" s="22" t="s">
        <v>9012</v>
      </c>
      <c r="E156" s="23" t="str">
        <f t="shared" si="4"/>
        <v>Twitter Web Client</v>
      </c>
      <c r="F156" s="19">
        <v>43083.938125000001</v>
      </c>
      <c r="G156" s="17" t="s">
        <v>2783</v>
      </c>
      <c r="H156" s="35" t="s">
        <v>311</v>
      </c>
      <c r="I156" s="25" t="s">
        <v>312</v>
      </c>
    </row>
    <row r="157" spans="1:9" ht="90">
      <c r="A157" s="19">
        <v>43545.008136574077</v>
      </c>
      <c r="B157" s="20" t="str">
        <f t="shared" si="5"/>
        <v>@BedandStay</v>
      </c>
      <c r="C157" s="21" t="s">
        <v>309</v>
      </c>
      <c r="D157" s="22" t="s">
        <v>9310</v>
      </c>
      <c r="E157" s="23" t="str">
        <f t="shared" si="4"/>
        <v>Twitter Web Client</v>
      </c>
      <c r="F157" s="19">
        <v>43083.938125000001</v>
      </c>
      <c r="G157" s="17" t="s">
        <v>2783</v>
      </c>
      <c r="H157" s="35" t="s">
        <v>311</v>
      </c>
      <c r="I157" s="25" t="s">
        <v>312</v>
      </c>
    </row>
    <row r="158" spans="1:9" ht="75">
      <c r="A158" s="19">
        <v>43545.003854166665</v>
      </c>
      <c r="B158" s="20" t="str">
        <f t="shared" si="5"/>
        <v>@BedandStay</v>
      </c>
      <c r="C158" s="21" t="s">
        <v>309</v>
      </c>
      <c r="D158" s="22" t="s">
        <v>9311</v>
      </c>
      <c r="E158" s="23" t="str">
        <f t="shared" si="4"/>
        <v>Twitter Web Client</v>
      </c>
      <c r="F158" s="19">
        <v>43083.938125000001</v>
      </c>
      <c r="G158" s="17" t="s">
        <v>2783</v>
      </c>
      <c r="H158" s="35" t="s">
        <v>311</v>
      </c>
      <c r="I158" s="25" t="s">
        <v>312</v>
      </c>
    </row>
    <row r="159" spans="1:9" ht="135">
      <c r="A159" s="19">
        <v>43544.996828703705</v>
      </c>
      <c r="B159" s="20" t="str">
        <f t="shared" si="5"/>
        <v>@BedandStay</v>
      </c>
      <c r="C159" s="21" t="s">
        <v>309</v>
      </c>
      <c r="D159" s="22" t="s">
        <v>9314</v>
      </c>
      <c r="E159" s="23" t="str">
        <f t="shared" si="4"/>
        <v>Twitter Web Client</v>
      </c>
      <c r="F159" s="19">
        <v>43083.938125000001</v>
      </c>
      <c r="G159" s="17" t="s">
        <v>2783</v>
      </c>
      <c r="H159" s="35" t="s">
        <v>311</v>
      </c>
      <c r="I159" s="25" t="s">
        <v>312</v>
      </c>
    </row>
    <row r="160" spans="1:9" ht="120">
      <c r="A160" s="19">
        <v>43544.995115740741</v>
      </c>
      <c r="B160" s="20" t="str">
        <f t="shared" si="5"/>
        <v>@BedandStay</v>
      </c>
      <c r="C160" s="21" t="s">
        <v>309</v>
      </c>
      <c r="D160" s="22" t="s">
        <v>9315</v>
      </c>
      <c r="E160" s="23" t="str">
        <f t="shared" si="4"/>
        <v>Twitter Web Client</v>
      </c>
      <c r="F160" s="19">
        <v>43083.938125000001</v>
      </c>
      <c r="G160" s="17" t="s">
        <v>2783</v>
      </c>
      <c r="H160" s="35" t="s">
        <v>311</v>
      </c>
      <c r="I160" s="25" t="s">
        <v>312</v>
      </c>
    </row>
    <row r="161" spans="1:9" ht="75">
      <c r="A161" s="19">
        <v>43543.998935185184</v>
      </c>
      <c r="B161" s="20" t="str">
        <f t="shared" si="5"/>
        <v>@BedandStay</v>
      </c>
      <c r="C161" s="21" t="s">
        <v>309</v>
      </c>
      <c r="D161" s="22" t="s">
        <v>9640</v>
      </c>
      <c r="E161" s="23" t="str">
        <f t="shared" si="4"/>
        <v>Twitter Web Client</v>
      </c>
      <c r="F161" s="19">
        <v>43083.938125000001</v>
      </c>
      <c r="G161" s="17" t="s">
        <v>2783</v>
      </c>
      <c r="H161" s="35" t="s">
        <v>311</v>
      </c>
      <c r="I161" s="25" t="s">
        <v>312</v>
      </c>
    </row>
    <row r="162" spans="1:9" ht="90">
      <c r="A162" s="19">
        <v>43543.99417824074</v>
      </c>
      <c r="B162" s="20" t="str">
        <f t="shared" si="5"/>
        <v>@BedandStay</v>
      </c>
      <c r="C162" s="21" t="s">
        <v>309</v>
      </c>
      <c r="D162" s="22" t="s">
        <v>9641</v>
      </c>
      <c r="E162" s="23" t="str">
        <f t="shared" si="4"/>
        <v>Twitter Web Client</v>
      </c>
      <c r="F162" s="19">
        <v>43083.938125000001</v>
      </c>
      <c r="G162" s="17" t="s">
        <v>2783</v>
      </c>
      <c r="H162" s="35" t="s">
        <v>311</v>
      </c>
      <c r="I162" s="25" t="s">
        <v>312</v>
      </c>
    </row>
    <row r="163" spans="1:9" ht="180">
      <c r="A163" s="19">
        <v>43543.98918981482</v>
      </c>
      <c r="B163" s="20" t="str">
        <f t="shared" si="5"/>
        <v>@BedandStay</v>
      </c>
      <c r="C163" s="21" t="s">
        <v>309</v>
      </c>
      <c r="D163" s="22" t="s">
        <v>9642</v>
      </c>
      <c r="E163" s="23" t="str">
        <f t="shared" si="4"/>
        <v>Twitter Web Client</v>
      </c>
      <c r="F163" s="19">
        <v>43083.938125000001</v>
      </c>
      <c r="G163" s="17" t="s">
        <v>2783</v>
      </c>
      <c r="H163" s="35" t="s">
        <v>311</v>
      </c>
      <c r="I163" s="25" t="s">
        <v>312</v>
      </c>
    </row>
    <row r="164" spans="1:9" ht="120">
      <c r="A164" s="19">
        <v>43543.968425925923</v>
      </c>
      <c r="B164" s="20" t="str">
        <f t="shared" si="5"/>
        <v>@BedandStay</v>
      </c>
      <c r="C164" s="21" t="s">
        <v>309</v>
      </c>
      <c r="D164" s="22" t="s">
        <v>9652</v>
      </c>
      <c r="E164" s="23" t="str">
        <f t="shared" si="4"/>
        <v>Twitter Web Client</v>
      </c>
      <c r="F164" s="19">
        <v>43083.938125000001</v>
      </c>
      <c r="G164" s="17" t="s">
        <v>2783</v>
      </c>
      <c r="H164" s="35" t="s">
        <v>311</v>
      </c>
      <c r="I164" s="25" t="s">
        <v>312</v>
      </c>
    </row>
    <row r="165" spans="1:9" ht="150">
      <c r="A165" s="19">
        <v>43543.962199074071</v>
      </c>
      <c r="B165" s="20" t="str">
        <f t="shared" si="5"/>
        <v>@BedandStay</v>
      </c>
      <c r="C165" s="21" t="s">
        <v>309</v>
      </c>
      <c r="D165" s="22" t="s">
        <v>9653</v>
      </c>
      <c r="E165" s="23" t="str">
        <f t="shared" si="4"/>
        <v>Twitter Web Client</v>
      </c>
      <c r="F165" s="19">
        <v>43083.938125000001</v>
      </c>
      <c r="G165" s="17" t="s">
        <v>2783</v>
      </c>
      <c r="H165" s="35" t="s">
        <v>311</v>
      </c>
      <c r="I165" s="25" t="s">
        <v>312</v>
      </c>
    </row>
    <row r="166" spans="1:9" ht="75">
      <c r="A166" s="19">
        <v>43542.983344907407</v>
      </c>
      <c r="B166" s="20" t="str">
        <f t="shared" si="5"/>
        <v>@BedandStay</v>
      </c>
      <c r="C166" s="21" t="s">
        <v>309</v>
      </c>
      <c r="D166" s="22" t="s">
        <v>9969</v>
      </c>
      <c r="E166" s="23" t="str">
        <f t="shared" si="4"/>
        <v>Twitter Web Client</v>
      </c>
      <c r="F166" s="19">
        <v>43083.938125000001</v>
      </c>
      <c r="G166" s="17" t="s">
        <v>2783</v>
      </c>
      <c r="H166" s="35" t="s">
        <v>311</v>
      </c>
      <c r="I166" s="25" t="s">
        <v>312</v>
      </c>
    </row>
    <row r="167" spans="1:9" ht="135">
      <c r="A167" s="19">
        <v>43542.954861111109</v>
      </c>
      <c r="B167" s="20" t="str">
        <f t="shared" si="5"/>
        <v>@BedandStay</v>
      </c>
      <c r="C167" s="21" t="s">
        <v>309</v>
      </c>
      <c r="D167" s="22" t="s">
        <v>9987</v>
      </c>
      <c r="E167" s="23" t="str">
        <f t="shared" si="4"/>
        <v>Twitter Web Client</v>
      </c>
      <c r="F167" s="19">
        <v>43083.938125000001</v>
      </c>
      <c r="G167" s="17" t="s">
        <v>2783</v>
      </c>
      <c r="H167" s="35" t="s">
        <v>311</v>
      </c>
      <c r="I167" s="25" t="s">
        <v>312</v>
      </c>
    </row>
    <row r="168" spans="1:9" ht="105">
      <c r="A168" s="19">
        <v>43542.949374999997</v>
      </c>
      <c r="B168" s="20" t="str">
        <f t="shared" si="5"/>
        <v>@BedandStay</v>
      </c>
      <c r="C168" s="21" t="s">
        <v>309</v>
      </c>
      <c r="D168" s="22" t="s">
        <v>9988</v>
      </c>
      <c r="E168" s="23" t="str">
        <f t="shared" si="4"/>
        <v>Twitter Web Client</v>
      </c>
      <c r="F168" s="19">
        <v>43083.938125000001</v>
      </c>
      <c r="G168" s="17" t="s">
        <v>2783</v>
      </c>
      <c r="H168" s="35" t="s">
        <v>311</v>
      </c>
      <c r="I168" s="25" t="s">
        <v>312</v>
      </c>
    </row>
    <row r="169" spans="1:9" ht="105">
      <c r="A169" s="19">
        <v>43542.918692129635</v>
      </c>
      <c r="B169" s="20" t="str">
        <f t="shared" si="5"/>
        <v>@BedandStay</v>
      </c>
      <c r="C169" s="21" t="s">
        <v>309</v>
      </c>
      <c r="D169" s="22" t="s">
        <v>9993</v>
      </c>
      <c r="E169" s="23" t="str">
        <f t="shared" si="4"/>
        <v>Twitter Web Client</v>
      </c>
      <c r="F169" s="19">
        <v>43083.938125000001</v>
      </c>
      <c r="G169" s="17" t="s">
        <v>2783</v>
      </c>
      <c r="H169" s="35" t="s">
        <v>311</v>
      </c>
      <c r="I169" s="25" t="s">
        <v>312</v>
      </c>
    </row>
    <row r="170" spans="1:9" ht="90">
      <c r="A170" s="4">
        <v>43565.067835648151</v>
      </c>
      <c r="B170" s="5" t="str">
        <f t="shared" si="5"/>
        <v>@BedandStay</v>
      </c>
      <c r="C170" s="6" t="s">
        <v>309</v>
      </c>
      <c r="D170" s="7" t="s">
        <v>6306</v>
      </c>
      <c r="E170" s="8" t="str">
        <f t="shared" si="4"/>
        <v>Twitter Web Client</v>
      </c>
      <c r="F170" s="4">
        <v>43083.938125000001</v>
      </c>
      <c r="G170" s="17" t="s">
        <v>2783</v>
      </c>
      <c r="H170" s="35" t="s">
        <v>311</v>
      </c>
      <c r="I170" s="10" t="s">
        <v>312</v>
      </c>
    </row>
    <row r="171" spans="1:9" ht="105">
      <c r="A171" s="4">
        <v>43564.992997685185</v>
      </c>
      <c r="B171" s="5" t="str">
        <f t="shared" si="5"/>
        <v>@BedandStay</v>
      </c>
      <c r="C171" s="6" t="s">
        <v>309</v>
      </c>
      <c r="D171" s="7" t="s">
        <v>6351</v>
      </c>
      <c r="E171" s="8" t="str">
        <f t="shared" si="4"/>
        <v>Twitter Web Client</v>
      </c>
      <c r="F171" s="4">
        <v>43083.938125000001</v>
      </c>
      <c r="G171" s="17" t="s">
        <v>2783</v>
      </c>
      <c r="H171" s="35" t="s">
        <v>311</v>
      </c>
      <c r="I171" s="10" t="s">
        <v>312</v>
      </c>
    </row>
    <row r="172" spans="1:9" ht="90">
      <c r="A172" s="4">
        <v>43564.988182870366</v>
      </c>
      <c r="B172" s="5" t="str">
        <f t="shared" si="5"/>
        <v>@BedandStay</v>
      </c>
      <c r="C172" s="6" t="s">
        <v>309</v>
      </c>
      <c r="D172" s="7" t="s">
        <v>6353</v>
      </c>
      <c r="E172" s="8" t="str">
        <f t="shared" si="4"/>
        <v>Twitter Web Client</v>
      </c>
      <c r="F172" s="4">
        <v>43083.938125000001</v>
      </c>
      <c r="G172" s="17" t="s">
        <v>2783</v>
      </c>
      <c r="H172" s="35" t="s">
        <v>311</v>
      </c>
      <c r="I172" s="10" t="s">
        <v>312</v>
      </c>
    </row>
    <row r="173" spans="1:9" ht="105">
      <c r="A173" s="4">
        <v>43564.979733796295</v>
      </c>
      <c r="B173" s="5" t="str">
        <f t="shared" si="5"/>
        <v>@BedandStay</v>
      </c>
      <c r="C173" s="6" t="s">
        <v>309</v>
      </c>
      <c r="D173" s="7" t="s">
        <v>6354</v>
      </c>
      <c r="E173" s="8" t="str">
        <f t="shared" si="4"/>
        <v>Twitter Web Client</v>
      </c>
      <c r="F173" s="4">
        <v>43083.938125000001</v>
      </c>
      <c r="G173" s="17" t="s">
        <v>2783</v>
      </c>
      <c r="H173" s="35" t="s">
        <v>311</v>
      </c>
      <c r="I173" s="10" t="s">
        <v>312</v>
      </c>
    </row>
    <row r="174" spans="1:9" ht="105">
      <c r="A174" s="4">
        <v>43564.065405092595</v>
      </c>
      <c r="B174" s="5" t="str">
        <f t="shared" si="5"/>
        <v>@BedandStay</v>
      </c>
      <c r="C174" s="6" t="s">
        <v>309</v>
      </c>
      <c r="D174" s="7" t="s">
        <v>6794</v>
      </c>
      <c r="E174" s="8" t="str">
        <f t="shared" si="4"/>
        <v>Twitter Web Client</v>
      </c>
      <c r="F174" s="4">
        <v>43083.938125000001</v>
      </c>
      <c r="G174" s="17" t="s">
        <v>2783</v>
      </c>
      <c r="H174" s="35" t="s">
        <v>311</v>
      </c>
      <c r="I174" s="10" t="s">
        <v>312</v>
      </c>
    </row>
    <row r="175" spans="1:9" ht="75">
      <c r="A175" s="4">
        <v>43563.88071759259</v>
      </c>
      <c r="B175" s="5" t="str">
        <f t="shared" si="5"/>
        <v>@BedandStay</v>
      </c>
      <c r="C175" s="6" t="s">
        <v>309</v>
      </c>
      <c r="D175" s="7" t="s">
        <v>6854</v>
      </c>
      <c r="E175" s="8" t="str">
        <f t="shared" si="4"/>
        <v>Twitter Web Client</v>
      </c>
      <c r="F175" s="4">
        <v>43083.938125000001</v>
      </c>
      <c r="G175" s="17" t="s">
        <v>2783</v>
      </c>
      <c r="H175" s="35" t="s">
        <v>311</v>
      </c>
      <c r="I175" s="10" t="s">
        <v>312</v>
      </c>
    </row>
    <row r="176" spans="1:9" ht="135">
      <c r="A176" s="4">
        <v>43563.879548611112</v>
      </c>
      <c r="B176" s="5" t="str">
        <f t="shared" si="5"/>
        <v>@BedandStay</v>
      </c>
      <c r="C176" s="6" t="s">
        <v>309</v>
      </c>
      <c r="D176" s="7" t="s">
        <v>6855</v>
      </c>
      <c r="E176" s="8" t="str">
        <f t="shared" si="4"/>
        <v>Twitter Web Client</v>
      </c>
      <c r="F176" s="4">
        <v>43083.938125000001</v>
      </c>
      <c r="G176" s="17" t="s">
        <v>2783</v>
      </c>
      <c r="H176" s="35" t="s">
        <v>311</v>
      </c>
      <c r="I176" s="10" t="s">
        <v>312</v>
      </c>
    </row>
    <row r="177" spans="1:9" ht="75">
      <c r="A177" s="4">
        <v>43563.878842592589</v>
      </c>
      <c r="B177" s="5" t="str">
        <f t="shared" si="5"/>
        <v>@BedandStay</v>
      </c>
      <c r="C177" s="6" t="s">
        <v>309</v>
      </c>
      <c r="D177" s="7" t="s">
        <v>6856</v>
      </c>
      <c r="E177" s="8" t="str">
        <f t="shared" si="4"/>
        <v>Twitter Web Client</v>
      </c>
      <c r="F177" s="4">
        <v>43083.938125000001</v>
      </c>
      <c r="G177" s="17" t="s">
        <v>2783</v>
      </c>
      <c r="H177" s="35" t="s">
        <v>311</v>
      </c>
      <c r="I177" s="10" t="s">
        <v>312</v>
      </c>
    </row>
    <row r="178" spans="1:9" ht="165">
      <c r="A178" s="4">
        <v>43563.878055555557</v>
      </c>
      <c r="B178" s="5" t="str">
        <f t="shared" si="5"/>
        <v>@BedandStay</v>
      </c>
      <c r="C178" s="6" t="s">
        <v>309</v>
      </c>
      <c r="D178" s="7" t="s">
        <v>6857</v>
      </c>
      <c r="E178" s="8" t="str">
        <f t="shared" si="4"/>
        <v>Twitter Web Client</v>
      </c>
      <c r="F178" s="4">
        <v>43083.938125000001</v>
      </c>
      <c r="G178" s="17" t="s">
        <v>2783</v>
      </c>
      <c r="H178" s="35" t="s">
        <v>311</v>
      </c>
      <c r="I178" s="10" t="s">
        <v>312</v>
      </c>
    </row>
    <row r="179" spans="1:9" ht="105">
      <c r="A179" s="4">
        <v>43562.95480324074</v>
      </c>
      <c r="B179" s="5" t="str">
        <f t="shared" si="5"/>
        <v>@BedandStay</v>
      </c>
      <c r="C179" s="6" t="s">
        <v>309</v>
      </c>
      <c r="D179" s="7" t="s">
        <v>10530</v>
      </c>
      <c r="E179" s="8" t="str">
        <f t="shared" si="4"/>
        <v>Twitter Web Client</v>
      </c>
      <c r="F179" s="4">
        <v>43083.938125000001</v>
      </c>
      <c r="G179" s="17" t="s">
        <v>2783</v>
      </c>
      <c r="H179" s="35" t="s">
        <v>311</v>
      </c>
      <c r="I179" s="10" t="s">
        <v>312</v>
      </c>
    </row>
    <row r="180" spans="1:9" ht="75">
      <c r="A180" s="4">
        <v>43562.946527777778</v>
      </c>
      <c r="B180" s="5" t="str">
        <f t="shared" si="5"/>
        <v>@BedandStay</v>
      </c>
      <c r="C180" s="6" t="s">
        <v>309</v>
      </c>
      <c r="D180" s="7" t="s">
        <v>10536</v>
      </c>
      <c r="E180" s="8" t="str">
        <f t="shared" si="4"/>
        <v>Twitter Web Client</v>
      </c>
      <c r="F180" s="4">
        <v>43083.938125000001</v>
      </c>
      <c r="G180" s="17" t="s">
        <v>2783</v>
      </c>
      <c r="H180" s="35" t="s">
        <v>311</v>
      </c>
      <c r="I180" s="10" t="s">
        <v>312</v>
      </c>
    </row>
    <row r="181" spans="1:9" ht="165">
      <c r="A181" s="4">
        <v>43562.935590277775</v>
      </c>
      <c r="B181" s="5" t="str">
        <f t="shared" si="5"/>
        <v>@BedandStay</v>
      </c>
      <c r="C181" s="6" t="s">
        <v>309</v>
      </c>
      <c r="D181" s="7" t="s">
        <v>10538</v>
      </c>
      <c r="E181" s="8" t="str">
        <f t="shared" si="4"/>
        <v>Twitter Web Client</v>
      </c>
      <c r="F181" s="4">
        <v>43083.938125000001</v>
      </c>
      <c r="G181" s="17" t="s">
        <v>2783</v>
      </c>
      <c r="H181" s="35" t="s">
        <v>311</v>
      </c>
      <c r="I181" s="10" t="s">
        <v>312</v>
      </c>
    </row>
    <row r="182" spans="1:9" ht="105">
      <c r="A182" s="4">
        <v>43562.934930555552</v>
      </c>
      <c r="B182" s="5" t="str">
        <f t="shared" si="5"/>
        <v>@BedandStay</v>
      </c>
      <c r="C182" s="6" t="s">
        <v>309</v>
      </c>
      <c r="D182" s="7" t="s">
        <v>10539</v>
      </c>
      <c r="E182" s="8" t="str">
        <f t="shared" si="4"/>
        <v>Twitter Web Client</v>
      </c>
      <c r="F182" s="4">
        <v>43083.938125000001</v>
      </c>
      <c r="G182" s="17" t="s">
        <v>2783</v>
      </c>
      <c r="H182" s="35" t="s">
        <v>311</v>
      </c>
      <c r="I182" s="10" t="s">
        <v>312</v>
      </c>
    </row>
    <row r="183" spans="1:9" ht="150">
      <c r="A183" s="4">
        <v>43562.922129629631</v>
      </c>
      <c r="B183" s="5" t="str">
        <f t="shared" si="5"/>
        <v>@BedandStay</v>
      </c>
      <c r="C183" s="6" t="s">
        <v>309</v>
      </c>
      <c r="D183" s="7" t="s">
        <v>10541</v>
      </c>
      <c r="E183" s="8" t="str">
        <f t="shared" si="4"/>
        <v>Twitter Web Client</v>
      </c>
      <c r="F183" s="4">
        <v>43083.938125000001</v>
      </c>
      <c r="G183" s="17" t="s">
        <v>2783</v>
      </c>
      <c r="H183" s="35" t="s">
        <v>311</v>
      </c>
      <c r="I183" s="10" t="s">
        <v>312</v>
      </c>
    </row>
    <row r="184" spans="1:9" ht="90">
      <c r="A184" s="4">
        <v>43560.054016203707</v>
      </c>
      <c r="B184" s="5" t="str">
        <f t="shared" si="5"/>
        <v>@BedandStay</v>
      </c>
      <c r="C184" s="6" t="s">
        <v>309</v>
      </c>
      <c r="D184" s="7" t="s">
        <v>11627</v>
      </c>
      <c r="E184" s="8" t="str">
        <f t="shared" si="4"/>
        <v>Twitter Web Client</v>
      </c>
      <c r="F184" s="4">
        <v>43083.938125000001</v>
      </c>
      <c r="G184" s="17" t="s">
        <v>2783</v>
      </c>
      <c r="H184" s="35" t="s">
        <v>311</v>
      </c>
      <c r="I184" s="10" t="s">
        <v>312</v>
      </c>
    </row>
    <row r="185" spans="1:9" ht="135">
      <c r="A185" s="4">
        <v>43559.994745370372</v>
      </c>
      <c r="B185" s="5" t="str">
        <f t="shared" si="5"/>
        <v>@BedandStay</v>
      </c>
      <c r="C185" s="6" t="s">
        <v>309</v>
      </c>
      <c r="D185" s="7" t="s">
        <v>11641</v>
      </c>
      <c r="E185" s="8" t="str">
        <f t="shared" si="4"/>
        <v>Twitter Web Client</v>
      </c>
      <c r="F185" s="4">
        <v>43083.938125000001</v>
      </c>
      <c r="G185" s="17" t="s">
        <v>2783</v>
      </c>
      <c r="H185" s="35" t="s">
        <v>311</v>
      </c>
      <c r="I185" s="10" t="s">
        <v>312</v>
      </c>
    </row>
    <row r="186" spans="1:9" ht="75">
      <c r="A186" s="4">
        <v>43559.007071759261</v>
      </c>
      <c r="B186" s="5" t="str">
        <f t="shared" si="5"/>
        <v>@BedandStay</v>
      </c>
      <c r="C186" s="6" t="s">
        <v>309</v>
      </c>
      <c r="D186" s="7" t="s">
        <v>11979</v>
      </c>
      <c r="E186" s="8" t="str">
        <f t="shared" si="4"/>
        <v>Twitter Web Client</v>
      </c>
      <c r="F186" s="4">
        <v>43083.938125000001</v>
      </c>
      <c r="G186" s="17" t="s">
        <v>2783</v>
      </c>
      <c r="H186" s="35" t="s">
        <v>311</v>
      </c>
      <c r="I186" s="10" t="s">
        <v>312</v>
      </c>
    </row>
    <row r="187" spans="1:9" ht="105">
      <c r="A187" s="4">
        <v>43559.001111111109</v>
      </c>
      <c r="B187" s="5" t="str">
        <f t="shared" si="5"/>
        <v>@BedandStay</v>
      </c>
      <c r="C187" s="6" t="s">
        <v>309</v>
      </c>
      <c r="D187" s="7" t="s">
        <v>11980</v>
      </c>
      <c r="E187" s="8" t="str">
        <f t="shared" si="4"/>
        <v>Twitter Web Client</v>
      </c>
      <c r="F187" s="4">
        <v>43083.938125000001</v>
      </c>
      <c r="G187" s="17" t="s">
        <v>2783</v>
      </c>
      <c r="H187" s="35" t="s">
        <v>311</v>
      </c>
      <c r="I187" s="10" t="s">
        <v>312</v>
      </c>
    </row>
    <row r="188" spans="1:9" ht="90">
      <c r="A188" s="4">
        <v>43559.000034722223</v>
      </c>
      <c r="B188" s="5" t="str">
        <f t="shared" si="5"/>
        <v>@BedandStay</v>
      </c>
      <c r="C188" s="6" t="s">
        <v>309</v>
      </c>
      <c r="D188" s="7" t="s">
        <v>11981</v>
      </c>
      <c r="E188" s="8" t="str">
        <f t="shared" si="4"/>
        <v>Twitter Web Client</v>
      </c>
      <c r="F188" s="4">
        <v>43083.938125000001</v>
      </c>
      <c r="G188" s="17" t="s">
        <v>2783</v>
      </c>
      <c r="H188" s="35" t="s">
        <v>311</v>
      </c>
      <c r="I188" s="10" t="s">
        <v>312</v>
      </c>
    </row>
    <row r="189" spans="1:9" ht="180">
      <c r="A189" s="4">
        <v>43558.999513888892</v>
      </c>
      <c r="B189" s="5" t="str">
        <f t="shared" si="5"/>
        <v>@BedandStay</v>
      </c>
      <c r="C189" s="6" t="s">
        <v>309</v>
      </c>
      <c r="D189" s="7" t="s">
        <v>11982</v>
      </c>
      <c r="E189" s="8" t="str">
        <f t="shared" si="4"/>
        <v>Twitter Web Client</v>
      </c>
      <c r="F189" s="4">
        <v>43083.938125000001</v>
      </c>
      <c r="G189" s="17" t="s">
        <v>2783</v>
      </c>
      <c r="H189" s="35" t="s">
        <v>311</v>
      </c>
      <c r="I189" s="10" t="s">
        <v>312</v>
      </c>
    </row>
    <row r="190" spans="1:9" ht="75">
      <c r="A190" s="4">
        <v>43557.033310185187</v>
      </c>
      <c r="B190" s="5" t="str">
        <f t="shared" si="5"/>
        <v>@BedandStay</v>
      </c>
      <c r="C190" s="6" t="s">
        <v>309</v>
      </c>
      <c r="D190" s="7" t="s">
        <v>12675</v>
      </c>
      <c r="E190" s="8" t="str">
        <f t="shared" si="4"/>
        <v>Twitter Web Client</v>
      </c>
      <c r="F190" s="4">
        <v>43083.938125000001</v>
      </c>
      <c r="G190" s="17" t="s">
        <v>2783</v>
      </c>
      <c r="H190" s="35" t="s">
        <v>311</v>
      </c>
      <c r="I190" s="10" t="s">
        <v>312</v>
      </c>
    </row>
    <row r="191" spans="1:9" ht="90">
      <c r="A191" s="4">
        <v>43557.024988425925</v>
      </c>
      <c r="B191" s="5" t="str">
        <f t="shared" si="5"/>
        <v>@BedandStay</v>
      </c>
      <c r="C191" s="6" t="s">
        <v>309</v>
      </c>
      <c r="D191" s="7" t="s">
        <v>12676</v>
      </c>
      <c r="E191" s="8" t="str">
        <f t="shared" si="4"/>
        <v>Twitter Web Client</v>
      </c>
      <c r="F191" s="4">
        <v>43083.938125000001</v>
      </c>
      <c r="G191" s="17" t="s">
        <v>2783</v>
      </c>
      <c r="H191" s="35" t="s">
        <v>311</v>
      </c>
      <c r="I191" s="10" t="s">
        <v>312</v>
      </c>
    </row>
    <row r="192" spans="1:9" ht="105">
      <c r="A192" s="4">
        <v>43557.016087962962</v>
      </c>
      <c r="B192" s="5" t="str">
        <f t="shared" si="5"/>
        <v>@BedandStay</v>
      </c>
      <c r="C192" s="6" t="s">
        <v>309</v>
      </c>
      <c r="D192" s="7" t="s">
        <v>12677</v>
      </c>
      <c r="E192" s="8" t="str">
        <f t="shared" si="4"/>
        <v>Twitter Web Client</v>
      </c>
      <c r="F192" s="4">
        <v>43083.938125000001</v>
      </c>
      <c r="G192" s="17" t="s">
        <v>2783</v>
      </c>
      <c r="H192" s="35" t="s">
        <v>311</v>
      </c>
      <c r="I192" s="10" t="s">
        <v>312</v>
      </c>
    </row>
    <row r="193" spans="1:9" ht="60">
      <c r="A193" s="4">
        <v>43556.958333333328</v>
      </c>
      <c r="B193" s="5" t="str">
        <f>HYPERLINK("https://twitter.com/kuriharan","@kuriharan")</f>
        <v>@kuriharan</v>
      </c>
      <c r="C193" s="6" t="s">
        <v>8107</v>
      </c>
      <c r="D193" s="7" t="s">
        <v>12695</v>
      </c>
      <c r="E193" s="8" t="str">
        <f>HYPERLINK("https://about.twitter.com/products/tweetdeck","TweetDeck")</f>
        <v>TweetDeck</v>
      </c>
      <c r="F193" s="4">
        <v>40290.339837962965</v>
      </c>
      <c r="G193" s="17" t="s">
        <v>2783</v>
      </c>
      <c r="H193" s="35" t="s">
        <v>311</v>
      </c>
      <c r="I193" s="10" t="s">
        <v>8109</v>
      </c>
    </row>
    <row r="194" spans="1:9" ht="105">
      <c r="A194" s="12">
        <v>43580.053831018522</v>
      </c>
      <c r="B194" s="13" t="str">
        <f t="shared" ref="B194:B231" si="6">HYPERLINK("https://twitter.com/BedandStay","@BedandStay")</f>
        <v>@BedandStay</v>
      </c>
      <c r="C194" s="14" t="s">
        <v>309</v>
      </c>
      <c r="D194" s="15" t="s">
        <v>310</v>
      </c>
      <c r="E194" s="16" t="str">
        <f t="shared" ref="E194:E232" si="7">HYPERLINK("http://twitter.com","Twitter Web Client")</f>
        <v>Twitter Web Client</v>
      </c>
      <c r="F194" s="12">
        <v>43083.938125000001</v>
      </c>
      <c r="G194" s="17" t="s">
        <v>2783</v>
      </c>
      <c r="H194" s="35" t="s">
        <v>311</v>
      </c>
      <c r="I194" s="18" t="s">
        <v>312</v>
      </c>
    </row>
    <row r="195" spans="1:9" ht="105">
      <c r="A195" s="12">
        <v>43580.027118055557</v>
      </c>
      <c r="B195" s="13" t="str">
        <f t="shared" si="6"/>
        <v>@BedandStay</v>
      </c>
      <c r="C195" s="14" t="s">
        <v>309</v>
      </c>
      <c r="D195" s="15" t="s">
        <v>328</v>
      </c>
      <c r="E195" s="16" t="str">
        <f t="shared" si="7"/>
        <v>Twitter Web Client</v>
      </c>
      <c r="F195" s="12">
        <v>43083.938125000001</v>
      </c>
      <c r="G195" s="17" t="s">
        <v>2783</v>
      </c>
      <c r="H195" s="35" t="s">
        <v>311</v>
      </c>
      <c r="I195" s="18" t="s">
        <v>312</v>
      </c>
    </row>
    <row r="196" spans="1:9" ht="135">
      <c r="A196" s="12">
        <v>43579.99217592593</v>
      </c>
      <c r="B196" s="13" t="str">
        <f t="shared" si="6"/>
        <v>@BedandStay</v>
      </c>
      <c r="C196" s="14" t="s">
        <v>309</v>
      </c>
      <c r="D196" s="15" t="s">
        <v>360</v>
      </c>
      <c r="E196" s="16" t="str">
        <f t="shared" si="7"/>
        <v>Twitter Web Client</v>
      </c>
      <c r="F196" s="12">
        <v>43083.938125000001</v>
      </c>
      <c r="G196" s="17" t="s">
        <v>2783</v>
      </c>
      <c r="H196" s="35" t="s">
        <v>311</v>
      </c>
      <c r="I196" s="18" t="s">
        <v>312</v>
      </c>
    </row>
    <row r="197" spans="1:9" ht="135">
      <c r="A197" s="12">
        <v>43579.991215277776</v>
      </c>
      <c r="B197" s="13" t="str">
        <f t="shared" si="6"/>
        <v>@BedandStay</v>
      </c>
      <c r="C197" s="14" t="s">
        <v>309</v>
      </c>
      <c r="D197" s="15" t="s">
        <v>361</v>
      </c>
      <c r="E197" s="16" t="str">
        <f t="shared" si="7"/>
        <v>Twitter Web Client</v>
      </c>
      <c r="F197" s="12">
        <v>43083.938125000001</v>
      </c>
      <c r="G197" s="17" t="s">
        <v>2783</v>
      </c>
      <c r="H197" s="35" t="s">
        <v>311</v>
      </c>
      <c r="I197" s="18" t="s">
        <v>312</v>
      </c>
    </row>
    <row r="198" spans="1:9" ht="150">
      <c r="A198" s="12">
        <v>43579.961608796293</v>
      </c>
      <c r="B198" s="13" t="str">
        <f t="shared" si="6"/>
        <v>@BedandStay</v>
      </c>
      <c r="C198" s="14" t="s">
        <v>309</v>
      </c>
      <c r="D198" s="15" t="s">
        <v>374</v>
      </c>
      <c r="E198" s="16" t="str">
        <f t="shared" si="7"/>
        <v>Twitter Web Client</v>
      </c>
      <c r="F198" s="12">
        <v>43083.938125000001</v>
      </c>
      <c r="G198" s="17" t="s">
        <v>2783</v>
      </c>
      <c r="H198" s="35" t="s">
        <v>311</v>
      </c>
      <c r="I198" s="18" t="s">
        <v>312</v>
      </c>
    </row>
    <row r="199" spans="1:9" ht="90">
      <c r="A199" s="12">
        <v>43577.942546296297</v>
      </c>
      <c r="B199" s="13" t="str">
        <f t="shared" si="6"/>
        <v>@BedandStay</v>
      </c>
      <c r="C199" s="14" t="s">
        <v>309</v>
      </c>
      <c r="D199" s="15" t="s">
        <v>1447</v>
      </c>
      <c r="E199" s="16" t="str">
        <f t="shared" si="7"/>
        <v>Twitter Web Client</v>
      </c>
      <c r="F199" s="12">
        <v>43083.938125000001</v>
      </c>
      <c r="G199" s="17" t="s">
        <v>2783</v>
      </c>
      <c r="H199" s="35" t="s">
        <v>311</v>
      </c>
      <c r="I199" s="18" t="s">
        <v>312</v>
      </c>
    </row>
    <row r="200" spans="1:9" ht="90">
      <c r="A200" s="12">
        <v>43577.941284722227</v>
      </c>
      <c r="B200" s="13" t="str">
        <f t="shared" si="6"/>
        <v>@BedandStay</v>
      </c>
      <c r="C200" s="14" t="s">
        <v>309</v>
      </c>
      <c r="D200" s="15" t="s">
        <v>1448</v>
      </c>
      <c r="E200" s="16" t="str">
        <f t="shared" si="7"/>
        <v>Twitter Web Client</v>
      </c>
      <c r="F200" s="12">
        <v>43083.938125000001</v>
      </c>
      <c r="G200" s="17" t="s">
        <v>2783</v>
      </c>
      <c r="H200" s="35" t="s">
        <v>311</v>
      </c>
      <c r="I200" s="18" t="s">
        <v>312</v>
      </c>
    </row>
    <row r="201" spans="1:9" ht="150">
      <c r="A201" s="12">
        <v>43577.939282407402</v>
      </c>
      <c r="B201" s="13" t="str">
        <f t="shared" si="6"/>
        <v>@BedandStay</v>
      </c>
      <c r="C201" s="14" t="s">
        <v>309</v>
      </c>
      <c r="D201" s="15" t="s">
        <v>1449</v>
      </c>
      <c r="E201" s="16" t="str">
        <f t="shared" si="7"/>
        <v>Twitter Web Client</v>
      </c>
      <c r="F201" s="12">
        <v>43083.938125000001</v>
      </c>
      <c r="G201" s="17" t="s">
        <v>2783</v>
      </c>
      <c r="H201" s="35" t="s">
        <v>311</v>
      </c>
      <c r="I201" s="18" t="s">
        <v>312</v>
      </c>
    </row>
    <row r="202" spans="1:9" ht="135">
      <c r="A202" s="12">
        <v>43577.9371875</v>
      </c>
      <c r="B202" s="13" t="str">
        <f t="shared" si="6"/>
        <v>@BedandStay</v>
      </c>
      <c r="C202" s="14" t="s">
        <v>309</v>
      </c>
      <c r="D202" s="15" t="s">
        <v>1453</v>
      </c>
      <c r="E202" s="16" t="str">
        <f t="shared" si="7"/>
        <v>Twitter Web Client</v>
      </c>
      <c r="F202" s="12">
        <v>43083.938125000001</v>
      </c>
      <c r="G202" s="17" t="s">
        <v>2783</v>
      </c>
      <c r="H202" s="35" t="s">
        <v>311</v>
      </c>
      <c r="I202" s="18" t="s">
        <v>312</v>
      </c>
    </row>
    <row r="203" spans="1:9" ht="105">
      <c r="A203" s="12">
        <v>43577.929930555554</v>
      </c>
      <c r="B203" s="13" t="str">
        <f t="shared" si="6"/>
        <v>@BedandStay</v>
      </c>
      <c r="C203" s="14" t="s">
        <v>309</v>
      </c>
      <c r="D203" s="15" t="s">
        <v>1459</v>
      </c>
      <c r="E203" s="16" t="str">
        <f t="shared" si="7"/>
        <v>Twitter Web Client</v>
      </c>
      <c r="F203" s="12">
        <v>43083.938125000001</v>
      </c>
      <c r="G203" s="17" t="s">
        <v>2783</v>
      </c>
      <c r="H203" s="35" t="s">
        <v>311</v>
      </c>
      <c r="I203" s="18" t="s">
        <v>312</v>
      </c>
    </row>
    <row r="204" spans="1:9" ht="105">
      <c r="A204" s="12">
        <v>43577.060115740736</v>
      </c>
      <c r="B204" s="13" t="str">
        <f t="shared" si="6"/>
        <v>@BedandStay</v>
      </c>
      <c r="C204" s="14" t="s">
        <v>309</v>
      </c>
      <c r="D204" s="15" t="s">
        <v>1763</v>
      </c>
      <c r="E204" s="16" t="str">
        <f t="shared" si="7"/>
        <v>Twitter Web Client</v>
      </c>
      <c r="F204" s="12">
        <v>43083.938125000001</v>
      </c>
      <c r="G204" s="17" t="s">
        <v>2783</v>
      </c>
      <c r="H204" s="35" t="s">
        <v>311</v>
      </c>
      <c r="I204" s="18" t="s">
        <v>312</v>
      </c>
    </row>
    <row r="205" spans="1:9" ht="120">
      <c r="A205" s="12">
        <v>43576.958113425921</v>
      </c>
      <c r="B205" s="13" t="str">
        <f t="shared" si="6"/>
        <v>@BedandStay</v>
      </c>
      <c r="C205" s="14" t="s">
        <v>309</v>
      </c>
      <c r="D205" s="15" t="s">
        <v>1791</v>
      </c>
      <c r="E205" s="16" t="str">
        <f t="shared" si="7"/>
        <v>Twitter Web Client</v>
      </c>
      <c r="F205" s="12">
        <v>43083.938125000001</v>
      </c>
      <c r="G205" s="17" t="s">
        <v>2783</v>
      </c>
      <c r="H205" s="35" t="s">
        <v>311</v>
      </c>
      <c r="I205" s="18" t="s">
        <v>312</v>
      </c>
    </row>
    <row r="206" spans="1:9" ht="75">
      <c r="A206" s="12">
        <v>43576.944143518514</v>
      </c>
      <c r="B206" s="13" t="str">
        <f t="shared" si="6"/>
        <v>@BedandStay</v>
      </c>
      <c r="C206" s="14" t="s">
        <v>309</v>
      </c>
      <c r="D206" s="15" t="s">
        <v>1797</v>
      </c>
      <c r="E206" s="16" t="str">
        <f t="shared" si="7"/>
        <v>Twitter Web Client</v>
      </c>
      <c r="F206" s="12">
        <v>43083.938125000001</v>
      </c>
      <c r="G206" s="17" t="s">
        <v>2783</v>
      </c>
      <c r="H206" s="35" t="s">
        <v>311</v>
      </c>
      <c r="I206" s="18" t="s">
        <v>312</v>
      </c>
    </row>
    <row r="207" spans="1:9" ht="75">
      <c r="A207" s="12">
        <v>43576.809745370367</v>
      </c>
      <c r="B207" s="13" t="str">
        <f t="shared" si="6"/>
        <v>@BedandStay</v>
      </c>
      <c r="C207" s="14" t="s">
        <v>309</v>
      </c>
      <c r="D207" s="15" t="s">
        <v>1825</v>
      </c>
      <c r="E207" s="16" t="str">
        <f t="shared" si="7"/>
        <v>Twitter Web Client</v>
      </c>
      <c r="F207" s="12">
        <v>43083.938125000001</v>
      </c>
      <c r="G207" s="17" t="s">
        <v>2783</v>
      </c>
      <c r="H207" s="35" t="s">
        <v>311</v>
      </c>
      <c r="I207" s="18" t="s">
        <v>312</v>
      </c>
    </row>
    <row r="208" spans="1:9" ht="75">
      <c r="A208" s="12">
        <v>43576.807939814811</v>
      </c>
      <c r="B208" s="13" t="str">
        <f t="shared" si="6"/>
        <v>@BedandStay</v>
      </c>
      <c r="C208" s="14" t="s">
        <v>309</v>
      </c>
      <c r="D208" s="15" t="s">
        <v>1826</v>
      </c>
      <c r="E208" s="16" t="str">
        <f t="shared" si="7"/>
        <v>Twitter Web Client</v>
      </c>
      <c r="F208" s="12">
        <v>43083.938125000001</v>
      </c>
      <c r="G208" s="17" t="s">
        <v>2783</v>
      </c>
      <c r="H208" s="35" t="s">
        <v>311</v>
      </c>
      <c r="I208" s="18" t="s">
        <v>312</v>
      </c>
    </row>
    <row r="209" spans="1:9" ht="90">
      <c r="A209" s="12">
        <v>43573.992835648147</v>
      </c>
      <c r="B209" s="13" t="str">
        <f t="shared" si="6"/>
        <v>@BedandStay</v>
      </c>
      <c r="C209" s="14" t="s">
        <v>309</v>
      </c>
      <c r="D209" s="15" t="s">
        <v>2697</v>
      </c>
      <c r="E209" s="16" t="str">
        <f t="shared" si="7"/>
        <v>Twitter Web Client</v>
      </c>
      <c r="F209" s="12">
        <v>43083.938125000001</v>
      </c>
      <c r="G209" s="17" t="s">
        <v>2783</v>
      </c>
      <c r="H209" s="35" t="s">
        <v>311</v>
      </c>
      <c r="I209" s="18" t="s">
        <v>312</v>
      </c>
    </row>
    <row r="210" spans="1:9" ht="90">
      <c r="A210" s="12">
        <v>43573.96030092593</v>
      </c>
      <c r="B210" s="13" t="str">
        <f t="shared" si="6"/>
        <v>@BedandStay</v>
      </c>
      <c r="C210" s="14" t="s">
        <v>309</v>
      </c>
      <c r="D210" s="15" t="s">
        <v>2699</v>
      </c>
      <c r="E210" s="16" t="str">
        <f t="shared" si="7"/>
        <v>Twitter Web Client</v>
      </c>
      <c r="F210" s="12">
        <v>43083.938125000001</v>
      </c>
      <c r="G210" s="17" t="s">
        <v>2783</v>
      </c>
      <c r="H210" s="35" t="s">
        <v>311</v>
      </c>
      <c r="I210" s="18" t="s">
        <v>312</v>
      </c>
    </row>
    <row r="211" spans="1:9" ht="90">
      <c r="A211" s="12">
        <v>43573.927094907413</v>
      </c>
      <c r="B211" s="13" t="str">
        <f t="shared" si="6"/>
        <v>@BedandStay</v>
      </c>
      <c r="C211" s="14" t="s">
        <v>309</v>
      </c>
      <c r="D211" s="15" t="s">
        <v>2704</v>
      </c>
      <c r="E211" s="16" t="str">
        <f t="shared" si="7"/>
        <v>Twitter Web Client</v>
      </c>
      <c r="F211" s="12">
        <v>43083.938125000001</v>
      </c>
      <c r="G211" s="17" t="s">
        <v>2783</v>
      </c>
      <c r="H211" s="35" t="s">
        <v>311</v>
      </c>
      <c r="I211" s="18" t="s">
        <v>312</v>
      </c>
    </row>
    <row r="212" spans="1:9" ht="90">
      <c r="A212" s="12">
        <v>43573.923900462964</v>
      </c>
      <c r="B212" s="13" t="str">
        <f t="shared" si="6"/>
        <v>@BedandStay</v>
      </c>
      <c r="C212" s="14" t="s">
        <v>309</v>
      </c>
      <c r="D212" s="15" t="s">
        <v>2705</v>
      </c>
      <c r="E212" s="16" t="str">
        <f t="shared" si="7"/>
        <v>Twitter Web Client</v>
      </c>
      <c r="F212" s="12">
        <v>43083.938125000001</v>
      </c>
      <c r="G212" s="17" t="s">
        <v>2783</v>
      </c>
      <c r="H212" s="35" t="s">
        <v>311</v>
      </c>
      <c r="I212" s="18" t="s">
        <v>312</v>
      </c>
    </row>
    <row r="213" spans="1:9" ht="105">
      <c r="A213" s="12">
        <v>43573.921875</v>
      </c>
      <c r="B213" s="13" t="str">
        <f t="shared" si="6"/>
        <v>@BedandStay</v>
      </c>
      <c r="C213" s="14" t="s">
        <v>309</v>
      </c>
      <c r="D213" s="15" t="s">
        <v>2706</v>
      </c>
      <c r="E213" s="16" t="str">
        <f t="shared" si="7"/>
        <v>Twitter Web Client</v>
      </c>
      <c r="F213" s="12">
        <v>43083.938125000001</v>
      </c>
      <c r="G213" s="17" t="s">
        <v>2783</v>
      </c>
      <c r="H213" s="35" t="s">
        <v>311</v>
      </c>
      <c r="I213" s="18" t="s">
        <v>312</v>
      </c>
    </row>
    <row r="214" spans="1:9" ht="90">
      <c r="A214" s="12">
        <v>43572.898148148146</v>
      </c>
      <c r="B214" s="13" t="str">
        <f t="shared" si="6"/>
        <v>@BedandStay</v>
      </c>
      <c r="C214" s="14" t="s">
        <v>309</v>
      </c>
      <c r="D214" s="15" t="s">
        <v>3063</v>
      </c>
      <c r="E214" s="16" t="str">
        <f t="shared" si="7"/>
        <v>Twitter Web Client</v>
      </c>
      <c r="F214" s="12">
        <v>43083.938125000001</v>
      </c>
      <c r="G214" s="17" t="s">
        <v>2783</v>
      </c>
      <c r="H214" s="35" t="s">
        <v>311</v>
      </c>
      <c r="I214" s="18" t="s">
        <v>312</v>
      </c>
    </row>
    <row r="215" spans="1:9" ht="105">
      <c r="A215" s="12">
        <v>43572.89680555556</v>
      </c>
      <c r="B215" s="13" t="str">
        <f t="shared" si="6"/>
        <v>@BedandStay</v>
      </c>
      <c r="C215" s="14" t="s">
        <v>309</v>
      </c>
      <c r="D215" s="15" t="s">
        <v>3064</v>
      </c>
      <c r="E215" s="16" t="str">
        <f t="shared" si="7"/>
        <v>Twitter Web Client</v>
      </c>
      <c r="F215" s="12">
        <v>43083.938125000001</v>
      </c>
      <c r="G215" s="17" t="s">
        <v>2783</v>
      </c>
      <c r="H215" s="35" t="s">
        <v>311</v>
      </c>
      <c r="I215" s="18" t="s">
        <v>312</v>
      </c>
    </row>
    <row r="216" spans="1:9" ht="105">
      <c r="A216" s="12">
        <v>43572.8909837963</v>
      </c>
      <c r="B216" s="13" t="str">
        <f t="shared" si="6"/>
        <v>@BedandStay</v>
      </c>
      <c r="C216" s="14" t="s">
        <v>309</v>
      </c>
      <c r="D216" s="15" t="s">
        <v>3065</v>
      </c>
      <c r="E216" s="16" t="str">
        <f t="shared" si="7"/>
        <v>Twitter Web Client</v>
      </c>
      <c r="F216" s="12">
        <v>43083.938125000001</v>
      </c>
      <c r="G216" s="17" t="s">
        <v>2783</v>
      </c>
      <c r="H216" s="35" t="s">
        <v>311</v>
      </c>
      <c r="I216" s="18" t="s">
        <v>312</v>
      </c>
    </row>
    <row r="217" spans="1:9" ht="60">
      <c r="A217" s="12">
        <v>43572.889166666668</v>
      </c>
      <c r="B217" s="13" t="str">
        <f t="shared" si="6"/>
        <v>@BedandStay</v>
      </c>
      <c r="C217" s="14" t="s">
        <v>309</v>
      </c>
      <c r="D217" s="15" t="s">
        <v>3066</v>
      </c>
      <c r="E217" s="16" t="str">
        <f t="shared" si="7"/>
        <v>Twitter Web Client</v>
      </c>
      <c r="F217" s="12">
        <v>43083.938125000001</v>
      </c>
      <c r="G217" s="17" t="s">
        <v>2783</v>
      </c>
      <c r="H217" s="35" t="s">
        <v>311</v>
      </c>
      <c r="I217" s="18" t="s">
        <v>312</v>
      </c>
    </row>
    <row r="218" spans="1:9" ht="75">
      <c r="A218" s="12">
        <v>43572.885960648149</v>
      </c>
      <c r="B218" s="13" t="str">
        <f t="shared" si="6"/>
        <v>@BedandStay</v>
      </c>
      <c r="C218" s="14" t="s">
        <v>309</v>
      </c>
      <c r="D218" s="15" t="s">
        <v>3068</v>
      </c>
      <c r="E218" s="16" t="str">
        <f t="shared" si="7"/>
        <v>Twitter Web Client</v>
      </c>
      <c r="F218" s="12">
        <v>43083.938125000001</v>
      </c>
      <c r="G218" s="17" t="s">
        <v>2783</v>
      </c>
      <c r="H218" s="35" t="s">
        <v>311</v>
      </c>
      <c r="I218" s="18" t="s">
        <v>312</v>
      </c>
    </row>
    <row r="219" spans="1:9" ht="75">
      <c r="A219" s="12">
        <v>43571.941851851851</v>
      </c>
      <c r="B219" s="13" t="str">
        <f t="shared" si="6"/>
        <v>@BedandStay</v>
      </c>
      <c r="C219" s="14" t="s">
        <v>309</v>
      </c>
      <c r="D219" s="15" t="s">
        <v>3490</v>
      </c>
      <c r="E219" s="16" t="str">
        <f t="shared" si="7"/>
        <v>Twitter Web Client</v>
      </c>
      <c r="F219" s="12">
        <v>43083.938125000001</v>
      </c>
      <c r="G219" s="17" t="s">
        <v>2783</v>
      </c>
      <c r="H219" s="35" t="s">
        <v>311</v>
      </c>
      <c r="I219" s="18" t="s">
        <v>312</v>
      </c>
    </row>
    <row r="220" spans="1:9" ht="150">
      <c r="A220" s="12">
        <v>43571.934155092589</v>
      </c>
      <c r="B220" s="13" t="str">
        <f t="shared" si="6"/>
        <v>@BedandStay</v>
      </c>
      <c r="C220" s="14" t="s">
        <v>309</v>
      </c>
      <c r="D220" s="15" t="s">
        <v>3492</v>
      </c>
      <c r="E220" s="16" t="str">
        <f t="shared" si="7"/>
        <v>Twitter Web Client</v>
      </c>
      <c r="F220" s="12">
        <v>43083.938125000001</v>
      </c>
      <c r="G220" s="17" t="s">
        <v>2783</v>
      </c>
      <c r="H220" s="35" t="s">
        <v>311</v>
      </c>
      <c r="I220" s="18" t="s">
        <v>312</v>
      </c>
    </row>
    <row r="221" spans="1:9" ht="105">
      <c r="A221" s="12">
        <v>43571.933368055557</v>
      </c>
      <c r="B221" s="13" t="str">
        <f t="shared" si="6"/>
        <v>@BedandStay</v>
      </c>
      <c r="C221" s="14" t="s">
        <v>309</v>
      </c>
      <c r="D221" s="15" t="s">
        <v>3493</v>
      </c>
      <c r="E221" s="16" t="str">
        <f t="shared" si="7"/>
        <v>Twitter Web Client</v>
      </c>
      <c r="F221" s="12">
        <v>43083.938125000001</v>
      </c>
      <c r="G221" s="17" t="s">
        <v>2783</v>
      </c>
      <c r="H221" s="35" t="s">
        <v>311</v>
      </c>
      <c r="I221" s="18" t="s">
        <v>312</v>
      </c>
    </row>
    <row r="222" spans="1:9" ht="75">
      <c r="A222" s="12">
        <v>43571.928159722222</v>
      </c>
      <c r="B222" s="13" t="str">
        <f t="shared" si="6"/>
        <v>@BedandStay</v>
      </c>
      <c r="C222" s="14" t="s">
        <v>309</v>
      </c>
      <c r="D222" s="15" t="s">
        <v>3498</v>
      </c>
      <c r="E222" s="16" t="str">
        <f t="shared" si="7"/>
        <v>Twitter Web Client</v>
      </c>
      <c r="F222" s="12">
        <v>43083.938125000001</v>
      </c>
      <c r="G222" s="17" t="s">
        <v>2783</v>
      </c>
      <c r="H222" s="35" t="s">
        <v>311</v>
      </c>
      <c r="I222" s="18" t="s">
        <v>312</v>
      </c>
    </row>
    <row r="223" spans="1:9" ht="135">
      <c r="A223" s="12">
        <v>43570.884247685186</v>
      </c>
      <c r="B223" s="13" t="str">
        <f t="shared" si="6"/>
        <v>@BedandStay</v>
      </c>
      <c r="C223" s="14" t="s">
        <v>309</v>
      </c>
      <c r="D223" s="15" t="s">
        <v>3952</v>
      </c>
      <c r="E223" s="16" t="str">
        <f t="shared" si="7"/>
        <v>Twitter Web Client</v>
      </c>
      <c r="F223" s="12">
        <v>43083.938125000001</v>
      </c>
      <c r="G223" s="17" t="s">
        <v>2783</v>
      </c>
      <c r="H223" s="35" t="s">
        <v>311</v>
      </c>
      <c r="I223" s="18" t="s">
        <v>312</v>
      </c>
    </row>
    <row r="224" spans="1:9" ht="105">
      <c r="A224" s="12">
        <v>43569.898564814815</v>
      </c>
      <c r="B224" s="13" t="str">
        <f t="shared" si="6"/>
        <v>@BedandStay</v>
      </c>
      <c r="C224" s="14" t="s">
        <v>309</v>
      </c>
      <c r="D224" s="15" t="s">
        <v>4376</v>
      </c>
      <c r="E224" s="16" t="str">
        <f t="shared" si="7"/>
        <v>Twitter Web Client</v>
      </c>
      <c r="F224" s="12">
        <v>43083.938125000001</v>
      </c>
      <c r="G224" s="17" t="s">
        <v>2783</v>
      </c>
      <c r="H224" s="35" t="s">
        <v>311</v>
      </c>
      <c r="I224" s="18" t="s">
        <v>312</v>
      </c>
    </row>
    <row r="225" spans="1:9" ht="120">
      <c r="A225" s="12">
        <v>43569.897650462968</v>
      </c>
      <c r="B225" s="13" t="str">
        <f t="shared" si="6"/>
        <v>@BedandStay</v>
      </c>
      <c r="C225" s="14" t="s">
        <v>309</v>
      </c>
      <c r="D225" s="15" t="s">
        <v>4377</v>
      </c>
      <c r="E225" s="16" t="str">
        <f t="shared" si="7"/>
        <v>Twitter Web Client</v>
      </c>
      <c r="F225" s="12">
        <v>43083.938125000001</v>
      </c>
      <c r="G225" s="17" t="s">
        <v>2783</v>
      </c>
      <c r="H225" s="35" t="s">
        <v>311</v>
      </c>
      <c r="I225" s="18" t="s">
        <v>312</v>
      </c>
    </row>
    <row r="226" spans="1:9" ht="150">
      <c r="A226" s="12">
        <v>43569.896956018521</v>
      </c>
      <c r="B226" s="13" t="str">
        <f t="shared" si="6"/>
        <v>@BedandStay</v>
      </c>
      <c r="C226" s="14" t="s">
        <v>309</v>
      </c>
      <c r="D226" s="15" t="s">
        <v>4378</v>
      </c>
      <c r="E226" s="16" t="str">
        <f t="shared" si="7"/>
        <v>Twitter Web Client</v>
      </c>
      <c r="F226" s="12">
        <v>43083.938125000001</v>
      </c>
      <c r="G226" s="17" t="s">
        <v>2783</v>
      </c>
      <c r="H226" s="35" t="s">
        <v>311</v>
      </c>
      <c r="I226" s="18" t="s">
        <v>312</v>
      </c>
    </row>
    <row r="227" spans="1:9" ht="165">
      <c r="A227" s="12">
        <v>43569.896250000005</v>
      </c>
      <c r="B227" s="13" t="str">
        <f t="shared" si="6"/>
        <v>@BedandStay</v>
      </c>
      <c r="C227" s="14" t="s">
        <v>309</v>
      </c>
      <c r="D227" s="15" t="s">
        <v>4379</v>
      </c>
      <c r="E227" s="16" t="str">
        <f t="shared" si="7"/>
        <v>Twitter Web Client</v>
      </c>
      <c r="F227" s="12">
        <v>43083.938125000001</v>
      </c>
      <c r="G227" s="17" t="s">
        <v>2783</v>
      </c>
      <c r="H227" s="35" t="s">
        <v>311</v>
      </c>
      <c r="I227" s="18" t="s">
        <v>312</v>
      </c>
    </row>
    <row r="228" spans="1:9" ht="90">
      <c r="A228" s="12">
        <v>43565.932939814811</v>
      </c>
      <c r="B228" s="13" t="str">
        <f t="shared" si="6"/>
        <v>@BedandStay</v>
      </c>
      <c r="C228" s="14" t="s">
        <v>309</v>
      </c>
      <c r="D228" s="15" t="s">
        <v>5849</v>
      </c>
      <c r="E228" s="16" t="str">
        <f t="shared" si="7"/>
        <v>Twitter Web Client</v>
      </c>
      <c r="F228" s="12">
        <v>43083.938125000001</v>
      </c>
      <c r="G228" s="17" t="s">
        <v>2783</v>
      </c>
      <c r="H228" s="35" t="s">
        <v>311</v>
      </c>
      <c r="I228" s="18" t="s">
        <v>312</v>
      </c>
    </row>
    <row r="229" spans="1:9" ht="90">
      <c r="A229" s="12">
        <v>43565.929212962961</v>
      </c>
      <c r="B229" s="13" t="str">
        <f t="shared" si="6"/>
        <v>@BedandStay</v>
      </c>
      <c r="C229" s="14" t="s">
        <v>309</v>
      </c>
      <c r="D229" s="15" t="s">
        <v>5850</v>
      </c>
      <c r="E229" s="16" t="str">
        <f t="shared" si="7"/>
        <v>Twitter Web Client</v>
      </c>
      <c r="F229" s="12">
        <v>43083.938125000001</v>
      </c>
      <c r="G229" s="17" t="s">
        <v>2783</v>
      </c>
      <c r="H229" s="35" t="s">
        <v>311</v>
      </c>
      <c r="I229" s="18" t="s">
        <v>312</v>
      </c>
    </row>
    <row r="230" spans="1:9" ht="180">
      <c r="A230" s="12">
        <v>43565.928402777776</v>
      </c>
      <c r="B230" s="13" t="str">
        <f t="shared" si="6"/>
        <v>@BedandStay</v>
      </c>
      <c r="C230" s="14" t="s">
        <v>309</v>
      </c>
      <c r="D230" s="15" t="s">
        <v>5851</v>
      </c>
      <c r="E230" s="16" t="str">
        <f t="shared" si="7"/>
        <v>Twitter Web Client</v>
      </c>
      <c r="F230" s="12">
        <v>43083.938125000001</v>
      </c>
      <c r="G230" s="17" t="s">
        <v>2783</v>
      </c>
      <c r="H230" s="35" t="s">
        <v>311</v>
      </c>
      <c r="I230" s="18" t="s">
        <v>312</v>
      </c>
    </row>
    <row r="231" spans="1:9" ht="150">
      <c r="A231" s="12">
        <v>43565.923807870371</v>
      </c>
      <c r="B231" s="13" t="str">
        <f t="shared" si="6"/>
        <v>@BedandStay</v>
      </c>
      <c r="C231" s="14" t="s">
        <v>309</v>
      </c>
      <c r="D231" s="15" t="s">
        <v>5852</v>
      </c>
      <c r="E231" s="16" t="str">
        <f t="shared" si="7"/>
        <v>Twitter Web Client</v>
      </c>
      <c r="F231" s="12">
        <v>43083.938125000001</v>
      </c>
      <c r="G231" s="17" t="s">
        <v>2783</v>
      </c>
      <c r="H231" s="35" t="s">
        <v>311</v>
      </c>
      <c r="I231" s="18" t="s">
        <v>312</v>
      </c>
    </row>
    <row r="232" spans="1:9" ht="105">
      <c r="A232" s="19">
        <v>43547.714918981481</v>
      </c>
      <c r="B232" s="20" t="str">
        <f>HYPERLINK("https://twitter.com/CeriVillasBali","@CeriVillasBali")</f>
        <v>@CeriVillasBali</v>
      </c>
      <c r="C232" s="21" t="s">
        <v>1405</v>
      </c>
      <c r="D232" s="22" t="s">
        <v>8478</v>
      </c>
      <c r="E232" s="23" t="str">
        <f t="shared" si="7"/>
        <v>Twitter Web Client</v>
      </c>
      <c r="F232" s="19">
        <v>42383.254629629635</v>
      </c>
      <c r="G232" s="24" t="s">
        <v>2783</v>
      </c>
      <c r="H232" s="35" t="s">
        <v>342</v>
      </c>
      <c r="I232" s="25" t="s">
        <v>1407</v>
      </c>
    </row>
    <row r="233" spans="1:9" ht="120">
      <c r="A233" s="19">
        <v>43545.174884259264</v>
      </c>
      <c r="B233" s="20" t="str">
        <f>HYPERLINK("https://twitter.com/BukitVista","@BukitVista")</f>
        <v>@BukitVista</v>
      </c>
      <c r="C233" s="21" t="s">
        <v>340</v>
      </c>
      <c r="D233" s="22" t="s">
        <v>9270</v>
      </c>
      <c r="E233" s="23" t="str">
        <f>HYPERLINK("https://ifttt.com","IFTTT")</f>
        <v>IFTTT</v>
      </c>
      <c r="F233" s="19">
        <v>41894.147187499999</v>
      </c>
      <c r="G233" s="24" t="s">
        <v>2783</v>
      </c>
      <c r="H233" s="35" t="s">
        <v>342</v>
      </c>
      <c r="I233" s="25" t="s">
        <v>343</v>
      </c>
    </row>
    <row r="234" spans="1:9" ht="105">
      <c r="A234" s="19">
        <v>43544.741724537038</v>
      </c>
      <c r="B234" s="20" t="str">
        <f>HYPERLINK("https://twitter.com/CeriVillasBali","@CeriVillasBali")</f>
        <v>@CeriVillasBali</v>
      </c>
      <c r="C234" s="21" t="s">
        <v>1405</v>
      </c>
      <c r="D234" s="22" t="s">
        <v>9360</v>
      </c>
      <c r="E234" s="23" t="str">
        <f>HYPERLINK("http://twitter.com","Twitter Web Client")</f>
        <v>Twitter Web Client</v>
      </c>
      <c r="F234" s="19">
        <v>42383.254629629635</v>
      </c>
      <c r="G234" s="24" t="s">
        <v>2783</v>
      </c>
      <c r="H234" s="35" t="s">
        <v>342</v>
      </c>
      <c r="I234" s="25" t="s">
        <v>1407</v>
      </c>
    </row>
    <row r="235" spans="1:9" ht="60">
      <c r="A235" s="4">
        <v>43565.25849537037</v>
      </c>
      <c r="B235" s="5" t="str">
        <f>HYPERLINK("https://twitter.com/BukitVista","@BukitVista")</f>
        <v>@BukitVista</v>
      </c>
      <c r="C235" s="6" t="s">
        <v>340</v>
      </c>
      <c r="D235" s="7" t="s">
        <v>6207</v>
      </c>
      <c r="E235" s="8" t="str">
        <f>HYPERLINK("https://ifttt.com","IFTTT")</f>
        <v>IFTTT</v>
      </c>
      <c r="F235" s="4">
        <v>41894.147187499999</v>
      </c>
      <c r="G235" s="24" t="s">
        <v>2783</v>
      </c>
      <c r="H235" s="35" t="s">
        <v>342</v>
      </c>
      <c r="I235" s="10" t="s">
        <v>343</v>
      </c>
    </row>
    <row r="236" spans="1:9" ht="105">
      <c r="A236" s="12">
        <v>43580.008796296301</v>
      </c>
      <c r="B236" s="13" t="str">
        <f>HYPERLINK("https://twitter.com/BukitVista","@BukitVista")</f>
        <v>@BukitVista</v>
      </c>
      <c r="C236" s="14" t="s">
        <v>340</v>
      </c>
      <c r="D236" s="15" t="s">
        <v>341</v>
      </c>
      <c r="E236" s="16" t="str">
        <f>HYPERLINK("https://ifttt.com","IFTTT")</f>
        <v>IFTTT</v>
      </c>
      <c r="F236" s="12">
        <v>41894.147187499999</v>
      </c>
      <c r="G236" s="24" t="s">
        <v>2783</v>
      </c>
      <c r="H236" s="35" t="s">
        <v>342</v>
      </c>
      <c r="I236" s="18" t="s">
        <v>343</v>
      </c>
    </row>
    <row r="237" spans="1:9" ht="105">
      <c r="A237" s="12">
        <v>43578.097118055557</v>
      </c>
      <c r="B237" s="13" t="str">
        <f>HYPERLINK("https://twitter.com/CeriVillasBali","@CeriVillasBali")</f>
        <v>@CeriVillasBali</v>
      </c>
      <c r="C237" s="14" t="s">
        <v>1405</v>
      </c>
      <c r="D237" s="15" t="s">
        <v>1406</v>
      </c>
      <c r="E237" s="16" t="str">
        <f>HYPERLINK("http://twitter.com","Twitter Web Client")</f>
        <v>Twitter Web Client</v>
      </c>
      <c r="F237" s="12">
        <v>42383.254629629635</v>
      </c>
      <c r="G237" s="24" t="s">
        <v>2783</v>
      </c>
      <c r="H237" s="35" t="s">
        <v>342</v>
      </c>
      <c r="I237" s="18" t="s">
        <v>1407</v>
      </c>
    </row>
    <row r="238" spans="1:9" ht="105">
      <c r="A238" s="12">
        <v>43578.088599537034</v>
      </c>
      <c r="B238" s="13" t="str">
        <f>HYPERLINK("https://twitter.com/CeriVillasBali","@CeriVillasBali")</f>
        <v>@CeriVillasBali</v>
      </c>
      <c r="C238" s="14" t="s">
        <v>1405</v>
      </c>
      <c r="D238" s="15" t="s">
        <v>1408</v>
      </c>
      <c r="E238" s="16" t="str">
        <f>HYPERLINK("http://twitter.com","Twitter Web Client")</f>
        <v>Twitter Web Client</v>
      </c>
      <c r="F238" s="12">
        <v>42383.254629629635</v>
      </c>
      <c r="G238" s="24" t="s">
        <v>2783</v>
      </c>
      <c r="H238" s="35" t="s">
        <v>342</v>
      </c>
      <c r="I238" s="18" t="s">
        <v>1407</v>
      </c>
    </row>
    <row r="239" spans="1:9" ht="90">
      <c r="A239" s="12">
        <v>43577.175462962958</v>
      </c>
      <c r="B239" s="13" t="str">
        <f>HYPERLINK("https://twitter.com/BukitVista","@BukitVista")</f>
        <v>@BukitVista</v>
      </c>
      <c r="C239" s="14" t="s">
        <v>340</v>
      </c>
      <c r="D239" s="15" t="s">
        <v>1724</v>
      </c>
      <c r="E239" s="16" t="str">
        <f>HYPERLINK("https://ifttt.com","IFTTT")</f>
        <v>IFTTT</v>
      </c>
      <c r="F239" s="12">
        <v>41894.147187499999</v>
      </c>
      <c r="G239" s="24" t="s">
        <v>2783</v>
      </c>
      <c r="H239" s="35" t="s">
        <v>342</v>
      </c>
      <c r="I239" s="18" t="s">
        <v>343</v>
      </c>
    </row>
    <row r="240" spans="1:9" ht="105">
      <c r="A240" s="12">
        <v>43571.900497685187</v>
      </c>
      <c r="B240" s="13" t="str">
        <f>HYPERLINK("https://twitter.com/CeriVillasBali","@CeriVillasBali")</f>
        <v>@CeriVillasBali</v>
      </c>
      <c r="C240" s="14" t="s">
        <v>1405</v>
      </c>
      <c r="D240" s="15" t="s">
        <v>3504</v>
      </c>
      <c r="E240" s="16" t="str">
        <f>HYPERLINK("http://twitter.com","Twitter Web Client")</f>
        <v>Twitter Web Client</v>
      </c>
      <c r="F240" s="12">
        <v>42383.254629629635</v>
      </c>
      <c r="G240" s="24" t="s">
        <v>2783</v>
      </c>
      <c r="H240" s="35" t="s">
        <v>342</v>
      </c>
      <c r="I240" s="18" t="s">
        <v>1407</v>
      </c>
    </row>
    <row r="241" spans="1:9" ht="90">
      <c r="A241" s="12">
        <v>43571.095879629633</v>
      </c>
      <c r="B241" s="13" t="str">
        <f>HYPERLINK("https://twitter.com/CeriVillasBali","@CeriVillasBali")</f>
        <v>@CeriVillasBali</v>
      </c>
      <c r="C241" s="14" t="s">
        <v>1405</v>
      </c>
      <c r="D241" s="15" t="s">
        <v>3851</v>
      </c>
      <c r="E241" s="16" t="str">
        <f>HYPERLINK("http://twitter.com","Twitter Web Client")</f>
        <v>Twitter Web Client</v>
      </c>
      <c r="F241" s="12">
        <v>42383.254629629635</v>
      </c>
      <c r="G241" s="24" t="s">
        <v>2783</v>
      </c>
      <c r="H241" s="35" t="s">
        <v>342</v>
      </c>
      <c r="I241" s="18" t="s">
        <v>1407</v>
      </c>
    </row>
    <row r="242" spans="1:9" ht="90">
      <c r="A242" s="12">
        <v>43566.296736111108</v>
      </c>
      <c r="B242" s="13" t="str">
        <f>HYPERLINK("https://twitter.com/CeriVillasBali","@CeriVillasBali")</f>
        <v>@CeriVillasBali</v>
      </c>
      <c r="C242" s="14" t="s">
        <v>1405</v>
      </c>
      <c r="D242" s="15" t="s">
        <v>5669</v>
      </c>
      <c r="E242" s="16" t="str">
        <f>HYPERLINK("http://twitter.com","Twitter Web Client")</f>
        <v>Twitter Web Client</v>
      </c>
      <c r="F242" s="12">
        <v>42383.254629629635</v>
      </c>
      <c r="G242" s="24" t="s">
        <v>2783</v>
      </c>
      <c r="H242" s="35" t="s">
        <v>342</v>
      </c>
      <c r="I242" s="18" t="s">
        <v>1407</v>
      </c>
    </row>
    <row r="243" spans="1:9" ht="75">
      <c r="A243" s="4">
        <v>43561.824687500004</v>
      </c>
      <c r="B243" s="5" t="str">
        <f>HYPERLINK("https://twitter.com/BaliNewsViews","@BaliNewsViews")</f>
        <v>@BaliNewsViews</v>
      </c>
      <c r="C243" s="6" t="s">
        <v>10822</v>
      </c>
      <c r="D243" s="7" t="s">
        <v>10823</v>
      </c>
      <c r="E243" s="8" t="str">
        <f>HYPERLINK("http://www.facebook.com/twitter","Facebook")</f>
        <v>Facebook</v>
      </c>
      <c r="F243" s="4">
        <v>39888.270682870367</v>
      </c>
      <c r="G243" s="24" t="s">
        <v>2783</v>
      </c>
      <c r="H243" s="35" t="s">
        <v>10824</v>
      </c>
      <c r="I243" s="10" t="s">
        <v>10825</v>
      </c>
    </row>
    <row r="244" spans="1:9" ht="30">
      <c r="A244" s="4">
        <v>43564.773402777777</v>
      </c>
      <c r="B244" s="5" t="str">
        <f>HYPERLINK("https://twitter.com/Marine_ramdhani","@Marine_ramdhani")</f>
        <v>@Marine_ramdhani</v>
      </c>
      <c r="C244" s="6" t="s">
        <v>6421</v>
      </c>
      <c r="D244" s="7" t="s">
        <v>6422</v>
      </c>
      <c r="E244" s="8" t="str">
        <f>HYPERLINK("http://twitter.com/download/iphone","Twitter for iPhone")</f>
        <v>Twitter for iPhone</v>
      </c>
      <c r="F244" s="4">
        <v>40327.192430555559</v>
      </c>
      <c r="G244" s="9" t="s">
        <v>2783</v>
      </c>
      <c r="H244" s="35" t="s">
        <v>6423</v>
      </c>
      <c r="I244" s="10"/>
    </row>
    <row r="245" spans="1:9" ht="30">
      <c r="A245" s="19">
        <v>43548.132870370369</v>
      </c>
      <c r="B245" s="20" t="str">
        <f t="shared" ref="B245:B252" si="8">HYPERLINK("https://twitter.com/thelouhouse","@thelouhouse")</f>
        <v>@thelouhouse</v>
      </c>
      <c r="C245" s="21" t="s">
        <v>4844</v>
      </c>
      <c r="D245" s="22" t="s">
        <v>8404</v>
      </c>
      <c r="E245" s="23" t="str">
        <f t="shared" ref="E245:E250" si="9">HYPERLINK("http://twitter.com","Twitter Web Client")</f>
        <v>Twitter Web Client</v>
      </c>
      <c r="F245" s="19">
        <v>43337.436759259261</v>
      </c>
      <c r="G245" s="9" t="s">
        <v>2783</v>
      </c>
      <c r="H245" s="35" t="s">
        <v>4846</v>
      </c>
      <c r="I245" s="25" t="s">
        <v>4847</v>
      </c>
    </row>
    <row r="246" spans="1:9" ht="45">
      <c r="A246" s="19">
        <v>43546.281342592592</v>
      </c>
      <c r="B246" s="20" t="str">
        <f t="shared" si="8"/>
        <v>@thelouhouse</v>
      </c>
      <c r="C246" s="21" t="s">
        <v>4844</v>
      </c>
      <c r="D246" s="22" t="s">
        <v>8919</v>
      </c>
      <c r="E246" s="23" t="str">
        <f t="shared" si="9"/>
        <v>Twitter Web Client</v>
      </c>
      <c r="F246" s="19">
        <v>43337.436759259261</v>
      </c>
      <c r="G246" s="9" t="s">
        <v>2783</v>
      </c>
      <c r="H246" s="35" t="s">
        <v>4846</v>
      </c>
      <c r="I246" s="25" t="s">
        <v>4847</v>
      </c>
    </row>
    <row r="247" spans="1:9" ht="30">
      <c r="A247" s="19">
        <v>43546.234780092593</v>
      </c>
      <c r="B247" s="20" t="str">
        <f t="shared" si="8"/>
        <v>@thelouhouse</v>
      </c>
      <c r="C247" s="21" t="s">
        <v>4844</v>
      </c>
      <c r="D247" s="22" t="s">
        <v>8928</v>
      </c>
      <c r="E247" s="23" t="str">
        <f t="shared" si="9"/>
        <v>Twitter Web Client</v>
      </c>
      <c r="F247" s="19">
        <v>43337.436759259261</v>
      </c>
      <c r="G247" s="9" t="s">
        <v>2783</v>
      </c>
      <c r="H247" s="35" t="s">
        <v>4846</v>
      </c>
      <c r="I247" s="25" t="s">
        <v>4847</v>
      </c>
    </row>
    <row r="248" spans="1:9" ht="30">
      <c r="A248" s="19">
        <v>43545.743506944447</v>
      </c>
      <c r="B248" s="20" t="str">
        <f t="shared" si="8"/>
        <v>@thelouhouse</v>
      </c>
      <c r="C248" s="21" t="s">
        <v>4844</v>
      </c>
      <c r="D248" s="22" t="s">
        <v>9064</v>
      </c>
      <c r="E248" s="23" t="str">
        <f t="shared" si="9"/>
        <v>Twitter Web Client</v>
      </c>
      <c r="F248" s="19">
        <v>43337.436759259261</v>
      </c>
      <c r="G248" s="9" t="s">
        <v>2783</v>
      </c>
      <c r="H248" s="35" t="s">
        <v>4846</v>
      </c>
      <c r="I248" s="25" t="s">
        <v>4847</v>
      </c>
    </row>
    <row r="249" spans="1:9" ht="75">
      <c r="A249" s="19">
        <v>43544.90489583333</v>
      </c>
      <c r="B249" s="20" t="str">
        <f t="shared" si="8"/>
        <v>@thelouhouse</v>
      </c>
      <c r="C249" s="21" t="s">
        <v>4844</v>
      </c>
      <c r="D249" s="22" t="s">
        <v>9318</v>
      </c>
      <c r="E249" s="23" t="str">
        <f t="shared" si="9"/>
        <v>Twitter Web Client</v>
      </c>
      <c r="F249" s="19">
        <v>43337.436759259261</v>
      </c>
      <c r="G249" s="9" t="s">
        <v>2783</v>
      </c>
      <c r="H249" s="35" t="s">
        <v>4846</v>
      </c>
      <c r="I249" s="25" t="s">
        <v>4847</v>
      </c>
    </row>
    <row r="250" spans="1:9" ht="30">
      <c r="A250" s="4">
        <v>43563.787824074076</v>
      </c>
      <c r="B250" s="5" t="str">
        <f t="shared" si="8"/>
        <v>@thelouhouse</v>
      </c>
      <c r="C250" s="6" t="s">
        <v>4844</v>
      </c>
      <c r="D250" s="7" t="s">
        <v>6878</v>
      </c>
      <c r="E250" s="8" t="str">
        <f t="shared" si="9"/>
        <v>Twitter Web Client</v>
      </c>
      <c r="F250" s="4">
        <v>43337.436759259261</v>
      </c>
      <c r="G250" s="9" t="s">
        <v>2783</v>
      </c>
      <c r="H250" s="35" t="s">
        <v>4846</v>
      </c>
      <c r="I250" s="10" t="s">
        <v>4847</v>
      </c>
    </row>
    <row r="251" spans="1:9" ht="60">
      <c r="A251" s="4">
        <v>43559.934236111112</v>
      </c>
      <c r="B251" s="5" t="str">
        <f t="shared" si="8"/>
        <v>@thelouhouse</v>
      </c>
      <c r="C251" s="6" t="s">
        <v>4844</v>
      </c>
      <c r="D251" s="7" t="s">
        <v>11659</v>
      </c>
      <c r="E251" s="8" t="str">
        <f>HYPERLINK("http://twitter.com/download/iphone","Twitter for iPhone")</f>
        <v>Twitter for iPhone</v>
      </c>
      <c r="F251" s="4">
        <v>43337.436759259261</v>
      </c>
      <c r="G251" s="9" t="s">
        <v>2783</v>
      </c>
      <c r="H251" s="35" t="s">
        <v>4846</v>
      </c>
      <c r="I251" s="10" t="s">
        <v>4847</v>
      </c>
    </row>
    <row r="252" spans="1:9" ht="30">
      <c r="A252" s="12">
        <v>43568.211921296301</v>
      </c>
      <c r="B252" s="13" t="str">
        <f t="shared" si="8"/>
        <v>@thelouhouse</v>
      </c>
      <c r="C252" s="14" t="s">
        <v>4844</v>
      </c>
      <c r="D252" s="15" t="s">
        <v>4845</v>
      </c>
      <c r="E252" s="16" t="str">
        <f>HYPERLINK("http://twitter.com/download/iphone","Twitter for iPhone")</f>
        <v>Twitter for iPhone</v>
      </c>
      <c r="F252" s="12">
        <v>43337.436759259261</v>
      </c>
      <c r="G252" s="9" t="s">
        <v>2783</v>
      </c>
      <c r="H252" s="35" t="s">
        <v>4846</v>
      </c>
      <c r="I252" s="18" t="s">
        <v>4847</v>
      </c>
    </row>
    <row r="253" spans="1:9" ht="75">
      <c r="A253" s="19">
        <v>43542.437268518523</v>
      </c>
      <c r="B253" s="20" t="str">
        <f>HYPERLINK("https://twitter.com/Bhavya0902","@Bhavya0902")</f>
        <v>@Bhavya0902</v>
      </c>
      <c r="C253" s="21" t="s">
        <v>10166</v>
      </c>
      <c r="D253" s="22" t="s">
        <v>10167</v>
      </c>
      <c r="E253" s="23" t="str">
        <f>HYPERLINK("http://instagram.com","Instagram")</f>
        <v>Instagram</v>
      </c>
      <c r="F253" s="19">
        <v>41040.586909722224</v>
      </c>
      <c r="G253" s="9" t="s">
        <v>2783</v>
      </c>
      <c r="H253" s="35" t="s">
        <v>10168</v>
      </c>
      <c r="I253" s="25" t="s">
        <v>10169</v>
      </c>
    </row>
    <row r="254" spans="1:9" ht="45">
      <c r="A254" s="4">
        <v>43562.057442129633</v>
      </c>
      <c r="B254" s="5" t="str">
        <f>HYPERLINK("https://twitter.com/vishyvibes","@vishyvibes")</f>
        <v>@vishyvibes</v>
      </c>
      <c r="C254" s="6" t="s">
        <v>10765</v>
      </c>
      <c r="D254" s="7" t="s">
        <v>10766</v>
      </c>
      <c r="E254" s="8" t="str">
        <f>HYPERLINK("http://twitter.com/download/android","Twitter for Android")</f>
        <v>Twitter for Android</v>
      </c>
      <c r="F254" s="4">
        <v>40141.829930555556</v>
      </c>
      <c r="G254" s="9" t="s">
        <v>2783</v>
      </c>
      <c r="H254" s="35" t="s">
        <v>10168</v>
      </c>
      <c r="I254" s="10" t="s">
        <v>10767</v>
      </c>
    </row>
    <row r="255" spans="1:9" ht="90">
      <c r="A255" s="4">
        <v>43561.752754629633</v>
      </c>
      <c r="B255" s="5" t="str">
        <f>HYPERLINK("https://twitter.com/meeraharish","@meeraharish")</f>
        <v>@meeraharish</v>
      </c>
      <c r="C255" s="6" t="s">
        <v>10842</v>
      </c>
      <c r="D255" s="7" t="s">
        <v>10843</v>
      </c>
      <c r="E255" s="8" t="str">
        <f>HYPERLINK("http://twitter.com/#!/download/ipad","Twitter for iPad")</f>
        <v>Twitter for iPad</v>
      </c>
      <c r="F255" s="4">
        <v>40096.401736111111</v>
      </c>
      <c r="G255" s="9" t="s">
        <v>2783</v>
      </c>
      <c r="H255" s="35" t="s">
        <v>10168</v>
      </c>
      <c r="I255" s="10"/>
    </row>
    <row r="256" spans="1:9" ht="180">
      <c r="A256" s="4">
        <v>43558.985775462963</v>
      </c>
      <c r="B256" s="5" t="str">
        <f>HYPERLINK("https://twitter.com/meeraharish","@meeraharish")</f>
        <v>@meeraharish</v>
      </c>
      <c r="C256" s="6" t="s">
        <v>10842</v>
      </c>
      <c r="D256" s="7" t="s">
        <v>11986</v>
      </c>
      <c r="E256" s="8" t="str">
        <f>HYPERLINK("http://twitter.com/download/iphone","Twitter for iPhone")</f>
        <v>Twitter for iPhone</v>
      </c>
      <c r="F256" s="4">
        <v>40096.401736111111</v>
      </c>
      <c r="G256" s="9" t="s">
        <v>2783</v>
      </c>
      <c r="H256" s="35" t="s">
        <v>10168</v>
      </c>
      <c r="I256" s="10"/>
    </row>
    <row r="257" spans="1:9" ht="30">
      <c r="A257" s="12">
        <v>43565.973900462966</v>
      </c>
      <c r="B257" s="13" t="str">
        <f>HYPERLINK("https://twitter.com/bangkoklawyer","@bangkoklawyer")</f>
        <v>@bangkoklawyer</v>
      </c>
      <c r="C257" s="14" t="s">
        <v>5828</v>
      </c>
      <c r="D257" s="15" t="s">
        <v>5829</v>
      </c>
      <c r="E257" s="16" t="str">
        <f>HYPERLINK("http://twitter.com/download/android","Twitter for Android")</f>
        <v>Twitter for Android</v>
      </c>
      <c r="F257" s="12">
        <v>39516.436006944445</v>
      </c>
      <c r="G257" s="9" t="s">
        <v>2783</v>
      </c>
      <c r="H257" s="35" t="s">
        <v>5830</v>
      </c>
      <c r="I257" s="18" t="s">
        <v>5831</v>
      </c>
    </row>
    <row r="258" spans="1:9" ht="90">
      <c r="A258" s="19">
        <v>43549.912268518514</v>
      </c>
      <c r="B258" s="20" t="str">
        <f t="shared" ref="B258:B268" si="10">HYPERLINK("https://twitter.com/Fav_Home_FB","@Fav_Home_FB")</f>
        <v>@Fav_Home_FB</v>
      </c>
      <c r="C258" s="21" t="s">
        <v>7872</v>
      </c>
      <c r="D258" s="22" t="s">
        <v>7873</v>
      </c>
      <c r="E258" s="23" t="str">
        <f t="shared" ref="E258:E263" si="11">HYPERLINK("https://mobile.twitter.com","Twitter Web App")</f>
        <v>Twitter Web App</v>
      </c>
      <c r="F258" s="19">
        <v>43407.828206018516</v>
      </c>
      <c r="G258" s="9" t="s">
        <v>2783</v>
      </c>
      <c r="H258" s="35" t="s">
        <v>7874</v>
      </c>
      <c r="I258" s="29" t="s">
        <v>7875</v>
      </c>
    </row>
    <row r="259" spans="1:9" ht="75">
      <c r="A259" s="19">
        <v>43549.898090277777</v>
      </c>
      <c r="B259" s="20" t="str">
        <f t="shared" si="10"/>
        <v>@Fav_Home_FB</v>
      </c>
      <c r="C259" s="21" t="s">
        <v>7872</v>
      </c>
      <c r="D259" s="22" t="s">
        <v>7876</v>
      </c>
      <c r="E259" s="23" t="str">
        <f t="shared" si="11"/>
        <v>Twitter Web App</v>
      </c>
      <c r="F259" s="19">
        <v>43407.828206018516</v>
      </c>
      <c r="G259" s="9" t="s">
        <v>2783</v>
      </c>
      <c r="H259" s="35" t="s">
        <v>7874</v>
      </c>
      <c r="I259" s="29" t="s">
        <v>7875</v>
      </c>
    </row>
    <row r="260" spans="1:9" ht="90">
      <c r="A260" s="19">
        <v>43549.894456018519</v>
      </c>
      <c r="B260" s="20" t="str">
        <f t="shared" si="10"/>
        <v>@Fav_Home_FB</v>
      </c>
      <c r="C260" s="21" t="s">
        <v>7872</v>
      </c>
      <c r="D260" s="22" t="s">
        <v>7880</v>
      </c>
      <c r="E260" s="23" t="str">
        <f t="shared" si="11"/>
        <v>Twitter Web App</v>
      </c>
      <c r="F260" s="19">
        <v>43407.828206018516</v>
      </c>
      <c r="G260" s="9" t="s">
        <v>2783</v>
      </c>
      <c r="H260" s="35" t="s">
        <v>7874</v>
      </c>
      <c r="I260" s="29" t="s">
        <v>7875</v>
      </c>
    </row>
    <row r="261" spans="1:9" ht="90">
      <c r="A261" s="19">
        <v>43549.891493055555</v>
      </c>
      <c r="B261" s="20" t="str">
        <f t="shared" si="10"/>
        <v>@Fav_Home_FB</v>
      </c>
      <c r="C261" s="21" t="s">
        <v>7872</v>
      </c>
      <c r="D261" s="22" t="s">
        <v>7886</v>
      </c>
      <c r="E261" s="23" t="str">
        <f t="shared" si="11"/>
        <v>Twitter Web App</v>
      </c>
      <c r="F261" s="19">
        <v>43407.828206018516</v>
      </c>
      <c r="G261" s="9" t="s">
        <v>2783</v>
      </c>
      <c r="H261" s="35" t="s">
        <v>7874</v>
      </c>
      <c r="I261" s="29" t="s">
        <v>7875</v>
      </c>
    </row>
    <row r="262" spans="1:9" ht="75">
      <c r="A262" s="19">
        <v>43549.887766203705</v>
      </c>
      <c r="B262" s="20" t="str">
        <f t="shared" si="10"/>
        <v>@Fav_Home_FB</v>
      </c>
      <c r="C262" s="21" t="s">
        <v>7872</v>
      </c>
      <c r="D262" s="22" t="s">
        <v>7887</v>
      </c>
      <c r="E262" s="23" t="str">
        <f t="shared" si="11"/>
        <v>Twitter Web App</v>
      </c>
      <c r="F262" s="19">
        <v>43407.828206018516</v>
      </c>
      <c r="G262" s="9" t="s">
        <v>2783</v>
      </c>
      <c r="H262" s="35" t="s">
        <v>7874</v>
      </c>
      <c r="I262" s="29" t="s">
        <v>7875</v>
      </c>
    </row>
    <row r="263" spans="1:9" ht="75">
      <c r="A263" s="19">
        <v>43546.023553240739</v>
      </c>
      <c r="B263" s="20" t="str">
        <f t="shared" si="10"/>
        <v>@Fav_Home_FB</v>
      </c>
      <c r="C263" s="21" t="s">
        <v>7872</v>
      </c>
      <c r="D263" s="22" t="s">
        <v>8986</v>
      </c>
      <c r="E263" s="23" t="str">
        <f t="shared" si="11"/>
        <v>Twitter Web App</v>
      </c>
      <c r="F263" s="19">
        <v>43407.828206018516</v>
      </c>
      <c r="G263" s="9" t="s">
        <v>2783</v>
      </c>
      <c r="H263" s="35" t="s">
        <v>7874</v>
      </c>
      <c r="I263" s="29" t="s">
        <v>7875</v>
      </c>
    </row>
    <row r="264" spans="1:9" ht="90">
      <c r="A264" s="19">
        <v>43545.934027777781</v>
      </c>
      <c r="B264" s="20" t="str">
        <f t="shared" si="10"/>
        <v>@Fav_Home_FB</v>
      </c>
      <c r="C264" s="21" t="s">
        <v>7872</v>
      </c>
      <c r="D264" s="22" t="s">
        <v>8996</v>
      </c>
      <c r="E264" s="23" t="str">
        <f>HYPERLINK("http://twitter.com","Twitter Web Client")</f>
        <v>Twitter Web Client</v>
      </c>
      <c r="F264" s="19">
        <v>43407.828206018516</v>
      </c>
      <c r="G264" s="9" t="s">
        <v>2783</v>
      </c>
      <c r="H264" s="35" t="s">
        <v>7874</v>
      </c>
      <c r="I264" s="29" t="s">
        <v>7875</v>
      </c>
    </row>
    <row r="265" spans="1:9" ht="90">
      <c r="A265" s="19">
        <v>43545.931747685187</v>
      </c>
      <c r="B265" s="20" t="str">
        <f t="shared" si="10"/>
        <v>@Fav_Home_FB</v>
      </c>
      <c r="C265" s="21" t="s">
        <v>7872</v>
      </c>
      <c r="D265" s="22" t="s">
        <v>8998</v>
      </c>
      <c r="E265" s="23" t="str">
        <f>HYPERLINK("http://twitter.com","Twitter Web Client")</f>
        <v>Twitter Web Client</v>
      </c>
      <c r="F265" s="19">
        <v>43407.828206018516</v>
      </c>
      <c r="G265" s="9" t="s">
        <v>2783</v>
      </c>
      <c r="H265" s="35" t="s">
        <v>7874</v>
      </c>
      <c r="I265" s="29" t="s">
        <v>7875</v>
      </c>
    </row>
    <row r="266" spans="1:9" ht="90">
      <c r="A266" s="19">
        <v>43545.015648148154</v>
      </c>
      <c r="B266" s="20" t="str">
        <f t="shared" si="10"/>
        <v>@Fav_Home_FB</v>
      </c>
      <c r="C266" s="21" t="s">
        <v>7872</v>
      </c>
      <c r="D266" s="22" t="s">
        <v>9298</v>
      </c>
      <c r="E266" s="23" t="str">
        <f>HYPERLINK("http://twitter.com","Twitter Web Client")</f>
        <v>Twitter Web Client</v>
      </c>
      <c r="F266" s="19">
        <v>43407.828206018516</v>
      </c>
      <c r="G266" s="9" t="s">
        <v>2783</v>
      </c>
      <c r="H266" s="35" t="s">
        <v>7874</v>
      </c>
      <c r="I266" s="29" t="s">
        <v>7875</v>
      </c>
    </row>
    <row r="267" spans="1:9" ht="90">
      <c r="A267" s="19">
        <v>43545.002164351856</v>
      </c>
      <c r="B267" s="20" t="str">
        <f t="shared" si="10"/>
        <v>@Fav_Home_FB</v>
      </c>
      <c r="C267" s="21" t="s">
        <v>7872</v>
      </c>
      <c r="D267" s="22" t="s">
        <v>9312</v>
      </c>
      <c r="E267" s="23" t="str">
        <f>HYPERLINK("http://twitter.com","Twitter Web Client")</f>
        <v>Twitter Web Client</v>
      </c>
      <c r="F267" s="19">
        <v>43407.828206018516</v>
      </c>
      <c r="G267" s="9" t="s">
        <v>2783</v>
      </c>
      <c r="H267" s="35" t="s">
        <v>7874</v>
      </c>
      <c r="I267" s="29" t="s">
        <v>7875</v>
      </c>
    </row>
    <row r="268" spans="1:9" ht="75">
      <c r="A268" s="19">
        <v>43544.998124999998</v>
      </c>
      <c r="B268" s="20" t="str">
        <f t="shared" si="10"/>
        <v>@Fav_Home_FB</v>
      </c>
      <c r="C268" s="21" t="s">
        <v>7872</v>
      </c>
      <c r="D268" s="22" t="s">
        <v>9313</v>
      </c>
      <c r="E268" s="23" t="str">
        <f>HYPERLINK("http://twitter.com","Twitter Web Client")</f>
        <v>Twitter Web Client</v>
      </c>
      <c r="F268" s="19">
        <v>43407.828206018516</v>
      </c>
      <c r="G268" s="9" t="s">
        <v>2783</v>
      </c>
      <c r="H268" s="35" t="s">
        <v>7874</v>
      </c>
      <c r="I268" s="29" t="s">
        <v>7875</v>
      </c>
    </row>
    <row r="269" spans="1:9" ht="75">
      <c r="A269" s="19">
        <v>43548.886076388888</v>
      </c>
      <c r="B269" s="20" t="str">
        <f>HYPERLINK("https://twitter.com/VeritasInLux","@VeritasInLux")</f>
        <v>@VeritasInLux</v>
      </c>
      <c r="C269" s="21" t="s">
        <v>8205</v>
      </c>
      <c r="D269" s="22" t="s">
        <v>8206</v>
      </c>
      <c r="E269" s="23" t="str">
        <f>HYPERLINK("http://instagram.com","Instagram")</f>
        <v>Instagram</v>
      </c>
      <c r="F269" s="19">
        <v>39884.844409722224</v>
      </c>
      <c r="G269" s="24" t="s">
        <v>2783</v>
      </c>
      <c r="H269" s="35" t="s">
        <v>1772</v>
      </c>
      <c r="I269" s="25" t="s">
        <v>8207</v>
      </c>
    </row>
    <row r="270" spans="1:9" ht="60">
      <c r="A270" s="19">
        <v>43548.66673611111</v>
      </c>
      <c r="B270" s="20" t="str">
        <f>HYPERLINK("https://twitter.com/VeritasInLux","@VeritasInLux")</f>
        <v>@VeritasInLux</v>
      </c>
      <c r="C270" s="21" t="s">
        <v>8205</v>
      </c>
      <c r="D270" s="22" t="s">
        <v>8252</v>
      </c>
      <c r="E270" s="23" t="str">
        <f>HYPERLINK("http://instagram.com","Instagram")</f>
        <v>Instagram</v>
      </c>
      <c r="F270" s="19">
        <v>39884.844409722224</v>
      </c>
      <c r="G270" s="24" t="s">
        <v>2783</v>
      </c>
      <c r="H270" s="35" t="s">
        <v>1772</v>
      </c>
      <c r="I270" s="25" t="s">
        <v>8207</v>
      </c>
    </row>
    <row r="271" spans="1:9" ht="105">
      <c r="A271" s="4">
        <v>43564.101099537038</v>
      </c>
      <c r="B271" s="5" t="str">
        <f>HYPERLINK("https://twitter.com/MonicaB950224","@MonicaB950224")</f>
        <v>@MonicaB950224</v>
      </c>
      <c r="C271" s="6" t="s">
        <v>1770</v>
      </c>
      <c r="D271" s="7" t="s">
        <v>6784</v>
      </c>
      <c r="E271" s="8" t="str">
        <f>HYPERLINK("http://twitter.com","Twitter Web Client")</f>
        <v>Twitter Web Client</v>
      </c>
      <c r="F271" s="4">
        <v>43528.02479166667</v>
      </c>
      <c r="G271" s="24" t="s">
        <v>2783</v>
      </c>
      <c r="H271" s="35" t="s">
        <v>1772</v>
      </c>
      <c r="I271" s="10" t="s">
        <v>1773</v>
      </c>
    </row>
    <row r="272" spans="1:9" ht="90">
      <c r="A272" s="12">
        <v>43577.030347222222</v>
      </c>
      <c r="B272" s="13" t="str">
        <f>HYPERLINK("https://twitter.com/MonicaB950224","@MonicaB950224")</f>
        <v>@MonicaB950224</v>
      </c>
      <c r="C272" s="14" t="s">
        <v>1770</v>
      </c>
      <c r="D272" s="15" t="s">
        <v>1771</v>
      </c>
      <c r="E272" s="16" t="str">
        <f>HYPERLINK("http://twitter.com","Twitter Web Client")</f>
        <v>Twitter Web Client</v>
      </c>
      <c r="F272" s="12">
        <v>43528.02479166667</v>
      </c>
      <c r="G272" s="24" t="s">
        <v>2783</v>
      </c>
      <c r="H272" s="35" t="s">
        <v>1772</v>
      </c>
      <c r="I272" s="18" t="s">
        <v>1773</v>
      </c>
    </row>
    <row r="273" spans="1:9" ht="30">
      <c r="A273" s="12">
        <v>43575.969351851847</v>
      </c>
      <c r="B273" s="13" t="str">
        <f>HYPERLINK("https://twitter.com/locksleynet","@locksleynet")</f>
        <v>@locksleynet</v>
      </c>
      <c r="C273" s="14" t="s">
        <v>2084</v>
      </c>
      <c r="D273" s="15" t="s">
        <v>2085</v>
      </c>
      <c r="E273" s="16" t="str">
        <f>HYPERLINK("http://twitter.com/#!/download/ipad","Twitter for iPad")</f>
        <v>Twitter for iPad</v>
      </c>
      <c r="F273" s="12">
        <v>39932.146168981482</v>
      </c>
      <c r="G273" s="24" t="s">
        <v>2783</v>
      </c>
      <c r="H273" s="35" t="s">
        <v>2086</v>
      </c>
      <c r="I273" s="18" t="s">
        <v>2087</v>
      </c>
    </row>
    <row r="274" spans="1:9" ht="105">
      <c r="A274" s="19">
        <v>43549.043009259258</v>
      </c>
      <c r="B274" s="20" t="str">
        <f t="shared" ref="B274:B279" si="12">HYPERLINK("https://twitter.com/FarooqAlvi14","@FarooqAlvi14")</f>
        <v>@FarooqAlvi14</v>
      </c>
      <c r="C274" s="21" t="s">
        <v>1321</v>
      </c>
      <c r="D274" s="22" t="s">
        <v>8182</v>
      </c>
      <c r="E274" s="23" t="str">
        <f t="shared" ref="E274:E279" si="13">HYPERLINK("http://twitter.com","Twitter Web Client")</f>
        <v>Twitter Web Client</v>
      </c>
      <c r="F274" s="19">
        <v>43495.884583333333</v>
      </c>
      <c r="G274" s="24" t="s">
        <v>2783</v>
      </c>
      <c r="H274" s="35" t="s">
        <v>1323</v>
      </c>
      <c r="I274" s="25" t="s">
        <v>1324</v>
      </c>
    </row>
    <row r="275" spans="1:9" ht="90">
      <c r="A275" s="19">
        <v>43546.314386574071</v>
      </c>
      <c r="B275" s="20" t="str">
        <f t="shared" si="12"/>
        <v>@FarooqAlvi14</v>
      </c>
      <c r="C275" s="21" t="s">
        <v>1321</v>
      </c>
      <c r="D275" s="22" t="s">
        <v>8911</v>
      </c>
      <c r="E275" s="23" t="str">
        <f t="shared" si="13"/>
        <v>Twitter Web Client</v>
      </c>
      <c r="F275" s="19">
        <v>43495.884583333333</v>
      </c>
      <c r="G275" s="24" t="s">
        <v>2783</v>
      </c>
      <c r="H275" s="35" t="s">
        <v>1323</v>
      </c>
      <c r="I275" s="25" t="s">
        <v>1324</v>
      </c>
    </row>
    <row r="276" spans="1:9" ht="105">
      <c r="A276" s="19">
        <v>43544.112638888888</v>
      </c>
      <c r="B276" s="20" t="str">
        <f t="shared" si="12"/>
        <v>@FarooqAlvi14</v>
      </c>
      <c r="C276" s="21" t="s">
        <v>1321</v>
      </c>
      <c r="D276" s="22" t="s">
        <v>9612</v>
      </c>
      <c r="E276" s="23" t="str">
        <f t="shared" si="13"/>
        <v>Twitter Web Client</v>
      </c>
      <c r="F276" s="19">
        <v>43495.884583333333</v>
      </c>
      <c r="G276" s="24" t="s">
        <v>2783</v>
      </c>
      <c r="H276" s="35" t="s">
        <v>1323</v>
      </c>
      <c r="I276" s="25" t="s">
        <v>1324</v>
      </c>
    </row>
    <row r="277" spans="1:9" ht="45">
      <c r="A277" s="4">
        <v>43563.139247685191</v>
      </c>
      <c r="B277" s="5" t="str">
        <f t="shared" si="12"/>
        <v>@FarooqAlvi14</v>
      </c>
      <c r="C277" s="6" t="s">
        <v>1321</v>
      </c>
      <c r="D277" s="7" t="s">
        <v>10453</v>
      </c>
      <c r="E277" s="8" t="str">
        <f t="shared" si="13"/>
        <v>Twitter Web Client</v>
      </c>
      <c r="F277" s="4">
        <v>43495.884583333333</v>
      </c>
      <c r="G277" s="24" t="s">
        <v>2783</v>
      </c>
      <c r="H277" s="35" t="s">
        <v>1323</v>
      </c>
      <c r="I277" s="10" t="s">
        <v>1324</v>
      </c>
    </row>
    <row r="278" spans="1:9" ht="105">
      <c r="A278" s="4">
        <v>43559.219270833331</v>
      </c>
      <c r="B278" s="5" t="str">
        <f t="shared" si="12"/>
        <v>@FarooqAlvi14</v>
      </c>
      <c r="C278" s="6" t="s">
        <v>1321</v>
      </c>
      <c r="D278" s="7" t="s">
        <v>11909</v>
      </c>
      <c r="E278" s="8" t="str">
        <f t="shared" si="13"/>
        <v>Twitter Web Client</v>
      </c>
      <c r="F278" s="4">
        <v>43495.884583333333</v>
      </c>
      <c r="G278" s="24" t="s">
        <v>2783</v>
      </c>
      <c r="H278" s="35" t="s">
        <v>1323</v>
      </c>
      <c r="I278" s="10" t="s">
        <v>1324</v>
      </c>
    </row>
    <row r="279" spans="1:9" ht="60">
      <c r="A279" s="12">
        <v>43578.282164351855</v>
      </c>
      <c r="B279" s="13" t="str">
        <f t="shared" si="12"/>
        <v>@FarooqAlvi14</v>
      </c>
      <c r="C279" s="14" t="s">
        <v>1321</v>
      </c>
      <c r="D279" s="15" t="s">
        <v>1322</v>
      </c>
      <c r="E279" s="16" t="str">
        <f t="shared" si="13"/>
        <v>Twitter Web Client</v>
      </c>
      <c r="F279" s="12">
        <v>43495.884583333333</v>
      </c>
      <c r="G279" s="24" t="s">
        <v>2783</v>
      </c>
      <c r="H279" s="35" t="s">
        <v>1323</v>
      </c>
      <c r="I279" s="18" t="s">
        <v>1324</v>
      </c>
    </row>
    <row r="280" spans="1:9" ht="60">
      <c r="A280" s="12">
        <v>43577.365277777775</v>
      </c>
      <c r="B280" s="13" t="str">
        <f>HYPERLINK("https://twitter.com/manu5838","@manu5838")</f>
        <v>@manu5838</v>
      </c>
      <c r="C280" s="14" t="s">
        <v>1652</v>
      </c>
      <c r="D280" s="15" t="s">
        <v>405</v>
      </c>
      <c r="E280" s="16" t="str">
        <f>HYPERLINK("https://buffer.com","Buffer")</f>
        <v>Buffer</v>
      </c>
      <c r="F280" s="12">
        <v>41025.333981481483</v>
      </c>
      <c r="G280" s="24" t="s">
        <v>2783</v>
      </c>
      <c r="H280" s="35" t="s">
        <v>1323</v>
      </c>
      <c r="I280" s="18" t="s">
        <v>1653</v>
      </c>
    </row>
    <row r="281" spans="1:9" ht="60">
      <c r="A281" s="12">
        <v>43572.245844907404</v>
      </c>
      <c r="B281" s="13" t="str">
        <f>HYPERLINK("https://twitter.com/manu5838","@manu5838")</f>
        <v>@manu5838</v>
      </c>
      <c r="C281" s="14" t="s">
        <v>1652</v>
      </c>
      <c r="D281" s="15" t="s">
        <v>502</v>
      </c>
      <c r="E281" s="16" t="str">
        <f>HYPERLINK("https://buffer.com","Buffer")</f>
        <v>Buffer</v>
      </c>
      <c r="F281" s="12">
        <v>41025.333981481483</v>
      </c>
      <c r="G281" s="24" t="s">
        <v>2783</v>
      </c>
      <c r="H281" s="35" t="s">
        <v>1323</v>
      </c>
      <c r="I281" s="18" t="s">
        <v>1653</v>
      </c>
    </row>
    <row r="282" spans="1:9" ht="30">
      <c r="A282" s="19">
        <v>43551.316620370373</v>
      </c>
      <c r="B282" s="20" t="str">
        <f>HYPERLINK("https://twitter.com/SumithManiath","@SumithManiath")</f>
        <v>@SumithManiath</v>
      </c>
      <c r="C282" s="21" t="s">
        <v>7315</v>
      </c>
      <c r="D282" s="22" t="s">
        <v>7316</v>
      </c>
      <c r="E282" s="23" t="str">
        <f>HYPERLINK("http://twitter.com","Twitter Web Client")</f>
        <v>Twitter Web Client</v>
      </c>
      <c r="F282" s="19">
        <v>42715.263506944444</v>
      </c>
      <c r="G282" s="24" t="s">
        <v>2783</v>
      </c>
      <c r="H282" s="35" t="s">
        <v>198</v>
      </c>
      <c r="I282" s="25" t="s">
        <v>7317</v>
      </c>
    </row>
    <row r="283" spans="1:9" ht="105">
      <c r="A283" s="4">
        <v>43564.391689814816</v>
      </c>
      <c r="B283" s="5" t="str">
        <f>HYPERLINK("https://twitter.com/__anand__","@__anand__")</f>
        <v>@__anand__</v>
      </c>
      <c r="C283" s="6" t="s">
        <v>6634</v>
      </c>
      <c r="D283" s="7" t="s">
        <v>6635</v>
      </c>
      <c r="E283" s="8" t="str">
        <f>HYPERLINK("http://twitter.com/download/android","Twitter for Android")</f>
        <v>Twitter for Android</v>
      </c>
      <c r="F283" s="4">
        <v>40008.480787037035</v>
      </c>
      <c r="G283" s="24" t="s">
        <v>2783</v>
      </c>
      <c r="H283" s="35" t="s">
        <v>198</v>
      </c>
      <c r="I283" s="10"/>
    </row>
    <row r="284" spans="1:9" ht="105">
      <c r="A284" s="4">
        <v>43564.388888888891</v>
      </c>
      <c r="B284" s="5" t="str">
        <f>HYPERLINK("https://twitter.com/__anand__","@__anand__")</f>
        <v>@__anand__</v>
      </c>
      <c r="C284" s="6" t="s">
        <v>6634</v>
      </c>
      <c r="D284" s="7" t="s">
        <v>6640</v>
      </c>
      <c r="E284" s="8" t="str">
        <f>HYPERLINK("http://twitter.com/download/android","Twitter for Android")</f>
        <v>Twitter for Android</v>
      </c>
      <c r="F284" s="4">
        <v>40008.480787037035</v>
      </c>
      <c r="G284" s="24" t="s">
        <v>2783</v>
      </c>
      <c r="H284" s="35" t="s">
        <v>198</v>
      </c>
      <c r="I284" s="10"/>
    </row>
    <row r="285" spans="1:9" ht="45">
      <c r="A285" s="4">
        <v>43564.204837962963</v>
      </c>
      <c r="B285" s="5" t="str">
        <f>HYPERLINK("https://twitter.com/Rachana006","@Rachana006")</f>
        <v>@Rachana006</v>
      </c>
      <c r="C285" s="6" t="s">
        <v>6735</v>
      </c>
      <c r="D285" s="7" t="s">
        <v>6736</v>
      </c>
      <c r="E285" s="8" t="str">
        <f>HYPERLINK("https://dashburst.com","DashBurst")</f>
        <v>DashBurst</v>
      </c>
      <c r="F285" s="4">
        <v>42893.020648148144</v>
      </c>
      <c r="G285" s="24" t="s">
        <v>2783</v>
      </c>
      <c r="H285" s="35" t="s">
        <v>198</v>
      </c>
      <c r="I285" s="10" t="s">
        <v>6737</v>
      </c>
    </row>
    <row r="286" spans="1:9" ht="30">
      <c r="A286" s="4">
        <v>43558.975694444445</v>
      </c>
      <c r="B286" s="5" t="str">
        <f>HYPERLINK("https://twitter.com/IBTimesIN_Tech","@IBTimesIN_Tech")</f>
        <v>@IBTimesIN_Tech</v>
      </c>
      <c r="C286" s="6" t="s">
        <v>11987</v>
      </c>
      <c r="D286" s="7" t="s">
        <v>11988</v>
      </c>
      <c r="E286" s="8" t="str">
        <f>HYPERLINK("https://about.twitter.com/products/tweetdeck","TweetDeck")</f>
        <v>TweetDeck</v>
      </c>
      <c r="F286" s="4">
        <v>42816.12222222222</v>
      </c>
      <c r="G286" s="24" t="s">
        <v>2783</v>
      </c>
      <c r="H286" s="35" t="s">
        <v>198</v>
      </c>
      <c r="I286" s="10" t="s">
        <v>11989</v>
      </c>
    </row>
    <row r="287" spans="1:9" ht="75">
      <c r="A287" s="4">
        <v>43557.312569444446</v>
      </c>
      <c r="B287" s="5" t="str">
        <f>HYPERLINK("https://twitter.com/Rishabh_Bose","@Rishabh_Bose")</f>
        <v>@Rishabh_Bose</v>
      </c>
      <c r="C287" s="6" t="s">
        <v>12564</v>
      </c>
      <c r="D287" s="7" t="s">
        <v>12565</v>
      </c>
      <c r="E287" s="8" t="str">
        <f>HYPERLINK("https://buffer.com","Buffer")</f>
        <v>Buffer</v>
      </c>
      <c r="F287" s="4">
        <v>41240.40996527778</v>
      </c>
      <c r="G287" s="24" t="s">
        <v>2783</v>
      </c>
      <c r="H287" s="35" t="s">
        <v>198</v>
      </c>
      <c r="I287" s="10" t="s">
        <v>12566</v>
      </c>
    </row>
    <row r="288" spans="1:9" ht="30">
      <c r="A288" s="4">
        <v>43557.3</v>
      </c>
      <c r="B288" s="5" t="str">
        <f>HYPERLINK("https://twitter.com/siliconreviewIN","@siliconreviewIN")</f>
        <v>@siliconreviewIN</v>
      </c>
      <c r="C288" s="6" t="s">
        <v>12574</v>
      </c>
      <c r="D288" s="7" t="s">
        <v>12575</v>
      </c>
      <c r="E288" s="8" t="str">
        <f>HYPERLINK("https://about.twitter.com/products/tweetdeck","TweetDeck")</f>
        <v>TweetDeck</v>
      </c>
      <c r="F288" s="4">
        <v>43459.973402777774</v>
      </c>
      <c r="G288" s="24" t="s">
        <v>2783</v>
      </c>
      <c r="H288" s="35" t="s">
        <v>198</v>
      </c>
      <c r="I288" s="10" t="s">
        <v>12576</v>
      </c>
    </row>
    <row r="289" spans="1:9" ht="75">
      <c r="A289" s="12">
        <v>43580.635787037041</v>
      </c>
      <c r="B289" s="13" t="str">
        <f>HYPERLINK("https://twitter.com/AndrePaul4645","@AndrePaul4645")</f>
        <v>@AndrePaul4645</v>
      </c>
      <c r="C289" s="14" t="s">
        <v>196</v>
      </c>
      <c r="D289" s="15" t="s">
        <v>197</v>
      </c>
      <c r="E289" s="16" t="str">
        <f>HYPERLINK("https://www.sprinklr.com","Sprinklr")</f>
        <v>Sprinklr</v>
      </c>
      <c r="F289" s="12">
        <v>41792.654953703706</v>
      </c>
      <c r="G289" s="24" t="s">
        <v>2783</v>
      </c>
      <c r="H289" s="35" t="s">
        <v>198</v>
      </c>
      <c r="I289" s="18" t="s">
        <v>199</v>
      </c>
    </row>
    <row r="290" spans="1:9" ht="75">
      <c r="A290" s="12">
        <v>43572.244710648149</v>
      </c>
      <c r="B290" s="13" t="str">
        <f>HYPERLINK("https://twitter.com/AndrePaul4645","@AndrePaul4645")</f>
        <v>@AndrePaul4645</v>
      </c>
      <c r="C290" s="14" t="s">
        <v>196</v>
      </c>
      <c r="D290" s="15" t="s">
        <v>197</v>
      </c>
      <c r="E290" s="16" t="str">
        <f>HYPERLINK("https://www.sprinklr.com","Sprinklr")</f>
        <v>Sprinklr</v>
      </c>
      <c r="F290" s="12">
        <v>41792.196620370371</v>
      </c>
      <c r="G290" s="24" t="s">
        <v>2783</v>
      </c>
      <c r="H290" s="35" t="s">
        <v>198</v>
      </c>
      <c r="I290" s="18" t="s">
        <v>199</v>
      </c>
    </row>
    <row r="291" spans="1:9" ht="30">
      <c r="A291" s="12">
        <v>43578.203553240739</v>
      </c>
      <c r="B291" s="13" t="str">
        <f>HYPERLINK("https://twitter.com/pchilimzam","@pchilimzam")</f>
        <v>@pchilimzam</v>
      </c>
      <c r="C291" s="14" t="s">
        <v>1360</v>
      </c>
      <c r="D291" s="15" t="s">
        <v>1361</v>
      </c>
      <c r="E291" s="16" t="str">
        <f>HYPERLINK("http://twitter.com","Twitter Web Client")</f>
        <v>Twitter Web Client</v>
      </c>
      <c r="F291" s="12">
        <v>40705.339780092589</v>
      </c>
      <c r="G291" s="17" t="s">
        <v>2783</v>
      </c>
      <c r="H291" s="35" t="s">
        <v>1362</v>
      </c>
      <c r="I291" s="18"/>
    </row>
    <row r="292" spans="1:9" ht="90">
      <c r="A292" s="12">
        <v>43579.670439814814</v>
      </c>
      <c r="B292" s="13" t="str">
        <f>HYPERLINK("https://twitter.com/ahkaf_song","@ahkaf_song")</f>
        <v>@ahkaf_song</v>
      </c>
      <c r="C292" s="14" t="s">
        <v>523</v>
      </c>
      <c r="D292" s="15" t="s">
        <v>301</v>
      </c>
      <c r="E292" s="16" t="str">
        <f>HYPERLINK("http://twitter.com","Twitter Web Client")</f>
        <v>Twitter Web Client</v>
      </c>
      <c r="F292" s="12">
        <v>40278.845185185186</v>
      </c>
      <c r="G292" s="17" t="s">
        <v>2783</v>
      </c>
      <c r="H292" s="35" t="s">
        <v>524</v>
      </c>
      <c r="I292" s="18"/>
    </row>
    <row r="293" spans="1:9" ht="45">
      <c r="A293" s="4">
        <v>43557.048402777778</v>
      </c>
      <c r="B293" s="5" t="str">
        <f>HYPERLINK("https://twitter.com/spartanite9","@spartanite9")</f>
        <v>@spartanite9</v>
      </c>
      <c r="C293" s="6" t="s">
        <v>12663</v>
      </c>
      <c r="D293" s="7" t="s">
        <v>12664</v>
      </c>
      <c r="E293" s="8" t="str">
        <f>HYPERLINK("http://instagram.com","Instagram")</f>
        <v>Instagram</v>
      </c>
      <c r="F293" s="4">
        <v>40909.961851851855</v>
      </c>
      <c r="G293" s="9" t="s">
        <v>2783</v>
      </c>
      <c r="H293" s="35" t="s">
        <v>12665</v>
      </c>
      <c r="I293" s="10" t="s">
        <v>12666</v>
      </c>
    </row>
    <row r="294" spans="1:9" ht="60">
      <c r="A294" s="19">
        <v>43549.13680555555</v>
      </c>
      <c r="B294" s="20" t="str">
        <f>HYPERLINK("https://twitter.com/Bermbermcoffees","@Bermbermcoffees")</f>
        <v>@Bermbermcoffees</v>
      </c>
      <c r="C294" s="21" t="s">
        <v>1450</v>
      </c>
      <c r="D294" s="22" t="s">
        <v>8150</v>
      </c>
      <c r="E294" s="23" t="str">
        <f>HYPERLINK("https://buffer.com","Buffer")</f>
        <v>Buffer</v>
      </c>
      <c r="F294" s="19">
        <v>43311.216597222221</v>
      </c>
      <c r="G294" s="17" t="s">
        <v>2783</v>
      </c>
      <c r="H294" s="35" t="s">
        <v>1040</v>
      </c>
      <c r="I294" s="25" t="s">
        <v>1452</v>
      </c>
    </row>
    <row r="295" spans="1:9" ht="45">
      <c r="A295" s="19">
        <v>43547.760428240741</v>
      </c>
      <c r="B295" s="20" t="str">
        <f>HYPERLINK("https://twitter.com/seyhas1","@seyhas1")</f>
        <v>@seyhas1</v>
      </c>
      <c r="C295" s="21" t="s">
        <v>1038</v>
      </c>
      <c r="D295" s="22" t="s">
        <v>1039</v>
      </c>
      <c r="E295" s="23" t="str">
        <f>HYPERLINK("https://buffer.com","Buffer")</f>
        <v>Buffer</v>
      </c>
      <c r="F295" s="19">
        <v>41776.087835648148</v>
      </c>
      <c r="G295" s="17" t="s">
        <v>2783</v>
      </c>
      <c r="H295" s="35" t="s">
        <v>1040</v>
      </c>
      <c r="I295" s="25" t="s">
        <v>1041</v>
      </c>
    </row>
    <row r="296" spans="1:9" ht="75">
      <c r="A296" s="19">
        <v>43545.938206018516</v>
      </c>
      <c r="B296" s="20" t="str">
        <f>HYPERLINK("https://twitter.com/Bermbermcoffees","@Bermbermcoffees")</f>
        <v>@Bermbermcoffees</v>
      </c>
      <c r="C296" s="21" t="s">
        <v>1450</v>
      </c>
      <c r="D296" s="22" t="s">
        <v>1451</v>
      </c>
      <c r="E296" s="23" t="str">
        <f>HYPERLINK("https://buffer.com","Buffer")</f>
        <v>Buffer</v>
      </c>
      <c r="F296" s="19">
        <v>43311.216597222221</v>
      </c>
      <c r="G296" s="17" t="s">
        <v>2783</v>
      </c>
      <c r="H296" s="35" t="s">
        <v>1040</v>
      </c>
      <c r="I296" s="25" t="s">
        <v>1452</v>
      </c>
    </row>
    <row r="297" spans="1:9" ht="75">
      <c r="A297" s="4">
        <v>43563.13680555555</v>
      </c>
      <c r="B297" s="5" t="str">
        <f>HYPERLINK("https://twitter.com/Bermbermcoffees","@Bermbermcoffees")</f>
        <v>@Bermbermcoffees</v>
      </c>
      <c r="C297" s="6" t="s">
        <v>1450</v>
      </c>
      <c r="D297" s="7" t="s">
        <v>1451</v>
      </c>
      <c r="E297" s="8" t="str">
        <f>HYPERLINK("https://buffer.com","Buffer")</f>
        <v>Buffer</v>
      </c>
      <c r="F297" s="4">
        <v>43311.216597222221</v>
      </c>
      <c r="G297" s="17" t="s">
        <v>2783</v>
      </c>
      <c r="H297" s="35" t="s">
        <v>1040</v>
      </c>
      <c r="I297" s="10" t="s">
        <v>1452</v>
      </c>
    </row>
    <row r="298" spans="1:9" ht="30">
      <c r="A298" s="4">
        <v>43561.970069444447</v>
      </c>
      <c r="B298" s="5" t="str">
        <f>HYPERLINK("https://twitter.com/cambopedia","@cambopedia")</f>
        <v>@cambopedia</v>
      </c>
      <c r="C298" s="6" t="s">
        <v>10790</v>
      </c>
      <c r="D298" s="7" t="s">
        <v>10791</v>
      </c>
      <c r="E298" s="8" t="str">
        <f>HYPERLINK("https://about.twitter.com/products/tweetdeck","TweetDeck")</f>
        <v>TweetDeck</v>
      </c>
      <c r="F298" s="4">
        <v>40282.031828703708</v>
      </c>
      <c r="G298" s="17" t="s">
        <v>2783</v>
      </c>
      <c r="H298" s="35" t="s">
        <v>1040</v>
      </c>
      <c r="I298" s="10" t="s">
        <v>10792</v>
      </c>
    </row>
    <row r="299" spans="1:9" ht="75">
      <c r="A299" s="4">
        <v>43559.938194444447</v>
      </c>
      <c r="B299" s="5" t="str">
        <f>HYPERLINK("https://twitter.com/Bermbermcoffees","@Bermbermcoffees")</f>
        <v>@Bermbermcoffees</v>
      </c>
      <c r="C299" s="6" t="s">
        <v>1450</v>
      </c>
      <c r="D299" s="7" t="s">
        <v>1451</v>
      </c>
      <c r="E299" s="8" t="str">
        <f t="shared" ref="E299:E309" si="14">HYPERLINK("https://buffer.com","Buffer")</f>
        <v>Buffer</v>
      </c>
      <c r="F299" s="4">
        <v>43311.216597222221</v>
      </c>
      <c r="G299" s="17" t="s">
        <v>2783</v>
      </c>
      <c r="H299" s="35" t="s">
        <v>1040</v>
      </c>
      <c r="I299" s="10" t="s">
        <v>1452</v>
      </c>
    </row>
    <row r="300" spans="1:9" ht="45">
      <c r="A300" s="12">
        <v>43578.760451388887</v>
      </c>
      <c r="B300" s="13" t="str">
        <f>HYPERLINK("https://twitter.com/seyhas1","@seyhas1")</f>
        <v>@seyhas1</v>
      </c>
      <c r="C300" s="14" t="s">
        <v>1038</v>
      </c>
      <c r="D300" s="15" t="s">
        <v>1039</v>
      </c>
      <c r="E300" s="16" t="str">
        <f t="shared" si="14"/>
        <v>Buffer</v>
      </c>
      <c r="F300" s="12">
        <v>41776.087835648148</v>
      </c>
      <c r="G300" s="17" t="s">
        <v>2783</v>
      </c>
      <c r="H300" s="35" t="s">
        <v>1040</v>
      </c>
      <c r="I300" s="18" t="s">
        <v>1041</v>
      </c>
    </row>
    <row r="301" spans="1:9" ht="75">
      <c r="A301" s="12">
        <v>43577.938206018516</v>
      </c>
      <c r="B301" s="13" t="str">
        <f>HYPERLINK("https://twitter.com/Bermbermcoffees","@Bermbermcoffees")</f>
        <v>@Bermbermcoffees</v>
      </c>
      <c r="C301" s="14" t="s">
        <v>1450</v>
      </c>
      <c r="D301" s="15" t="s">
        <v>1451</v>
      </c>
      <c r="E301" s="16" t="str">
        <f t="shared" si="14"/>
        <v>Buffer</v>
      </c>
      <c r="F301" s="12">
        <v>43311.216597222221</v>
      </c>
      <c r="G301" s="17" t="s">
        <v>2783</v>
      </c>
      <c r="H301" s="35" t="s">
        <v>1040</v>
      </c>
      <c r="I301" s="18" t="s">
        <v>1452</v>
      </c>
    </row>
    <row r="302" spans="1:9" ht="45">
      <c r="A302" s="12">
        <v>43572.760439814811</v>
      </c>
      <c r="B302" s="13" t="str">
        <f>HYPERLINK("https://twitter.com/seyhas1","@seyhas1")</f>
        <v>@seyhas1</v>
      </c>
      <c r="C302" s="14" t="s">
        <v>1038</v>
      </c>
      <c r="D302" s="15" t="s">
        <v>1039</v>
      </c>
      <c r="E302" s="16" t="str">
        <f t="shared" si="14"/>
        <v>Buffer</v>
      </c>
      <c r="F302" s="12">
        <v>41776.087835648148</v>
      </c>
      <c r="G302" s="17" t="s">
        <v>2783</v>
      </c>
      <c r="H302" s="35" t="s">
        <v>1040</v>
      </c>
      <c r="I302" s="18" t="s">
        <v>1041</v>
      </c>
    </row>
    <row r="303" spans="1:9" ht="75">
      <c r="A303" s="12">
        <v>43570.331250000003</v>
      </c>
      <c r="B303" s="13" t="str">
        <f>HYPERLINK("https://twitter.com/Bermbermcoffees","@Bermbermcoffees")</f>
        <v>@Bermbermcoffees</v>
      </c>
      <c r="C303" s="14" t="s">
        <v>1450</v>
      </c>
      <c r="D303" s="15" t="s">
        <v>1451</v>
      </c>
      <c r="E303" s="16" t="str">
        <f t="shared" si="14"/>
        <v>Buffer</v>
      </c>
      <c r="F303" s="12">
        <v>43311.216597222221</v>
      </c>
      <c r="G303" s="17" t="s">
        <v>2783</v>
      </c>
      <c r="H303" s="35" t="s">
        <v>1040</v>
      </c>
      <c r="I303" s="18" t="s">
        <v>1452</v>
      </c>
    </row>
    <row r="304" spans="1:9" ht="75">
      <c r="A304" s="12">
        <v>43566.938194444447</v>
      </c>
      <c r="B304" s="13" t="str">
        <f>HYPERLINK("https://twitter.com/Bermbermcoffees","@Bermbermcoffees")</f>
        <v>@Bermbermcoffees</v>
      </c>
      <c r="C304" s="14" t="s">
        <v>1450</v>
      </c>
      <c r="D304" s="15" t="s">
        <v>1451</v>
      </c>
      <c r="E304" s="16" t="str">
        <f t="shared" si="14"/>
        <v>Buffer</v>
      </c>
      <c r="F304" s="12">
        <v>43311.216597222221</v>
      </c>
      <c r="G304" s="17" t="s">
        <v>2783</v>
      </c>
      <c r="H304" s="35" t="s">
        <v>1040</v>
      </c>
      <c r="I304" s="18" t="s">
        <v>1452</v>
      </c>
    </row>
    <row r="305" spans="1:9" ht="45">
      <c r="A305" s="12">
        <v>43566.760451388887</v>
      </c>
      <c r="B305" s="13" t="str">
        <f>HYPERLINK("https://twitter.com/seyhas1","@seyhas1")</f>
        <v>@seyhas1</v>
      </c>
      <c r="C305" s="14" t="s">
        <v>1038</v>
      </c>
      <c r="D305" s="15" t="s">
        <v>1039</v>
      </c>
      <c r="E305" s="16" t="str">
        <f t="shared" si="14"/>
        <v>Buffer</v>
      </c>
      <c r="F305" s="12">
        <v>41776.087835648148</v>
      </c>
      <c r="G305" s="17" t="s">
        <v>2783</v>
      </c>
      <c r="H305" s="35" t="s">
        <v>1040</v>
      </c>
      <c r="I305" s="18" t="s">
        <v>1041</v>
      </c>
    </row>
    <row r="306" spans="1:9" ht="45">
      <c r="A306" s="19">
        <v>43545.136840277773</v>
      </c>
      <c r="B306" s="20" t="str">
        <f>HYPERLINK("https://twitter.com/seyhasam","@seyhasam")</f>
        <v>@seyhasam</v>
      </c>
      <c r="C306" s="21" t="s">
        <v>250</v>
      </c>
      <c r="D306" s="22" t="s">
        <v>251</v>
      </c>
      <c r="E306" s="23" t="str">
        <f t="shared" si="14"/>
        <v>Buffer</v>
      </c>
      <c r="F306" s="19">
        <v>40142.030439814815</v>
      </c>
      <c r="G306" s="17" t="s">
        <v>2783</v>
      </c>
      <c r="H306" s="35" t="s">
        <v>252</v>
      </c>
      <c r="I306" s="25" t="s">
        <v>253</v>
      </c>
    </row>
    <row r="307" spans="1:9" ht="45">
      <c r="A307" s="4">
        <v>43561.789606481485</v>
      </c>
      <c r="B307" s="5" t="str">
        <f>HYPERLINK("https://twitter.com/seyhasam","@seyhasam")</f>
        <v>@seyhasam</v>
      </c>
      <c r="C307" s="6" t="s">
        <v>250</v>
      </c>
      <c r="D307" s="7" t="s">
        <v>251</v>
      </c>
      <c r="E307" s="8" t="str">
        <f t="shared" si="14"/>
        <v>Buffer</v>
      </c>
      <c r="F307" s="4">
        <v>40142.030439814815</v>
      </c>
      <c r="G307" s="17" t="s">
        <v>2783</v>
      </c>
      <c r="H307" s="35" t="s">
        <v>252</v>
      </c>
      <c r="I307" s="10" t="s">
        <v>253</v>
      </c>
    </row>
    <row r="308" spans="1:9" ht="45">
      <c r="A308" s="4">
        <v>43556.789606481485</v>
      </c>
      <c r="B308" s="5" t="str">
        <f>HYPERLINK("https://twitter.com/seyhasam","@seyhasam")</f>
        <v>@seyhasam</v>
      </c>
      <c r="C308" s="6" t="s">
        <v>250</v>
      </c>
      <c r="D308" s="7" t="s">
        <v>251</v>
      </c>
      <c r="E308" s="8" t="str">
        <f t="shared" si="14"/>
        <v>Buffer</v>
      </c>
      <c r="F308" s="4">
        <v>40142.030439814815</v>
      </c>
      <c r="G308" s="17" t="s">
        <v>2783</v>
      </c>
      <c r="H308" s="35" t="s">
        <v>252</v>
      </c>
      <c r="I308" s="10" t="s">
        <v>253</v>
      </c>
    </row>
    <row r="309" spans="1:9" ht="45">
      <c r="A309" s="12">
        <v>43580.136828703704</v>
      </c>
      <c r="B309" s="13" t="str">
        <f>HYPERLINK("https://twitter.com/seyhasam","@seyhasam")</f>
        <v>@seyhasam</v>
      </c>
      <c r="C309" s="14" t="s">
        <v>250</v>
      </c>
      <c r="D309" s="15" t="s">
        <v>251</v>
      </c>
      <c r="E309" s="16" t="str">
        <f t="shared" si="14"/>
        <v>Buffer</v>
      </c>
      <c r="F309" s="12">
        <v>40142.030439814815</v>
      </c>
      <c r="G309" s="17" t="s">
        <v>2783</v>
      </c>
      <c r="H309" s="35" t="s">
        <v>252</v>
      </c>
      <c r="I309" s="18" t="s">
        <v>253</v>
      </c>
    </row>
    <row r="310" spans="1:9" ht="75">
      <c r="A310" s="4">
        <v>43564.046087962968</v>
      </c>
      <c r="B310" s="5" t="str">
        <f>HYPERLINK("https://twitter.com/CondoniansPH","@CondoniansPH")</f>
        <v>@CondoniansPH</v>
      </c>
      <c r="C310" s="6" t="s">
        <v>6803</v>
      </c>
      <c r="D310" s="7" t="s">
        <v>6804</v>
      </c>
      <c r="E310" s="8" t="str">
        <f>HYPERLINK("http://twitter.com/download/android","Twitter for Android")</f>
        <v>Twitter for Android</v>
      </c>
      <c r="F310" s="4">
        <v>43165.201898148152</v>
      </c>
      <c r="G310" s="9" t="s">
        <v>2783</v>
      </c>
      <c r="H310" s="35" t="s">
        <v>3773</v>
      </c>
      <c r="I310" s="10" t="s">
        <v>6805</v>
      </c>
    </row>
    <row r="311" spans="1:9" ht="45">
      <c r="A311" s="12">
        <v>43571.245925925927</v>
      </c>
      <c r="B311" s="13" t="str">
        <f>HYPERLINK("https://twitter.com/AlbertBayarcal","@AlbertBayarcal")</f>
        <v>@AlbertBayarcal</v>
      </c>
      <c r="C311" s="14" t="s">
        <v>3771</v>
      </c>
      <c r="D311" s="15" t="s">
        <v>3772</v>
      </c>
      <c r="E311" s="16" t="str">
        <f>HYPERLINK("http://www.facebook.com/twitter","Facebook")</f>
        <v>Facebook</v>
      </c>
      <c r="F311" s="12">
        <v>41413.959097222221</v>
      </c>
      <c r="G311" s="9" t="s">
        <v>2783</v>
      </c>
      <c r="H311" s="35" t="s">
        <v>3773</v>
      </c>
      <c r="I311" s="18" t="s">
        <v>3774</v>
      </c>
    </row>
    <row r="312" spans="1:9" ht="90">
      <c r="A312" s="12">
        <v>43571.160844907412</v>
      </c>
      <c r="B312" s="13" t="str">
        <f>HYPERLINK("https://twitter.com/AlbertBayarcal","@AlbertBayarcal")</f>
        <v>@AlbertBayarcal</v>
      </c>
      <c r="C312" s="14" t="s">
        <v>3771</v>
      </c>
      <c r="D312" s="15" t="s">
        <v>3828</v>
      </c>
      <c r="E312" s="16" t="str">
        <f>HYPERLINK("http://www.facebook.com/twitter","Facebook")</f>
        <v>Facebook</v>
      </c>
      <c r="F312" s="12">
        <v>41413.959097222221</v>
      </c>
      <c r="G312" s="9" t="s">
        <v>2783</v>
      </c>
      <c r="H312" s="35" t="s">
        <v>3773</v>
      </c>
      <c r="I312" s="18" t="s">
        <v>3774</v>
      </c>
    </row>
    <row r="313" spans="1:9" ht="45">
      <c r="A313" s="12">
        <v>43571.15688657407</v>
      </c>
      <c r="B313" s="13" t="str">
        <f>HYPERLINK("https://twitter.com/AlbertBayarcal","@AlbertBayarcal")</f>
        <v>@AlbertBayarcal</v>
      </c>
      <c r="C313" s="14" t="s">
        <v>3771</v>
      </c>
      <c r="D313" s="15" t="s">
        <v>3829</v>
      </c>
      <c r="E313" s="16" t="str">
        <f>HYPERLINK("http://www.facebook.com/twitter","Facebook")</f>
        <v>Facebook</v>
      </c>
      <c r="F313" s="12">
        <v>41413.959097222221</v>
      </c>
      <c r="G313" s="9" t="s">
        <v>2783</v>
      </c>
      <c r="H313" s="35" t="s">
        <v>3773</v>
      </c>
      <c r="I313" s="18" t="s">
        <v>3774</v>
      </c>
    </row>
    <row r="314" spans="1:9" ht="75">
      <c r="A314" s="4">
        <v>43560.143912037034</v>
      </c>
      <c r="B314" s="5" t="str">
        <f>HYPERLINK("https://twitter.com/Kevinleeperez11","@Kevinleeperez11")</f>
        <v>@Kevinleeperez11</v>
      </c>
      <c r="C314" s="6" t="s">
        <v>11594</v>
      </c>
      <c r="D314" s="7" t="s">
        <v>11595</v>
      </c>
      <c r="E314" s="8" t="str">
        <f>HYPERLINK("http://twitter.com/download/android","Twitter for Android")</f>
        <v>Twitter for Android</v>
      </c>
      <c r="F314" s="4">
        <v>43557.897881944446</v>
      </c>
      <c r="G314" s="9" t="s">
        <v>2783</v>
      </c>
      <c r="H314" s="35" t="s">
        <v>11596</v>
      </c>
      <c r="I314" s="10" t="s">
        <v>11597</v>
      </c>
    </row>
    <row r="315" spans="1:9" ht="75">
      <c r="A315" s="12">
        <v>43574.338472222225</v>
      </c>
      <c r="B315" s="13" t="str">
        <f>HYPERLINK("https://twitter.com/DeepinderSRana","@DeepinderSRana")</f>
        <v>@DeepinderSRana</v>
      </c>
      <c r="C315" s="14" t="s">
        <v>2589</v>
      </c>
      <c r="D315" s="15" t="s">
        <v>2590</v>
      </c>
      <c r="E315" s="16" t="str">
        <f>HYPERLINK("http://twitter.com/download/android","Twitter for Android")</f>
        <v>Twitter for Android</v>
      </c>
      <c r="F315" s="12">
        <v>40209.940057870372</v>
      </c>
      <c r="G315" s="17" t="s">
        <v>2783</v>
      </c>
      <c r="H315" s="35" t="s">
        <v>2591</v>
      </c>
      <c r="I315" s="18" t="s">
        <v>2592</v>
      </c>
    </row>
    <row r="316" spans="1:9" ht="60">
      <c r="A316" s="4">
        <v>43562.069768518515</v>
      </c>
      <c r="B316" s="5" t="str">
        <f>HYPERLINK("https://twitter.com/sanvai","@sanvai")</f>
        <v>@sanvai</v>
      </c>
      <c r="C316" s="6" t="s">
        <v>10757</v>
      </c>
      <c r="D316" s="7" t="s">
        <v>10758</v>
      </c>
      <c r="E316" s="8" t="str">
        <f>HYPERLINK("http://twitter.com/download/android","Twitter for Android")</f>
        <v>Twitter for Android</v>
      </c>
      <c r="F316" s="4">
        <v>39867.290497685186</v>
      </c>
      <c r="G316" s="17" t="s">
        <v>2783</v>
      </c>
      <c r="H316" s="35" t="s">
        <v>3285</v>
      </c>
      <c r="I316" s="10" t="s">
        <v>10759</v>
      </c>
    </row>
    <row r="317" spans="1:9" ht="15">
      <c r="A317" s="4">
        <v>43556.979259259257</v>
      </c>
      <c r="B317" s="5" t="str">
        <f>HYPERLINK("https://twitter.com/businessline","@businessline")</f>
        <v>@businessline</v>
      </c>
      <c r="C317" s="6" t="s">
        <v>12689</v>
      </c>
      <c r="D317" s="7" t="s">
        <v>12690</v>
      </c>
      <c r="E317" s="8" t="str">
        <f>HYPERLINK("http://www.socialflow.com","SocialFlow")</f>
        <v>SocialFlow</v>
      </c>
      <c r="F317" s="4">
        <v>39362.370821759258</v>
      </c>
      <c r="G317" s="17" t="s">
        <v>2783</v>
      </c>
      <c r="H317" s="35" t="s">
        <v>3285</v>
      </c>
      <c r="I317" s="10" t="s">
        <v>12691</v>
      </c>
    </row>
    <row r="318" spans="1:9" ht="60">
      <c r="A318" s="12">
        <v>43572.378750000003</v>
      </c>
      <c r="B318" s="13" t="str">
        <f>HYPERLINK("https://twitter.com/TheIndulgeMag","@TheIndulgeMag")</f>
        <v>@TheIndulgeMag</v>
      </c>
      <c r="C318" s="14" t="s">
        <v>3283</v>
      </c>
      <c r="D318" s="15" t="s">
        <v>3284</v>
      </c>
      <c r="E318" s="16" t="str">
        <f>HYPERLINK("http://twitter.com","Twitter Web Client")</f>
        <v>Twitter Web Client</v>
      </c>
      <c r="F318" s="12">
        <v>42492.08699074074</v>
      </c>
      <c r="G318" s="17" t="s">
        <v>2783</v>
      </c>
      <c r="H318" s="35" t="s">
        <v>3285</v>
      </c>
      <c r="I318" s="18" t="s">
        <v>3286</v>
      </c>
    </row>
    <row r="319" spans="1:9" ht="120">
      <c r="A319" s="12">
        <v>43567.086793981478</v>
      </c>
      <c r="B319" s="13" t="str">
        <f>HYPERLINK("https://twitter.com/TNTDPC_Official","@TNTDPC_Official")</f>
        <v>@TNTDPC_Official</v>
      </c>
      <c r="C319" s="14" t="s">
        <v>5247</v>
      </c>
      <c r="D319" s="15" t="s">
        <v>5248</v>
      </c>
      <c r="E319" s="16" t="str">
        <f>HYPERLINK("http://twitter.com","Twitter Web Client")</f>
        <v>Twitter Web Client</v>
      </c>
      <c r="F319" s="12">
        <v>43332.961493055554</v>
      </c>
      <c r="G319" s="17" t="s">
        <v>2783</v>
      </c>
      <c r="H319" s="35" t="s">
        <v>3285</v>
      </c>
      <c r="I319" s="18" t="s">
        <v>5249</v>
      </c>
    </row>
    <row r="320" spans="1:9" ht="15">
      <c r="A320" s="12">
        <v>43573.893472222218</v>
      </c>
      <c r="B320" s="13" t="str">
        <f>HYPERLINK("https://twitter.com/happyface1022","@happyface1022")</f>
        <v>@happyface1022</v>
      </c>
      <c r="C320" s="14" t="s">
        <v>2707</v>
      </c>
      <c r="D320" s="15" t="s">
        <v>12864</v>
      </c>
      <c r="E320" s="16" t="str">
        <f>HYPERLINK("https://ifttt.com","IFTTT")</f>
        <v>IFTTT</v>
      </c>
      <c r="F320" s="12">
        <v>40211.814884259264</v>
      </c>
      <c r="G320" s="17" t="s">
        <v>2783</v>
      </c>
      <c r="H320" s="35" t="s">
        <v>2708</v>
      </c>
      <c r="I320" s="18" t="s">
        <v>2709</v>
      </c>
    </row>
    <row r="321" spans="1:9" ht="60">
      <c r="A321" s="19">
        <v>43544.755601851852</v>
      </c>
      <c r="B321" s="20" t="str">
        <f>HYPERLINK("https://twitter.com/KWSKAN","@KWSKAN")</f>
        <v>@KWSKAN</v>
      </c>
      <c r="C321" s="21" t="s">
        <v>1478</v>
      </c>
      <c r="D321" s="22" t="s">
        <v>12851</v>
      </c>
      <c r="E321" s="23" t="str">
        <f>HYPERLINK("http://www.linkedin.com/","LinkedIn")</f>
        <v>LinkedIn</v>
      </c>
      <c r="F321" s="19">
        <v>39902.485185185185</v>
      </c>
      <c r="G321" s="17" t="s">
        <v>2783</v>
      </c>
      <c r="H321" s="35" t="s">
        <v>1479</v>
      </c>
      <c r="I321" s="25" t="s">
        <v>1480</v>
      </c>
    </row>
    <row r="322" spans="1:9" ht="45">
      <c r="A322" s="12">
        <v>43577.84311342593</v>
      </c>
      <c r="B322" s="13" t="str">
        <f>HYPERLINK("https://twitter.com/KWSKAN","@KWSKAN")</f>
        <v>@KWSKAN</v>
      </c>
      <c r="C322" s="14" t="s">
        <v>1478</v>
      </c>
      <c r="D322" s="15" t="s">
        <v>12852</v>
      </c>
      <c r="E322" s="16" t="str">
        <f>HYPERLINK("http://www.linkedin.com/","LinkedIn")</f>
        <v>LinkedIn</v>
      </c>
      <c r="F322" s="12">
        <v>39902.485185185185</v>
      </c>
      <c r="G322" s="17" t="s">
        <v>2783</v>
      </c>
      <c r="H322" s="35" t="s">
        <v>1479</v>
      </c>
      <c r="I322" s="18" t="s">
        <v>1480</v>
      </c>
    </row>
    <row r="323" spans="1:9" ht="60">
      <c r="A323" s="4">
        <v>43556.818611111114</v>
      </c>
      <c r="B323" s="5" t="str">
        <f>HYPERLINK("https://twitter.com/EvolvingViews","@EvolvingViews")</f>
        <v>@EvolvingViews</v>
      </c>
      <c r="C323" s="6" t="s">
        <v>12732</v>
      </c>
      <c r="D323" s="7" t="s">
        <v>12853</v>
      </c>
      <c r="E323" s="8" t="str">
        <f>HYPERLINK("https://mobile.twitter.com","Twitter Web App")</f>
        <v>Twitter Web App</v>
      </c>
      <c r="F323" s="4">
        <v>40002.304375</v>
      </c>
      <c r="G323" s="17" t="s">
        <v>2783</v>
      </c>
      <c r="H323" s="35" t="s">
        <v>12733</v>
      </c>
      <c r="I323" s="10" t="s">
        <v>12734</v>
      </c>
    </row>
    <row r="324" spans="1:9" ht="60">
      <c r="A324" s="4">
        <v>43561.535011574073</v>
      </c>
      <c r="B324" s="5" t="str">
        <f>HYPERLINK("https://twitter.com/_GorgeousAsh_","@_GorgeousAsh_")</f>
        <v>@_GorgeousAsh_</v>
      </c>
      <c r="C324" s="6" t="s">
        <v>10943</v>
      </c>
      <c r="D324" s="7" t="s">
        <v>10944</v>
      </c>
      <c r="E324" s="8" t="str">
        <f>HYPERLINK("http://twitter.com/download/iphone","Twitter for iPhone")</f>
        <v>Twitter for iPhone</v>
      </c>
      <c r="F324" s="4">
        <v>40534.925740740742</v>
      </c>
      <c r="G324" s="17" t="s">
        <v>2783</v>
      </c>
      <c r="H324" s="35" t="s">
        <v>10945</v>
      </c>
      <c r="I324" s="10" t="s">
        <v>10946</v>
      </c>
    </row>
    <row r="325" spans="1:9" ht="45">
      <c r="A325" s="12">
        <v>43575.340231481481</v>
      </c>
      <c r="B325" s="13" t="str">
        <f>HYPERLINK("https://twitter.com/missuallfather","@missuallfather")</f>
        <v>@missuallfather</v>
      </c>
      <c r="C325" s="14" t="s">
        <v>2278</v>
      </c>
      <c r="D325" s="15" t="s">
        <v>2279</v>
      </c>
      <c r="E325" s="16" t="str">
        <f>HYPERLINK("http://twitter.com","Twitter Web Client")</f>
        <v>Twitter Web Client</v>
      </c>
      <c r="F325" s="12">
        <v>42403.241273148145</v>
      </c>
      <c r="G325" s="17" t="s">
        <v>2783</v>
      </c>
      <c r="H325" s="35" t="s">
        <v>2280</v>
      </c>
      <c r="I325" s="18"/>
    </row>
    <row r="326" spans="1:9" ht="90">
      <c r="A326" s="19">
        <v>43544.317835648151</v>
      </c>
      <c r="B326" s="20" t="str">
        <f>HYPERLINK("https://twitter.com/aurLyzM","@aurLyzM")</f>
        <v>@aurLyzM</v>
      </c>
      <c r="C326" s="21" t="s">
        <v>9532</v>
      </c>
      <c r="D326" s="22" t="s">
        <v>9533</v>
      </c>
      <c r="E326" s="23" t="str">
        <f>HYPERLINK("http://instagram.com","Instagram")</f>
        <v>Instagram</v>
      </c>
      <c r="F326" s="19">
        <v>40342.179976851854</v>
      </c>
      <c r="G326" s="24" t="s">
        <v>2783</v>
      </c>
      <c r="H326" s="35" t="s">
        <v>9534</v>
      </c>
      <c r="I326" s="25" t="s">
        <v>9535</v>
      </c>
    </row>
    <row r="327" spans="1:9" ht="45">
      <c r="A327" s="12">
        <v>43579.325185185182</v>
      </c>
      <c r="B327" s="13" t="str">
        <f>HYPERLINK("https://twitter.com/JuniKpa","@JuniKpa")</f>
        <v>@JuniKpa</v>
      </c>
      <c r="C327" s="14" t="s">
        <v>767</v>
      </c>
      <c r="D327" s="15" t="s">
        <v>768</v>
      </c>
      <c r="E327" s="16" t="str">
        <f>HYPERLINK("http://twitter.com/download/android","Twitter for Android")</f>
        <v>Twitter for Android</v>
      </c>
      <c r="F327" s="12">
        <v>41969.908784722225</v>
      </c>
      <c r="G327" s="17" t="s">
        <v>2783</v>
      </c>
      <c r="H327" s="35" t="s">
        <v>769</v>
      </c>
      <c r="I327" s="18" t="s">
        <v>770</v>
      </c>
    </row>
    <row r="328" spans="1:9" ht="30">
      <c r="A328" s="4">
        <v>43560.289675925931</v>
      </c>
      <c r="B328" s="5" t="str">
        <f>HYPERLINK("https://twitter.com/marcolocco","@marcolocco")</f>
        <v>@marcolocco</v>
      </c>
      <c r="C328" s="6" t="s">
        <v>11499</v>
      </c>
      <c r="D328" s="7" t="s">
        <v>11500</v>
      </c>
      <c r="E328" s="8" t="str">
        <f>HYPERLINK("http://instagram.com","Instagram")</f>
        <v>Instagram</v>
      </c>
      <c r="F328" s="4">
        <v>39921.024236111109</v>
      </c>
      <c r="G328" s="9" t="s">
        <v>2783</v>
      </c>
      <c r="H328" s="35" t="s">
        <v>11501</v>
      </c>
      <c r="I328" s="10" t="s">
        <v>11502</v>
      </c>
    </row>
    <row r="329" spans="1:9" ht="75">
      <c r="A329" s="12">
        <v>43573.39680555556</v>
      </c>
      <c r="B329" s="13" t="str">
        <f>HYPERLINK("https://twitter.com/SinghAnjeli","@SinghAnjeli")</f>
        <v>@SinghAnjeli</v>
      </c>
      <c r="C329" s="14" t="s">
        <v>2894</v>
      </c>
      <c r="D329" s="15" t="s">
        <v>2895</v>
      </c>
      <c r="E329" s="16" t="str">
        <f>HYPERLINK("http://twitter.com/download/iphone","Twitter for iPhone")</f>
        <v>Twitter for iPhone</v>
      </c>
      <c r="F329" s="12">
        <v>42924.09646990741</v>
      </c>
      <c r="G329" s="17" t="s">
        <v>2783</v>
      </c>
      <c r="H329" s="35" t="s">
        <v>2896</v>
      </c>
      <c r="I329" s="18" t="s">
        <v>2897</v>
      </c>
    </row>
    <row r="330" spans="1:9" ht="120">
      <c r="A330" s="19">
        <v>43550.006377314814</v>
      </c>
      <c r="B330" s="20" t="str">
        <f>HYPERLINK("https://twitter.com/villaclarisse_","@villaclarisse_")</f>
        <v>@villaclarisse_</v>
      </c>
      <c r="C330" s="21" t="s">
        <v>4359</v>
      </c>
      <c r="D330" s="22" t="s">
        <v>7864</v>
      </c>
      <c r="E330" s="23" t="str">
        <f>HYPERLINK("https://mobile.twitter.com","Twitter Web App")</f>
        <v>Twitter Web App</v>
      </c>
      <c r="F330" s="19">
        <v>43541.952789351853</v>
      </c>
      <c r="G330" s="17" t="s">
        <v>2783</v>
      </c>
      <c r="H330" s="35" t="s">
        <v>1848</v>
      </c>
      <c r="I330" s="25" t="s">
        <v>4361</v>
      </c>
    </row>
    <row r="331" spans="1:9" ht="45">
      <c r="A331" s="19">
        <v>43549.283831018518</v>
      </c>
      <c r="B331" s="20" t="str">
        <f>HYPERLINK("https://twitter.com/villaclarisse_","@villaclarisse_")</f>
        <v>@villaclarisse_</v>
      </c>
      <c r="C331" s="21" t="s">
        <v>4359</v>
      </c>
      <c r="D331" s="22" t="s">
        <v>8110</v>
      </c>
      <c r="E331" s="23" t="str">
        <f>HYPERLINK("http://twitter.com","Twitter Web Client")</f>
        <v>Twitter Web Client</v>
      </c>
      <c r="F331" s="19">
        <v>43541.952789351853</v>
      </c>
      <c r="G331" s="17" t="s">
        <v>2783</v>
      </c>
      <c r="H331" s="35" t="s">
        <v>1848</v>
      </c>
      <c r="I331" s="25" t="s">
        <v>4361</v>
      </c>
    </row>
    <row r="332" spans="1:9" ht="30">
      <c r="A332" s="19">
        <v>43543.019293981481</v>
      </c>
      <c r="B332" s="20" t="str">
        <f>HYPERLINK("https://twitter.com/villaclarisse_","@villaclarisse_")</f>
        <v>@villaclarisse_</v>
      </c>
      <c r="C332" s="21" t="s">
        <v>4359</v>
      </c>
      <c r="D332" s="22" t="s">
        <v>9961</v>
      </c>
      <c r="E332" s="23" t="str">
        <f>HYPERLINK("http://twitter.com","Twitter Web Client")</f>
        <v>Twitter Web Client</v>
      </c>
      <c r="F332" s="19">
        <v>43541.952789351853</v>
      </c>
      <c r="G332" s="17" t="s">
        <v>2783</v>
      </c>
      <c r="H332" s="35" t="s">
        <v>1848</v>
      </c>
      <c r="I332" s="25" t="s">
        <v>4361</v>
      </c>
    </row>
    <row r="333" spans="1:9" ht="105">
      <c r="A333" s="4">
        <v>43565.777465277773</v>
      </c>
      <c r="B333" s="5" t="str">
        <f>HYPERLINK("https://twitter.com/rentbalivillas1","@rentbalivillas1")</f>
        <v>@rentbalivillas1</v>
      </c>
      <c r="C333" s="6" t="s">
        <v>1846</v>
      </c>
      <c r="D333" s="7" t="s">
        <v>5910</v>
      </c>
      <c r="E333" s="8" t="str">
        <f>HYPERLINK("http://twitter.com/download/android","Twitter for Android")</f>
        <v>Twitter for Android</v>
      </c>
      <c r="F333" s="4">
        <v>42130.79420138889</v>
      </c>
      <c r="G333" s="17" t="s">
        <v>2783</v>
      </c>
      <c r="H333" s="35" t="s">
        <v>1848</v>
      </c>
      <c r="I333" s="10"/>
    </row>
    <row r="334" spans="1:9" ht="105">
      <c r="A334" s="4">
        <v>43560.794444444444</v>
      </c>
      <c r="B334" s="5" t="str">
        <f>HYPERLINK("https://twitter.com/rentbalivillas1","@rentbalivillas1")</f>
        <v>@rentbalivillas1</v>
      </c>
      <c r="C334" s="6" t="s">
        <v>1846</v>
      </c>
      <c r="D334" s="7" t="s">
        <v>11162</v>
      </c>
      <c r="E334" s="8" t="str">
        <f>HYPERLINK("http://twitter.com/download/android","Twitter for Android")</f>
        <v>Twitter for Android</v>
      </c>
      <c r="F334" s="4">
        <v>42130.79420138889</v>
      </c>
      <c r="G334" s="17" t="s">
        <v>2783</v>
      </c>
      <c r="H334" s="35" t="s">
        <v>1848</v>
      </c>
      <c r="I334" s="10"/>
    </row>
    <row r="335" spans="1:9" ht="120">
      <c r="A335" s="12">
        <v>43576.767453703702</v>
      </c>
      <c r="B335" s="13" t="str">
        <f>HYPERLINK("https://twitter.com/rentbalivillas1","@rentbalivillas1")</f>
        <v>@rentbalivillas1</v>
      </c>
      <c r="C335" s="14" t="s">
        <v>1846</v>
      </c>
      <c r="D335" s="15" t="s">
        <v>1847</v>
      </c>
      <c r="E335" s="16" t="str">
        <f>HYPERLINK("http://twitter.com/download/android","Twitter for Android")</f>
        <v>Twitter for Android</v>
      </c>
      <c r="F335" s="12">
        <v>42130.79420138889</v>
      </c>
      <c r="G335" s="17" t="s">
        <v>2783</v>
      </c>
      <c r="H335" s="35" t="s">
        <v>1848</v>
      </c>
      <c r="I335" s="18"/>
    </row>
    <row r="336" spans="1:9" ht="60">
      <c r="A336" s="12">
        <v>43570.034953703704</v>
      </c>
      <c r="B336" s="13" t="str">
        <f>HYPERLINK("https://twitter.com/villaclarisse_","@villaclarisse_")</f>
        <v>@villaclarisse_</v>
      </c>
      <c r="C336" s="14" t="s">
        <v>4359</v>
      </c>
      <c r="D336" s="15" t="s">
        <v>4360</v>
      </c>
      <c r="E336" s="16" t="str">
        <f>HYPERLINK("http://twitter.com","Twitter Web Client")</f>
        <v>Twitter Web Client</v>
      </c>
      <c r="F336" s="12">
        <v>43541.952789351853</v>
      </c>
      <c r="G336" s="17" t="s">
        <v>2783</v>
      </c>
      <c r="H336" s="35" t="s">
        <v>1848</v>
      </c>
      <c r="I336" s="18" t="s">
        <v>4361</v>
      </c>
    </row>
    <row r="337" spans="1:9" ht="75">
      <c r="A337" s="12">
        <v>43578.384988425925</v>
      </c>
      <c r="B337" s="13" t="str">
        <f>HYPERLINK("https://twitter.com/ashiq185t","@ashiq185t")</f>
        <v>@ashiq185t</v>
      </c>
      <c r="C337" s="14" t="s">
        <v>1241</v>
      </c>
      <c r="D337" s="15" t="s">
        <v>996</v>
      </c>
      <c r="E337" s="16" t="str">
        <f>HYPERLINK("http://twitter.com","Twitter Web Client")</f>
        <v>Twitter Web Client</v>
      </c>
      <c r="F337" s="12">
        <v>43339.416678240741</v>
      </c>
      <c r="G337" s="17" t="s">
        <v>2783</v>
      </c>
      <c r="H337" s="35" t="s">
        <v>1242</v>
      </c>
      <c r="I337" s="18"/>
    </row>
    <row r="338" spans="1:9" ht="75">
      <c r="A338" s="12">
        <v>43578.445787037039</v>
      </c>
      <c r="B338" s="13" t="str">
        <f>HYPERLINK("https://twitter.com/Raju61655011","@Raju61655011")</f>
        <v>@Raju61655011</v>
      </c>
      <c r="C338" s="14" t="s">
        <v>1200</v>
      </c>
      <c r="D338" s="15" t="s">
        <v>996</v>
      </c>
      <c r="E338" s="16" t="str">
        <f>HYPERLINK("http://twitter.com","Twitter Web Client")</f>
        <v>Twitter Web Client</v>
      </c>
      <c r="F338" s="12">
        <v>43533.425555555557</v>
      </c>
      <c r="G338" s="17" t="s">
        <v>2783</v>
      </c>
      <c r="H338" s="35" t="s">
        <v>1201</v>
      </c>
      <c r="I338" s="18"/>
    </row>
    <row r="339" spans="1:9" ht="105">
      <c r="A339" s="4">
        <v>43564.584803240738</v>
      </c>
      <c r="B339" s="5" t="str">
        <f>HYPERLINK("https://twitter.com/FivErR7703","@FivErR7703")</f>
        <v>@FivErR7703</v>
      </c>
      <c r="C339" s="6" t="s">
        <v>6532</v>
      </c>
      <c r="D339" s="7" t="s">
        <v>6533</v>
      </c>
      <c r="E339" s="8" t="str">
        <f>HYPERLINK("http://twitter.com","Twitter Web Client")</f>
        <v>Twitter Web Client</v>
      </c>
      <c r="F339" s="4">
        <v>43226.912662037037</v>
      </c>
      <c r="G339" s="17" t="s">
        <v>2783</v>
      </c>
      <c r="H339" s="35" t="s">
        <v>388</v>
      </c>
      <c r="I339" s="10" t="s">
        <v>6534</v>
      </c>
    </row>
    <row r="340" spans="1:9" ht="75">
      <c r="A340" s="4">
        <v>43556.729039351849</v>
      </c>
      <c r="B340" s="5" t="str">
        <f>HYPERLINK("https://twitter.com/NerobRojone","@NerobRojone")</f>
        <v>@NerobRojone</v>
      </c>
      <c r="C340" s="6" t="s">
        <v>12756</v>
      </c>
      <c r="D340" s="7" t="s">
        <v>12757</v>
      </c>
      <c r="E340" s="8" t="str">
        <f>HYPERLINK("http://twitter.com/download/android","Twitter for Android")</f>
        <v>Twitter for Android</v>
      </c>
      <c r="F340" s="4">
        <v>43464.387708333335</v>
      </c>
      <c r="G340" s="17" t="s">
        <v>2783</v>
      </c>
      <c r="H340" s="35" t="s">
        <v>388</v>
      </c>
      <c r="I340" s="10" t="s">
        <v>12758</v>
      </c>
    </row>
    <row r="341" spans="1:9" ht="90">
      <c r="A341" s="12">
        <v>43579.933888888889</v>
      </c>
      <c r="B341" s="13" t="str">
        <f>HYPERLINK("https://twitter.com/Nusaiba210","@Nusaiba210")</f>
        <v>@Nusaiba210</v>
      </c>
      <c r="C341" s="14" t="s">
        <v>387</v>
      </c>
      <c r="D341" s="15" t="s">
        <v>301</v>
      </c>
      <c r="E341" s="16" t="str">
        <f t="shared" ref="E341:E348" si="15">HYPERLINK("http://twitter.com","Twitter Web Client")</f>
        <v>Twitter Web Client</v>
      </c>
      <c r="F341" s="12">
        <v>43104.115358796298</v>
      </c>
      <c r="G341" s="17" t="s">
        <v>2783</v>
      </c>
      <c r="H341" s="35" t="s">
        <v>388</v>
      </c>
      <c r="I341" s="18"/>
    </row>
    <row r="342" spans="1:9" ht="90">
      <c r="A342" s="12">
        <v>43579.920902777776</v>
      </c>
      <c r="B342" s="13" t="str">
        <f>HYPERLINK("https://twitter.com/OliviaH21375108","@OliviaH21375108")</f>
        <v>@OliviaH21375108</v>
      </c>
      <c r="C342" s="14" t="s">
        <v>398</v>
      </c>
      <c r="D342" s="15" t="s">
        <v>301</v>
      </c>
      <c r="E342" s="16" t="str">
        <f t="shared" si="15"/>
        <v>Twitter Web Client</v>
      </c>
      <c r="F342" s="12">
        <v>43566.506597222222</v>
      </c>
      <c r="G342" s="17" t="s">
        <v>2783</v>
      </c>
      <c r="H342" s="35" t="s">
        <v>388</v>
      </c>
      <c r="I342" s="18" t="s">
        <v>399</v>
      </c>
    </row>
    <row r="343" spans="1:9" ht="90">
      <c r="A343" s="12">
        <v>43579.461354166662</v>
      </c>
      <c r="B343" s="13" t="str">
        <f>HYPERLINK("https://twitter.com/akibrtr67","@akibrtr67")</f>
        <v>@akibrtr67</v>
      </c>
      <c r="C343" s="14" t="s">
        <v>641</v>
      </c>
      <c r="D343" s="15" t="s">
        <v>301</v>
      </c>
      <c r="E343" s="16" t="str">
        <f t="shared" si="15"/>
        <v>Twitter Web Client</v>
      </c>
      <c r="F343" s="12">
        <v>43546.28496527778</v>
      </c>
      <c r="G343" s="17" t="s">
        <v>2783</v>
      </c>
      <c r="H343" s="35" t="s">
        <v>388</v>
      </c>
      <c r="I343" s="18"/>
    </row>
    <row r="344" spans="1:9" ht="90">
      <c r="A344" s="12">
        <v>43579.460914351846</v>
      </c>
      <c r="B344" s="13" t="str">
        <f>HYPERLINK("https://twitter.com/akibwar31","@akibwar31")</f>
        <v>@akibwar31</v>
      </c>
      <c r="C344" s="14" t="s">
        <v>642</v>
      </c>
      <c r="D344" s="15" t="s">
        <v>301</v>
      </c>
      <c r="E344" s="16" t="str">
        <f t="shared" si="15"/>
        <v>Twitter Web Client</v>
      </c>
      <c r="F344" s="12">
        <v>43546.274062500001</v>
      </c>
      <c r="G344" s="17" t="s">
        <v>2783</v>
      </c>
      <c r="H344" s="35" t="s">
        <v>388</v>
      </c>
      <c r="I344" s="18"/>
    </row>
    <row r="345" spans="1:9" ht="90">
      <c r="A345" s="12">
        <v>43579.460844907408</v>
      </c>
      <c r="B345" s="13" t="str">
        <f>HYPERLINK("https://twitter.com/akibar24","@akibar24")</f>
        <v>@akibar24</v>
      </c>
      <c r="C345" s="14" t="s">
        <v>643</v>
      </c>
      <c r="D345" s="15" t="s">
        <v>301</v>
      </c>
      <c r="E345" s="16" t="str">
        <f t="shared" si="15"/>
        <v>Twitter Web Client</v>
      </c>
      <c r="F345" s="12">
        <v>43546.251041666663</v>
      </c>
      <c r="G345" s="17" t="s">
        <v>2783</v>
      </c>
      <c r="H345" s="35" t="s">
        <v>388</v>
      </c>
      <c r="I345" s="18"/>
    </row>
    <row r="346" spans="1:9" ht="90">
      <c r="A346" s="12">
        <v>43579.460509259261</v>
      </c>
      <c r="B346" s="13" t="str">
        <f>HYPERLINK("https://twitter.com/pkul18","@pkul18")</f>
        <v>@pkul18</v>
      </c>
      <c r="C346" s="14" t="s">
        <v>644</v>
      </c>
      <c r="D346" s="15" t="s">
        <v>301</v>
      </c>
      <c r="E346" s="16" t="str">
        <f t="shared" si="15"/>
        <v>Twitter Web Client</v>
      </c>
      <c r="F346" s="12">
        <v>43475.379629629635</v>
      </c>
      <c r="G346" s="17" t="s">
        <v>2783</v>
      </c>
      <c r="H346" s="35" t="s">
        <v>388</v>
      </c>
      <c r="I346" s="18"/>
    </row>
    <row r="347" spans="1:9" ht="90">
      <c r="A347" s="12">
        <v>43579.460439814815</v>
      </c>
      <c r="B347" s="13" t="str">
        <f>HYPERLINK("https://twitter.com/hasanluicy","@hasanluicy")</f>
        <v>@hasanluicy</v>
      </c>
      <c r="C347" s="14" t="s">
        <v>645</v>
      </c>
      <c r="D347" s="15" t="s">
        <v>301</v>
      </c>
      <c r="E347" s="16" t="str">
        <f t="shared" si="15"/>
        <v>Twitter Web Client</v>
      </c>
      <c r="F347" s="12">
        <v>43475.370347222226</v>
      </c>
      <c r="G347" s="17" t="s">
        <v>2783</v>
      </c>
      <c r="H347" s="35" t="s">
        <v>388</v>
      </c>
      <c r="I347" s="18"/>
    </row>
    <row r="348" spans="1:9" ht="90">
      <c r="A348" s="12">
        <v>43579.457546296297</v>
      </c>
      <c r="B348" s="13" t="str">
        <f>HYPERLINK("https://twitter.com/akibsha1","@akibsha1")</f>
        <v>@akibsha1</v>
      </c>
      <c r="C348" s="14" t="s">
        <v>657</v>
      </c>
      <c r="D348" s="15" t="s">
        <v>301</v>
      </c>
      <c r="E348" s="16" t="str">
        <f t="shared" si="15"/>
        <v>Twitter Web Client</v>
      </c>
      <c r="F348" s="12">
        <v>43475.424421296295</v>
      </c>
      <c r="G348" s="17" t="s">
        <v>2783</v>
      </c>
      <c r="H348" s="35" t="s">
        <v>388</v>
      </c>
      <c r="I348" s="18"/>
    </row>
    <row r="349" spans="1:9" ht="90">
      <c r="A349" s="12">
        <v>43579.216851851852</v>
      </c>
      <c r="B349" s="13" t="str">
        <f>HYPERLINK("https://twitter.com/sujon6591","@sujon6591")</f>
        <v>@sujon6591</v>
      </c>
      <c r="C349" s="14" t="s">
        <v>848</v>
      </c>
      <c r="D349" s="15" t="s">
        <v>301</v>
      </c>
      <c r="E349" s="16" t="str">
        <f>HYPERLINK("https://mobile.twitter.com","Twitter Web App")</f>
        <v>Twitter Web App</v>
      </c>
      <c r="F349" s="12">
        <v>43111.145960648151</v>
      </c>
      <c r="G349" s="17" t="s">
        <v>2783</v>
      </c>
      <c r="H349" s="35" t="s">
        <v>388</v>
      </c>
      <c r="I349" s="18" t="s">
        <v>849</v>
      </c>
    </row>
    <row r="350" spans="1:9" ht="75">
      <c r="A350" s="12">
        <v>43578.448541666672</v>
      </c>
      <c r="B350" s="13" t="str">
        <f>HYPERLINK("https://twitter.com/HussainAhmmed3","@HussainAhmmed3")</f>
        <v>@HussainAhmmed3</v>
      </c>
      <c r="C350" s="14" t="s">
        <v>1191</v>
      </c>
      <c r="D350" s="15" t="s">
        <v>996</v>
      </c>
      <c r="E350" s="16" t="str">
        <f t="shared" ref="E350:E362" si="16">HYPERLINK("http://twitter.com","Twitter Web Client")</f>
        <v>Twitter Web Client</v>
      </c>
      <c r="F350" s="12">
        <v>43544.183946759258</v>
      </c>
      <c r="G350" s="17" t="s">
        <v>2783</v>
      </c>
      <c r="H350" s="35" t="s">
        <v>388</v>
      </c>
      <c r="I350" s="18"/>
    </row>
    <row r="351" spans="1:9" ht="75">
      <c r="A351" s="12">
        <v>43578.448287037041</v>
      </c>
      <c r="B351" s="13" t="str">
        <f>HYPERLINK("https://twitter.com/Lablukhan20","@Lablukhan20")</f>
        <v>@Lablukhan20</v>
      </c>
      <c r="C351" s="14" t="s">
        <v>1192</v>
      </c>
      <c r="D351" s="15" t="s">
        <v>996</v>
      </c>
      <c r="E351" s="16" t="str">
        <f t="shared" si="16"/>
        <v>Twitter Web Client</v>
      </c>
      <c r="F351" s="12">
        <v>43545.123969907407</v>
      </c>
      <c r="G351" s="17" t="s">
        <v>2783</v>
      </c>
      <c r="H351" s="35" t="s">
        <v>388</v>
      </c>
      <c r="I351" s="18"/>
    </row>
    <row r="352" spans="1:9" ht="75">
      <c r="A352" s="12">
        <v>43578.447604166664</v>
      </c>
      <c r="B352" s="13" t="str">
        <f>HYPERLINK("https://twitter.com/Fazlulk12324306","@Fazlulk12324306")</f>
        <v>@Fazlulk12324306</v>
      </c>
      <c r="C352" s="14" t="s">
        <v>1196</v>
      </c>
      <c r="D352" s="15" t="s">
        <v>996</v>
      </c>
      <c r="E352" s="16" t="str">
        <f t="shared" si="16"/>
        <v>Twitter Web Client</v>
      </c>
      <c r="F352" s="12">
        <v>43532.052731481483</v>
      </c>
      <c r="G352" s="17" t="s">
        <v>2783</v>
      </c>
      <c r="H352" s="35" t="s">
        <v>388</v>
      </c>
      <c r="I352" s="18"/>
    </row>
    <row r="353" spans="1:9" ht="75">
      <c r="A353" s="12">
        <v>43578.447430555556</v>
      </c>
      <c r="B353" s="13" t="str">
        <f>HYPERLINK("https://twitter.com/mithon39388166","@mithon39388166")</f>
        <v>@mithon39388166</v>
      </c>
      <c r="C353" s="14" t="s">
        <v>1197</v>
      </c>
      <c r="D353" s="15" t="s">
        <v>996</v>
      </c>
      <c r="E353" s="16" t="str">
        <f t="shared" si="16"/>
        <v>Twitter Web Client</v>
      </c>
      <c r="F353" s="12">
        <v>43533.925486111111</v>
      </c>
      <c r="G353" s="17" t="s">
        <v>2783</v>
      </c>
      <c r="H353" s="35" t="s">
        <v>388</v>
      </c>
      <c r="I353" s="18"/>
    </row>
    <row r="354" spans="1:9" ht="75">
      <c r="A354" s="12">
        <v>43578.446354166663</v>
      </c>
      <c r="B354" s="13" t="str">
        <f>HYPERLINK("https://twitter.com/ashiq53029482","@ashiq53029482")</f>
        <v>@ashiq53029482</v>
      </c>
      <c r="C354" s="14" t="s">
        <v>1198</v>
      </c>
      <c r="D354" s="15" t="s">
        <v>996</v>
      </c>
      <c r="E354" s="16" t="str">
        <f t="shared" si="16"/>
        <v>Twitter Web Client</v>
      </c>
      <c r="F354" s="12">
        <v>43533.432662037041</v>
      </c>
      <c r="G354" s="17" t="s">
        <v>2783</v>
      </c>
      <c r="H354" s="35" t="s">
        <v>388</v>
      </c>
      <c r="I354" s="18"/>
    </row>
    <row r="355" spans="1:9" ht="75">
      <c r="A355" s="12">
        <v>43578.446168981478</v>
      </c>
      <c r="B355" s="13" t="str">
        <f>HYPERLINK("https://twitter.com/jewel0718","@jewel0718")</f>
        <v>@jewel0718</v>
      </c>
      <c r="C355" s="14" t="s">
        <v>1199</v>
      </c>
      <c r="D355" s="15" t="s">
        <v>996</v>
      </c>
      <c r="E355" s="16" t="str">
        <f t="shared" si="16"/>
        <v>Twitter Web Client</v>
      </c>
      <c r="F355" s="12">
        <v>43533.882430555561</v>
      </c>
      <c r="G355" s="17" t="s">
        <v>2783</v>
      </c>
      <c r="H355" s="35" t="s">
        <v>388</v>
      </c>
      <c r="I355" s="18"/>
    </row>
    <row r="356" spans="1:9" ht="75">
      <c r="A356" s="12">
        <v>43578.386620370366</v>
      </c>
      <c r="B356" s="13" t="str">
        <f>HYPERLINK("https://twitter.com/akibrtr67","@akibrtr67")</f>
        <v>@akibrtr67</v>
      </c>
      <c r="C356" s="14" t="s">
        <v>641</v>
      </c>
      <c r="D356" s="15" t="s">
        <v>996</v>
      </c>
      <c r="E356" s="16" t="str">
        <f t="shared" si="16"/>
        <v>Twitter Web Client</v>
      </c>
      <c r="F356" s="12">
        <v>43546.28496527778</v>
      </c>
      <c r="G356" s="17" t="s">
        <v>2783</v>
      </c>
      <c r="H356" s="35" t="s">
        <v>388</v>
      </c>
      <c r="I356" s="18"/>
    </row>
    <row r="357" spans="1:9" ht="75">
      <c r="A357" s="12">
        <v>43578.385983796295</v>
      </c>
      <c r="B357" s="13" t="str">
        <f>HYPERLINK("https://twitter.com/khraj4","@khraj4")</f>
        <v>@khraj4</v>
      </c>
      <c r="C357" s="14" t="s">
        <v>1238</v>
      </c>
      <c r="D357" s="15" t="s">
        <v>996</v>
      </c>
      <c r="E357" s="16" t="str">
        <f t="shared" si="16"/>
        <v>Twitter Web Client</v>
      </c>
      <c r="F357" s="12">
        <v>43475.345775462964</v>
      </c>
      <c r="G357" s="17" t="s">
        <v>2783</v>
      </c>
      <c r="H357" s="35" t="s">
        <v>388</v>
      </c>
      <c r="I357" s="18"/>
    </row>
    <row r="358" spans="1:9" ht="75">
      <c r="A358" s="12">
        <v>43578.385914351849</v>
      </c>
      <c r="B358" s="13" t="str">
        <f>HYPERLINK("https://twitter.com/akibss10","@akibss10")</f>
        <v>@akibss10</v>
      </c>
      <c r="C358" s="14" t="s">
        <v>1239</v>
      </c>
      <c r="D358" s="15" t="s">
        <v>996</v>
      </c>
      <c r="E358" s="16" t="str">
        <f t="shared" si="16"/>
        <v>Twitter Web Client</v>
      </c>
      <c r="F358" s="12">
        <v>43546.224444444444</v>
      </c>
      <c r="G358" s="17" t="s">
        <v>2783</v>
      </c>
      <c r="H358" s="35" t="s">
        <v>388</v>
      </c>
      <c r="I358" s="18"/>
    </row>
    <row r="359" spans="1:9" ht="75">
      <c r="A359" s="12">
        <v>43578.384351851855</v>
      </c>
      <c r="B359" s="13" t="str">
        <f>HYPERLINK("https://twitter.com/akibsha1","@akibsha1")</f>
        <v>@akibsha1</v>
      </c>
      <c r="C359" s="14" t="s">
        <v>657</v>
      </c>
      <c r="D359" s="15" t="s">
        <v>996</v>
      </c>
      <c r="E359" s="16" t="str">
        <f t="shared" si="16"/>
        <v>Twitter Web Client</v>
      </c>
      <c r="F359" s="12">
        <v>43475.424421296295</v>
      </c>
      <c r="G359" s="17" t="s">
        <v>2783</v>
      </c>
      <c r="H359" s="35" t="s">
        <v>388</v>
      </c>
      <c r="I359" s="18"/>
    </row>
    <row r="360" spans="1:9" ht="75">
      <c r="A360" s="12">
        <v>43578.377106481479</v>
      </c>
      <c r="B360" s="13" t="str">
        <f>HYPERLINK("https://twitter.com/HabibSinan2","@HabibSinan2")</f>
        <v>@HabibSinan2</v>
      </c>
      <c r="C360" s="14" t="s">
        <v>1262</v>
      </c>
      <c r="D360" s="15" t="s">
        <v>996</v>
      </c>
      <c r="E360" s="16" t="str">
        <f t="shared" si="16"/>
        <v>Twitter Web Client</v>
      </c>
      <c r="F360" s="12">
        <v>43371.199062500003</v>
      </c>
      <c r="G360" s="17" t="s">
        <v>2783</v>
      </c>
      <c r="H360" s="35" t="s">
        <v>388</v>
      </c>
      <c r="I360" s="18" t="s">
        <v>1263</v>
      </c>
    </row>
    <row r="361" spans="1:9" ht="45">
      <c r="A361" s="12">
        <v>43575.339432870373</v>
      </c>
      <c r="B361" s="13" t="str">
        <f>HYPERLINK("https://twitter.com/RahamanKhairul","@RahamanKhairul")</f>
        <v>@RahamanKhairul</v>
      </c>
      <c r="C361" s="14" t="s">
        <v>2286</v>
      </c>
      <c r="D361" s="15" t="s">
        <v>2279</v>
      </c>
      <c r="E361" s="16" t="str">
        <f t="shared" si="16"/>
        <v>Twitter Web Client</v>
      </c>
      <c r="F361" s="12">
        <v>43376.172685185185</v>
      </c>
      <c r="G361" s="17" t="s">
        <v>2783</v>
      </c>
      <c r="H361" s="35" t="s">
        <v>388</v>
      </c>
      <c r="I361" s="18" t="s">
        <v>2287</v>
      </c>
    </row>
    <row r="362" spans="1:9" ht="45">
      <c r="A362" s="12">
        <v>43575.338831018518</v>
      </c>
      <c r="B362" s="13" t="str">
        <f>HYPERLINK("https://twitter.com/OliviaH21375108","@OliviaH21375108")</f>
        <v>@OliviaH21375108</v>
      </c>
      <c r="C362" s="14" t="s">
        <v>398</v>
      </c>
      <c r="D362" s="15" t="s">
        <v>2279</v>
      </c>
      <c r="E362" s="16" t="str">
        <f t="shared" si="16"/>
        <v>Twitter Web Client</v>
      </c>
      <c r="F362" s="12">
        <v>43566.506597222222</v>
      </c>
      <c r="G362" s="17" t="s">
        <v>2783</v>
      </c>
      <c r="H362" s="35" t="s">
        <v>388</v>
      </c>
      <c r="I362" s="18" t="s">
        <v>399</v>
      </c>
    </row>
    <row r="363" spans="1:9" ht="45">
      <c r="A363" s="12">
        <v>43580.009999999995</v>
      </c>
      <c r="B363" s="13" t="str">
        <f>HYPERLINK("https://twitter.com/peter_brun","@peter_brun")</f>
        <v>@peter_brun</v>
      </c>
      <c r="C363" s="14" t="s">
        <v>336</v>
      </c>
      <c r="D363" s="15" t="s">
        <v>337</v>
      </c>
      <c r="E363" s="16" t="str">
        <f>HYPERLINK("http://twitter.com/download/iphone","Twitter for iPhone")</f>
        <v>Twitter for iPhone</v>
      </c>
      <c r="F363" s="12">
        <v>39973.486087962963</v>
      </c>
      <c r="G363" s="17" t="s">
        <v>2783</v>
      </c>
      <c r="H363" s="35" t="s">
        <v>338</v>
      </c>
      <c r="I363" s="18" t="s">
        <v>339</v>
      </c>
    </row>
    <row r="364" spans="1:9" ht="60">
      <c r="A364" s="19">
        <v>43551.203090277777</v>
      </c>
      <c r="B364" s="20" t="str">
        <f>HYPERLINK("https://twitter.com/MohamedAlAlami","@MohamedAlAlami")</f>
        <v>@MohamedAlAlami</v>
      </c>
      <c r="C364" s="21" t="s">
        <v>7402</v>
      </c>
      <c r="D364" s="22" t="s">
        <v>7403</v>
      </c>
      <c r="E364" s="23" t="str">
        <f>HYPERLINK("http://twitter.com/download/iphone","Twitter for iPhone")</f>
        <v>Twitter for iPhone</v>
      </c>
      <c r="F364" s="19">
        <v>40065.150289351848</v>
      </c>
      <c r="G364" s="17" t="s">
        <v>2783</v>
      </c>
      <c r="H364" s="35" t="s">
        <v>291</v>
      </c>
      <c r="I364" s="25" t="s">
        <v>7404</v>
      </c>
    </row>
    <row r="365" spans="1:9" ht="45">
      <c r="A365" s="19">
        <v>43550.858310185184</v>
      </c>
      <c r="B365" s="20" t="str">
        <f>HYPERLINK("https://twitter.com/MohamedAlAlami","@MohamedAlAlami")</f>
        <v>@MohamedAlAlami</v>
      </c>
      <c r="C365" s="21" t="s">
        <v>7402</v>
      </c>
      <c r="D365" s="22" t="s">
        <v>7486</v>
      </c>
      <c r="E365" s="23" t="str">
        <f>HYPERLINK("https://mobile.twitter.com","Twitter Web App")</f>
        <v>Twitter Web App</v>
      </c>
      <c r="F365" s="19">
        <v>40065.150289351848</v>
      </c>
      <c r="G365" s="17" t="s">
        <v>2783</v>
      </c>
      <c r="H365" s="35" t="s">
        <v>291</v>
      </c>
      <c r="I365" s="25" t="s">
        <v>7404</v>
      </c>
    </row>
    <row r="366" spans="1:9" ht="75">
      <c r="A366" s="4">
        <v>43565.023865740739</v>
      </c>
      <c r="B366" s="5" t="str">
        <f>HYPERLINK("https://twitter.com/DreamDTravels","@DreamDTravels")</f>
        <v>@DreamDTravels</v>
      </c>
      <c r="C366" s="6" t="s">
        <v>289</v>
      </c>
      <c r="D366" s="7" t="s">
        <v>5211</v>
      </c>
      <c r="E366" s="8" t="str">
        <f>HYPERLINK("http://twitter.com/download/android","Twitter for Android")</f>
        <v>Twitter for Android</v>
      </c>
      <c r="F366" s="4">
        <v>43250.433333333334</v>
      </c>
      <c r="G366" s="17" t="s">
        <v>2783</v>
      </c>
      <c r="H366" s="35" t="s">
        <v>291</v>
      </c>
      <c r="I366" s="10" t="s">
        <v>292</v>
      </c>
    </row>
    <row r="367" spans="1:9" ht="120">
      <c r="A367" s="4">
        <v>43564.189386574071</v>
      </c>
      <c r="B367" s="5" t="str">
        <f>HYPERLINK("https://twitter.com/DreamDTravels","@DreamDTravels")</f>
        <v>@DreamDTravels</v>
      </c>
      <c r="C367" s="6" t="s">
        <v>289</v>
      </c>
      <c r="D367" s="7" t="s">
        <v>6745</v>
      </c>
      <c r="E367" s="8" t="str">
        <f>HYPERLINK("http://twitter.com/download/android","Twitter for Android")</f>
        <v>Twitter for Android</v>
      </c>
      <c r="F367" s="4">
        <v>43250.433333333334</v>
      </c>
      <c r="G367" s="17" t="s">
        <v>2783</v>
      </c>
      <c r="H367" s="35" t="s">
        <v>291</v>
      </c>
      <c r="I367" s="10" t="s">
        <v>292</v>
      </c>
    </row>
    <row r="368" spans="1:9" ht="90">
      <c r="A368" s="4">
        <v>43563.179062499999</v>
      </c>
      <c r="B368" s="5" t="str">
        <f>HYPERLINK("https://twitter.com/DreamDTravels","@DreamDTravels")</f>
        <v>@DreamDTravels</v>
      </c>
      <c r="C368" s="6" t="s">
        <v>289</v>
      </c>
      <c r="D368" s="7" t="s">
        <v>10442</v>
      </c>
      <c r="E368" s="8" t="str">
        <f>HYPERLINK("http://twitter.com/download/android","Twitter for Android")</f>
        <v>Twitter for Android</v>
      </c>
      <c r="F368" s="4">
        <v>43250.433333333334</v>
      </c>
      <c r="G368" s="17" t="s">
        <v>2783</v>
      </c>
      <c r="H368" s="35" t="s">
        <v>291</v>
      </c>
      <c r="I368" s="10" t="s">
        <v>292</v>
      </c>
    </row>
    <row r="369" spans="1:9" ht="90">
      <c r="A369" s="4">
        <v>43563.082592592589</v>
      </c>
      <c r="B369" s="5" t="str">
        <f>HYPERLINK("https://twitter.com/DreamDTravels","@DreamDTravels")</f>
        <v>@DreamDTravels</v>
      </c>
      <c r="C369" s="6" t="s">
        <v>289</v>
      </c>
      <c r="D369" s="7" t="s">
        <v>10472</v>
      </c>
      <c r="E369" s="8" t="str">
        <f>HYPERLINK("http://twitter.com/download/android","Twitter for Android")</f>
        <v>Twitter for Android</v>
      </c>
      <c r="F369" s="4">
        <v>43250.433333333334</v>
      </c>
      <c r="G369" s="17" t="s">
        <v>2783</v>
      </c>
      <c r="H369" s="35" t="s">
        <v>291</v>
      </c>
      <c r="I369" s="10" t="s">
        <v>292</v>
      </c>
    </row>
    <row r="370" spans="1:9" ht="30">
      <c r="A370" s="4">
        <v>43562.04074074074</v>
      </c>
      <c r="B370" s="5" t="str">
        <f>HYPERLINK("https://twitter.com/MohamedAlAlami","@MohamedAlAlami")</f>
        <v>@MohamedAlAlami</v>
      </c>
      <c r="C370" s="6" t="s">
        <v>7402</v>
      </c>
      <c r="D370" s="7" t="s">
        <v>10769</v>
      </c>
      <c r="E370" s="8" t="str">
        <f>HYPERLINK("https://mobile.twitter.com","Twitter Web App")</f>
        <v>Twitter Web App</v>
      </c>
      <c r="F370" s="4">
        <v>40065.150289351848</v>
      </c>
      <c r="G370" s="17" t="s">
        <v>2783</v>
      </c>
      <c r="H370" s="35" t="s">
        <v>291</v>
      </c>
      <c r="I370" s="10" t="s">
        <v>7404</v>
      </c>
    </row>
    <row r="371" spans="1:9" ht="30">
      <c r="A371" s="4">
        <v>43560.480405092589</v>
      </c>
      <c r="B371" s="5" t="str">
        <f>HYPERLINK("https://twitter.com/Jawaharchhoda","@Jawaharchhoda")</f>
        <v>@Jawaharchhoda</v>
      </c>
      <c r="C371" s="6" t="s">
        <v>11341</v>
      </c>
      <c r="D371" s="7" t="s">
        <v>11342</v>
      </c>
      <c r="E371" s="8" t="str">
        <f>HYPERLINK("http://www.facebook.com/twitter","Facebook")</f>
        <v>Facebook</v>
      </c>
      <c r="F371" s="4">
        <v>39967.97148148148</v>
      </c>
      <c r="G371" s="17" t="s">
        <v>2783</v>
      </c>
      <c r="H371" s="35" t="s">
        <v>291</v>
      </c>
      <c r="I371" s="10" t="s">
        <v>11343</v>
      </c>
    </row>
    <row r="372" spans="1:9" ht="105">
      <c r="A372" s="12">
        <v>43580.089594907404</v>
      </c>
      <c r="B372" s="13" t="str">
        <f t="shared" ref="B372:B382" si="17">HYPERLINK("https://twitter.com/DreamDTravels","@DreamDTravels")</f>
        <v>@DreamDTravels</v>
      </c>
      <c r="C372" s="14" t="s">
        <v>289</v>
      </c>
      <c r="D372" s="15" t="s">
        <v>290</v>
      </c>
      <c r="E372" s="16" t="str">
        <f>HYPERLINK("http://twitter.com/download/android","Twitter for Android")</f>
        <v>Twitter for Android</v>
      </c>
      <c r="F372" s="12">
        <v>43250.433333333334</v>
      </c>
      <c r="G372" s="17" t="s">
        <v>2783</v>
      </c>
      <c r="H372" s="35" t="s">
        <v>291</v>
      </c>
      <c r="I372" s="18" t="s">
        <v>292</v>
      </c>
    </row>
    <row r="373" spans="1:9" ht="90">
      <c r="A373" s="12">
        <v>43579.04415509259</v>
      </c>
      <c r="B373" s="13" t="str">
        <f t="shared" si="17"/>
        <v>@DreamDTravels</v>
      </c>
      <c r="C373" s="14" t="s">
        <v>289</v>
      </c>
      <c r="D373" s="15" t="s">
        <v>955</v>
      </c>
      <c r="E373" s="16" t="str">
        <f>HYPERLINK("http://twitter.com","Twitter Web Client")</f>
        <v>Twitter Web Client</v>
      </c>
      <c r="F373" s="12">
        <v>43250.433333333334</v>
      </c>
      <c r="G373" s="17" t="s">
        <v>2783</v>
      </c>
      <c r="H373" s="35" t="s">
        <v>291</v>
      </c>
      <c r="I373" s="18" t="s">
        <v>292</v>
      </c>
    </row>
    <row r="374" spans="1:9" ht="90">
      <c r="A374" s="12">
        <v>43578.021793981483</v>
      </c>
      <c r="B374" s="13" t="str">
        <f t="shared" si="17"/>
        <v>@DreamDTravels</v>
      </c>
      <c r="C374" s="14" t="s">
        <v>289</v>
      </c>
      <c r="D374" s="15" t="s">
        <v>1421</v>
      </c>
      <c r="E374" s="16" t="str">
        <f>HYPERLINK("http://twitter.com","Twitter Web Client")</f>
        <v>Twitter Web Client</v>
      </c>
      <c r="F374" s="12">
        <v>43250.433333333334</v>
      </c>
      <c r="G374" s="17" t="s">
        <v>2783</v>
      </c>
      <c r="H374" s="35" t="s">
        <v>291</v>
      </c>
      <c r="I374" s="18" t="s">
        <v>292</v>
      </c>
    </row>
    <row r="375" spans="1:9" ht="105">
      <c r="A375" s="12">
        <v>43577.035960648151</v>
      </c>
      <c r="B375" s="13" t="str">
        <f t="shared" si="17"/>
        <v>@DreamDTravels</v>
      </c>
      <c r="C375" s="14" t="s">
        <v>289</v>
      </c>
      <c r="D375" s="15" t="s">
        <v>1769</v>
      </c>
      <c r="E375" s="16" t="str">
        <f>HYPERLINK("http://twitter.com","Twitter Web Client")</f>
        <v>Twitter Web Client</v>
      </c>
      <c r="F375" s="12">
        <v>43250.433333333334</v>
      </c>
      <c r="G375" s="17" t="s">
        <v>2783</v>
      </c>
      <c r="H375" s="35" t="s">
        <v>291</v>
      </c>
      <c r="I375" s="18" t="s">
        <v>292</v>
      </c>
    </row>
    <row r="376" spans="1:9" ht="105">
      <c r="A376" s="12">
        <v>43575.094340277778</v>
      </c>
      <c r="B376" s="13" t="str">
        <f t="shared" si="17"/>
        <v>@DreamDTravels</v>
      </c>
      <c r="C376" s="14" t="s">
        <v>289</v>
      </c>
      <c r="D376" s="15" t="s">
        <v>2364</v>
      </c>
      <c r="E376" s="16" t="str">
        <f>HYPERLINK("http://twitter.com/download/android","Twitter for Android")</f>
        <v>Twitter for Android</v>
      </c>
      <c r="F376" s="12">
        <v>43250.433333333334</v>
      </c>
      <c r="G376" s="17" t="s">
        <v>2783</v>
      </c>
      <c r="H376" s="35" t="s">
        <v>291</v>
      </c>
      <c r="I376" s="18" t="s">
        <v>292</v>
      </c>
    </row>
    <row r="377" spans="1:9" ht="90">
      <c r="A377" s="12">
        <v>43573.095821759256</v>
      </c>
      <c r="B377" s="13" t="str">
        <f t="shared" si="17"/>
        <v>@DreamDTravels</v>
      </c>
      <c r="C377" s="14" t="s">
        <v>289</v>
      </c>
      <c r="D377" s="15" t="s">
        <v>3010</v>
      </c>
      <c r="E377" s="16" t="str">
        <f>HYPERLINK("http://twitter.com/download/android","Twitter for Android")</f>
        <v>Twitter for Android</v>
      </c>
      <c r="F377" s="12">
        <v>43250.433333333334</v>
      </c>
      <c r="G377" s="17" t="s">
        <v>2783</v>
      </c>
      <c r="H377" s="35" t="s">
        <v>291</v>
      </c>
      <c r="I377" s="18" t="s">
        <v>292</v>
      </c>
    </row>
    <row r="378" spans="1:9" ht="120">
      <c r="A378" s="12">
        <v>43572.038506944446</v>
      </c>
      <c r="B378" s="13" t="str">
        <f t="shared" si="17"/>
        <v>@DreamDTravels</v>
      </c>
      <c r="C378" s="14" t="s">
        <v>289</v>
      </c>
      <c r="D378" s="15" t="s">
        <v>3457</v>
      </c>
      <c r="E378" s="16" t="str">
        <f>HYPERLINK("http://twitter.com/download/android","Twitter for Android")</f>
        <v>Twitter for Android</v>
      </c>
      <c r="F378" s="12">
        <v>43250.433333333334</v>
      </c>
      <c r="G378" s="17" t="s">
        <v>2783</v>
      </c>
      <c r="H378" s="35" t="s">
        <v>291</v>
      </c>
      <c r="I378" s="18" t="s">
        <v>292</v>
      </c>
    </row>
    <row r="379" spans="1:9" ht="105">
      <c r="A379" s="12">
        <v>43571.010601851856</v>
      </c>
      <c r="B379" s="13" t="str">
        <f t="shared" si="17"/>
        <v>@DreamDTravels</v>
      </c>
      <c r="C379" s="14" t="s">
        <v>289</v>
      </c>
      <c r="D379" s="15" t="s">
        <v>3897</v>
      </c>
      <c r="E379" s="16" t="str">
        <f>HYPERLINK("http://twitter.com","Twitter Web Client")</f>
        <v>Twitter Web Client</v>
      </c>
      <c r="F379" s="12">
        <v>43250.433333333334</v>
      </c>
      <c r="G379" s="17" t="s">
        <v>2783</v>
      </c>
      <c r="H379" s="35" t="s">
        <v>291</v>
      </c>
      <c r="I379" s="18" t="s">
        <v>292</v>
      </c>
    </row>
    <row r="380" spans="1:9" ht="90">
      <c r="A380" s="12">
        <v>43568.185717592598</v>
      </c>
      <c r="B380" s="13" t="str">
        <f t="shared" si="17"/>
        <v>@DreamDTravels</v>
      </c>
      <c r="C380" s="14" t="s">
        <v>289</v>
      </c>
      <c r="D380" s="15" t="s">
        <v>4854</v>
      </c>
      <c r="E380" s="16" t="str">
        <f>HYPERLINK("http://twitter.com/download/android","Twitter for Android")</f>
        <v>Twitter for Android</v>
      </c>
      <c r="F380" s="12">
        <v>43250.433333333334</v>
      </c>
      <c r="G380" s="17" t="s">
        <v>2783</v>
      </c>
      <c r="H380" s="35" t="s">
        <v>291</v>
      </c>
      <c r="I380" s="18" t="s">
        <v>292</v>
      </c>
    </row>
    <row r="381" spans="1:9" ht="75">
      <c r="A381" s="12">
        <v>43567.196689814809</v>
      </c>
      <c r="B381" s="13" t="str">
        <f t="shared" si="17"/>
        <v>@DreamDTravels</v>
      </c>
      <c r="C381" s="14" t="s">
        <v>289</v>
      </c>
      <c r="D381" s="15" t="s">
        <v>5211</v>
      </c>
      <c r="E381" s="16" t="str">
        <f>HYPERLINK("http://twitter.com/download/android","Twitter for Android")</f>
        <v>Twitter for Android</v>
      </c>
      <c r="F381" s="12">
        <v>43250.433333333334</v>
      </c>
      <c r="G381" s="17" t="s">
        <v>2783</v>
      </c>
      <c r="H381" s="35" t="s">
        <v>291</v>
      </c>
      <c r="I381" s="18" t="s">
        <v>292</v>
      </c>
    </row>
    <row r="382" spans="1:9" ht="75">
      <c r="A382" s="12">
        <v>43566.093506944446</v>
      </c>
      <c r="B382" s="13" t="str">
        <f t="shared" si="17"/>
        <v>@DreamDTravels</v>
      </c>
      <c r="C382" s="14" t="s">
        <v>289</v>
      </c>
      <c r="D382" s="15" t="s">
        <v>5803</v>
      </c>
      <c r="E382" s="16" t="str">
        <f>HYPERLINK("http://twitter.com/download/android","Twitter for Android")</f>
        <v>Twitter for Android</v>
      </c>
      <c r="F382" s="12">
        <v>43250.433333333334</v>
      </c>
      <c r="G382" s="17" t="s">
        <v>2783</v>
      </c>
      <c r="H382" s="35" t="s">
        <v>291</v>
      </c>
      <c r="I382" s="18" t="s">
        <v>292</v>
      </c>
    </row>
    <row r="383" spans="1:9" ht="120">
      <c r="A383" s="19">
        <v>43543.362893518519</v>
      </c>
      <c r="B383" s="20" t="str">
        <f>HYPERLINK("https://twitter.com/MrFrankPorter","@MrFrankPorter")</f>
        <v>@MrFrankPorter</v>
      </c>
      <c r="C383" s="21" t="s">
        <v>1354</v>
      </c>
      <c r="D383" s="22" t="s">
        <v>9848</v>
      </c>
      <c r="E383" s="23" t="str">
        <f>HYPERLINK("https://zapier.com/","Zapier.com")</f>
        <v>Zapier.com</v>
      </c>
      <c r="F383" s="19">
        <v>43014.028831018513</v>
      </c>
      <c r="G383" s="17" t="s">
        <v>2783</v>
      </c>
      <c r="H383" s="35" t="s">
        <v>141</v>
      </c>
      <c r="I383" s="25"/>
    </row>
    <row r="384" spans="1:9" ht="75">
      <c r="A384" s="19">
        <v>43543.360243055555</v>
      </c>
      <c r="B384" s="20" t="str">
        <f>HYPERLINK("https://twitter.com/MrFrankPorter","@MrFrankPorter")</f>
        <v>@MrFrankPorter</v>
      </c>
      <c r="C384" s="21" t="s">
        <v>1354</v>
      </c>
      <c r="D384" s="22" t="s">
        <v>9849</v>
      </c>
      <c r="E384" s="23" t="str">
        <f>HYPERLINK("http://instagram.com","Instagram")</f>
        <v>Instagram</v>
      </c>
      <c r="F384" s="19">
        <v>43014.028831018513</v>
      </c>
      <c r="G384" s="17" t="s">
        <v>2783</v>
      </c>
      <c r="H384" s="35" t="s">
        <v>141</v>
      </c>
      <c r="I384" s="25"/>
    </row>
    <row r="385" spans="1:9" ht="60">
      <c r="A385" s="4">
        <v>43561.145960648151</v>
      </c>
      <c r="B385" s="5" t="str">
        <f>HYPERLINK("https://twitter.com/Mashable_ME","@Mashable_ME")</f>
        <v>@Mashable_ME</v>
      </c>
      <c r="C385" s="6" t="s">
        <v>11051</v>
      </c>
      <c r="D385" s="7" t="s">
        <v>11052</v>
      </c>
      <c r="E385" s="8" t="str">
        <f>HYPERLINK("https://buffer.com","Buffer")</f>
        <v>Buffer</v>
      </c>
      <c r="F385" s="4">
        <v>43357.130196759259</v>
      </c>
      <c r="G385" s="17" t="s">
        <v>2783</v>
      </c>
      <c r="H385" s="35" t="s">
        <v>141</v>
      </c>
      <c r="I385" s="10" t="s">
        <v>11053</v>
      </c>
    </row>
    <row r="386" spans="1:9" ht="90">
      <c r="A386" s="4">
        <v>43560.146053240736</v>
      </c>
      <c r="B386" s="5" t="str">
        <f>HYPERLINK("https://twitter.com/Mashable_ME","@Mashable_ME")</f>
        <v>@Mashable_ME</v>
      </c>
      <c r="C386" s="6" t="s">
        <v>11051</v>
      </c>
      <c r="D386" s="7" t="s">
        <v>11593</v>
      </c>
      <c r="E386" s="8" t="str">
        <f>HYPERLINK("https://buffer.com","Buffer")</f>
        <v>Buffer</v>
      </c>
      <c r="F386" s="4">
        <v>43357.130196759259</v>
      </c>
      <c r="G386" s="17" t="s">
        <v>2783</v>
      </c>
      <c r="H386" s="35" t="s">
        <v>141</v>
      </c>
      <c r="I386" s="10" t="s">
        <v>11053</v>
      </c>
    </row>
    <row r="387" spans="1:9" ht="105">
      <c r="A387" s="4">
        <v>43558.841689814813</v>
      </c>
      <c r="B387" s="5" t="str">
        <f>HYPERLINK("https://twitter.com/HelloMagazineME","@HelloMagazineME")</f>
        <v>@HelloMagazineME</v>
      </c>
      <c r="C387" s="6" t="s">
        <v>12023</v>
      </c>
      <c r="D387" s="7" t="s">
        <v>12024</v>
      </c>
      <c r="E387" s="8" t="str">
        <f>HYPERLINK("http://twitter.com/download/iphone","Twitter for iPhone")</f>
        <v>Twitter for iPhone</v>
      </c>
      <c r="F387" s="4">
        <v>43543.164780092593</v>
      </c>
      <c r="G387" s="17" t="s">
        <v>2783</v>
      </c>
      <c r="H387" s="35" t="s">
        <v>141</v>
      </c>
      <c r="I387" s="10" t="s">
        <v>12025</v>
      </c>
    </row>
    <row r="388" spans="1:9" ht="75">
      <c r="A388" s="12">
        <v>43580.685092592597</v>
      </c>
      <c r="B388" s="13" t="str">
        <f>HYPERLINK("https://twitter.com/TheArt_Cocoon","@TheArt_Cocoon")</f>
        <v>@TheArt_Cocoon</v>
      </c>
      <c r="C388" s="14" t="s">
        <v>139</v>
      </c>
      <c r="D388" s="15" t="s">
        <v>140</v>
      </c>
      <c r="E388" s="16" t="str">
        <f>HYPERLINK("https://ifttt.com","IFTTT")</f>
        <v>IFTTT</v>
      </c>
      <c r="F388" s="12">
        <v>42086.956747685181</v>
      </c>
      <c r="G388" s="17" t="s">
        <v>2783</v>
      </c>
      <c r="H388" s="35" t="s">
        <v>141</v>
      </c>
      <c r="I388" s="18" t="s">
        <v>142</v>
      </c>
    </row>
    <row r="389" spans="1:9" ht="120">
      <c r="A389" s="12">
        <v>43578.227523148147</v>
      </c>
      <c r="B389" s="13" t="str">
        <f>HYPERLINK("https://twitter.com/MrFrankPorter","@MrFrankPorter")</f>
        <v>@MrFrankPorter</v>
      </c>
      <c r="C389" s="14" t="s">
        <v>1354</v>
      </c>
      <c r="D389" s="15" t="s">
        <v>1355</v>
      </c>
      <c r="E389" s="16" t="str">
        <f>HYPERLINK("https://zapier.com/","Zapier.com")</f>
        <v>Zapier.com</v>
      </c>
      <c r="F389" s="12">
        <v>43014.028831018513</v>
      </c>
      <c r="G389" s="17" t="s">
        <v>2783</v>
      </c>
      <c r="H389" s="35" t="s">
        <v>141</v>
      </c>
      <c r="I389" s="18"/>
    </row>
    <row r="390" spans="1:9" ht="60">
      <c r="A390" s="12">
        <v>43574.275011574078</v>
      </c>
      <c r="B390" s="13" t="str">
        <f>HYPERLINK("https://twitter.com/awad_makkawi","@awad_makkawi")</f>
        <v>@awad_makkawi</v>
      </c>
      <c r="C390" s="14" t="s">
        <v>2638</v>
      </c>
      <c r="D390" s="15" t="s">
        <v>405</v>
      </c>
      <c r="E390" s="16" t="str">
        <f>HYPERLINK("https://buffer.com","Buffer")</f>
        <v>Buffer</v>
      </c>
      <c r="F390" s="12">
        <v>41693.368310185186</v>
      </c>
      <c r="G390" s="17" t="s">
        <v>2783</v>
      </c>
      <c r="H390" s="35" t="s">
        <v>141</v>
      </c>
      <c r="I390" s="18" t="s">
        <v>2639</v>
      </c>
    </row>
    <row r="391" spans="1:9" ht="60">
      <c r="A391" s="12">
        <v>43566.56527777778</v>
      </c>
      <c r="B391" s="13" t="str">
        <f>HYPERLINK("https://twitter.com/AlooAlisha","@AlooAlisha")</f>
        <v>@AlooAlisha</v>
      </c>
      <c r="C391" s="14" t="s">
        <v>5440</v>
      </c>
      <c r="D391" s="15" t="s">
        <v>405</v>
      </c>
      <c r="E391" s="16" t="str">
        <f>HYPERLINK("https://buffer.com","Buffer")</f>
        <v>Buffer</v>
      </c>
      <c r="F391" s="12">
        <v>43483.278217592597</v>
      </c>
      <c r="G391" s="17" t="s">
        <v>2783</v>
      </c>
      <c r="H391" s="35" t="s">
        <v>141</v>
      </c>
      <c r="I391" s="18" t="s">
        <v>5441</v>
      </c>
    </row>
    <row r="392" spans="1:9" ht="75">
      <c r="A392" s="19">
        <v>43549.892511574071</v>
      </c>
      <c r="B392" s="20" t="str">
        <f>HYPERLINK("https://twitter.com/ThePethouseDgte","@ThePethouseDgte")</f>
        <v>@ThePethouseDgte</v>
      </c>
      <c r="C392" s="21" t="s">
        <v>2947</v>
      </c>
      <c r="D392" s="22" t="s">
        <v>7885</v>
      </c>
      <c r="E392" s="23" t="str">
        <f>HYPERLINK("http://twitter.com/download/android","Twitter for Android")</f>
        <v>Twitter for Android</v>
      </c>
      <c r="F392" s="19">
        <v>43423.309895833328</v>
      </c>
      <c r="G392" s="24" t="s">
        <v>2783</v>
      </c>
      <c r="H392" s="35" t="s">
        <v>2949</v>
      </c>
      <c r="I392" s="25" t="s">
        <v>2950</v>
      </c>
    </row>
    <row r="393" spans="1:9" ht="75">
      <c r="A393" s="12">
        <v>43573.274270833332</v>
      </c>
      <c r="B393" s="13" t="str">
        <f>HYPERLINK("https://twitter.com/ThePethouseDgte","@ThePethouseDgte")</f>
        <v>@ThePethouseDgte</v>
      </c>
      <c r="C393" s="14" t="s">
        <v>2947</v>
      </c>
      <c r="D393" s="15" t="s">
        <v>2948</v>
      </c>
      <c r="E393" s="16" t="str">
        <f>HYPERLINK("http://twitter.com/download/android","Twitter for Android")</f>
        <v>Twitter for Android</v>
      </c>
      <c r="F393" s="12">
        <v>43423.309895833328</v>
      </c>
      <c r="G393" s="24" t="s">
        <v>2783</v>
      </c>
      <c r="H393" s="35" t="s">
        <v>2949</v>
      </c>
      <c r="I393" s="18" t="s">
        <v>2950</v>
      </c>
    </row>
    <row r="394" spans="1:9" ht="45">
      <c r="A394" s="12">
        <v>43571.287083333329</v>
      </c>
      <c r="B394" s="13" t="str">
        <f>HYPERLINK("https://twitter.com/ThePethouseDgte","@ThePethouseDgte")</f>
        <v>@ThePethouseDgte</v>
      </c>
      <c r="C394" s="14" t="s">
        <v>2947</v>
      </c>
      <c r="D394" s="15" t="s">
        <v>3758</v>
      </c>
      <c r="E394" s="16" t="str">
        <f>HYPERLINK("http://twitter.com/download/android","Twitter for Android")</f>
        <v>Twitter for Android</v>
      </c>
      <c r="F394" s="12">
        <v>43423.309895833328</v>
      </c>
      <c r="G394" s="24" t="s">
        <v>2783</v>
      </c>
      <c r="H394" s="35" t="s">
        <v>2949</v>
      </c>
      <c r="I394" s="18" t="s">
        <v>2950</v>
      </c>
    </row>
    <row r="395" spans="1:9" ht="45">
      <c r="A395" s="12">
        <v>43566.967581018514</v>
      </c>
      <c r="B395" s="13" t="str">
        <f>HYPERLINK("https://twitter.com/ThePethouseDgte","@ThePethouseDgte")</f>
        <v>@ThePethouseDgte</v>
      </c>
      <c r="C395" s="14" t="s">
        <v>2947</v>
      </c>
      <c r="D395" s="15" t="s">
        <v>5295</v>
      </c>
      <c r="E395" s="16" t="str">
        <f>HYPERLINK("http://twitter.com/download/android","Twitter for Android")</f>
        <v>Twitter for Android</v>
      </c>
      <c r="F395" s="12">
        <v>43423.309895833328</v>
      </c>
      <c r="G395" s="24" t="s">
        <v>2783</v>
      </c>
      <c r="H395" s="35" t="s">
        <v>2949</v>
      </c>
      <c r="I395" s="18" t="s">
        <v>2950</v>
      </c>
    </row>
    <row r="396" spans="1:9" ht="135">
      <c r="A396" s="19">
        <v>43545.570972222224</v>
      </c>
      <c r="B396" s="20" t="str">
        <f>HYPERLINK("https://twitter.com/TressesLash","@TressesLash")</f>
        <v>@TressesLash</v>
      </c>
      <c r="C396" s="21" t="s">
        <v>9092</v>
      </c>
      <c r="D396" s="22" t="s">
        <v>9093</v>
      </c>
      <c r="E396" s="23" t="str">
        <f>HYPERLINK("http://twitter.com/download/iphone","Twitter for iPhone")</f>
        <v>Twitter for iPhone</v>
      </c>
      <c r="F396" s="19">
        <v>43388.608599537038</v>
      </c>
      <c r="G396" s="24" t="s">
        <v>2783</v>
      </c>
      <c r="H396" s="35" t="s">
        <v>9094</v>
      </c>
      <c r="I396" s="25" t="s">
        <v>9095</v>
      </c>
    </row>
    <row r="397" spans="1:9" ht="135">
      <c r="A397" s="19">
        <v>43545.570138888885</v>
      </c>
      <c r="B397" s="20" t="str">
        <f>HYPERLINK("https://twitter.com/TressesLash","@TressesLash")</f>
        <v>@TressesLash</v>
      </c>
      <c r="C397" s="21" t="s">
        <v>9092</v>
      </c>
      <c r="D397" s="22" t="s">
        <v>9096</v>
      </c>
      <c r="E397" s="23" t="str">
        <f>HYPERLINK("http://twitter.com/download/iphone","Twitter for iPhone")</f>
        <v>Twitter for iPhone</v>
      </c>
      <c r="F397" s="19">
        <v>43388.608599537038</v>
      </c>
      <c r="G397" s="24" t="s">
        <v>2783</v>
      </c>
      <c r="H397" s="35" t="s">
        <v>9094</v>
      </c>
      <c r="I397" s="25" t="s">
        <v>9095</v>
      </c>
    </row>
    <row r="398" spans="1:9" ht="60">
      <c r="A398" s="4">
        <v>43561.463379629626</v>
      </c>
      <c r="B398" s="5" t="str">
        <f>HYPERLINK("https://twitter.com/surraj25","@surraj25")</f>
        <v>@surraj25</v>
      </c>
      <c r="C398" s="6" t="s">
        <v>4792</v>
      </c>
      <c r="D398" s="7" t="s">
        <v>10969</v>
      </c>
      <c r="E398" s="8" t="str">
        <f>HYPERLINK("http://instagram.com","Instagram")</f>
        <v>Instagram</v>
      </c>
      <c r="F398" s="4">
        <v>40895.97592592593</v>
      </c>
      <c r="G398" s="17" t="s">
        <v>2783</v>
      </c>
      <c r="H398" s="35" t="s">
        <v>10970</v>
      </c>
      <c r="I398" s="10" t="s">
        <v>10971</v>
      </c>
    </row>
    <row r="399" spans="1:9" ht="75">
      <c r="A399" s="4">
        <v>43561.441354166665</v>
      </c>
      <c r="B399" s="5" t="str">
        <f>HYPERLINK("https://twitter.com/surraj25","@surraj25")</f>
        <v>@surraj25</v>
      </c>
      <c r="C399" s="6" t="s">
        <v>4792</v>
      </c>
      <c r="D399" s="7" t="s">
        <v>10972</v>
      </c>
      <c r="E399" s="8" t="str">
        <f>HYPERLINK("http://instagram.com","Instagram")</f>
        <v>Instagram</v>
      </c>
      <c r="F399" s="4">
        <v>40895.97592592593</v>
      </c>
      <c r="G399" s="17" t="s">
        <v>2783</v>
      </c>
      <c r="H399" s="35" t="s">
        <v>10970</v>
      </c>
      <c r="I399" s="10" t="s">
        <v>10971</v>
      </c>
    </row>
    <row r="400" spans="1:9" ht="60">
      <c r="A400" s="12">
        <v>43568.402094907404</v>
      </c>
      <c r="B400" s="13" t="str">
        <f>HYPERLINK("https://twitter.com/surraj25","@surraj25")</f>
        <v>@surraj25</v>
      </c>
      <c r="C400" s="14" t="s">
        <v>4792</v>
      </c>
      <c r="D400" s="15" t="s">
        <v>4793</v>
      </c>
      <c r="E400" s="16" t="str">
        <f>HYPERLINK("http://twitter.com/download/android","Twitter for Android")</f>
        <v>Twitter for Android</v>
      </c>
      <c r="F400" s="12">
        <v>40895.97592592593</v>
      </c>
      <c r="G400" s="17" t="s">
        <v>2783</v>
      </c>
      <c r="H400" s="35" t="s">
        <v>4794</v>
      </c>
      <c r="I400" s="18" t="s">
        <v>4795</v>
      </c>
    </row>
    <row r="401" spans="1:9" ht="75">
      <c r="A401" s="12">
        <v>43568.263819444444</v>
      </c>
      <c r="B401" s="13" t="str">
        <f>HYPERLINK("https://twitter.com/surraj25","@surraj25")</f>
        <v>@surraj25</v>
      </c>
      <c r="C401" s="14" t="s">
        <v>4792</v>
      </c>
      <c r="D401" s="15" t="s">
        <v>4832</v>
      </c>
      <c r="E401" s="16" t="str">
        <f>HYPERLINK("http://instagram.com","Instagram")</f>
        <v>Instagram</v>
      </c>
      <c r="F401" s="12">
        <v>40895.97592592593</v>
      </c>
      <c r="G401" s="17" t="s">
        <v>2783</v>
      </c>
      <c r="H401" s="35" t="s">
        <v>4794</v>
      </c>
      <c r="I401" s="18" t="s">
        <v>4795</v>
      </c>
    </row>
    <row r="402" spans="1:9" ht="45">
      <c r="A402" s="12">
        <v>43577.789444444439</v>
      </c>
      <c r="B402" s="13" t="str">
        <f>HYPERLINK("https://twitter.com/traveldailycn","@traveldailycn")</f>
        <v>@traveldailycn</v>
      </c>
      <c r="C402" s="14" t="s">
        <v>1497</v>
      </c>
      <c r="D402" s="15" t="s">
        <v>1498</v>
      </c>
      <c r="E402" s="16" t="str">
        <f>HYPERLINK("http://twitter.com","Twitter Web Client")</f>
        <v>Twitter Web Client</v>
      </c>
      <c r="F402" s="12">
        <v>40058.976122685184</v>
      </c>
      <c r="G402" s="17" t="s">
        <v>2783</v>
      </c>
      <c r="H402" s="35" t="s">
        <v>1499</v>
      </c>
      <c r="I402" s="18" t="s">
        <v>1500</v>
      </c>
    </row>
    <row r="403" spans="1:9" ht="75">
      <c r="A403" s="19">
        <v>43551.129525462966</v>
      </c>
      <c r="B403" s="20" t="str">
        <f>HYPERLINK("https://twitter.com/karan_digital","@karan_digital")</f>
        <v>@karan_digital</v>
      </c>
      <c r="C403" s="21" t="s">
        <v>7428</v>
      </c>
      <c r="D403" s="22" t="s">
        <v>7429</v>
      </c>
      <c r="E403" s="23" t="str">
        <f>HYPERLINK("http://twitter.com","Twitter Web Client")</f>
        <v>Twitter Web Client</v>
      </c>
      <c r="F403" s="19">
        <v>42548.045173611114</v>
      </c>
      <c r="G403" s="24" t="s">
        <v>2783</v>
      </c>
      <c r="H403" s="35" t="s">
        <v>7430</v>
      </c>
      <c r="I403" s="25" t="s">
        <v>7431</v>
      </c>
    </row>
    <row r="404" spans="1:9" ht="60">
      <c r="A404" s="12">
        <v>43570.929166666669</v>
      </c>
      <c r="B404" s="13" t="str">
        <f>HYPERLINK("https://twitter.com/lovemisao","@lovemisao")</f>
        <v>@lovemisao</v>
      </c>
      <c r="C404" s="14" t="s">
        <v>3932</v>
      </c>
      <c r="D404" s="15" t="s">
        <v>405</v>
      </c>
      <c r="E404" s="16" t="str">
        <f>HYPERLINK("https://buffer.com","Buffer")</f>
        <v>Buffer</v>
      </c>
      <c r="F404" s="12">
        <v>39982.764537037037</v>
      </c>
      <c r="G404" s="24" t="s">
        <v>2783</v>
      </c>
      <c r="H404" s="35" t="s">
        <v>3933</v>
      </c>
      <c r="I404" s="18" t="s">
        <v>3934</v>
      </c>
    </row>
    <row r="405" spans="1:9" ht="90">
      <c r="A405" s="4">
        <v>43559.608657407407</v>
      </c>
      <c r="B405" s="5" t="str">
        <f>HYPERLINK("https://twitter.com/forglutensake","@forglutensake")</f>
        <v>@forglutensake</v>
      </c>
      <c r="C405" s="6" t="s">
        <v>11736</v>
      </c>
      <c r="D405" s="7" t="s">
        <v>11737</v>
      </c>
      <c r="E405" s="8" t="str">
        <f>HYPERLINK("http://twitter.com","Twitter Web Client")</f>
        <v>Twitter Web Client</v>
      </c>
      <c r="F405" s="4">
        <v>43051.004131944443</v>
      </c>
      <c r="G405" s="9" t="s">
        <v>2783</v>
      </c>
      <c r="H405" s="35" t="s">
        <v>11738</v>
      </c>
      <c r="I405" s="10" t="s">
        <v>11739</v>
      </c>
    </row>
    <row r="406" spans="1:9" ht="75">
      <c r="A406" s="12">
        <v>43578.018657407403</v>
      </c>
      <c r="B406" s="13" t="str">
        <f>HYPERLINK("https://twitter.com/travellineviet1","@travellineviet1")</f>
        <v>@travellineviet1</v>
      </c>
      <c r="C406" s="14" t="s">
        <v>1422</v>
      </c>
      <c r="D406" s="15" t="s">
        <v>1423</v>
      </c>
      <c r="E406" s="16" t="str">
        <f>HYPERLINK("http://twitter.com","Twitter Web Client")</f>
        <v>Twitter Web Client</v>
      </c>
      <c r="F406" s="12">
        <v>43567.837164351848</v>
      </c>
      <c r="G406" s="17" t="s">
        <v>2783</v>
      </c>
      <c r="H406" s="35" t="s">
        <v>1424</v>
      </c>
      <c r="I406" s="18" t="s">
        <v>1425</v>
      </c>
    </row>
    <row r="407" spans="1:9" ht="90">
      <c r="A407" s="12">
        <v>43577.022268518514</v>
      </c>
      <c r="B407" s="13" t="str">
        <f>HYPERLINK("https://twitter.com/travellineviet1","@travellineviet1")</f>
        <v>@travellineviet1</v>
      </c>
      <c r="C407" s="14" t="s">
        <v>1422</v>
      </c>
      <c r="D407" s="15" t="s">
        <v>1782</v>
      </c>
      <c r="E407" s="16" t="str">
        <f>HYPERLINK("http://twitter.com","Twitter Web Client")</f>
        <v>Twitter Web Client</v>
      </c>
      <c r="F407" s="12">
        <v>43567.837164351848</v>
      </c>
      <c r="G407" s="17" t="s">
        <v>2783</v>
      </c>
      <c r="H407" s="35" t="s">
        <v>1424</v>
      </c>
      <c r="I407" s="18" t="s">
        <v>1425</v>
      </c>
    </row>
    <row r="408" spans="1:9" ht="90">
      <c r="A408" s="12">
        <v>43574.129409722227</v>
      </c>
      <c r="B408" s="13" t="str">
        <f>HYPERLINK("https://twitter.com/travellineviet1","@travellineviet1")</f>
        <v>@travellineviet1</v>
      </c>
      <c r="C408" s="14" t="s">
        <v>1422</v>
      </c>
      <c r="D408" s="15" t="s">
        <v>2672</v>
      </c>
      <c r="E408" s="16" t="str">
        <f>HYPERLINK("http://twitter.com","Twitter Web Client")</f>
        <v>Twitter Web Client</v>
      </c>
      <c r="F408" s="12">
        <v>43567.837164351848</v>
      </c>
      <c r="G408" s="17" t="s">
        <v>2783</v>
      </c>
      <c r="H408" s="35" t="s">
        <v>1424</v>
      </c>
      <c r="I408" s="18" t="s">
        <v>1425</v>
      </c>
    </row>
    <row r="409" spans="1:9" ht="90">
      <c r="A409" s="12">
        <v>43572.127708333333</v>
      </c>
      <c r="B409" s="13" t="str">
        <f>HYPERLINK("https://twitter.com/travellineviet1","@travellineviet1")</f>
        <v>@travellineviet1</v>
      </c>
      <c r="C409" s="14" t="s">
        <v>1422</v>
      </c>
      <c r="D409" s="15" t="s">
        <v>3416</v>
      </c>
      <c r="E409" s="16" t="str">
        <f>HYPERLINK("http://twitter.com","Twitter Web Client")</f>
        <v>Twitter Web Client</v>
      </c>
      <c r="F409" s="12">
        <v>43567.837164351848</v>
      </c>
      <c r="G409" s="17" t="s">
        <v>2783</v>
      </c>
      <c r="H409" s="35" t="s">
        <v>1424</v>
      </c>
      <c r="I409" s="18" t="s">
        <v>1425</v>
      </c>
    </row>
    <row r="410" spans="1:9" ht="45">
      <c r="A410" s="19">
        <v>43549.777858796297</v>
      </c>
      <c r="B410" s="20" t="str">
        <f>HYPERLINK("https://twitter.com/AxiomTechHead","@AxiomTechHead")</f>
        <v>@AxiomTechHead</v>
      </c>
      <c r="C410" s="21" t="s">
        <v>7930</v>
      </c>
      <c r="D410" s="22" t="s">
        <v>7931</v>
      </c>
      <c r="E410" s="23" t="str">
        <f>HYPERLINK("https://www.hootsuite.com","Hootsuite Inc.")</f>
        <v>Hootsuite Inc.</v>
      </c>
      <c r="F410" s="19">
        <v>42557.840324074074</v>
      </c>
      <c r="G410" s="17" t="s">
        <v>2783</v>
      </c>
      <c r="H410" s="35" t="s">
        <v>3408</v>
      </c>
      <c r="I410" s="25" t="s">
        <v>7932</v>
      </c>
    </row>
    <row r="411" spans="1:9" ht="120">
      <c r="A411" s="19">
        <v>43548.85365740741</v>
      </c>
      <c r="B411" s="20" t="str">
        <f>HYPERLINK("https://twitter.com/michaelfung2018","@michaelfung2018")</f>
        <v>@michaelfung2018</v>
      </c>
      <c r="C411" s="21" t="s">
        <v>3406</v>
      </c>
      <c r="D411" s="22" t="s">
        <v>8210</v>
      </c>
      <c r="E411" s="23" t="str">
        <f>HYPERLINK("http://twitter.com","Twitter Web Client")</f>
        <v>Twitter Web Client</v>
      </c>
      <c r="F411" s="19">
        <v>42675.12572916667</v>
      </c>
      <c r="G411" s="17" t="s">
        <v>2783</v>
      </c>
      <c r="H411" s="35" t="s">
        <v>3408</v>
      </c>
      <c r="I411" s="25" t="s">
        <v>3409</v>
      </c>
    </row>
    <row r="412" spans="1:9" ht="105">
      <c r="A412" s="19">
        <v>43546.333726851852</v>
      </c>
      <c r="B412" s="20" t="str">
        <f>HYPERLINK("https://twitter.com/freightamigo","@freightamigo")</f>
        <v>@freightamigo</v>
      </c>
      <c r="C412" s="21" t="s">
        <v>8908</v>
      </c>
      <c r="D412" s="22" t="s">
        <v>8909</v>
      </c>
      <c r="E412" s="23" t="str">
        <f>HYPERLINK("https://www.hootsuite.com","Hootsuite Inc.")</f>
        <v>Hootsuite Inc.</v>
      </c>
      <c r="F412" s="19">
        <v>42330.096134259264</v>
      </c>
      <c r="G412" s="17" t="s">
        <v>2783</v>
      </c>
      <c r="H412" s="35" t="s">
        <v>3408</v>
      </c>
      <c r="I412" s="25" t="s">
        <v>8910</v>
      </c>
    </row>
    <row r="413" spans="1:9" ht="120">
      <c r="A413" s="19">
        <v>43545.072094907402</v>
      </c>
      <c r="B413" s="20" t="str">
        <f>HYPERLINK("https://twitter.com/michaelfung2018","@michaelfung2018")</f>
        <v>@michaelfung2018</v>
      </c>
      <c r="C413" s="21" t="s">
        <v>3406</v>
      </c>
      <c r="D413" s="22" t="s">
        <v>9285</v>
      </c>
      <c r="E413" s="23" t="str">
        <f>HYPERLINK("http://twitter.com","Twitter Web Client")</f>
        <v>Twitter Web Client</v>
      </c>
      <c r="F413" s="19">
        <v>42675.12572916667</v>
      </c>
      <c r="G413" s="17" t="s">
        <v>2783</v>
      </c>
      <c r="H413" s="35" t="s">
        <v>3408</v>
      </c>
      <c r="I413" s="25" t="s">
        <v>3409</v>
      </c>
    </row>
    <row r="414" spans="1:9" ht="30">
      <c r="A414" s="19">
        <v>43544.021053240736</v>
      </c>
      <c r="B414" s="20" t="str">
        <f>HYPERLINK("https://twitter.com/calvinfu1128","@calvinfu1128")</f>
        <v>@calvinfu1128</v>
      </c>
      <c r="C414" s="21" t="s">
        <v>9635</v>
      </c>
      <c r="D414" s="22" t="s">
        <v>9636</v>
      </c>
      <c r="E414" s="23" t="str">
        <f>HYPERLINK("https://buffer.com","Buffer")</f>
        <v>Buffer</v>
      </c>
      <c r="F414" s="19">
        <v>39792.896574074075</v>
      </c>
      <c r="G414" s="17" t="s">
        <v>2783</v>
      </c>
      <c r="H414" s="35" t="s">
        <v>3408</v>
      </c>
      <c r="I414" s="25" t="s">
        <v>9637</v>
      </c>
    </row>
    <row r="415" spans="1:9" ht="120">
      <c r="A415" s="4">
        <v>43565.786689814813</v>
      </c>
      <c r="B415" s="5" t="str">
        <f>HYPERLINK("https://twitter.com/michaelfung2018","@michaelfung2018")</f>
        <v>@michaelfung2018</v>
      </c>
      <c r="C415" s="6" t="s">
        <v>3406</v>
      </c>
      <c r="D415" s="7" t="s">
        <v>5898</v>
      </c>
      <c r="E415" s="8" t="str">
        <f>HYPERLINK("http://twitter.com","Twitter Web Client")</f>
        <v>Twitter Web Client</v>
      </c>
      <c r="F415" s="4">
        <v>42675.12572916667</v>
      </c>
      <c r="G415" s="17" t="s">
        <v>2783</v>
      </c>
      <c r="H415" s="35" t="s">
        <v>3408</v>
      </c>
      <c r="I415" s="10" t="s">
        <v>3409</v>
      </c>
    </row>
    <row r="416" spans="1:9" ht="120">
      <c r="A416" s="4">
        <v>43565.287800925929</v>
      </c>
      <c r="B416" s="5" t="str">
        <f>HYPERLINK("https://twitter.com/michaelfung2018","@michaelfung2018")</f>
        <v>@michaelfung2018</v>
      </c>
      <c r="C416" s="6" t="s">
        <v>3406</v>
      </c>
      <c r="D416" s="7" t="s">
        <v>6197</v>
      </c>
      <c r="E416" s="8" t="str">
        <f>HYPERLINK("http://twitter.com","Twitter Web Client")</f>
        <v>Twitter Web Client</v>
      </c>
      <c r="F416" s="4">
        <v>42675.12572916667</v>
      </c>
      <c r="G416" s="17" t="s">
        <v>2783</v>
      </c>
      <c r="H416" s="35" t="s">
        <v>3408</v>
      </c>
      <c r="I416" s="10" t="s">
        <v>3409</v>
      </c>
    </row>
    <row r="417" spans="1:9" ht="45">
      <c r="A417" s="4">
        <v>43565.187928240739</v>
      </c>
      <c r="B417" s="5" t="str">
        <f>HYPERLINK("https://twitter.com/hayleylyla","@hayleylyla")</f>
        <v>@hayleylyla</v>
      </c>
      <c r="C417" s="6" t="s">
        <v>6244</v>
      </c>
      <c r="D417" s="7" t="s">
        <v>6245</v>
      </c>
      <c r="E417" s="8" t="str">
        <f>HYPERLINK("http://instagram.com","Instagram")</f>
        <v>Instagram</v>
      </c>
      <c r="F417" s="4">
        <v>39896.942245370374</v>
      </c>
      <c r="G417" s="17" t="s">
        <v>2783</v>
      </c>
      <c r="H417" s="35" t="s">
        <v>3408</v>
      </c>
      <c r="I417" s="10" t="s">
        <v>6246</v>
      </c>
    </row>
    <row r="418" spans="1:9" ht="90">
      <c r="A418" s="4">
        <v>43565.029652777783</v>
      </c>
      <c r="B418" s="5" t="str">
        <f>HYPERLINK("https://twitter.com/hongkongtatler","@hongkongtatler")</f>
        <v>@hongkongtatler</v>
      </c>
      <c r="C418" s="6" t="s">
        <v>6338</v>
      </c>
      <c r="D418" s="7" t="s">
        <v>6339</v>
      </c>
      <c r="E418" s="8" t="str">
        <f>HYPERLINK("https://ifttt.com","IFTTT")</f>
        <v>IFTTT</v>
      </c>
      <c r="F418" s="4">
        <v>40106.974652777775</v>
      </c>
      <c r="G418" s="17" t="s">
        <v>2783</v>
      </c>
      <c r="H418" s="35" t="s">
        <v>3408</v>
      </c>
      <c r="I418" s="10" t="s">
        <v>6340</v>
      </c>
    </row>
    <row r="419" spans="1:9" ht="120">
      <c r="A419" s="4">
        <v>43564.037615740745</v>
      </c>
      <c r="B419" s="5" t="str">
        <f>HYPERLINK("https://twitter.com/michaelfung2018","@michaelfung2018")</f>
        <v>@michaelfung2018</v>
      </c>
      <c r="C419" s="6" t="s">
        <v>3406</v>
      </c>
      <c r="D419" s="7" t="s">
        <v>6814</v>
      </c>
      <c r="E419" s="8" t="str">
        <f>HYPERLINK("http://twitter.com","Twitter Web Client")</f>
        <v>Twitter Web Client</v>
      </c>
      <c r="F419" s="4">
        <v>42675.12572916667</v>
      </c>
      <c r="G419" s="17" t="s">
        <v>2783</v>
      </c>
      <c r="H419" s="35" t="s">
        <v>3408</v>
      </c>
      <c r="I419" s="10" t="s">
        <v>3409</v>
      </c>
    </row>
    <row r="420" spans="1:9" ht="90">
      <c r="A420" s="4">
        <v>43563.173530092594</v>
      </c>
      <c r="B420" s="5" t="str">
        <f>HYPERLINK("https://twitter.com/michaelfung2018","@michaelfung2018")</f>
        <v>@michaelfung2018</v>
      </c>
      <c r="C420" s="6" t="s">
        <v>3406</v>
      </c>
      <c r="D420" s="7" t="s">
        <v>10447</v>
      </c>
      <c r="E420" s="8" t="str">
        <f>HYPERLINK("http://twitter.com","Twitter Web Client")</f>
        <v>Twitter Web Client</v>
      </c>
      <c r="F420" s="4">
        <v>42675.12572916667</v>
      </c>
      <c r="G420" s="17" t="s">
        <v>2783</v>
      </c>
      <c r="H420" s="35" t="s">
        <v>3408</v>
      </c>
      <c r="I420" s="10" t="s">
        <v>3409</v>
      </c>
    </row>
    <row r="421" spans="1:9" ht="105">
      <c r="A421" s="4">
        <v>43561.237986111111</v>
      </c>
      <c r="B421" s="5" t="str">
        <f>HYPERLINK("https://twitter.com/michaelfung2018","@michaelfung2018")</f>
        <v>@michaelfung2018</v>
      </c>
      <c r="C421" s="6" t="s">
        <v>3406</v>
      </c>
      <c r="D421" s="7" t="s">
        <v>11019</v>
      </c>
      <c r="E421" s="8" t="str">
        <f>HYPERLINK("http://twitter.com","Twitter Web Client")</f>
        <v>Twitter Web Client</v>
      </c>
      <c r="F421" s="4">
        <v>42675.12572916667</v>
      </c>
      <c r="G421" s="17" t="s">
        <v>2783</v>
      </c>
      <c r="H421" s="35" t="s">
        <v>3408</v>
      </c>
      <c r="I421" s="10" t="s">
        <v>3409</v>
      </c>
    </row>
    <row r="422" spans="1:9" ht="45">
      <c r="A422" s="4">
        <v>43558.666944444441</v>
      </c>
      <c r="B422" s="5" t="str">
        <f>HYPERLINK("https://twitter.com/SCMPNews","@SCMPNews")</f>
        <v>@SCMPNews</v>
      </c>
      <c r="C422" s="6" t="s">
        <v>12081</v>
      </c>
      <c r="D422" s="7" t="s">
        <v>12082</v>
      </c>
      <c r="E422" s="8" t="str">
        <f>HYPERLINK("https://buffer.com","Buffer")</f>
        <v>Buffer</v>
      </c>
      <c r="F422" s="4">
        <v>39884.077662037038</v>
      </c>
      <c r="G422" s="17" t="s">
        <v>2783</v>
      </c>
      <c r="H422" s="35" t="s">
        <v>3408</v>
      </c>
      <c r="I422" s="10" t="s">
        <v>12083</v>
      </c>
    </row>
    <row r="423" spans="1:9" ht="120">
      <c r="A423" s="12">
        <v>43572.144027777773</v>
      </c>
      <c r="B423" s="13" t="str">
        <f>HYPERLINK("https://twitter.com/michaelfung2018","@michaelfung2018")</f>
        <v>@michaelfung2018</v>
      </c>
      <c r="C423" s="14" t="s">
        <v>3406</v>
      </c>
      <c r="D423" s="15" t="s">
        <v>3407</v>
      </c>
      <c r="E423" s="16" t="str">
        <f>HYPERLINK("http://twitter.com","Twitter Web Client")</f>
        <v>Twitter Web Client</v>
      </c>
      <c r="F423" s="12">
        <v>42675.12572916667</v>
      </c>
      <c r="G423" s="17" t="s">
        <v>2783</v>
      </c>
      <c r="H423" s="35" t="s">
        <v>3408</v>
      </c>
      <c r="I423" s="18" t="s">
        <v>3409</v>
      </c>
    </row>
    <row r="424" spans="1:9" ht="105">
      <c r="A424" s="12">
        <v>43569.802233796298</v>
      </c>
      <c r="B424" s="13" t="str">
        <f>HYPERLINK("https://twitter.com/iciclegroup","@iciclegroup")</f>
        <v>@iciclegroup</v>
      </c>
      <c r="C424" s="14" t="s">
        <v>4403</v>
      </c>
      <c r="D424" s="15" t="s">
        <v>4404</v>
      </c>
      <c r="E424" s="16" t="str">
        <f>HYPERLINK("http://twitter.com","Twitter Web Client")</f>
        <v>Twitter Web Client</v>
      </c>
      <c r="F424" s="12">
        <v>40030.264618055553</v>
      </c>
      <c r="G424" s="17" t="s">
        <v>2783</v>
      </c>
      <c r="H424" s="35" t="s">
        <v>3408</v>
      </c>
      <c r="I424" s="18" t="s">
        <v>4405</v>
      </c>
    </row>
    <row r="425" spans="1:9" ht="45">
      <c r="A425" s="4">
        <v>43557.637546296297</v>
      </c>
      <c r="B425" s="5" t="str">
        <f>HYPERLINK("https://twitter.com/amruthasuri","@amruthasuri")</f>
        <v>@amruthasuri</v>
      </c>
      <c r="C425" s="6" t="s">
        <v>12430</v>
      </c>
      <c r="D425" s="7" t="s">
        <v>12431</v>
      </c>
      <c r="E425" s="8" t="str">
        <f>HYPERLINK("http://twinybots.com","TwinyBots")</f>
        <v>TwinyBots</v>
      </c>
      <c r="F425" s="4">
        <v>42380.260497685187</v>
      </c>
      <c r="G425" s="9" t="s">
        <v>2783</v>
      </c>
      <c r="H425" s="35" t="s">
        <v>12432</v>
      </c>
      <c r="I425" s="10" t="s">
        <v>12433</v>
      </c>
    </row>
    <row r="426" spans="1:9" ht="15">
      <c r="A426" s="4">
        <v>43557.354421296295</v>
      </c>
      <c r="B426" s="5" t="str">
        <f>HYPERLINK("https://twitter.com/g11npro","@g11npro")</f>
        <v>@g11npro</v>
      </c>
      <c r="C426" s="6" t="s">
        <v>12545</v>
      </c>
      <c r="D426" s="7" t="s">
        <v>12546</v>
      </c>
      <c r="E426" s="8" t="str">
        <f>HYPERLINK("https://www.hootsuite.com","Hootsuite Inc.")</f>
        <v>Hootsuite Inc.</v>
      </c>
      <c r="F426" s="4">
        <v>40253.426550925928</v>
      </c>
      <c r="G426" s="9" t="s">
        <v>2783</v>
      </c>
      <c r="H426" s="35" t="s">
        <v>12432</v>
      </c>
      <c r="I426" s="10" t="s">
        <v>12547</v>
      </c>
    </row>
    <row r="427" spans="1:9" ht="105">
      <c r="A427" s="12">
        <v>43574.91541666667</v>
      </c>
      <c r="B427" s="13" t="str">
        <f>HYPERLINK("https://twitter.com/synjintel","@synjintel")</f>
        <v>@synjintel</v>
      </c>
      <c r="C427" s="14" t="s">
        <v>2403</v>
      </c>
      <c r="D427" s="15" t="s">
        <v>12910</v>
      </c>
      <c r="E427" s="16" t="str">
        <f>HYPERLINK("http://twitter.com/download/android","Twitter for Android")</f>
        <v>Twitter for Android</v>
      </c>
      <c r="F427" s="12">
        <v>42911.151979166665</v>
      </c>
      <c r="G427" s="17" t="s">
        <v>2783</v>
      </c>
      <c r="H427" s="35" t="s">
        <v>2404</v>
      </c>
      <c r="I427" s="18" t="s">
        <v>2405</v>
      </c>
    </row>
    <row r="428" spans="1:9" ht="105">
      <c r="A428" s="19">
        <v>43544.257685185185</v>
      </c>
      <c r="B428" s="20" t="str">
        <f>HYPERLINK("https://twitter.com/bootsgridtech","@bootsgridtech")</f>
        <v>@bootsgridtech</v>
      </c>
      <c r="C428" s="21" t="s">
        <v>9564</v>
      </c>
      <c r="D428" s="22" t="s">
        <v>12821</v>
      </c>
      <c r="E428" s="23" t="str">
        <f>HYPERLINK("http://twitter.com","Twitter Web Client")</f>
        <v>Twitter Web Client</v>
      </c>
      <c r="F428" s="19">
        <v>42844.164652777778</v>
      </c>
      <c r="G428" s="17" t="s">
        <v>2783</v>
      </c>
      <c r="H428" s="35" t="s">
        <v>9565</v>
      </c>
      <c r="I428" s="25" t="s">
        <v>9566</v>
      </c>
    </row>
    <row r="429" spans="1:9" ht="90">
      <c r="A429" s="4">
        <v>43556.939166666663</v>
      </c>
      <c r="B429" s="5" t="str">
        <f>HYPERLINK("https://twitter.com/iaccindia","@iaccindia")</f>
        <v>@iaccindia</v>
      </c>
      <c r="C429" s="6" t="s">
        <v>12700</v>
      </c>
      <c r="D429" s="7" t="s">
        <v>12824</v>
      </c>
      <c r="E429" s="8" t="str">
        <f>HYPERLINK("http://twitter.com","Twitter Web Client")</f>
        <v>Twitter Web Client</v>
      </c>
      <c r="F429" s="4">
        <v>40550.096122685187</v>
      </c>
      <c r="G429" s="17" t="s">
        <v>2783</v>
      </c>
      <c r="H429" s="35" t="s">
        <v>12701</v>
      </c>
      <c r="I429" s="10" t="s">
        <v>12702</v>
      </c>
    </row>
    <row r="430" spans="1:9" ht="45">
      <c r="A430" s="19">
        <v>43550.02615740741</v>
      </c>
      <c r="B430" s="20" t="str">
        <f>HYPERLINK("https://twitter.com/QuizAndGiveaway","@QuizAndGiveaway")</f>
        <v>@QuizAndGiveaway</v>
      </c>
      <c r="C430" s="21" t="s">
        <v>7856</v>
      </c>
      <c r="D430" s="22" t="s">
        <v>7857</v>
      </c>
      <c r="E430" s="23" t="str">
        <f>HYPERLINK("http://twitter.com/download/android","Twitter for Android")</f>
        <v>Twitter for Android</v>
      </c>
      <c r="F430" s="19">
        <v>39937.084016203706</v>
      </c>
      <c r="G430" s="17" t="s">
        <v>2783</v>
      </c>
      <c r="H430" s="35" t="s">
        <v>1012</v>
      </c>
      <c r="I430" s="25" t="s">
        <v>7858</v>
      </c>
    </row>
    <row r="431" spans="1:9" ht="105">
      <c r="A431" s="19">
        <v>43547.645868055552</v>
      </c>
      <c r="B431" s="20" t="str">
        <f>HYPERLINK("https://twitter.com/ibiixo","@ibiixo")</f>
        <v>@ibiixo</v>
      </c>
      <c r="C431" s="21" t="s">
        <v>2152</v>
      </c>
      <c r="D431" s="22" t="s">
        <v>8490</v>
      </c>
      <c r="E431" s="23" t="str">
        <f>HYPERLINK("https://socialbee.io/","SocialBee.io v2")</f>
        <v>SocialBee.io v2</v>
      </c>
      <c r="F431" s="19">
        <v>41877.588703703703</v>
      </c>
      <c r="G431" s="17" t="s">
        <v>2783</v>
      </c>
      <c r="H431" s="35" t="s">
        <v>1012</v>
      </c>
      <c r="I431" s="25" t="s">
        <v>2154</v>
      </c>
    </row>
    <row r="432" spans="1:9" ht="45">
      <c r="A432" s="19">
        <v>43547.185266203705</v>
      </c>
      <c r="B432" s="20" t="str">
        <f>HYPERLINK("https://twitter.com/ankurdinesh","@ankurdinesh")</f>
        <v>@ankurdinesh</v>
      </c>
      <c r="C432" s="21" t="s">
        <v>8642</v>
      </c>
      <c r="D432" s="22" t="s">
        <v>8643</v>
      </c>
      <c r="E432" s="23" t="str">
        <f>HYPERLINK("https://ifttt.com","IFTTT")</f>
        <v>IFTTT</v>
      </c>
      <c r="F432" s="19">
        <v>39873.333113425928</v>
      </c>
      <c r="G432" s="17" t="s">
        <v>2783</v>
      </c>
      <c r="H432" s="35" t="s">
        <v>1012</v>
      </c>
      <c r="I432" s="25" t="s">
        <v>8644</v>
      </c>
    </row>
    <row r="433" spans="1:9" ht="45">
      <c r="A433" s="19">
        <v>43547.184733796297</v>
      </c>
      <c r="B433" s="20" t="str">
        <f>HYPERLINK("https://twitter.com/ankurdinesh","@ankurdinesh")</f>
        <v>@ankurdinesh</v>
      </c>
      <c r="C433" s="21" t="s">
        <v>8642</v>
      </c>
      <c r="D433" s="22" t="s">
        <v>8645</v>
      </c>
      <c r="E433" s="23" t="str">
        <f>HYPERLINK("https://buffer.com","Buffer")</f>
        <v>Buffer</v>
      </c>
      <c r="F433" s="19">
        <v>39873.333113425928</v>
      </c>
      <c r="G433" s="17" t="s">
        <v>2783</v>
      </c>
      <c r="H433" s="35" t="s">
        <v>1012</v>
      </c>
      <c r="I433" s="25" t="s">
        <v>8644</v>
      </c>
    </row>
    <row r="434" spans="1:9" ht="90">
      <c r="A434" s="19">
        <v>43545.815393518518</v>
      </c>
      <c r="B434" s="20" t="str">
        <f>HYPERLINK("https://twitter.com/_AnIndianSummer","@_AnIndianSummer")</f>
        <v>@_AnIndianSummer</v>
      </c>
      <c r="C434" s="21" t="s">
        <v>9042</v>
      </c>
      <c r="D434" s="22" t="s">
        <v>9043</v>
      </c>
      <c r="E434" s="23" t="str">
        <f>HYPERLINK("http://twitter.com/download/android","Twitter for Android")</f>
        <v>Twitter for Android</v>
      </c>
      <c r="F434" s="19">
        <v>39778.660138888888</v>
      </c>
      <c r="G434" s="17" t="s">
        <v>2783</v>
      </c>
      <c r="H434" s="35" t="s">
        <v>1012</v>
      </c>
      <c r="I434" s="25" t="s">
        <v>9044</v>
      </c>
    </row>
    <row r="435" spans="1:9" ht="45">
      <c r="A435" s="19">
        <v>43543.22384259259</v>
      </c>
      <c r="B435" s="20" t="str">
        <f>HYPERLINK("https://twitter.com/ibtimes_india","@ibtimes_india")</f>
        <v>@ibtimes_india</v>
      </c>
      <c r="C435" s="21" t="s">
        <v>9892</v>
      </c>
      <c r="D435" s="22" t="s">
        <v>9893</v>
      </c>
      <c r="E435" s="23" t="str">
        <f>HYPERLINK("https://about.twitter.com/products/tweetdeck","TweetDeck")</f>
        <v>TweetDeck</v>
      </c>
      <c r="F435" s="19">
        <v>40849.573796296296</v>
      </c>
      <c r="G435" s="17" t="s">
        <v>2783</v>
      </c>
      <c r="H435" s="35" t="s">
        <v>1012</v>
      </c>
      <c r="I435" s="25" t="s">
        <v>9894</v>
      </c>
    </row>
    <row r="436" spans="1:9" ht="180">
      <c r="A436" s="19">
        <v>43542.980243055557</v>
      </c>
      <c r="B436" s="20" t="str">
        <f>HYPERLINK("https://twitter.com/arka_learner","@arka_learner")</f>
        <v>@arka_learner</v>
      </c>
      <c r="C436" s="21" t="s">
        <v>9970</v>
      </c>
      <c r="D436" s="22" t="s">
        <v>9971</v>
      </c>
      <c r="E436" s="23" t="str">
        <f>HYPERLINK("http://twitter.com","Twitter Web Client")</f>
        <v>Twitter Web Client</v>
      </c>
      <c r="F436" s="19">
        <v>41783.193726851852</v>
      </c>
      <c r="G436" s="17" t="s">
        <v>2783</v>
      </c>
      <c r="H436" s="35" t="s">
        <v>1012</v>
      </c>
      <c r="I436" s="25" t="s">
        <v>9972</v>
      </c>
    </row>
    <row r="437" spans="1:9" ht="75">
      <c r="A437" s="4">
        <v>43565.33766203704</v>
      </c>
      <c r="B437" s="5" t="str">
        <f>HYPERLINK("https://twitter.com/Atulmaharaj","@Atulmaharaj")</f>
        <v>@Atulmaharaj</v>
      </c>
      <c r="C437" s="6" t="s">
        <v>6162</v>
      </c>
      <c r="D437" s="7" t="s">
        <v>6163</v>
      </c>
      <c r="E437" s="8" t="str">
        <f>HYPERLINK("http://twitter.com/download/android","Twitter for Android")</f>
        <v>Twitter for Android</v>
      </c>
      <c r="F437" s="4">
        <v>40053.18309027778</v>
      </c>
      <c r="G437" s="17" t="s">
        <v>2783</v>
      </c>
      <c r="H437" s="35" t="s">
        <v>1012</v>
      </c>
      <c r="I437" s="10" t="s">
        <v>6164</v>
      </c>
    </row>
    <row r="438" spans="1:9" ht="45">
      <c r="A438" s="4">
        <v>43561.875231481477</v>
      </c>
      <c r="B438" s="5" t="str">
        <f>HYPERLINK("https://twitter.com/NomadicDreamz","@NomadicDreamz")</f>
        <v>@NomadicDreamz</v>
      </c>
      <c r="C438" s="6" t="s">
        <v>10810</v>
      </c>
      <c r="D438" s="7" t="s">
        <v>10811</v>
      </c>
      <c r="E438" s="8" t="str">
        <f>HYPERLINK("https://buffer.com","Buffer")</f>
        <v>Buffer</v>
      </c>
      <c r="F438" s="4">
        <v>40162.393854166665</v>
      </c>
      <c r="G438" s="17" t="s">
        <v>2783</v>
      </c>
      <c r="H438" s="35" t="s">
        <v>1012</v>
      </c>
      <c r="I438" s="10" t="s">
        <v>10812</v>
      </c>
    </row>
    <row r="439" spans="1:9" ht="90">
      <c r="A439" s="4">
        <v>43561.645868055552</v>
      </c>
      <c r="B439" s="5" t="str">
        <f>HYPERLINK("https://twitter.com/ibiixo","@ibiixo")</f>
        <v>@ibiixo</v>
      </c>
      <c r="C439" s="6" t="s">
        <v>2152</v>
      </c>
      <c r="D439" s="7" t="s">
        <v>10884</v>
      </c>
      <c r="E439" s="8" t="str">
        <f>HYPERLINK("https://socialbee.io/","SocialBee.io v2")</f>
        <v>SocialBee.io v2</v>
      </c>
      <c r="F439" s="4">
        <v>41877.588703703703</v>
      </c>
      <c r="G439" s="17" t="s">
        <v>2783</v>
      </c>
      <c r="H439" s="35" t="s">
        <v>1012</v>
      </c>
      <c r="I439" s="10" t="s">
        <v>2154</v>
      </c>
    </row>
    <row r="440" spans="1:9" ht="75">
      <c r="A440" s="4">
        <v>43560.543229166666</v>
      </c>
      <c r="B440" s="5" t="str">
        <f>HYPERLINK("https://twitter.com/Swinging_Swamy","@Swinging_Swamy")</f>
        <v>@Swinging_Swamy</v>
      </c>
      <c r="C440" s="6" t="s">
        <v>11297</v>
      </c>
      <c r="D440" s="7" t="s">
        <v>11298</v>
      </c>
      <c r="E440" s="8" t="str">
        <f>HYPERLINK("http://twitter.com/download/iphone","Twitter for iPhone")</f>
        <v>Twitter for iPhone</v>
      </c>
      <c r="F440" s="4">
        <v>39646.10319444444</v>
      </c>
      <c r="G440" s="17" t="s">
        <v>2783</v>
      </c>
      <c r="H440" s="35" t="s">
        <v>1012</v>
      </c>
      <c r="I440" s="10" t="s">
        <v>11299</v>
      </c>
    </row>
    <row r="441" spans="1:9" ht="30">
      <c r="A441" s="4">
        <v>43560.463321759264</v>
      </c>
      <c r="B441" s="5" t="str">
        <f>HYPERLINK("https://twitter.com/thenglishpost","@thenglishpost")</f>
        <v>@thenglishpost</v>
      </c>
      <c r="C441" s="6" t="s">
        <v>11355</v>
      </c>
      <c r="D441" s="7" t="s">
        <v>11356</v>
      </c>
      <c r="E441" s="8" t="str">
        <f>HYPERLINK("http://twitter.com","Twitter Web Client")</f>
        <v>Twitter Web Client</v>
      </c>
      <c r="F441" s="4">
        <v>42632.45</v>
      </c>
      <c r="G441" s="17" t="s">
        <v>2783</v>
      </c>
      <c r="H441" s="35" t="s">
        <v>1012</v>
      </c>
      <c r="I441" s="10" t="s">
        <v>11357</v>
      </c>
    </row>
    <row r="442" spans="1:9" ht="45">
      <c r="A442" s="4">
        <v>43560.376435185186</v>
      </c>
      <c r="B442" s="5" t="str">
        <f>HYPERLINK("https://twitter.com/NomadicDreamz","@NomadicDreamz")</f>
        <v>@NomadicDreamz</v>
      </c>
      <c r="C442" s="6" t="s">
        <v>10810</v>
      </c>
      <c r="D442" s="7" t="s">
        <v>11410</v>
      </c>
      <c r="E442" s="8" t="str">
        <f>HYPERLINK("https://buffer.com","Buffer")</f>
        <v>Buffer</v>
      </c>
      <c r="F442" s="4">
        <v>40162.393854166665</v>
      </c>
      <c r="G442" s="17" t="s">
        <v>2783</v>
      </c>
      <c r="H442" s="35" t="s">
        <v>1012</v>
      </c>
      <c r="I442" s="10" t="s">
        <v>10812</v>
      </c>
    </row>
    <row r="443" spans="1:9" ht="75">
      <c r="A443" s="4">
        <v>43559.890150462961</v>
      </c>
      <c r="B443" s="5" t="str">
        <f>HYPERLINK("https://twitter.com/bragpacker","@bragpacker")</f>
        <v>@bragpacker</v>
      </c>
      <c r="C443" s="6" t="s">
        <v>11664</v>
      </c>
      <c r="D443" s="7" t="s">
        <v>11665</v>
      </c>
      <c r="E443" s="8" t="str">
        <f>HYPERLINK("http://twitter.com","Twitter Web Client")</f>
        <v>Twitter Web Client</v>
      </c>
      <c r="F443" s="4">
        <v>42407.157800925925</v>
      </c>
      <c r="G443" s="17" t="s">
        <v>2783</v>
      </c>
      <c r="H443" s="35" t="s">
        <v>1012</v>
      </c>
      <c r="I443" s="10" t="s">
        <v>11666</v>
      </c>
    </row>
    <row r="444" spans="1:9" ht="90">
      <c r="A444" s="4">
        <v>43558.266921296294</v>
      </c>
      <c r="B444" s="5" t="str">
        <f>HYPERLINK("https://twitter.com/startupmart1","@startupmart1")</f>
        <v>@startupmart1</v>
      </c>
      <c r="C444" s="6" t="s">
        <v>12254</v>
      </c>
      <c r="D444" s="7" t="s">
        <v>12255</v>
      </c>
      <c r="E444" s="8" t="str">
        <f>HYPERLINK("http://twitter.com","Twitter Web Client")</f>
        <v>Twitter Web Client</v>
      </c>
      <c r="F444" s="4">
        <v>43554.040312500001</v>
      </c>
      <c r="G444" s="17" t="s">
        <v>2783</v>
      </c>
      <c r="H444" s="35" t="s">
        <v>1012</v>
      </c>
      <c r="I444" s="10" t="s">
        <v>12256</v>
      </c>
    </row>
    <row r="445" spans="1:9" ht="30">
      <c r="A445" s="12">
        <v>43578.854166666672</v>
      </c>
      <c r="B445" s="13" t="str">
        <f>HYPERLINK("https://twitter.com/AdAgeIn","@AdAgeIn")</f>
        <v>@AdAgeIn</v>
      </c>
      <c r="C445" s="14" t="s">
        <v>1010</v>
      </c>
      <c r="D445" s="15" t="s">
        <v>1011</v>
      </c>
      <c r="E445" s="16" t="str">
        <f>HYPERLINK("https://about.twitter.com/products/tweetdeck","TweetDeck")</f>
        <v>TweetDeck</v>
      </c>
      <c r="F445" s="12">
        <v>41975.061921296292</v>
      </c>
      <c r="G445" s="17" t="s">
        <v>2783</v>
      </c>
      <c r="H445" s="35" t="s">
        <v>1012</v>
      </c>
      <c r="I445" s="18" t="s">
        <v>1013</v>
      </c>
    </row>
    <row r="446" spans="1:9" ht="60">
      <c r="A446" s="12">
        <v>43578.409733796296</v>
      </c>
      <c r="B446" s="13" t="str">
        <f>HYPERLINK("https://twitter.com/p00namgupta","@p00namgupta")</f>
        <v>@p00namgupta</v>
      </c>
      <c r="C446" s="14" t="s">
        <v>1220</v>
      </c>
      <c r="D446" s="15" t="s">
        <v>1221</v>
      </c>
      <c r="E446" s="16" t="str">
        <f>HYPERLINK("http://twitter.com/download/android","Twitter for Android")</f>
        <v>Twitter for Android</v>
      </c>
      <c r="F446" s="12">
        <v>39958.379745370374</v>
      </c>
      <c r="G446" s="17" t="s">
        <v>2783</v>
      </c>
      <c r="H446" s="35" t="s">
        <v>1012</v>
      </c>
      <c r="I446" s="18"/>
    </row>
    <row r="447" spans="1:9" ht="90">
      <c r="A447" s="12">
        <v>43577.955567129626</v>
      </c>
      <c r="B447" s="13" t="str">
        <f>HYPERLINK("https://twitter.com/Ankita_Mishra91","@Ankita_Mishra91")</f>
        <v>@Ankita_Mishra91</v>
      </c>
      <c r="C447" s="14" t="s">
        <v>1442</v>
      </c>
      <c r="D447" s="15" t="s">
        <v>1443</v>
      </c>
      <c r="E447" s="16" t="str">
        <f>HYPERLINK("https://about.twitter.com/products/tweetdeck","TweetDeck")</f>
        <v>TweetDeck</v>
      </c>
      <c r="F447" s="12">
        <v>42647.069710648153</v>
      </c>
      <c r="G447" s="17" t="s">
        <v>2783</v>
      </c>
      <c r="H447" s="35" t="s">
        <v>1012</v>
      </c>
      <c r="I447" s="18" t="s">
        <v>1444</v>
      </c>
    </row>
    <row r="448" spans="1:9" ht="90">
      <c r="A448" s="12">
        <v>43575.645868055552</v>
      </c>
      <c r="B448" s="13" t="str">
        <f>HYPERLINK("https://twitter.com/ibiixo","@ibiixo")</f>
        <v>@ibiixo</v>
      </c>
      <c r="C448" s="14" t="s">
        <v>2152</v>
      </c>
      <c r="D448" s="15" t="s">
        <v>2153</v>
      </c>
      <c r="E448" s="16" t="str">
        <f>HYPERLINK("https://socialbee.io/","SocialBee.io v2")</f>
        <v>SocialBee.io v2</v>
      </c>
      <c r="F448" s="12">
        <v>41877.588703703703</v>
      </c>
      <c r="G448" s="17" t="s">
        <v>2783</v>
      </c>
      <c r="H448" s="35" t="s">
        <v>1012</v>
      </c>
      <c r="I448" s="18" t="s">
        <v>2154</v>
      </c>
    </row>
    <row r="449" spans="1:9" ht="75">
      <c r="A449" s="12">
        <v>43575.397453703699</v>
      </c>
      <c r="B449" s="13" t="str">
        <f>HYPERLINK("https://twitter.com/p00namgupta","@p00namgupta")</f>
        <v>@p00namgupta</v>
      </c>
      <c r="C449" s="14" t="s">
        <v>1220</v>
      </c>
      <c r="D449" s="15" t="s">
        <v>2240</v>
      </c>
      <c r="E449" s="16" t="str">
        <f>HYPERLINK("http://twitter.com/download/android","Twitter for Android")</f>
        <v>Twitter for Android</v>
      </c>
      <c r="F449" s="12">
        <v>39958.379745370374</v>
      </c>
      <c r="G449" s="17" t="s">
        <v>2783</v>
      </c>
      <c r="H449" s="35" t="s">
        <v>1012</v>
      </c>
      <c r="I449" s="18"/>
    </row>
    <row r="450" spans="1:9" ht="105">
      <c r="A450" s="12">
        <v>43568.645868055552</v>
      </c>
      <c r="B450" s="13" t="str">
        <f>HYPERLINK("https://twitter.com/ibiixo","@ibiixo")</f>
        <v>@ibiixo</v>
      </c>
      <c r="C450" s="14" t="s">
        <v>2152</v>
      </c>
      <c r="D450" s="15" t="s">
        <v>4680</v>
      </c>
      <c r="E450" s="16" t="str">
        <f>HYPERLINK("https://socialbee.io/","SocialBee.io v2")</f>
        <v>SocialBee.io v2</v>
      </c>
      <c r="F450" s="12">
        <v>41877.588703703703</v>
      </c>
      <c r="G450" s="17" t="s">
        <v>2783</v>
      </c>
      <c r="H450" s="35" t="s">
        <v>1012</v>
      </c>
      <c r="I450" s="18" t="s">
        <v>2154</v>
      </c>
    </row>
    <row r="451" spans="1:9" ht="75">
      <c r="A451" s="12">
        <v>43568.468124999999</v>
      </c>
      <c r="B451" s="13" t="str">
        <f>HYPERLINK("https://twitter.com/p00namgupta","@p00namgupta")</f>
        <v>@p00namgupta</v>
      </c>
      <c r="C451" s="14" t="s">
        <v>1220</v>
      </c>
      <c r="D451" s="15" t="s">
        <v>4752</v>
      </c>
      <c r="E451" s="16" t="str">
        <f>HYPERLINK("http://twitter.com/download/android","Twitter for Android")</f>
        <v>Twitter for Android</v>
      </c>
      <c r="F451" s="12">
        <v>39958.379745370374</v>
      </c>
      <c r="G451" s="17" t="s">
        <v>2783</v>
      </c>
      <c r="H451" s="35" t="s">
        <v>1012</v>
      </c>
      <c r="I451" s="18"/>
    </row>
    <row r="452" spans="1:9" ht="60">
      <c r="A452" s="12">
        <v>43568.109293981484</v>
      </c>
      <c r="B452" s="13" t="str">
        <f>HYPERLINK("https://twitter.com/HandfulofTravel","@HandfulofTravel")</f>
        <v>@HandfulofTravel</v>
      </c>
      <c r="C452" s="14" t="s">
        <v>4867</v>
      </c>
      <c r="D452" s="15" t="s">
        <v>4868</v>
      </c>
      <c r="E452" s="16" t="str">
        <f>HYPERLINK("http://twitter.com/download/iphone","Twitter for iPhone")</f>
        <v>Twitter for iPhone</v>
      </c>
      <c r="F452" s="12">
        <v>39950.962407407409</v>
      </c>
      <c r="G452" s="17" t="s">
        <v>2783</v>
      </c>
      <c r="H452" s="35" t="s">
        <v>1012</v>
      </c>
      <c r="I452" s="18" t="s">
        <v>4869</v>
      </c>
    </row>
    <row r="453" spans="1:9" ht="60">
      <c r="A453" s="12">
        <v>43567.110775462963</v>
      </c>
      <c r="B453" s="13" t="str">
        <f>HYPERLINK("https://twitter.com/p00namgupta","@p00namgupta")</f>
        <v>@p00namgupta</v>
      </c>
      <c r="C453" s="14" t="s">
        <v>1220</v>
      </c>
      <c r="D453" s="15" t="s">
        <v>5234</v>
      </c>
      <c r="E453" s="16" t="str">
        <f>HYPERLINK("http://twitter.com/download/android","Twitter for Android")</f>
        <v>Twitter for Android</v>
      </c>
      <c r="F453" s="12">
        <v>39958.379745370374</v>
      </c>
      <c r="G453" s="17" t="s">
        <v>2783</v>
      </c>
      <c r="H453" s="35" t="s">
        <v>1012</v>
      </c>
      <c r="I453" s="18"/>
    </row>
    <row r="454" spans="1:9" ht="45">
      <c r="A454" s="12">
        <v>43567.000416666662</v>
      </c>
      <c r="B454" s="13" t="str">
        <f>HYPERLINK("https://twitter.com/dilsaay_","@dilsaay_")</f>
        <v>@dilsaay_</v>
      </c>
      <c r="C454" s="14" t="s">
        <v>5279</v>
      </c>
      <c r="D454" s="15" t="s">
        <v>5280</v>
      </c>
      <c r="E454" s="16" t="str">
        <f>HYPERLINK("http://twitter.com/download/iphone","Twitter for iPhone")</f>
        <v>Twitter for iPhone</v>
      </c>
      <c r="F454" s="12">
        <v>43096.008530092593</v>
      </c>
      <c r="G454" s="17" t="s">
        <v>2783</v>
      </c>
      <c r="H454" s="35" t="s">
        <v>1012</v>
      </c>
      <c r="I454" s="18" t="s">
        <v>5281</v>
      </c>
    </row>
    <row r="455" spans="1:9" ht="60">
      <c r="A455" s="12">
        <v>43574.282650462963</v>
      </c>
      <c r="B455" s="13" t="str">
        <f>HYPERLINK("https://twitter.com/gau061","@gau061")</f>
        <v>@gau061</v>
      </c>
      <c r="C455" s="14" t="s">
        <v>2623</v>
      </c>
      <c r="D455" s="15" t="s">
        <v>2624</v>
      </c>
      <c r="E455" s="16" t="str">
        <f>HYPERLINK("https://buffer.com","Buffer")</f>
        <v>Buffer</v>
      </c>
      <c r="F455" s="12">
        <v>40082.186956018515</v>
      </c>
      <c r="G455" s="17" t="s">
        <v>2783</v>
      </c>
      <c r="H455" s="35" t="s">
        <v>2625</v>
      </c>
      <c r="I455" s="18" t="s">
        <v>2626</v>
      </c>
    </row>
    <row r="456" spans="1:9" ht="60">
      <c r="A456" s="12">
        <v>43572.490300925929</v>
      </c>
      <c r="B456" s="13" t="str">
        <f>HYPERLINK("https://twitter.com/gau061","@gau061")</f>
        <v>@gau061</v>
      </c>
      <c r="C456" s="14" t="s">
        <v>2623</v>
      </c>
      <c r="D456" s="15" t="s">
        <v>2624</v>
      </c>
      <c r="E456" s="16" t="str">
        <f>HYPERLINK("https://buffer.com","Buffer")</f>
        <v>Buffer</v>
      </c>
      <c r="F456" s="12">
        <v>40082.186956018515</v>
      </c>
      <c r="G456" s="17" t="s">
        <v>2783</v>
      </c>
      <c r="H456" s="35" t="s">
        <v>2625</v>
      </c>
      <c r="I456" s="18" t="s">
        <v>2626</v>
      </c>
    </row>
    <row r="457" spans="1:9" ht="60">
      <c r="A457" s="12">
        <v>43572.282048611116</v>
      </c>
      <c r="B457" s="13" t="str">
        <f>HYPERLINK("https://twitter.com/gau061","@gau061")</f>
        <v>@gau061</v>
      </c>
      <c r="C457" s="14" t="s">
        <v>2623</v>
      </c>
      <c r="D457" s="15" t="s">
        <v>2624</v>
      </c>
      <c r="E457" s="16" t="str">
        <f>HYPERLINK("https://buffer.com","Buffer")</f>
        <v>Buffer</v>
      </c>
      <c r="F457" s="12">
        <v>40082.186956018515</v>
      </c>
      <c r="G457" s="17" t="s">
        <v>2783</v>
      </c>
      <c r="H457" s="35" t="s">
        <v>2625</v>
      </c>
      <c r="I457" s="18" t="s">
        <v>2626</v>
      </c>
    </row>
    <row r="458" spans="1:9" ht="45">
      <c r="A458" s="19">
        <v>43547.062592592592</v>
      </c>
      <c r="B458" s="20" t="str">
        <f>HYPERLINK("https://twitter.com/Aglowid","@Aglowid")</f>
        <v>@Aglowid</v>
      </c>
      <c r="C458" s="21" t="s">
        <v>8660</v>
      </c>
      <c r="D458" s="22" t="s">
        <v>8661</v>
      </c>
      <c r="E458" s="23" t="str">
        <f>HYPERLINK("https://buffer.com","Buffer")</f>
        <v>Buffer</v>
      </c>
      <c r="F458" s="19">
        <v>41346.350949074076</v>
      </c>
      <c r="G458" s="24" t="s">
        <v>2783</v>
      </c>
      <c r="H458" s="35" t="s">
        <v>8662</v>
      </c>
      <c r="I458" s="25" t="s">
        <v>8663</v>
      </c>
    </row>
    <row r="459" spans="1:9" ht="45">
      <c r="A459" s="19">
        <v>43544.370856481481</v>
      </c>
      <c r="B459" s="20" t="str">
        <f>HYPERLINK("https://twitter.com/LegalKant","@LegalKant")</f>
        <v>@LegalKant</v>
      </c>
      <c r="C459" s="21" t="s">
        <v>9490</v>
      </c>
      <c r="D459" s="22" t="s">
        <v>9491</v>
      </c>
      <c r="E459" s="23" t="str">
        <f>HYPERLINK("http://twitter.com","Twitter Web Client")</f>
        <v>Twitter Web Client</v>
      </c>
      <c r="F459" s="19">
        <v>39979.350185185183</v>
      </c>
      <c r="G459" s="24" t="s">
        <v>2783</v>
      </c>
      <c r="H459" s="35" t="s">
        <v>9492</v>
      </c>
      <c r="I459" s="25" t="s">
        <v>9493</v>
      </c>
    </row>
    <row r="460" spans="1:9" ht="105">
      <c r="A460" s="19">
        <v>43550.243472222224</v>
      </c>
      <c r="B460" s="20" t="str">
        <f>HYPERLINK("https://twitter.com/Pratik_ITpro","@Pratik_ITpro")</f>
        <v>@Pratik_ITpro</v>
      </c>
      <c r="C460" s="21" t="s">
        <v>7771</v>
      </c>
      <c r="D460" s="22" t="s">
        <v>7772</v>
      </c>
      <c r="E460" s="23" t="str">
        <f>HYPERLINK("http://twitter.com/download/android","Twitter for Android")</f>
        <v>Twitter for Android</v>
      </c>
      <c r="F460" s="19">
        <v>41157.124166666668</v>
      </c>
      <c r="G460" s="24" t="s">
        <v>2783</v>
      </c>
      <c r="H460" s="35" t="s">
        <v>7773</v>
      </c>
      <c r="I460" s="25" t="s">
        <v>7774</v>
      </c>
    </row>
    <row r="461" spans="1:9" ht="120">
      <c r="A461" s="12">
        <v>43574.797835648147</v>
      </c>
      <c r="B461" s="13" t="str">
        <f>HYPERLINK("https://twitter.com/DeskbyID","@DeskbyID")</f>
        <v>@DeskbyID</v>
      </c>
      <c r="C461" s="14" t="s">
        <v>2438</v>
      </c>
      <c r="D461" s="15" t="s">
        <v>2439</v>
      </c>
      <c r="E461" s="16" t="str">
        <f>HYPERLINK("http://twitter.com","Twitter Web Client")</f>
        <v>Twitter Web Client</v>
      </c>
      <c r="F461" s="12">
        <v>42837.15792824074</v>
      </c>
      <c r="G461" s="17" t="s">
        <v>2783</v>
      </c>
      <c r="H461" s="35" t="s">
        <v>2440</v>
      </c>
      <c r="I461" s="18" t="s">
        <v>2441</v>
      </c>
    </row>
    <row r="462" spans="1:9" ht="45">
      <c r="A462" s="12">
        <v>43570.896562499998</v>
      </c>
      <c r="B462" s="13" t="str">
        <f>HYPERLINK("https://twitter.com/teukudalin","@teukudalin")</f>
        <v>@teukudalin</v>
      </c>
      <c r="C462" s="14" t="s">
        <v>3948</v>
      </c>
      <c r="D462" s="15" t="s">
        <v>3949</v>
      </c>
      <c r="E462" s="16" t="str">
        <f>HYPERLINK("http://instagram.com","Instagram")</f>
        <v>Instagram</v>
      </c>
      <c r="F462" s="12">
        <v>39828.956053240741</v>
      </c>
      <c r="G462" s="17" t="s">
        <v>2783</v>
      </c>
      <c r="H462" s="35" t="s">
        <v>2440</v>
      </c>
      <c r="I462" s="18" t="s">
        <v>3950</v>
      </c>
    </row>
    <row r="463" spans="1:9" ht="45">
      <c r="A463" s="12">
        <v>43570.140543981484</v>
      </c>
      <c r="B463" s="13" t="str">
        <f>HYPERLINK("https://twitter.com/teukudalin","@teukudalin")</f>
        <v>@teukudalin</v>
      </c>
      <c r="C463" s="14" t="s">
        <v>3948</v>
      </c>
      <c r="D463" s="15" t="s">
        <v>4320</v>
      </c>
      <c r="E463" s="16" t="str">
        <f>HYPERLINK("http://instagram.com","Instagram")</f>
        <v>Instagram</v>
      </c>
      <c r="F463" s="12">
        <v>39828.956053240741</v>
      </c>
      <c r="G463" s="17" t="s">
        <v>2783</v>
      </c>
      <c r="H463" s="35" t="s">
        <v>2440</v>
      </c>
      <c r="I463" s="18" t="s">
        <v>3950</v>
      </c>
    </row>
    <row r="464" spans="1:9" ht="90">
      <c r="A464" s="4">
        <v>43564.923587962963</v>
      </c>
      <c r="B464" s="5" t="str">
        <f>HYPERLINK("https://twitter.com/jlemnaveh","@jlemnaveh")</f>
        <v>@jlemnaveh</v>
      </c>
      <c r="C464" s="6" t="s">
        <v>6379</v>
      </c>
      <c r="D464" s="7" t="s">
        <v>6380</v>
      </c>
      <c r="E464" s="8" t="str">
        <f>HYPERLINK("http://twitter.com/download/android","Twitter for Android")</f>
        <v>Twitter for Android</v>
      </c>
      <c r="F464" s="4">
        <v>40339.771562499998</v>
      </c>
      <c r="G464" s="17" t="s">
        <v>2783</v>
      </c>
      <c r="H464" s="35" t="s">
        <v>346</v>
      </c>
      <c r="I464" s="10" t="s">
        <v>10190</v>
      </c>
    </row>
    <row r="465" spans="1:9" ht="30">
      <c r="A465" s="4">
        <v>43564.910937499997</v>
      </c>
      <c r="B465" s="5" t="str">
        <f>HYPERLINK("https://twitter.com/techfob","@techfob")</f>
        <v>@techfob</v>
      </c>
      <c r="C465" s="6" t="s">
        <v>344</v>
      </c>
      <c r="D465" s="7" t="s">
        <v>6386</v>
      </c>
      <c r="E465" s="8" t="str">
        <f>HYPERLINK("http://twitter.com/download/iphone","Twitter for iPhone")</f>
        <v>Twitter for iPhone</v>
      </c>
      <c r="F465" s="4">
        <v>39836.400578703702</v>
      </c>
      <c r="G465" s="17" t="s">
        <v>2783</v>
      </c>
      <c r="H465" s="35" t="s">
        <v>346</v>
      </c>
      <c r="I465" s="10" t="s">
        <v>347</v>
      </c>
    </row>
    <row r="466" spans="1:9" ht="75">
      <c r="A466" s="4">
        <v>43564.67900462963</v>
      </c>
      <c r="B466" s="5" t="str">
        <f>HYPERLINK("https://twitter.com/ditisISRAEL","@ditisISRAEL")</f>
        <v>@ditisISRAEL</v>
      </c>
      <c r="C466" s="6" t="s">
        <v>6454</v>
      </c>
      <c r="D466" s="7" t="s">
        <v>6455</v>
      </c>
      <c r="E466" s="8" t="str">
        <f>HYPERLINK("http://twitter.com/download/android","Twitter for Android")</f>
        <v>Twitter for Android</v>
      </c>
      <c r="F466" s="4">
        <v>40289.544791666667</v>
      </c>
      <c r="G466" s="17" t="s">
        <v>2783</v>
      </c>
      <c r="H466" s="35" t="s">
        <v>346</v>
      </c>
      <c r="I466" s="10" t="s">
        <v>6456</v>
      </c>
    </row>
    <row r="467" spans="1:9" ht="30">
      <c r="A467" s="4">
        <v>43561.988379629634</v>
      </c>
      <c r="B467" s="5" t="str">
        <f>HYPERLINK("https://twitter.com/Jerusalem_Post","@Jerusalem_Post")</f>
        <v>@Jerusalem_Post</v>
      </c>
      <c r="C467" s="6" t="s">
        <v>10783</v>
      </c>
      <c r="D467" s="7" t="s">
        <v>10784</v>
      </c>
      <c r="E467" s="8" t="str">
        <f>HYPERLINK("https://about.twitter.com/products/tweetdeck","TweetDeck")</f>
        <v>TweetDeck</v>
      </c>
      <c r="F467" s="4">
        <v>39838.262106481481</v>
      </c>
      <c r="G467" s="17" t="s">
        <v>2783</v>
      </c>
      <c r="H467" s="35" t="s">
        <v>346</v>
      </c>
      <c r="I467" s="10" t="s">
        <v>10785</v>
      </c>
    </row>
    <row r="468" spans="1:9" ht="30">
      <c r="A468" s="12">
        <v>43580.007951388892</v>
      </c>
      <c r="B468" s="13" t="str">
        <f>HYPERLINK("https://twitter.com/techfob","@techfob")</f>
        <v>@techfob</v>
      </c>
      <c r="C468" s="14" t="s">
        <v>344</v>
      </c>
      <c r="D468" s="15" t="s">
        <v>345</v>
      </c>
      <c r="E468" s="16" t="str">
        <f>HYPERLINK("http://twitter.com/download/iphone","Twitter for iPhone")</f>
        <v>Twitter for iPhone</v>
      </c>
      <c r="F468" s="12">
        <v>39836.400578703702</v>
      </c>
      <c r="G468" s="17" t="s">
        <v>2783</v>
      </c>
      <c r="H468" s="35" t="s">
        <v>346</v>
      </c>
      <c r="I468" s="18" t="s">
        <v>347</v>
      </c>
    </row>
    <row r="469" spans="1:9" ht="105">
      <c r="A469" s="12">
        <v>43569.835046296299</v>
      </c>
      <c r="B469" s="13" t="str">
        <f>HYPERLINK("https://twitter.com/86thatplease","@86thatplease")</f>
        <v>@86thatplease</v>
      </c>
      <c r="C469" s="14" t="s">
        <v>4389</v>
      </c>
      <c r="D469" s="15" t="s">
        <v>4390</v>
      </c>
      <c r="E469" s="16" t="str">
        <f>HYPERLINK("http://twitter.com/download/iphone","Twitter for iPhone")</f>
        <v>Twitter for iPhone</v>
      </c>
      <c r="F469" s="12">
        <v>43091.337106481486</v>
      </c>
      <c r="G469" s="17" t="s">
        <v>2783</v>
      </c>
      <c r="H469" s="35" t="s">
        <v>346</v>
      </c>
      <c r="I469" s="18" t="s">
        <v>4391</v>
      </c>
    </row>
    <row r="470" spans="1:9" ht="105">
      <c r="A470" s="12">
        <v>43567.087824074071</v>
      </c>
      <c r="B470" s="13" t="str">
        <f>HYPERLINK("https://twitter.com/avigreen1","@avigreen1")</f>
        <v>@avigreen1</v>
      </c>
      <c r="C470" s="14" t="s">
        <v>5244</v>
      </c>
      <c r="D470" s="15" t="s">
        <v>5245</v>
      </c>
      <c r="E470" s="16" t="str">
        <f>HYPERLINK("http://twitter.com","Twitter Web Client")</f>
        <v>Twitter Web Client</v>
      </c>
      <c r="F470" s="12">
        <v>40384.503171296295</v>
      </c>
      <c r="G470" s="17" t="s">
        <v>2783</v>
      </c>
      <c r="H470" s="35" t="s">
        <v>346</v>
      </c>
      <c r="I470" s="18" t="s">
        <v>5246</v>
      </c>
    </row>
    <row r="471" spans="1:9" ht="90">
      <c r="A471" s="12">
        <v>43564.923587962963</v>
      </c>
      <c r="B471" s="13" t="str">
        <f>HYPERLINK("https://twitter.com/jlemnaveh","@jlemnaveh")</f>
        <v>@jlemnaveh</v>
      </c>
      <c r="C471" s="14" t="s">
        <v>6379</v>
      </c>
      <c r="D471" s="15" t="s">
        <v>6380</v>
      </c>
      <c r="E471" s="16" t="str">
        <f>HYPERLINK("http://twitter.com/download/android","Twitter for Android")</f>
        <v>Twitter for Android</v>
      </c>
      <c r="F471" s="12">
        <v>40339.771562499998</v>
      </c>
      <c r="G471" s="17" t="s">
        <v>2783</v>
      </c>
      <c r="H471" s="35" t="s">
        <v>346</v>
      </c>
      <c r="I471" s="18" t="s">
        <v>6381</v>
      </c>
    </row>
    <row r="472" spans="1:9" ht="90">
      <c r="A472" s="4">
        <v>43564.560266203705</v>
      </c>
      <c r="B472" s="5" t="str">
        <f>HYPERLINK("https://twitter.com/haivri","@haivri")</f>
        <v>@haivri</v>
      </c>
      <c r="C472" s="6" t="s">
        <v>6550</v>
      </c>
      <c r="D472" s="7" t="s">
        <v>6551</v>
      </c>
      <c r="E472" s="8" t="str">
        <f>HYPERLINK("http://twitter.com/download/android","Twitter for Android")</f>
        <v>Twitter for Android</v>
      </c>
      <c r="F472" s="4">
        <v>40002.693182870367</v>
      </c>
      <c r="G472" s="17" t="s">
        <v>2783</v>
      </c>
      <c r="H472" s="35" t="s">
        <v>6552</v>
      </c>
      <c r="I472" s="10" t="s">
        <v>10211</v>
      </c>
    </row>
    <row r="473" spans="1:9" ht="90">
      <c r="A473" s="12">
        <v>43564.560266203705</v>
      </c>
      <c r="B473" s="13" t="str">
        <f>HYPERLINK("https://twitter.com/haivri","@haivri")</f>
        <v>@haivri</v>
      </c>
      <c r="C473" s="14" t="s">
        <v>6550</v>
      </c>
      <c r="D473" s="15" t="s">
        <v>6551</v>
      </c>
      <c r="E473" s="16" t="str">
        <f>HYPERLINK("http://twitter.com/download/android","Twitter for Android")</f>
        <v>Twitter for Android</v>
      </c>
      <c r="F473" s="12">
        <v>40002.693182870367</v>
      </c>
      <c r="G473" s="17" t="s">
        <v>2783</v>
      </c>
      <c r="H473" s="35" t="s">
        <v>6552</v>
      </c>
      <c r="I473" s="18" t="s">
        <v>6553</v>
      </c>
    </row>
    <row r="474" spans="1:9" ht="90">
      <c r="A474" s="4">
        <v>43565.380243055552</v>
      </c>
      <c r="B474" s="5" t="str">
        <f>HYPERLINK("https://twitter.com/BeholdIsrael","@BeholdIsrael")</f>
        <v>@BeholdIsrael</v>
      </c>
      <c r="C474" s="6" t="s">
        <v>6129</v>
      </c>
      <c r="D474" s="7" t="s">
        <v>6130</v>
      </c>
      <c r="E474" s="8" t="str">
        <f>HYPERLINK("https://buffer.com","Buffer")</f>
        <v>Buffer</v>
      </c>
      <c r="F474" s="4">
        <v>41332.44667824074</v>
      </c>
      <c r="G474" s="17" t="s">
        <v>2783</v>
      </c>
      <c r="H474" s="35" t="s">
        <v>6131</v>
      </c>
      <c r="I474" s="10" t="s">
        <v>6132</v>
      </c>
    </row>
    <row r="475" spans="1:9" ht="105">
      <c r="A475" s="4">
        <v>43565.588240740741</v>
      </c>
      <c r="B475" s="5" t="str">
        <f>HYPERLINK("https://twitter.com/Net_en_ya_hoo","@Net_en_ya_hoo")</f>
        <v>@Net_en_ya_hoo</v>
      </c>
      <c r="C475" s="6" t="s">
        <v>6013</v>
      </c>
      <c r="D475" s="7" t="s">
        <v>6014</v>
      </c>
      <c r="E475" s="8" t="str">
        <f>HYPERLINK("http://twitter.com","Twitter Web Client")</f>
        <v>Twitter Web Client</v>
      </c>
      <c r="F475" s="4">
        <v>40548.751400462963</v>
      </c>
      <c r="G475" s="17" t="s">
        <v>2783</v>
      </c>
      <c r="H475" s="35" t="s">
        <v>6015</v>
      </c>
      <c r="I475" s="10" t="s">
        <v>6016</v>
      </c>
    </row>
    <row r="476" spans="1:9" ht="75">
      <c r="A476" s="12">
        <v>43568.53019675926</v>
      </c>
      <c r="B476" s="13" t="str">
        <f>HYPERLINK("https://twitter.com/puneetyadav","@puneetyadav")</f>
        <v>@puneetyadav</v>
      </c>
      <c r="C476" s="14" t="s">
        <v>4716</v>
      </c>
      <c r="D476" s="15" t="s">
        <v>4717</v>
      </c>
      <c r="E476" s="16" t="str">
        <f>HYPERLINK("http://instagram.com","Instagram")</f>
        <v>Instagram</v>
      </c>
      <c r="F476" s="12">
        <v>40027.126585648148</v>
      </c>
      <c r="G476" s="17" t="s">
        <v>2783</v>
      </c>
      <c r="H476" s="35" t="s">
        <v>4718</v>
      </c>
      <c r="I476" s="18" t="s">
        <v>4719</v>
      </c>
    </row>
    <row r="477" spans="1:9" ht="90">
      <c r="A477" s="12">
        <v>43571.323645833334</v>
      </c>
      <c r="B477" s="13" t="str">
        <f>HYPERLINK("https://twitter.com/pus_pares","@pus_pares")</f>
        <v>@pus_pares</v>
      </c>
      <c r="C477" s="14" t="s">
        <v>3732</v>
      </c>
      <c r="D477" s="15" t="s">
        <v>3733</v>
      </c>
      <c r="E477" s="16" t="str">
        <f>HYPERLINK("http://twitter.com/download/android","Twitter for Android")</f>
        <v>Twitter for Android</v>
      </c>
      <c r="F477" s="12">
        <v>41421.217546296299</v>
      </c>
      <c r="G477" s="17" t="s">
        <v>2783</v>
      </c>
      <c r="H477" s="35" t="s">
        <v>3734</v>
      </c>
      <c r="I477" s="18"/>
    </row>
    <row r="478" spans="1:9" ht="45">
      <c r="A478" s="19">
        <v>43551.850486111114</v>
      </c>
      <c r="B478" s="20" t="str">
        <f t="shared" ref="B478:B509" si="18">HYPERLINK("https://twitter.com/airbnbbukken","@airbnbbukken")</f>
        <v>@airbnbbukken</v>
      </c>
      <c r="C478" s="21" t="s">
        <v>186</v>
      </c>
      <c r="D478" s="22" t="s">
        <v>1021</v>
      </c>
      <c r="E478" s="23" t="str">
        <f t="shared" ref="E478:E509" si="19">HYPERLINK("http://twittbot.net/","twittbot.net")</f>
        <v>twittbot.net</v>
      </c>
      <c r="F478" s="19">
        <v>42110.127291666664</v>
      </c>
      <c r="G478" s="17" t="s">
        <v>2783</v>
      </c>
      <c r="H478" s="35" t="s">
        <v>188</v>
      </c>
      <c r="I478" s="25" t="s">
        <v>189</v>
      </c>
    </row>
    <row r="479" spans="1:9" ht="45">
      <c r="A479" s="19">
        <v>43551.767152777778</v>
      </c>
      <c r="B479" s="20" t="str">
        <f t="shared" si="18"/>
        <v>@airbnbbukken</v>
      </c>
      <c r="C479" s="21" t="s">
        <v>186</v>
      </c>
      <c r="D479" s="22" t="s">
        <v>7003</v>
      </c>
      <c r="E479" s="23" t="str">
        <f t="shared" si="19"/>
        <v>twittbot.net</v>
      </c>
      <c r="F479" s="19">
        <v>42110.127291666664</v>
      </c>
      <c r="G479" s="17" t="s">
        <v>2783</v>
      </c>
      <c r="H479" s="35" t="s">
        <v>188</v>
      </c>
      <c r="I479" s="25" t="s">
        <v>189</v>
      </c>
    </row>
    <row r="480" spans="1:9" ht="45">
      <c r="A480" s="19">
        <v>43551.267141203702</v>
      </c>
      <c r="B480" s="20" t="str">
        <f t="shared" si="18"/>
        <v>@airbnbbukken</v>
      </c>
      <c r="C480" s="21" t="s">
        <v>186</v>
      </c>
      <c r="D480" s="22" t="s">
        <v>2951</v>
      </c>
      <c r="E480" s="23" t="str">
        <f t="shared" si="19"/>
        <v>twittbot.net</v>
      </c>
      <c r="F480" s="19">
        <v>42110.127291666664</v>
      </c>
      <c r="G480" s="17" t="s">
        <v>2783</v>
      </c>
      <c r="H480" s="35" t="s">
        <v>188</v>
      </c>
      <c r="I480" s="25" t="s">
        <v>189</v>
      </c>
    </row>
    <row r="481" spans="1:9" ht="45">
      <c r="A481" s="19">
        <v>43551.183819444443</v>
      </c>
      <c r="B481" s="20" t="str">
        <f t="shared" si="18"/>
        <v>@airbnbbukken</v>
      </c>
      <c r="C481" s="21" t="s">
        <v>186</v>
      </c>
      <c r="D481" s="22" t="s">
        <v>876</v>
      </c>
      <c r="E481" s="23" t="str">
        <f t="shared" si="19"/>
        <v>twittbot.net</v>
      </c>
      <c r="F481" s="19">
        <v>42110.127291666664</v>
      </c>
      <c r="G481" s="17" t="s">
        <v>2783</v>
      </c>
      <c r="H481" s="35" t="s">
        <v>188</v>
      </c>
      <c r="I481" s="25" t="s">
        <v>189</v>
      </c>
    </row>
    <row r="482" spans="1:9" ht="45">
      <c r="A482" s="19">
        <v>43551.017141203702</v>
      </c>
      <c r="B482" s="20" t="str">
        <f t="shared" si="18"/>
        <v>@airbnbbukken</v>
      </c>
      <c r="C482" s="21" t="s">
        <v>186</v>
      </c>
      <c r="D482" s="22" t="s">
        <v>1723</v>
      </c>
      <c r="E482" s="23" t="str">
        <f t="shared" si="19"/>
        <v>twittbot.net</v>
      </c>
      <c r="F482" s="19">
        <v>42110.127291666664</v>
      </c>
      <c r="G482" s="17" t="s">
        <v>2783</v>
      </c>
      <c r="H482" s="35" t="s">
        <v>188</v>
      </c>
      <c r="I482" s="25" t="s">
        <v>189</v>
      </c>
    </row>
    <row r="483" spans="1:9" ht="30">
      <c r="A483" s="19">
        <v>43550.933807870373</v>
      </c>
      <c r="B483" s="20" t="str">
        <f t="shared" si="18"/>
        <v>@airbnbbukken</v>
      </c>
      <c r="C483" s="21" t="s">
        <v>186</v>
      </c>
      <c r="D483" s="22" t="s">
        <v>4580</v>
      </c>
      <c r="E483" s="23" t="str">
        <f t="shared" si="19"/>
        <v>twittbot.net</v>
      </c>
      <c r="F483" s="19">
        <v>42110.127291666664</v>
      </c>
      <c r="G483" s="17" t="s">
        <v>2783</v>
      </c>
      <c r="H483" s="35" t="s">
        <v>188</v>
      </c>
      <c r="I483" s="25" t="s">
        <v>189</v>
      </c>
    </row>
    <row r="484" spans="1:9" ht="30">
      <c r="A484" s="19">
        <v>43550.850486111114</v>
      </c>
      <c r="B484" s="20" t="str">
        <f t="shared" si="18"/>
        <v>@airbnbbukken</v>
      </c>
      <c r="C484" s="21" t="s">
        <v>186</v>
      </c>
      <c r="D484" s="22" t="s">
        <v>3958</v>
      </c>
      <c r="E484" s="23" t="str">
        <f t="shared" si="19"/>
        <v>twittbot.net</v>
      </c>
      <c r="F484" s="19">
        <v>42110.127291666664</v>
      </c>
      <c r="G484" s="17" t="s">
        <v>2783</v>
      </c>
      <c r="H484" s="35" t="s">
        <v>188</v>
      </c>
      <c r="I484" s="25" t="s">
        <v>189</v>
      </c>
    </row>
    <row r="485" spans="1:9" ht="45">
      <c r="A485" s="19">
        <v>43550.767141203702</v>
      </c>
      <c r="B485" s="20" t="str">
        <f t="shared" si="18"/>
        <v>@airbnbbukken</v>
      </c>
      <c r="C485" s="21" t="s">
        <v>186</v>
      </c>
      <c r="D485" s="22" t="s">
        <v>1477</v>
      </c>
      <c r="E485" s="23" t="str">
        <f t="shared" si="19"/>
        <v>twittbot.net</v>
      </c>
      <c r="F485" s="19">
        <v>42110.127291666664</v>
      </c>
      <c r="G485" s="17" t="s">
        <v>2783</v>
      </c>
      <c r="H485" s="35" t="s">
        <v>188</v>
      </c>
      <c r="I485" s="25" t="s">
        <v>189</v>
      </c>
    </row>
    <row r="486" spans="1:9" ht="45">
      <c r="A486" s="19">
        <v>43550.683807870373</v>
      </c>
      <c r="B486" s="20" t="str">
        <f t="shared" si="18"/>
        <v>@airbnbbukken</v>
      </c>
      <c r="C486" s="21" t="s">
        <v>186</v>
      </c>
      <c r="D486" s="22" t="s">
        <v>4824</v>
      </c>
      <c r="E486" s="23" t="str">
        <f t="shared" si="19"/>
        <v>twittbot.net</v>
      </c>
      <c r="F486" s="19">
        <v>42110.127291666664</v>
      </c>
      <c r="G486" s="17" t="s">
        <v>2783</v>
      </c>
      <c r="H486" s="35" t="s">
        <v>188</v>
      </c>
      <c r="I486" s="25" t="s">
        <v>189</v>
      </c>
    </row>
    <row r="487" spans="1:9" ht="45">
      <c r="A487" s="19">
        <v>43550.267152777778</v>
      </c>
      <c r="B487" s="20" t="str">
        <f t="shared" si="18"/>
        <v>@airbnbbukken</v>
      </c>
      <c r="C487" s="21" t="s">
        <v>186</v>
      </c>
      <c r="D487" s="22" t="s">
        <v>389</v>
      </c>
      <c r="E487" s="23" t="str">
        <f t="shared" si="19"/>
        <v>twittbot.net</v>
      </c>
      <c r="F487" s="19">
        <v>42110.127291666664</v>
      </c>
      <c r="G487" s="17" t="s">
        <v>2783</v>
      </c>
      <c r="H487" s="35" t="s">
        <v>188</v>
      </c>
      <c r="I487" s="25" t="s">
        <v>189</v>
      </c>
    </row>
    <row r="488" spans="1:9" ht="45">
      <c r="A488" s="19">
        <v>43550.183807870373</v>
      </c>
      <c r="B488" s="20" t="str">
        <f t="shared" si="18"/>
        <v>@airbnbbukken</v>
      </c>
      <c r="C488" s="21" t="s">
        <v>186</v>
      </c>
      <c r="D488" s="22" t="s">
        <v>4436</v>
      </c>
      <c r="E488" s="23" t="str">
        <f t="shared" si="19"/>
        <v>twittbot.net</v>
      </c>
      <c r="F488" s="19">
        <v>42110.127291666664</v>
      </c>
      <c r="G488" s="17" t="s">
        <v>2783</v>
      </c>
      <c r="H488" s="35" t="s">
        <v>188</v>
      </c>
      <c r="I488" s="25" t="s">
        <v>189</v>
      </c>
    </row>
    <row r="489" spans="1:9" ht="30">
      <c r="A489" s="19">
        <v>43550.100486111114</v>
      </c>
      <c r="B489" s="20" t="str">
        <f t="shared" si="18"/>
        <v>@airbnbbukken</v>
      </c>
      <c r="C489" s="21" t="s">
        <v>186</v>
      </c>
      <c r="D489" s="22" t="s">
        <v>7837</v>
      </c>
      <c r="E489" s="23" t="str">
        <f t="shared" si="19"/>
        <v>twittbot.net</v>
      </c>
      <c r="F489" s="19">
        <v>42110.127291666664</v>
      </c>
      <c r="G489" s="17" t="s">
        <v>2783</v>
      </c>
      <c r="H489" s="35" t="s">
        <v>188</v>
      </c>
      <c r="I489" s="25" t="s">
        <v>189</v>
      </c>
    </row>
    <row r="490" spans="1:9" ht="45">
      <c r="A490" s="19">
        <v>43550.017141203702</v>
      </c>
      <c r="B490" s="20" t="str">
        <f t="shared" si="18"/>
        <v>@airbnbbukken</v>
      </c>
      <c r="C490" s="21" t="s">
        <v>186</v>
      </c>
      <c r="D490" s="22" t="s">
        <v>1426</v>
      </c>
      <c r="E490" s="23" t="str">
        <f t="shared" si="19"/>
        <v>twittbot.net</v>
      </c>
      <c r="F490" s="19">
        <v>42110.127291666664</v>
      </c>
      <c r="G490" s="17" t="s">
        <v>2783</v>
      </c>
      <c r="H490" s="35" t="s">
        <v>188</v>
      </c>
      <c r="I490" s="25" t="s">
        <v>189</v>
      </c>
    </row>
    <row r="491" spans="1:9" ht="45">
      <c r="A491" s="19">
        <v>43549.933807870373</v>
      </c>
      <c r="B491" s="20" t="str">
        <f t="shared" si="18"/>
        <v>@airbnbbukken</v>
      </c>
      <c r="C491" s="21" t="s">
        <v>186</v>
      </c>
      <c r="D491" s="22" t="s">
        <v>2124</v>
      </c>
      <c r="E491" s="23" t="str">
        <f t="shared" si="19"/>
        <v>twittbot.net</v>
      </c>
      <c r="F491" s="19">
        <v>42110.127291666664</v>
      </c>
      <c r="G491" s="17" t="s">
        <v>2783</v>
      </c>
      <c r="H491" s="35" t="s">
        <v>188</v>
      </c>
      <c r="I491" s="25" t="s">
        <v>189</v>
      </c>
    </row>
    <row r="492" spans="1:9" ht="45">
      <c r="A492" s="19">
        <v>43549.850486111114</v>
      </c>
      <c r="B492" s="20" t="str">
        <f t="shared" si="18"/>
        <v>@airbnbbukken</v>
      </c>
      <c r="C492" s="21" t="s">
        <v>186</v>
      </c>
      <c r="D492" s="22" t="s">
        <v>1504</v>
      </c>
      <c r="E492" s="23" t="str">
        <f t="shared" si="19"/>
        <v>twittbot.net</v>
      </c>
      <c r="F492" s="19">
        <v>42110.127291666664</v>
      </c>
      <c r="G492" s="17" t="s">
        <v>2783</v>
      </c>
      <c r="H492" s="35" t="s">
        <v>188</v>
      </c>
      <c r="I492" s="25" t="s">
        <v>189</v>
      </c>
    </row>
    <row r="493" spans="1:9" ht="45">
      <c r="A493" s="19">
        <v>43549.767141203702</v>
      </c>
      <c r="B493" s="20" t="str">
        <f t="shared" si="18"/>
        <v>@airbnbbukken</v>
      </c>
      <c r="C493" s="21" t="s">
        <v>186</v>
      </c>
      <c r="D493" s="22" t="s">
        <v>459</v>
      </c>
      <c r="E493" s="23" t="str">
        <f t="shared" si="19"/>
        <v>twittbot.net</v>
      </c>
      <c r="F493" s="19">
        <v>42110.127291666664</v>
      </c>
      <c r="G493" s="17" t="s">
        <v>2783</v>
      </c>
      <c r="H493" s="35" t="s">
        <v>188</v>
      </c>
      <c r="I493" s="25" t="s">
        <v>189</v>
      </c>
    </row>
    <row r="494" spans="1:9" ht="45">
      <c r="A494" s="19">
        <v>43549.183819444443</v>
      </c>
      <c r="B494" s="20" t="str">
        <f t="shared" si="18"/>
        <v>@airbnbbukken</v>
      </c>
      <c r="C494" s="21" t="s">
        <v>186</v>
      </c>
      <c r="D494" s="22" t="s">
        <v>8138</v>
      </c>
      <c r="E494" s="23" t="str">
        <f t="shared" si="19"/>
        <v>twittbot.net</v>
      </c>
      <c r="F494" s="19">
        <v>42110.127291666664</v>
      </c>
      <c r="G494" s="17" t="s">
        <v>2783</v>
      </c>
      <c r="H494" s="35" t="s">
        <v>188</v>
      </c>
      <c r="I494" s="25" t="s">
        <v>189</v>
      </c>
    </row>
    <row r="495" spans="1:9" ht="30">
      <c r="A495" s="19">
        <v>43549.100474537037</v>
      </c>
      <c r="B495" s="20" t="str">
        <f t="shared" si="18"/>
        <v>@airbnbbukken</v>
      </c>
      <c r="C495" s="21" t="s">
        <v>186</v>
      </c>
      <c r="D495" s="22" t="s">
        <v>3850</v>
      </c>
      <c r="E495" s="23" t="str">
        <f t="shared" si="19"/>
        <v>twittbot.net</v>
      </c>
      <c r="F495" s="19">
        <v>42110.127291666664</v>
      </c>
      <c r="G495" s="17" t="s">
        <v>2783</v>
      </c>
      <c r="H495" s="35" t="s">
        <v>188</v>
      </c>
      <c r="I495" s="25" t="s">
        <v>189</v>
      </c>
    </row>
    <row r="496" spans="1:9" ht="45">
      <c r="A496" s="19">
        <v>43549.017141203702</v>
      </c>
      <c r="B496" s="20" t="str">
        <f t="shared" si="18"/>
        <v>@airbnbbukken</v>
      </c>
      <c r="C496" s="21" t="s">
        <v>186</v>
      </c>
      <c r="D496" s="22" t="s">
        <v>3984</v>
      </c>
      <c r="E496" s="23" t="str">
        <f t="shared" si="19"/>
        <v>twittbot.net</v>
      </c>
      <c r="F496" s="19">
        <v>42110.127291666664</v>
      </c>
      <c r="G496" s="17" t="s">
        <v>2783</v>
      </c>
      <c r="H496" s="35" t="s">
        <v>188</v>
      </c>
      <c r="I496" s="25" t="s">
        <v>189</v>
      </c>
    </row>
    <row r="497" spans="1:9" ht="45">
      <c r="A497" s="19">
        <v>43548.850474537037</v>
      </c>
      <c r="B497" s="20" t="str">
        <f t="shared" si="18"/>
        <v>@airbnbbukken</v>
      </c>
      <c r="C497" s="21" t="s">
        <v>186</v>
      </c>
      <c r="D497" s="22" t="s">
        <v>4824</v>
      </c>
      <c r="E497" s="23" t="str">
        <f t="shared" si="19"/>
        <v>twittbot.net</v>
      </c>
      <c r="F497" s="19">
        <v>42110.127291666664</v>
      </c>
      <c r="G497" s="17" t="s">
        <v>2783</v>
      </c>
      <c r="H497" s="35" t="s">
        <v>188</v>
      </c>
      <c r="I497" s="25" t="s">
        <v>189</v>
      </c>
    </row>
    <row r="498" spans="1:9" ht="45">
      <c r="A498" s="19">
        <v>43548.767141203702</v>
      </c>
      <c r="B498" s="20" t="str">
        <f t="shared" si="18"/>
        <v>@airbnbbukken</v>
      </c>
      <c r="C498" s="21" t="s">
        <v>186</v>
      </c>
      <c r="D498" s="22" t="s">
        <v>1504</v>
      </c>
      <c r="E498" s="23" t="str">
        <f t="shared" si="19"/>
        <v>twittbot.net</v>
      </c>
      <c r="F498" s="19">
        <v>42110.127291666664</v>
      </c>
      <c r="G498" s="17" t="s">
        <v>2783</v>
      </c>
      <c r="H498" s="35" t="s">
        <v>188</v>
      </c>
      <c r="I498" s="25" t="s">
        <v>189</v>
      </c>
    </row>
    <row r="499" spans="1:9" ht="45">
      <c r="A499" s="19">
        <v>43548.683819444443</v>
      </c>
      <c r="B499" s="20" t="str">
        <f t="shared" si="18"/>
        <v>@airbnbbukken</v>
      </c>
      <c r="C499" s="21" t="s">
        <v>186</v>
      </c>
      <c r="D499" s="22" t="s">
        <v>1375</v>
      </c>
      <c r="E499" s="23" t="str">
        <f t="shared" si="19"/>
        <v>twittbot.net</v>
      </c>
      <c r="F499" s="19">
        <v>42110.127291666664</v>
      </c>
      <c r="G499" s="17" t="s">
        <v>2783</v>
      </c>
      <c r="H499" s="35" t="s">
        <v>188</v>
      </c>
      <c r="I499" s="25" t="s">
        <v>189</v>
      </c>
    </row>
    <row r="500" spans="1:9" ht="45">
      <c r="A500" s="19">
        <v>43548.267141203702</v>
      </c>
      <c r="B500" s="20" t="str">
        <f t="shared" si="18"/>
        <v>@airbnbbukken</v>
      </c>
      <c r="C500" s="21" t="s">
        <v>186</v>
      </c>
      <c r="D500" s="22" t="s">
        <v>8357</v>
      </c>
      <c r="E500" s="23" t="str">
        <f t="shared" si="19"/>
        <v>twittbot.net</v>
      </c>
      <c r="F500" s="19">
        <v>42110.127291666664</v>
      </c>
      <c r="G500" s="17" t="s">
        <v>2783</v>
      </c>
      <c r="H500" s="35" t="s">
        <v>188</v>
      </c>
      <c r="I500" s="25" t="s">
        <v>189</v>
      </c>
    </row>
    <row r="501" spans="1:9" ht="45">
      <c r="A501" s="19">
        <v>43548.183819444443</v>
      </c>
      <c r="B501" s="20" t="str">
        <f t="shared" si="18"/>
        <v>@airbnbbukken</v>
      </c>
      <c r="C501" s="21" t="s">
        <v>186</v>
      </c>
      <c r="D501" s="22" t="s">
        <v>3984</v>
      </c>
      <c r="E501" s="23" t="str">
        <f t="shared" si="19"/>
        <v>twittbot.net</v>
      </c>
      <c r="F501" s="19">
        <v>42110.127291666664</v>
      </c>
      <c r="G501" s="17" t="s">
        <v>2783</v>
      </c>
      <c r="H501" s="35" t="s">
        <v>188</v>
      </c>
      <c r="I501" s="25" t="s">
        <v>189</v>
      </c>
    </row>
    <row r="502" spans="1:9" ht="45">
      <c r="A502" s="19">
        <v>43548.100474537037</v>
      </c>
      <c r="B502" s="20" t="str">
        <f t="shared" si="18"/>
        <v>@airbnbbukken</v>
      </c>
      <c r="C502" s="21" t="s">
        <v>186</v>
      </c>
      <c r="D502" s="22" t="s">
        <v>3125</v>
      </c>
      <c r="E502" s="23" t="str">
        <f t="shared" si="19"/>
        <v>twittbot.net</v>
      </c>
      <c r="F502" s="19">
        <v>42110.127291666664</v>
      </c>
      <c r="G502" s="17" t="s">
        <v>2783</v>
      </c>
      <c r="H502" s="35" t="s">
        <v>188</v>
      </c>
      <c r="I502" s="25" t="s">
        <v>189</v>
      </c>
    </row>
    <row r="503" spans="1:9" ht="30">
      <c r="A503" s="19">
        <v>43548.017152777778</v>
      </c>
      <c r="B503" s="20" t="str">
        <f t="shared" si="18"/>
        <v>@airbnbbukken</v>
      </c>
      <c r="C503" s="21" t="s">
        <v>186</v>
      </c>
      <c r="D503" s="22" t="s">
        <v>3958</v>
      </c>
      <c r="E503" s="23" t="str">
        <f t="shared" si="19"/>
        <v>twittbot.net</v>
      </c>
      <c r="F503" s="19">
        <v>42110.127291666664</v>
      </c>
      <c r="G503" s="17" t="s">
        <v>2783</v>
      </c>
      <c r="H503" s="35" t="s">
        <v>188</v>
      </c>
      <c r="I503" s="25" t="s">
        <v>189</v>
      </c>
    </row>
    <row r="504" spans="1:9" ht="45">
      <c r="A504" s="19">
        <v>43547.933819444443</v>
      </c>
      <c r="B504" s="20" t="str">
        <f t="shared" si="18"/>
        <v>@airbnbbukken</v>
      </c>
      <c r="C504" s="21" t="s">
        <v>186</v>
      </c>
      <c r="D504" s="22" t="s">
        <v>1723</v>
      </c>
      <c r="E504" s="23" t="str">
        <f t="shared" si="19"/>
        <v>twittbot.net</v>
      </c>
      <c r="F504" s="19">
        <v>42110.127291666664</v>
      </c>
      <c r="G504" s="17" t="s">
        <v>2783</v>
      </c>
      <c r="H504" s="35" t="s">
        <v>188</v>
      </c>
      <c r="I504" s="25" t="s">
        <v>189</v>
      </c>
    </row>
    <row r="505" spans="1:9" ht="45">
      <c r="A505" s="19">
        <v>43547.850486111114</v>
      </c>
      <c r="B505" s="20" t="str">
        <f t="shared" si="18"/>
        <v>@airbnbbukken</v>
      </c>
      <c r="C505" s="21" t="s">
        <v>186</v>
      </c>
      <c r="D505" s="22" t="s">
        <v>876</v>
      </c>
      <c r="E505" s="23" t="str">
        <f t="shared" si="19"/>
        <v>twittbot.net</v>
      </c>
      <c r="F505" s="19">
        <v>42110.127291666664</v>
      </c>
      <c r="G505" s="17" t="s">
        <v>2783</v>
      </c>
      <c r="H505" s="35" t="s">
        <v>188</v>
      </c>
      <c r="I505" s="25" t="s">
        <v>189</v>
      </c>
    </row>
    <row r="506" spans="1:9" ht="45">
      <c r="A506" s="19">
        <v>43547.683807870373</v>
      </c>
      <c r="B506" s="20" t="str">
        <f t="shared" si="18"/>
        <v>@airbnbbukken</v>
      </c>
      <c r="C506" s="21" t="s">
        <v>186</v>
      </c>
      <c r="D506" s="22" t="s">
        <v>1863</v>
      </c>
      <c r="E506" s="23" t="str">
        <f t="shared" si="19"/>
        <v>twittbot.net</v>
      </c>
      <c r="F506" s="19">
        <v>42110.127291666664</v>
      </c>
      <c r="G506" s="17" t="s">
        <v>2783</v>
      </c>
      <c r="H506" s="35" t="s">
        <v>188</v>
      </c>
      <c r="I506" s="25" t="s">
        <v>189</v>
      </c>
    </row>
    <row r="507" spans="1:9" ht="30">
      <c r="A507" s="19">
        <v>43547.267152777778</v>
      </c>
      <c r="B507" s="20" t="str">
        <f t="shared" si="18"/>
        <v>@airbnbbukken</v>
      </c>
      <c r="C507" s="21" t="s">
        <v>186</v>
      </c>
      <c r="D507" s="22" t="s">
        <v>3958</v>
      </c>
      <c r="E507" s="23" t="str">
        <f t="shared" si="19"/>
        <v>twittbot.net</v>
      </c>
      <c r="F507" s="19">
        <v>42110.127291666664</v>
      </c>
      <c r="G507" s="17" t="s">
        <v>2783</v>
      </c>
      <c r="H507" s="35" t="s">
        <v>188</v>
      </c>
      <c r="I507" s="25" t="s">
        <v>189</v>
      </c>
    </row>
    <row r="508" spans="1:9" ht="45">
      <c r="A508" s="19">
        <v>43547.183819444443</v>
      </c>
      <c r="B508" s="20" t="str">
        <f t="shared" si="18"/>
        <v>@airbnbbukken</v>
      </c>
      <c r="C508" s="21" t="s">
        <v>186</v>
      </c>
      <c r="D508" s="22" t="s">
        <v>3984</v>
      </c>
      <c r="E508" s="23" t="str">
        <f t="shared" si="19"/>
        <v>twittbot.net</v>
      </c>
      <c r="F508" s="19">
        <v>42110.127291666664</v>
      </c>
      <c r="G508" s="17" t="s">
        <v>2783</v>
      </c>
      <c r="H508" s="35" t="s">
        <v>188</v>
      </c>
      <c r="I508" s="25" t="s">
        <v>189</v>
      </c>
    </row>
    <row r="509" spans="1:9" ht="45">
      <c r="A509" s="19">
        <v>43547.017152777778</v>
      </c>
      <c r="B509" s="20" t="str">
        <f t="shared" si="18"/>
        <v>@airbnbbukken</v>
      </c>
      <c r="C509" s="21" t="s">
        <v>186</v>
      </c>
      <c r="D509" s="22" t="s">
        <v>4936</v>
      </c>
      <c r="E509" s="23" t="str">
        <f t="shared" si="19"/>
        <v>twittbot.net</v>
      </c>
      <c r="F509" s="19">
        <v>42110.127291666664</v>
      </c>
      <c r="G509" s="17" t="s">
        <v>2783</v>
      </c>
      <c r="H509" s="35" t="s">
        <v>188</v>
      </c>
      <c r="I509" s="25" t="s">
        <v>189</v>
      </c>
    </row>
    <row r="510" spans="1:9" ht="45">
      <c r="A510" s="19">
        <v>43546.933819444443</v>
      </c>
      <c r="B510" s="20" t="str">
        <f t="shared" ref="B510:B541" si="20">HYPERLINK("https://twitter.com/airbnbbukken","@airbnbbukken")</f>
        <v>@airbnbbukken</v>
      </c>
      <c r="C510" s="21" t="s">
        <v>186</v>
      </c>
      <c r="D510" s="22" t="s">
        <v>2420</v>
      </c>
      <c r="E510" s="23" t="str">
        <f t="shared" ref="E510:E541" si="21">HYPERLINK("http://twittbot.net/","twittbot.net")</f>
        <v>twittbot.net</v>
      </c>
      <c r="F510" s="19">
        <v>42110.127291666664</v>
      </c>
      <c r="G510" s="17" t="s">
        <v>2783</v>
      </c>
      <c r="H510" s="35" t="s">
        <v>188</v>
      </c>
      <c r="I510" s="25" t="s">
        <v>189</v>
      </c>
    </row>
    <row r="511" spans="1:9" ht="45">
      <c r="A511" s="19">
        <v>43546.767152777778</v>
      </c>
      <c r="B511" s="20" t="str">
        <f t="shared" si="20"/>
        <v>@airbnbbukken</v>
      </c>
      <c r="C511" s="21" t="s">
        <v>186</v>
      </c>
      <c r="D511" s="22" t="s">
        <v>5187</v>
      </c>
      <c r="E511" s="23" t="str">
        <f t="shared" si="21"/>
        <v>twittbot.net</v>
      </c>
      <c r="F511" s="19">
        <v>42110.127291666664</v>
      </c>
      <c r="G511" s="17" t="s">
        <v>2783</v>
      </c>
      <c r="H511" s="35" t="s">
        <v>188</v>
      </c>
      <c r="I511" s="25" t="s">
        <v>189</v>
      </c>
    </row>
    <row r="512" spans="1:9" ht="45">
      <c r="A512" s="19">
        <v>43546.683819444443</v>
      </c>
      <c r="B512" s="20" t="str">
        <f t="shared" si="20"/>
        <v>@airbnbbukken</v>
      </c>
      <c r="C512" s="21" t="s">
        <v>186</v>
      </c>
      <c r="D512" s="22" t="s">
        <v>1021</v>
      </c>
      <c r="E512" s="23" t="str">
        <f t="shared" si="21"/>
        <v>twittbot.net</v>
      </c>
      <c r="F512" s="19">
        <v>42110.127291666664</v>
      </c>
      <c r="G512" s="17" t="s">
        <v>2783</v>
      </c>
      <c r="H512" s="35" t="s">
        <v>188</v>
      </c>
      <c r="I512" s="25" t="s">
        <v>189</v>
      </c>
    </row>
    <row r="513" spans="1:9" ht="45">
      <c r="A513" s="19">
        <v>43546.267141203702</v>
      </c>
      <c r="B513" s="20" t="str">
        <f t="shared" si="20"/>
        <v>@airbnbbukken</v>
      </c>
      <c r="C513" s="21" t="s">
        <v>186</v>
      </c>
      <c r="D513" s="22" t="s">
        <v>4436</v>
      </c>
      <c r="E513" s="23" t="str">
        <f t="shared" si="21"/>
        <v>twittbot.net</v>
      </c>
      <c r="F513" s="19">
        <v>42110.127291666664</v>
      </c>
      <c r="G513" s="17" t="s">
        <v>2783</v>
      </c>
      <c r="H513" s="35" t="s">
        <v>188</v>
      </c>
      <c r="I513" s="25" t="s">
        <v>189</v>
      </c>
    </row>
    <row r="514" spans="1:9" ht="45">
      <c r="A514" s="19">
        <v>43546.100486111114</v>
      </c>
      <c r="B514" s="20" t="str">
        <f t="shared" si="20"/>
        <v>@airbnbbukken</v>
      </c>
      <c r="C514" s="21" t="s">
        <v>186</v>
      </c>
      <c r="D514" s="22" t="s">
        <v>2363</v>
      </c>
      <c r="E514" s="23" t="str">
        <f t="shared" si="21"/>
        <v>twittbot.net</v>
      </c>
      <c r="F514" s="19">
        <v>42110.127291666664</v>
      </c>
      <c r="G514" s="17" t="s">
        <v>2783</v>
      </c>
      <c r="H514" s="35" t="s">
        <v>188</v>
      </c>
      <c r="I514" s="25" t="s">
        <v>189</v>
      </c>
    </row>
    <row r="515" spans="1:9" ht="45">
      <c r="A515" s="19">
        <v>43545.933807870373</v>
      </c>
      <c r="B515" s="20" t="str">
        <f t="shared" si="20"/>
        <v>@airbnbbukken</v>
      </c>
      <c r="C515" s="21" t="s">
        <v>186</v>
      </c>
      <c r="D515" s="22" t="s">
        <v>8997</v>
      </c>
      <c r="E515" s="23" t="str">
        <f t="shared" si="21"/>
        <v>twittbot.net</v>
      </c>
      <c r="F515" s="19">
        <v>42110.127291666664</v>
      </c>
      <c r="G515" s="17" t="s">
        <v>2783</v>
      </c>
      <c r="H515" s="35" t="s">
        <v>188</v>
      </c>
      <c r="I515" s="25" t="s">
        <v>189</v>
      </c>
    </row>
    <row r="516" spans="1:9" ht="45">
      <c r="A516" s="19">
        <v>43545.767141203702</v>
      </c>
      <c r="B516" s="20" t="str">
        <f t="shared" si="20"/>
        <v>@airbnbbukken</v>
      </c>
      <c r="C516" s="21" t="s">
        <v>186</v>
      </c>
      <c r="D516" s="22" t="s">
        <v>3464</v>
      </c>
      <c r="E516" s="23" t="str">
        <f t="shared" si="21"/>
        <v>twittbot.net</v>
      </c>
      <c r="F516" s="19">
        <v>42110.127291666664</v>
      </c>
      <c r="G516" s="17" t="s">
        <v>2783</v>
      </c>
      <c r="H516" s="35" t="s">
        <v>188</v>
      </c>
      <c r="I516" s="25" t="s">
        <v>189</v>
      </c>
    </row>
    <row r="517" spans="1:9" ht="45">
      <c r="A517" s="19">
        <v>43545.267141203702</v>
      </c>
      <c r="B517" s="20" t="str">
        <f t="shared" si="20"/>
        <v>@airbnbbukken</v>
      </c>
      <c r="C517" s="21" t="s">
        <v>186</v>
      </c>
      <c r="D517" s="22" t="s">
        <v>4333</v>
      </c>
      <c r="E517" s="23" t="str">
        <f t="shared" si="21"/>
        <v>twittbot.net</v>
      </c>
      <c r="F517" s="19">
        <v>42110.127291666664</v>
      </c>
      <c r="G517" s="17" t="s">
        <v>2783</v>
      </c>
      <c r="H517" s="35" t="s">
        <v>188</v>
      </c>
      <c r="I517" s="25" t="s">
        <v>189</v>
      </c>
    </row>
    <row r="518" spans="1:9" ht="45">
      <c r="A518" s="19">
        <v>43545.183819444443</v>
      </c>
      <c r="B518" s="20" t="str">
        <f t="shared" si="20"/>
        <v>@airbnbbukken</v>
      </c>
      <c r="C518" s="21" t="s">
        <v>186</v>
      </c>
      <c r="D518" s="22" t="s">
        <v>4936</v>
      </c>
      <c r="E518" s="23" t="str">
        <f t="shared" si="21"/>
        <v>twittbot.net</v>
      </c>
      <c r="F518" s="19">
        <v>42110.127291666664</v>
      </c>
      <c r="G518" s="17" t="s">
        <v>2783</v>
      </c>
      <c r="H518" s="35" t="s">
        <v>188</v>
      </c>
      <c r="I518" s="25" t="s">
        <v>189</v>
      </c>
    </row>
    <row r="519" spans="1:9" ht="30">
      <c r="A519" s="19">
        <v>43544.850474537037</v>
      </c>
      <c r="B519" s="20" t="str">
        <f t="shared" si="20"/>
        <v>@airbnbbukken</v>
      </c>
      <c r="C519" s="21" t="s">
        <v>186</v>
      </c>
      <c r="D519" s="22" t="s">
        <v>3850</v>
      </c>
      <c r="E519" s="23" t="str">
        <f t="shared" si="21"/>
        <v>twittbot.net</v>
      </c>
      <c r="F519" s="19">
        <v>42110.127291666664</v>
      </c>
      <c r="G519" s="17" t="s">
        <v>2783</v>
      </c>
      <c r="H519" s="35" t="s">
        <v>188</v>
      </c>
      <c r="I519" s="25" t="s">
        <v>189</v>
      </c>
    </row>
    <row r="520" spans="1:9" ht="45">
      <c r="A520" s="19">
        <v>43544.767141203702</v>
      </c>
      <c r="B520" s="20" t="str">
        <f t="shared" si="20"/>
        <v>@airbnbbukken</v>
      </c>
      <c r="C520" s="21" t="s">
        <v>186</v>
      </c>
      <c r="D520" s="22" t="s">
        <v>6398</v>
      </c>
      <c r="E520" s="23" t="str">
        <f t="shared" si="21"/>
        <v>twittbot.net</v>
      </c>
      <c r="F520" s="19">
        <v>42110.127291666664</v>
      </c>
      <c r="G520" s="17" t="s">
        <v>2783</v>
      </c>
      <c r="H520" s="35" t="s">
        <v>188</v>
      </c>
      <c r="I520" s="25" t="s">
        <v>189</v>
      </c>
    </row>
    <row r="521" spans="1:9" ht="45">
      <c r="A521" s="19">
        <v>43544.683807870373</v>
      </c>
      <c r="B521" s="20" t="str">
        <f t="shared" si="20"/>
        <v>@airbnbbukken</v>
      </c>
      <c r="C521" s="21" t="s">
        <v>186</v>
      </c>
      <c r="D521" s="22" t="s">
        <v>2124</v>
      </c>
      <c r="E521" s="23" t="str">
        <f t="shared" si="21"/>
        <v>twittbot.net</v>
      </c>
      <c r="F521" s="19">
        <v>42110.127291666664</v>
      </c>
      <c r="G521" s="17" t="s">
        <v>2783</v>
      </c>
      <c r="H521" s="35" t="s">
        <v>188</v>
      </c>
      <c r="I521" s="25" t="s">
        <v>189</v>
      </c>
    </row>
    <row r="522" spans="1:9" ht="45">
      <c r="A522" s="19">
        <v>43544.267141203702</v>
      </c>
      <c r="B522" s="20" t="str">
        <f t="shared" si="20"/>
        <v>@airbnbbukken</v>
      </c>
      <c r="C522" s="21" t="s">
        <v>186</v>
      </c>
      <c r="D522" s="22" t="s">
        <v>9562</v>
      </c>
      <c r="E522" s="23" t="str">
        <f t="shared" si="21"/>
        <v>twittbot.net</v>
      </c>
      <c r="F522" s="19">
        <v>42110.127291666664</v>
      </c>
      <c r="G522" s="17" t="s">
        <v>2783</v>
      </c>
      <c r="H522" s="35" t="s">
        <v>188</v>
      </c>
      <c r="I522" s="25" t="s">
        <v>189</v>
      </c>
    </row>
    <row r="523" spans="1:9" ht="45">
      <c r="A523" s="19">
        <v>43544.183819444443</v>
      </c>
      <c r="B523" s="20" t="str">
        <f t="shared" si="20"/>
        <v>@airbnbbukken</v>
      </c>
      <c r="C523" s="21" t="s">
        <v>186</v>
      </c>
      <c r="D523" s="22" t="s">
        <v>4333</v>
      </c>
      <c r="E523" s="23" t="str">
        <f t="shared" si="21"/>
        <v>twittbot.net</v>
      </c>
      <c r="F523" s="19">
        <v>42110.127291666664</v>
      </c>
      <c r="G523" s="17" t="s">
        <v>2783</v>
      </c>
      <c r="H523" s="35" t="s">
        <v>188</v>
      </c>
      <c r="I523" s="25" t="s">
        <v>189</v>
      </c>
    </row>
    <row r="524" spans="1:9" ht="30">
      <c r="A524" s="19">
        <v>43544.100474537037</v>
      </c>
      <c r="B524" s="20" t="str">
        <f t="shared" si="20"/>
        <v>@airbnbbukken</v>
      </c>
      <c r="C524" s="21" t="s">
        <v>186</v>
      </c>
      <c r="D524" s="22" t="s">
        <v>4566</v>
      </c>
      <c r="E524" s="23" t="str">
        <f t="shared" si="21"/>
        <v>twittbot.net</v>
      </c>
      <c r="F524" s="19">
        <v>42110.127291666664</v>
      </c>
      <c r="G524" s="17" t="s">
        <v>2783</v>
      </c>
      <c r="H524" s="35" t="s">
        <v>188</v>
      </c>
      <c r="I524" s="25" t="s">
        <v>189</v>
      </c>
    </row>
    <row r="525" spans="1:9" ht="45">
      <c r="A525" s="19">
        <v>43543.933819444443</v>
      </c>
      <c r="B525" s="20" t="str">
        <f t="shared" si="20"/>
        <v>@airbnbbukken</v>
      </c>
      <c r="C525" s="21" t="s">
        <v>186</v>
      </c>
      <c r="D525" s="22" t="s">
        <v>8138</v>
      </c>
      <c r="E525" s="23" t="str">
        <f t="shared" si="21"/>
        <v>twittbot.net</v>
      </c>
      <c r="F525" s="19">
        <v>42110.127291666664</v>
      </c>
      <c r="G525" s="17" t="s">
        <v>2783</v>
      </c>
      <c r="H525" s="35" t="s">
        <v>188</v>
      </c>
      <c r="I525" s="25" t="s">
        <v>189</v>
      </c>
    </row>
    <row r="526" spans="1:9" ht="45">
      <c r="A526" s="19">
        <v>43543.767141203702</v>
      </c>
      <c r="B526" s="20" t="str">
        <f t="shared" si="20"/>
        <v>@airbnbbukken</v>
      </c>
      <c r="C526" s="21" t="s">
        <v>186</v>
      </c>
      <c r="D526" s="22" t="s">
        <v>2420</v>
      </c>
      <c r="E526" s="23" t="str">
        <f t="shared" si="21"/>
        <v>twittbot.net</v>
      </c>
      <c r="F526" s="19">
        <v>42110.127291666664</v>
      </c>
      <c r="G526" s="17" t="s">
        <v>2783</v>
      </c>
      <c r="H526" s="35" t="s">
        <v>188</v>
      </c>
      <c r="I526" s="25" t="s">
        <v>189</v>
      </c>
    </row>
    <row r="527" spans="1:9" ht="45">
      <c r="A527" s="19">
        <v>43543.683819444443</v>
      </c>
      <c r="B527" s="20" t="str">
        <f t="shared" si="20"/>
        <v>@airbnbbukken</v>
      </c>
      <c r="C527" s="21" t="s">
        <v>186</v>
      </c>
      <c r="D527" s="22" t="s">
        <v>4824</v>
      </c>
      <c r="E527" s="23" t="str">
        <f t="shared" si="21"/>
        <v>twittbot.net</v>
      </c>
      <c r="F527" s="19">
        <v>42110.127291666664</v>
      </c>
      <c r="G527" s="17" t="s">
        <v>2783</v>
      </c>
      <c r="H527" s="35" t="s">
        <v>188</v>
      </c>
      <c r="I527" s="25" t="s">
        <v>189</v>
      </c>
    </row>
    <row r="528" spans="1:9" ht="30">
      <c r="A528" s="19">
        <v>43543.267141203702</v>
      </c>
      <c r="B528" s="20" t="str">
        <f t="shared" si="20"/>
        <v>@airbnbbukken</v>
      </c>
      <c r="C528" s="21" t="s">
        <v>186</v>
      </c>
      <c r="D528" s="22" t="s">
        <v>3850</v>
      </c>
      <c r="E528" s="23" t="str">
        <f t="shared" si="21"/>
        <v>twittbot.net</v>
      </c>
      <c r="F528" s="19">
        <v>42110.127291666664</v>
      </c>
      <c r="G528" s="17" t="s">
        <v>2783</v>
      </c>
      <c r="H528" s="35" t="s">
        <v>188</v>
      </c>
      <c r="I528" s="25" t="s">
        <v>189</v>
      </c>
    </row>
    <row r="529" spans="1:9" ht="45">
      <c r="A529" s="19">
        <v>43543.183807870373</v>
      </c>
      <c r="B529" s="20" t="str">
        <f t="shared" si="20"/>
        <v>@airbnbbukken</v>
      </c>
      <c r="C529" s="21" t="s">
        <v>186</v>
      </c>
      <c r="D529" s="22" t="s">
        <v>1504</v>
      </c>
      <c r="E529" s="23" t="str">
        <f t="shared" si="21"/>
        <v>twittbot.net</v>
      </c>
      <c r="F529" s="19">
        <v>42110.127291666664</v>
      </c>
      <c r="G529" s="17" t="s">
        <v>2783</v>
      </c>
      <c r="H529" s="35" t="s">
        <v>188</v>
      </c>
      <c r="I529" s="25" t="s">
        <v>189</v>
      </c>
    </row>
    <row r="530" spans="1:9" ht="45">
      <c r="A530" s="19">
        <v>43543.100474537037</v>
      </c>
      <c r="B530" s="20" t="str">
        <f t="shared" si="20"/>
        <v>@airbnbbukken</v>
      </c>
      <c r="C530" s="21" t="s">
        <v>186</v>
      </c>
      <c r="D530" s="22" t="s">
        <v>5187</v>
      </c>
      <c r="E530" s="23" t="str">
        <f t="shared" si="21"/>
        <v>twittbot.net</v>
      </c>
      <c r="F530" s="19">
        <v>42110.127291666664</v>
      </c>
      <c r="G530" s="17" t="s">
        <v>2783</v>
      </c>
      <c r="H530" s="35" t="s">
        <v>188</v>
      </c>
      <c r="I530" s="25" t="s">
        <v>189</v>
      </c>
    </row>
    <row r="531" spans="1:9" ht="45">
      <c r="A531" s="19">
        <v>43543.017141203702</v>
      </c>
      <c r="B531" s="20" t="str">
        <f t="shared" si="20"/>
        <v>@airbnbbukken</v>
      </c>
      <c r="C531" s="21" t="s">
        <v>186</v>
      </c>
      <c r="D531" s="22" t="s">
        <v>2951</v>
      </c>
      <c r="E531" s="23" t="str">
        <f t="shared" si="21"/>
        <v>twittbot.net</v>
      </c>
      <c r="F531" s="19">
        <v>42110.127291666664</v>
      </c>
      <c r="G531" s="17" t="s">
        <v>2783</v>
      </c>
      <c r="H531" s="35" t="s">
        <v>188</v>
      </c>
      <c r="I531" s="25" t="s">
        <v>189</v>
      </c>
    </row>
    <row r="532" spans="1:9" ht="45">
      <c r="A532" s="19">
        <v>43542.933819444443</v>
      </c>
      <c r="B532" s="20" t="str">
        <f t="shared" si="20"/>
        <v>@airbnbbukken</v>
      </c>
      <c r="C532" s="21" t="s">
        <v>186</v>
      </c>
      <c r="D532" s="22" t="s">
        <v>329</v>
      </c>
      <c r="E532" s="23" t="str">
        <f t="shared" si="21"/>
        <v>twittbot.net</v>
      </c>
      <c r="F532" s="19">
        <v>42110.127291666664</v>
      </c>
      <c r="G532" s="17" t="s">
        <v>2783</v>
      </c>
      <c r="H532" s="35" t="s">
        <v>188</v>
      </c>
      <c r="I532" s="25" t="s">
        <v>189</v>
      </c>
    </row>
    <row r="533" spans="1:9" ht="45">
      <c r="A533" s="19">
        <v>43542.850474537037</v>
      </c>
      <c r="B533" s="20" t="str">
        <f t="shared" si="20"/>
        <v>@airbnbbukken</v>
      </c>
      <c r="C533" s="21" t="s">
        <v>186</v>
      </c>
      <c r="D533" s="22" t="s">
        <v>6398</v>
      </c>
      <c r="E533" s="23" t="str">
        <f t="shared" si="21"/>
        <v>twittbot.net</v>
      </c>
      <c r="F533" s="19">
        <v>42110.127291666664</v>
      </c>
      <c r="G533" s="17" t="s">
        <v>2783</v>
      </c>
      <c r="H533" s="35" t="s">
        <v>188</v>
      </c>
      <c r="I533" s="25" t="s">
        <v>189</v>
      </c>
    </row>
    <row r="534" spans="1:9" ht="30">
      <c r="A534" s="19">
        <v>43542.767141203702</v>
      </c>
      <c r="B534" s="20" t="str">
        <f t="shared" si="20"/>
        <v>@airbnbbukken</v>
      </c>
      <c r="C534" s="21" t="s">
        <v>186</v>
      </c>
      <c r="D534" s="22" t="s">
        <v>4580</v>
      </c>
      <c r="E534" s="23" t="str">
        <f t="shared" si="21"/>
        <v>twittbot.net</v>
      </c>
      <c r="F534" s="19">
        <v>42110.127291666664</v>
      </c>
      <c r="G534" s="17" t="s">
        <v>2783</v>
      </c>
      <c r="H534" s="35" t="s">
        <v>188</v>
      </c>
      <c r="I534" s="25" t="s">
        <v>189</v>
      </c>
    </row>
    <row r="535" spans="1:9" ht="30">
      <c r="A535" s="19">
        <v>43542.683807870373</v>
      </c>
      <c r="B535" s="20" t="str">
        <f t="shared" si="20"/>
        <v>@airbnbbukken</v>
      </c>
      <c r="C535" s="21" t="s">
        <v>186</v>
      </c>
      <c r="D535" s="22" t="s">
        <v>1335</v>
      </c>
      <c r="E535" s="23" t="str">
        <f t="shared" si="21"/>
        <v>twittbot.net</v>
      </c>
      <c r="F535" s="19">
        <v>42110.127291666664</v>
      </c>
      <c r="G535" s="17" t="s">
        <v>2783</v>
      </c>
      <c r="H535" s="35" t="s">
        <v>188</v>
      </c>
      <c r="I535" s="25" t="s">
        <v>189</v>
      </c>
    </row>
    <row r="536" spans="1:9" ht="45">
      <c r="A536" s="4">
        <v>43565.767152777778</v>
      </c>
      <c r="B536" s="5" t="str">
        <f t="shared" si="20"/>
        <v>@airbnbbukken</v>
      </c>
      <c r="C536" s="6" t="s">
        <v>186</v>
      </c>
      <c r="D536" s="7" t="s">
        <v>4436</v>
      </c>
      <c r="E536" s="8" t="str">
        <f t="shared" si="21"/>
        <v>twittbot.net</v>
      </c>
      <c r="F536" s="4">
        <v>42110.127291666664</v>
      </c>
      <c r="G536" s="17" t="s">
        <v>2783</v>
      </c>
      <c r="H536" s="35" t="s">
        <v>188</v>
      </c>
      <c r="I536" s="10" t="s">
        <v>189</v>
      </c>
    </row>
    <row r="537" spans="1:9" ht="30">
      <c r="A537" s="4">
        <v>43565.683807870373</v>
      </c>
      <c r="B537" s="5" t="str">
        <f t="shared" si="20"/>
        <v>@airbnbbukken</v>
      </c>
      <c r="C537" s="6" t="s">
        <v>186</v>
      </c>
      <c r="D537" s="7" t="s">
        <v>3958</v>
      </c>
      <c r="E537" s="8" t="str">
        <f t="shared" si="21"/>
        <v>twittbot.net</v>
      </c>
      <c r="F537" s="4">
        <v>42110.127291666664</v>
      </c>
      <c r="G537" s="17" t="s">
        <v>2783</v>
      </c>
      <c r="H537" s="35" t="s">
        <v>188</v>
      </c>
      <c r="I537" s="10" t="s">
        <v>189</v>
      </c>
    </row>
    <row r="538" spans="1:9" ht="45">
      <c r="A538" s="4">
        <v>43565.267141203702</v>
      </c>
      <c r="B538" s="5" t="str">
        <f t="shared" si="20"/>
        <v>@airbnbbukken</v>
      </c>
      <c r="C538" s="6" t="s">
        <v>186</v>
      </c>
      <c r="D538" s="7" t="s">
        <v>1375</v>
      </c>
      <c r="E538" s="8" t="str">
        <f t="shared" si="21"/>
        <v>twittbot.net</v>
      </c>
      <c r="F538" s="4">
        <v>42110.127291666664</v>
      </c>
      <c r="G538" s="17" t="s">
        <v>2783</v>
      </c>
      <c r="H538" s="35" t="s">
        <v>188</v>
      </c>
      <c r="I538" s="10" t="s">
        <v>189</v>
      </c>
    </row>
    <row r="539" spans="1:9" ht="45">
      <c r="A539" s="4">
        <v>43565.183807870373</v>
      </c>
      <c r="B539" s="5" t="str">
        <f t="shared" si="20"/>
        <v>@airbnbbukken</v>
      </c>
      <c r="C539" s="6" t="s">
        <v>186</v>
      </c>
      <c r="D539" s="7" t="s">
        <v>1477</v>
      </c>
      <c r="E539" s="8" t="str">
        <f t="shared" si="21"/>
        <v>twittbot.net</v>
      </c>
      <c r="F539" s="4">
        <v>42110.127291666664</v>
      </c>
      <c r="G539" s="17" t="s">
        <v>2783</v>
      </c>
      <c r="H539" s="35" t="s">
        <v>188</v>
      </c>
      <c r="I539" s="10" t="s">
        <v>189</v>
      </c>
    </row>
    <row r="540" spans="1:9" ht="45">
      <c r="A540" s="4">
        <v>43565.100474537037</v>
      </c>
      <c r="B540" s="5" t="str">
        <f t="shared" si="20"/>
        <v>@airbnbbukken</v>
      </c>
      <c r="C540" s="6" t="s">
        <v>186</v>
      </c>
      <c r="D540" s="7" t="s">
        <v>5187</v>
      </c>
      <c r="E540" s="8" t="str">
        <f t="shared" si="21"/>
        <v>twittbot.net</v>
      </c>
      <c r="F540" s="4">
        <v>42110.127291666664</v>
      </c>
      <c r="G540" s="17" t="s">
        <v>2783</v>
      </c>
      <c r="H540" s="35" t="s">
        <v>188</v>
      </c>
      <c r="I540" s="10" t="s">
        <v>189</v>
      </c>
    </row>
    <row r="541" spans="1:9" ht="45">
      <c r="A541" s="4">
        <v>43565.017141203702</v>
      </c>
      <c r="B541" s="5" t="str">
        <f t="shared" si="20"/>
        <v>@airbnbbukken</v>
      </c>
      <c r="C541" s="6" t="s">
        <v>186</v>
      </c>
      <c r="D541" s="7" t="s">
        <v>3125</v>
      </c>
      <c r="E541" s="8" t="str">
        <f t="shared" si="21"/>
        <v>twittbot.net</v>
      </c>
      <c r="F541" s="4">
        <v>42110.127291666664</v>
      </c>
      <c r="G541" s="17" t="s">
        <v>2783</v>
      </c>
      <c r="H541" s="35" t="s">
        <v>188</v>
      </c>
      <c r="I541" s="10" t="s">
        <v>189</v>
      </c>
    </row>
    <row r="542" spans="1:9" ht="45">
      <c r="A542" s="4">
        <v>43564.850486111114</v>
      </c>
      <c r="B542" s="5" t="str">
        <f t="shared" ref="B542:B569" si="22">HYPERLINK("https://twitter.com/airbnbbukken","@airbnbbukken")</f>
        <v>@airbnbbukken</v>
      </c>
      <c r="C542" s="6" t="s">
        <v>186</v>
      </c>
      <c r="D542" s="7" t="s">
        <v>6398</v>
      </c>
      <c r="E542" s="8" t="str">
        <f t="shared" ref="E542:E569" si="23">HYPERLINK("http://twittbot.net/","twittbot.net")</f>
        <v>twittbot.net</v>
      </c>
      <c r="F542" s="4">
        <v>42110.127291666664</v>
      </c>
      <c r="G542" s="17" t="s">
        <v>2783</v>
      </c>
      <c r="H542" s="35" t="s">
        <v>188</v>
      </c>
      <c r="I542" s="10" t="s">
        <v>189</v>
      </c>
    </row>
    <row r="543" spans="1:9" ht="45">
      <c r="A543" s="4">
        <v>43564.767141203702</v>
      </c>
      <c r="B543" s="5" t="str">
        <f t="shared" si="22"/>
        <v>@airbnbbukken</v>
      </c>
      <c r="C543" s="6" t="s">
        <v>186</v>
      </c>
      <c r="D543" s="7" t="s">
        <v>1021</v>
      </c>
      <c r="E543" s="8" t="str">
        <f t="shared" si="23"/>
        <v>twittbot.net</v>
      </c>
      <c r="F543" s="4">
        <v>42110.127291666664</v>
      </c>
      <c r="G543" s="17" t="s">
        <v>2783</v>
      </c>
      <c r="H543" s="35" t="s">
        <v>188</v>
      </c>
      <c r="I543" s="10" t="s">
        <v>189</v>
      </c>
    </row>
    <row r="544" spans="1:9" ht="45">
      <c r="A544" s="4">
        <v>43564.683807870373</v>
      </c>
      <c r="B544" s="5" t="str">
        <f t="shared" si="22"/>
        <v>@airbnbbukken</v>
      </c>
      <c r="C544" s="6" t="s">
        <v>186</v>
      </c>
      <c r="D544" s="7" t="s">
        <v>5877</v>
      </c>
      <c r="E544" s="8" t="str">
        <f t="shared" si="23"/>
        <v>twittbot.net</v>
      </c>
      <c r="F544" s="4">
        <v>42110.127291666664</v>
      </c>
      <c r="G544" s="17" t="s">
        <v>2783</v>
      </c>
      <c r="H544" s="35" t="s">
        <v>188</v>
      </c>
      <c r="I544" s="10" t="s">
        <v>189</v>
      </c>
    </row>
    <row r="545" spans="1:9" ht="45">
      <c r="A545" s="4">
        <v>43564.267152777778</v>
      </c>
      <c r="B545" s="5" t="str">
        <f t="shared" si="22"/>
        <v>@airbnbbukken</v>
      </c>
      <c r="C545" s="6" t="s">
        <v>186</v>
      </c>
      <c r="D545" s="7" t="s">
        <v>1375</v>
      </c>
      <c r="E545" s="8" t="str">
        <f t="shared" si="23"/>
        <v>twittbot.net</v>
      </c>
      <c r="F545" s="4">
        <v>42110.127291666664</v>
      </c>
      <c r="G545" s="17" t="s">
        <v>2783</v>
      </c>
      <c r="H545" s="35" t="s">
        <v>188</v>
      </c>
      <c r="I545" s="10" t="s">
        <v>189</v>
      </c>
    </row>
    <row r="546" spans="1:9" ht="45">
      <c r="A546" s="4">
        <v>43564.183819444443</v>
      </c>
      <c r="B546" s="5" t="str">
        <f t="shared" si="22"/>
        <v>@airbnbbukken</v>
      </c>
      <c r="C546" s="6" t="s">
        <v>186</v>
      </c>
      <c r="D546" s="7" t="s">
        <v>389</v>
      </c>
      <c r="E546" s="8" t="str">
        <f t="shared" si="23"/>
        <v>twittbot.net</v>
      </c>
      <c r="F546" s="4">
        <v>42110.127291666664</v>
      </c>
      <c r="G546" s="17" t="s">
        <v>2783</v>
      </c>
      <c r="H546" s="35" t="s">
        <v>188</v>
      </c>
      <c r="I546" s="10" t="s">
        <v>189</v>
      </c>
    </row>
    <row r="547" spans="1:9" ht="45">
      <c r="A547" s="4">
        <v>43564.100486111114</v>
      </c>
      <c r="B547" s="5" t="str">
        <f t="shared" si="22"/>
        <v>@airbnbbukken</v>
      </c>
      <c r="C547" s="6" t="s">
        <v>186</v>
      </c>
      <c r="D547" s="7" t="s">
        <v>6785</v>
      </c>
      <c r="E547" s="8" t="str">
        <f t="shared" si="23"/>
        <v>twittbot.net</v>
      </c>
      <c r="F547" s="4">
        <v>42110.127291666664</v>
      </c>
      <c r="G547" s="17" t="s">
        <v>2783</v>
      </c>
      <c r="H547" s="35" t="s">
        <v>188</v>
      </c>
      <c r="I547" s="10" t="s">
        <v>189</v>
      </c>
    </row>
    <row r="548" spans="1:9" ht="45">
      <c r="A548" s="4">
        <v>43564.017141203702</v>
      </c>
      <c r="B548" s="5" t="str">
        <f t="shared" si="22"/>
        <v>@airbnbbukken</v>
      </c>
      <c r="C548" s="6" t="s">
        <v>186</v>
      </c>
      <c r="D548" s="7" t="s">
        <v>1723</v>
      </c>
      <c r="E548" s="8" t="str">
        <f t="shared" si="23"/>
        <v>twittbot.net</v>
      </c>
      <c r="F548" s="4">
        <v>42110.127291666664</v>
      </c>
      <c r="G548" s="17" t="s">
        <v>2783</v>
      </c>
      <c r="H548" s="35" t="s">
        <v>188</v>
      </c>
      <c r="I548" s="10" t="s">
        <v>189</v>
      </c>
    </row>
    <row r="549" spans="1:9" ht="45">
      <c r="A549" s="4">
        <v>43563.850486111114</v>
      </c>
      <c r="B549" s="5" t="str">
        <f t="shared" si="22"/>
        <v>@airbnbbukken</v>
      </c>
      <c r="C549" s="6" t="s">
        <v>186</v>
      </c>
      <c r="D549" s="7" t="s">
        <v>1504</v>
      </c>
      <c r="E549" s="8" t="str">
        <f t="shared" si="23"/>
        <v>twittbot.net</v>
      </c>
      <c r="F549" s="4">
        <v>42110.127291666664</v>
      </c>
      <c r="G549" s="17" t="s">
        <v>2783</v>
      </c>
      <c r="H549" s="35" t="s">
        <v>188</v>
      </c>
      <c r="I549" s="10" t="s">
        <v>189</v>
      </c>
    </row>
    <row r="550" spans="1:9" ht="45">
      <c r="A550" s="4">
        <v>43563.683807870373</v>
      </c>
      <c r="B550" s="5" t="str">
        <f t="shared" si="22"/>
        <v>@airbnbbukken</v>
      </c>
      <c r="C550" s="6" t="s">
        <v>186</v>
      </c>
      <c r="D550" s="7" t="s">
        <v>2951</v>
      </c>
      <c r="E550" s="8" t="str">
        <f t="shared" si="23"/>
        <v>twittbot.net</v>
      </c>
      <c r="F550" s="4">
        <v>42110.127291666664</v>
      </c>
      <c r="G550" s="17" t="s">
        <v>2783</v>
      </c>
      <c r="H550" s="35" t="s">
        <v>188</v>
      </c>
      <c r="I550" s="10" t="s">
        <v>189</v>
      </c>
    </row>
    <row r="551" spans="1:9" ht="60">
      <c r="A551" s="4">
        <v>43563.183807870373</v>
      </c>
      <c r="B551" s="5" t="str">
        <f t="shared" si="22"/>
        <v>@airbnbbukken</v>
      </c>
      <c r="C551" s="6" t="s">
        <v>186</v>
      </c>
      <c r="D551" s="7" t="s">
        <v>187</v>
      </c>
      <c r="E551" s="8" t="str">
        <f t="shared" si="23"/>
        <v>twittbot.net</v>
      </c>
      <c r="F551" s="4">
        <v>42110.127291666664</v>
      </c>
      <c r="G551" s="17" t="s">
        <v>2783</v>
      </c>
      <c r="H551" s="35" t="s">
        <v>188</v>
      </c>
      <c r="I551" s="10" t="s">
        <v>189</v>
      </c>
    </row>
    <row r="552" spans="1:9" ht="30">
      <c r="A552" s="4">
        <v>43563.100474537037</v>
      </c>
      <c r="B552" s="5" t="str">
        <f t="shared" si="22"/>
        <v>@airbnbbukken</v>
      </c>
      <c r="C552" s="6" t="s">
        <v>186</v>
      </c>
      <c r="D552" s="7" t="s">
        <v>1335</v>
      </c>
      <c r="E552" s="8" t="str">
        <f t="shared" si="23"/>
        <v>twittbot.net</v>
      </c>
      <c r="F552" s="4">
        <v>42110.127291666664</v>
      </c>
      <c r="G552" s="17" t="s">
        <v>2783</v>
      </c>
      <c r="H552" s="35" t="s">
        <v>188</v>
      </c>
      <c r="I552" s="10" t="s">
        <v>189</v>
      </c>
    </row>
    <row r="553" spans="1:9" ht="45">
      <c r="A553" s="4">
        <v>43563.017152777778</v>
      </c>
      <c r="B553" s="5" t="str">
        <f t="shared" si="22"/>
        <v>@airbnbbukken</v>
      </c>
      <c r="C553" s="6" t="s">
        <v>186</v>
      </c>
      <c r="D553" s="7" t="s">
        <v>4824</v>
      </c>
      <c r="E553" s="8" t="str">
        <f t="shared" si="23"/>
        <v>twittbot.net</v>
      </c>
      <c r="F553" s="4">
        <v>42110.127291666664</v>
      </c>
      <c r="G553" s="17" t="s">
        <v>2783</v>
      </c>
      <c r="H553" s="35" t="s">
        <v>188</v>
      </c>
      <c r="I553" s="10" t="s">
        <v>189</v>
      </c>
    </row>
    <row r="554" spans="1:9" ht="45">
      <c r="A554" s="4">
        <v>43562.933819444443</v>
      </c>
      <c r="B554" s="5" t="str">
        <f t="shared" si="22"/>
        <v>@airbnbbukken</v>
      </c>
      <c r="C554" s="6" t="s">
        <v>186</v>
      </c>
      <c r="D554" s="7" t="s">
        <v>1504</v>
      </c>
      <c r="E554" s="8" t="str">
        <f t="shared" si="23"/>
        <v>twittbot.net</v>
      </c>
      <c r="F554" s="4">
        <v>42110.127291666664</v>
      </c>
      <c r="G554" s="17" t="s">
        <v>2783</v>
      </c>
      <c r="H554" s="35" t="s">
        <v>188</v>
      </c>
      <c r="I554" s="10" t="s">
        <v>189</v>
      </c>
    </row>
    <row r="555" spans="1:9" ht="30">
      <c r="A555" s="4">
        <v>43562.850486111114</v>
      </c>
      <c r="B555" s="5" t="str">
        <f t="shared" si="22"/>
        <v>@airbnbbukken</v>
      </c>
      <c r="C555" s="6" t="s">
        <v>186</v>
      </c>
      <c r="D555" s="7" t="s">
        <v>3850</v>
      </c>
      <c r="E555" s="8" t="str">
        <f t="shared" si="23"/>
        <v>twittbot.net</v>
      </c>
      <c r="F555" s="4">
        <v>42110.127291666664</v>
      </c>
      <c r="G555" s="17" t="s">
        <v>2783</v>
      </c>
      <c r="H555" s="35" t="s">
        <v>188</v>
      </c>
      <c r="I555" s="10" t="s">
        <v>189</v>
      </c>
    </row>
    <row r="556" spans="1:9" ht="45">
      <c r="A556" s="4">
        <v>43562.683807870373</v>
      </c>
      <c r="B556" s="5" t="str">
        <f t="shared" si="22"/>
        <v>@airbnbbukken</v>
      </c>
      <c r="C556" s="6" t="s">
        <v>186</v>
      </c>
      <c r="D556" s="7" t="s">
        <v>5877</v>
      </c>
      <c r="E556" s="8" t="str">
        <f t="shared" si="23"/>
        <v>twittbot.net</v>
      </c>
      <c r="F556" s="4">
        <v>42110.127291666664</v>
      </c>
      <c r="G556" s="17" t="s">
        <v>2783</v>
      </c>
      <c r="H556" s="35" t="s">
        <v>188</v>
      </c>
      <c r="I556" s="10" t="s">
        <v>189</v>
      </c>
    </row>
    <row r="557" spans="1:9" ht="45">
      <c r="A557" s="4">
        <v>43562.267141203702</v>
      </c>
      <c r="B557" s="5" t="str">
        <f t="shared" si="22"/>
        <v>@airbnbbukken</v>
      </c>
      <c r="C557" s="6" t="s">
        <v>186</v>
      </c>
      <c r="D557" s="7" t="s">
        <v>1723</v>
      </c>
      <c r="E557" s="8" t="str">
        <f t="shared" si="23"/>
        <v>twittbot.net</v>
      </c>
      <c r="F557" s="4">
        <v>42110.127291666664</v>
      </c>
      <c r="G557" s="17" t="s">
        <v>2783</v>
      </c>
      <c r="H557" s="35" t="s">
        <v>188</v>
      </c>
      <c r="I557" s="10" t="s">
        <v>189</v>
      </c>
    </row>
    <row r="558" spans="1:9" ht="45">
      <c r="A558" s="4">
        <v>43562.100474537037</v>
      </c>
      <c r="B558" s="5" t="str">
        <f t="shared" si="22"/>
        <v>@airbnbbukken</v>
      </c>
      <c r="C558" s="6" t="s">
        <v>186</v>
      </c>
      <c r="D558" s="7" t="s">
        <v>10752</v>
      </c>
      <c r="E558" s="8" t="str">
        <f t="shared" si="23"/>
        <v>twittbot.net</v>
      </c>
      <c r="F558" s="4">
        <v>42110.127291666664</v>
      </c>
      <c r="G558" s="17" t="s">
        <v>2783</v>
      </c>
      <c r="H558" s="35" t="s">
        <v>188</v>
      </c>
      <c r="I558" s="10" t="s">
        <v>189</v>
      </c>
    </row>
    <row r="559" spans="1:9" ht="45">
      <c r="A559" s="4">
        <v>43562.017152777778</v>
      </c>
      <c r="B559" s="5" t="str">
        <f t="shared" si="22"/>
        <v>@airbnbbukken</v>
      </c>
      <c r="C559" s="6" t="s">
        <v>186</v>
      </c>
      <c r="D559" s="7" t="s">
        <v>1504</v>
      </c>
      <c r="E559" s="8" t="str">
        <f t="shared" si="23"/>
        <v>twittbot.net</v>
      </c>
      <c r="F559" s="4">
        <v>42110.127291666664</v>
      </c>
      <c r="G559" s="17" t="s">
        <v>2783</v>
      </c>
      <c r="H559" s="35" t="s">
        <v>188</v>
      </c>
      <c r="I559" s="10" t="s">
        <v>189</v>
      </c>
    </row>
    <row r="560" spans="1:9" ht="30">
      <c r="A560" s="4">
        <v>43561.933807870373</v>
      </c>
      <c r="B560" s="5" t="str">
        <f t="shared" si="22"/>
        <v>@airbnbbukken</v>
      </c>
      <c r="C560" s="6" t="s">
        <v>186</v>
      </c>
      <c r="D560" s="7" t="s">
        <v>2349</v>
      </c>
      <c r="E560" s="8" t="str">
        <f t="shared" si="23"/>
        <v>twittbot.net</v>
      </c>
      <c r="F560" s="4">
        <v>42110.127291666664</v>
      </c>
      <c r="G560" s="17" t="s">
        <v>2783</v>
      </c>
      <c r="H560" s="35" t="s">
        <v>188</v>
      </c>
      <c r="I560" s="10" t="s">
        <v>189</v>
      </c>
    </row>
    <row r="561" spans="1:9" ht="45">
      <c r="A561" s="4">
        <v>43561.850474537037</v>
      </c>
      <c r="B561" s="5" t="str">
        <f t="shared" si="22"/>
        <v>@airbnbbukken</v>
      </c>
      <c r="C561" s="6" t="s">
        <v>186</v>
      </c>
      <c r="D561" s="7" t="s">
        <v>2951</v>
      </c>
      <c r="E561" s="8" t="str">
        <f t="shared" si="23"/>
        <v>twittbot.net</v>
      </c>
      <c r="F561" s="4">
        <v>42110.127291666664</v>
      </c>
      <c r="G561" s="17" t="s">
        <v>2783</v>
      </c>
      <c r="H561" s="35" t="s">
        <v>188</v>
      </c>
      <c r="I561" s="10" t="s">
        <v>189</v>
      </c>
    </row>
    <row r="562" spans="1:9" ht="30">
      <c r="A562" s="4">
        <v>43561.767141203702</v>
      </c>
      <c r="B562" s="5" t="str">
        <f t="shared" si="22"/>
        <v>@airbnbbukken</v>
      </c>
      <c r="C562" s="6" t="s">
        <v>186</v>
      </c>
      <c r="D562" s="7" t="s">
        <v>3958</v>
      </c>
      <c r="E562" s="8" t="str">
        <f t="shared" si="23"/>
        <v>twittbot.net</v>
      </c>
      <c r="F562" s="4">
        <v>42110.127291666664</v>
      </c>
      <c r="G562" s="17" t="s">
        <v>2783</v>
      </c>
      <c r="H562" s="35" t="s">
        <v>188</v>
      </c>
      <c r="I562" s="10" t="s">
        <v>189</v>
      </c>
    </row>
    <row r="563" spans="1:9" ht="45">
      <c r="A563" s="4">
        <v>43561.183807870373</v>
      </c>
      <c r="B563" s="5" t="str">
        <f t="shared" si="22"/>
        <v>@airbnbbukken</v>
      </c>
      <c r="C563" s="6" t="s">
        <v>186</v>
      </c>
      <c r="D563" s="7" t="s">
        <v>3125</v>
      </c>
      <c r="E563" s="8" t="str">
        <f t="shared" si="23"/>
        <v>twittbot.net</v>
      </c>
      <c r="F563" s="4">
        <v>42110.127291666664</v>
      </c>
      <c r="G563" s="17" t="s">
        <v>2783</v>
      </c>
      <c r="H563" s="35" t="s">
        <v>188</v>
      </c>
      <c r="I563" s="10" t="s">
        <v>189</v>
      </c>
    </row>
    <row r="564" spans="1:9" ht="45">
      <c r="A564" s="4">
        <v>43561.017141203702</v>
      </c>
      <c r="B564" s="5" t="str">
        <f t="shared" si="22"/>
        <v>@airbnbbukken</v>
      </c>
      <c r="C564" s="6" t="s">
        <v>186</v>
      </c>
      <c r="D564" s="7" t="s">
        <v>10752</v>
      </c>
      <c r="E564" s="8" t="str">
        <f t="shared" si="23"/>
        <v>twittbot.net</v>
      </c>
      <c r="F564" s="4">
        <v>42110.127291666664</v>
      </c>
      <c r="G564" s="17" t="s">
        <v>2783</v>
      </c>
      <c r="H564" s="35" t="s">
        <v>188</v>
      </c>
      <c r="I564" s="10" t="s">
        <v>189</v>
      </c>
    </row>
    <row r="565" spans="1:9" ht="30">
      <c r="A565" s="4">
        <v>43560.933807870373</v>
      </c>
      <c r="B565" s="5" t="str">
        <f t="shared" si="22"/>
        <v>@airbnbbukken</v>
      </c>
      <c r="C565" s="6" t="s">
        <v>186</v>
      </c>
      <c r="D565" s="7" t="s">
        <v>1335</v>
      </c>
      <c r="E565" s="8" t="str">
        <f t="shared" si="23"/>
        <v>twittbot.net</v>
      </c>
      <c r="F565" s="4">
        <v>42110.127291666664</v>
      </c>
      <c r="G565" s="17" t="s">
        <v>2783</v>
      </c>
      <c r="H565" s="35" t="s">
        <v>188</v>
      </c>
      <c r="I565" s="10" t="s">
        <v>189</v>
      </c>
    </row>
    <row r="566" spans="1:9" ht="45">
      <c r="A566" s="4">
        <v>43560.850486111114</v>
      </c>
      <c r="B566" s="5" t="str">
        <f t="shared" si="22"/>
        <v>@airbnbbukken</v>
      </c>
      <c r="C566" s="6" t="s">
        <v>186</v>
      </c>
      <c r="D566" s="7" t="s">
        <v>459</v>
      </c>
      <c r="E566" s="8" t="str">
        <f t="shared" si="23"/>
        <v>twittbot.net</v>
      </c>
      <c r="F566" s="4">
        <v>42110.127291666664</v>
      </c>
      <c r="G566" s="17" t="s">
        <v>2783</v>
      </c>
      <c r="H566" s="35" t="s">
        <v>188</v>
      </c>
      <c r="I566" s="10" t="s">
        <v>189</v>
      </c>
    </row>
    <row r="567" spans="1:9" ht="45">
      <c r="A567" s="4">
        <v>43560.683819444443</v>
      </c>
      <c r="B567" s="5" t="str">
        <f t="shared" si="22"/>
        <v>@airbnbbukken</v>
      </c>
      <c r="C567" s="6" t="s">
        <v>186</v>
      </c>
      <c r="D567" s="7" t="s">
        <v>4333</v>
      </c>
      <c r="E567" s="8" t="str">
        <f t="shared" si="23"/>
        <v>twittbot.net</v>
      </c>
      <c r="F567" s="4">
        <v>42110.127291666664</v>
      </c>
      <c r="G567" s="17" t="s">
        <v>2783</v>
      </c>
      <c r="H567" s="35" t="s">
        <v>188</v>
      </c>
      <c r="I567" s="10" t="s">
        <v>189</v>
      </c>
    </row>
    <row r="568" spans="1:9" ht="45">
      <c r="A568" s="4">
        <v>43560.267141203702</v>
      </c>
      <c r="B568" s="5" t="str">
        <f t="shared" si="22"/>
        <v>@airbnbbukken</v>
      </c>
      <c r="C568" s="6" t="s">
        <v>186</v>
      </c>
      <c r="D568" s="7" t="s">
        <v>6785</v>
      </c>
      <c r="E568" s="8" t="str">
        <f t="shared" si="23"/>
        <v>twittbot.net</v>
      </c>
      <c r="F568" s="4">
        <v>42110.127291666664</v>
      </c>
      <c r="G568" s="17" t="s">
        <v>2783</v>
      </c>
      <c r="H568" s="35" t="s">
        <v>188</v>
      </c>
      <c r="I568" s="10" t="s">
        <v>189</v>
      </c>
    </row>
    <row r="569" spans="1:9" ht="45">
      <c r="A569" s="4">
        <v>43559.933807870373</v>
      </c>
      <c r="B569" s="5" t="str">
        <f t="shared" si="22"/>
        <v>@airbnbbukken</v>
      </c>
      <c r="C569" s="6" t="s">
        <v>186</v>
      </c>
      <c r="D569" s="7" t="s">
        <v>1477</v>
      </c>
      <c r="E569" s="8" t="str">
        <f t="shared" si="23"/>
        <v>twittbot.net</v>
      </c>
      <c r="F569" s="4">
        <v>42110.127291666664</v>
      </c>
      <c r="G569" s="17" t="s">
        <v>2783</v>
      </c>
      <c r="H569" s="35" t="s">
        <v>188</v>
      </c>
      <c r="I569" s="10" t="s">
        <v>189</v>
      </c>
    </row>
    <row r="570" spans="1:9" ht="165">
      <c r="A570" s="4">
        <v>43559.885104166664</v>
      </c>
      <c r="B570" s="5" t="str">
        <f>HYPERLINK("https://twitter.com/kan_taroh","@kan_taroh")</f>
        <v>@kan_taroh</v>
      </c>
      <c r="C570" s="6" t="s">
        <v>11667</v>
      </c>
      <c r="D570" s="7" t="s">
        <v>11668</v>
      </c>
      <c r="E570" s="8" t="str">
        <f>HYPERLINK("http://twitter.com/download/iphone","Twitter for iPhone")</f>
        <v>Twitter for iPhone</v>
      </c>
      <c r="F570" s="4">
        <v>40421.187418981484</v>
      </c>
      <c r="G570" s="17" t="s">
        <v>2783</v>
      </c>
      <c r="H570" s="35" t="s">
        <v>188</v>
      </c>
      <c r="I570" s="10" t="s">
        <v>11669</v>
      </c>
    </row>
    <row r="571" spans="1:9" ht="30">
      <c r="A571" s="4">
        <v>43559.850474537037</v>
      </c>
      <c r="B571" s="5" t="str">
        <f t="shared" ref="B571:B602" si="24">HYPERLINK("https://twitter.com/airbnbbukken","@airbnbbukken")</f>
        <v>@airbnbbukken</v>
      </c>
      <c r="C571" s="6" t="s">
        <v>186</v>
      </c>
      <c r="D571" s="7" t="s">
        <v>7837</v>
      </c>
      <c r="E571" s="8" t="str">
        <f t="shared" ref="E571:E602" si="25">HYPERLINK("http://twittbot.net/","twittbot.net")</f>
        <v>twittbot.net</v>
      </c>
      <c r="F571" s="4">
        <v>42110.127291666664</v>
      </c>
      <c r="G571" s="17" t="s">
        <v>2783</v>
      </c>
      <c r="H571" s="35" t="s">
        <v>188</v>
      </c>
      <c r="I571" s="10" t="s">
        <v>189</v>
      </c>
    </row>
    <row r="572" spans="1:9" ht="45">
      <c r="A572" s="4">
        <v>43559.767141203702</v>
      </c>
      <c r="B572" s="5" t="str">
        <f t="shared" si="24"/>
        <v>@airbnbbukken</v>
      </c>
      <c r="C572" s="6" t="s">
        <v>186</v>
      </c>
      <c r="D572" s="7" t="s">
        <v>7003</v>
      </c>
      <c r="E572" s="8" t="str">
        <f t="shared" si="25"/>
        <v>twittbot.net</v>
      </c>
      <c r="F572" s="4">
        <v>42110.127291666664</v>
      </c>
      <c r="G572" s="17" t="s">
        <v>2783</v>
      </c>
      <c r="H572" s="35" t="s">
        <v>188</v>
      </c>
      <c r="I572" s="10" t="s">
        <v>189</v>
      </c>
    </row>
    <row r="573" spans="1:9" ht="60">
      <c r="A573" s="4">
        <v>43559.267141203702</v>
      </c>
      <c r="B573" s="5" t="str">
        <f t="shared" si="24"/>
        <v>@airbnbbukken</v>
      </c>
      <c r="C573" s="6" t="s">
        <v>186</v>
      </c>
      <c r="D573" s="7" t="s">
        <v>187</v>
      </c>
      <c r="E573" s="8" t="str">
        <f t="shared" si="25"/>
        <v>twittbot.net</v>
      </c>
      <c r="F573" s="4">
        <v>42110.127291666664</v>
      </c>
      <c r="G573" s="17" t="s">
        <v>2783</v>
      </c>
      <c r="H573" s="35" t="s">
        <v>188</v>
      </c>
      <c r="I573" s="10" t="s">
        <v>189</v>
      </c>
    </row>
    <row r="574" spans="1:9" ht="30">
      <c r="A574" s="4">
        <v>43559.017152777778</v>
      </c>
      <c r="B574" s="5" t="str">
        <f t="shared" si="24"/>
        <v>@airbnbbukken</v>
      </c>
      <c r="C574" s="6" t="s">
        <v>186</v>
      </c>
      <c r="D574" s="7" t="s">
        <v>4566</v>
      </c>
      <c r="E574" s="8" t="str">
        <f t="shared" si="25"/>
        <v>twittbot.net</v>
      </c>
      <c r="F574" s="4">
        <v>42110.127291666664</v>
      </c>
      <c r="G574" s="17" t="s">
        <v>2783</v>
      </c>
      <c r="H574" s="35" t="s">
        <v>188</v>
      </c>
      <c r="I574" s="10" t="s">
        <v>189</v>
      </c>
    </row>
    <row r="575" spans="1:9" ht="30">
      <c r="A575" s="4">
        <v>43558.933807870373</v>
      </c>
      <c r="B575" s="5" t="str">
        <f t="shared" si="24"/>
        <v>@airbnbbukken</v>
      </c>
      <c r="C575" s="6" t="s">
        <v>186</v>
      </c>
      <c r="D575" s="7" t="s">
        <v>3958</v>
      </c>
      <c r="E575" s="8" t="str">
        <f t="shared" si="25"/>
        <v>twittbot.net</v>
      </c>
      <c r="F575" s="4">
        <v>42110.127291666664</v>
      </c>
      <c r="G575" s="17" t="s">
        <v>2783</v>
      </c>
      <c r="H575" s="35" t="s">
        <v>188</v>
      </c>
      <c r="I575" s="10" t="s">
        <v>189</v>
      </c>
    </row>
    <row r="576" spans="1:9" ht="45">
      <c r="A576" s="4">
        <v>43558.683819444443</v>
      </c>
      <c r="B576" s="5" t="str">
        <f t="shared" si="24"/>
        <v>@airbnbbukken</v>
      </c>
      <c r="C576" s="6" t="s">
        <v>186</v>
      </c>
      <c r="D576" s="7" t="s">
        <v>2017</v>
      </c>
      <c r="E576" s="8" t="str">
        <f t="shared" si="25"/>
        <v>twittbot.net</v>
      </c>
      <c r="F576" s="4">
        <v>42110.127291666664</v>
      </c>
      <c r="G576" s="17" t="s">
        <v>2783</v>
      </c>
      <c r="H576" s="35" t="s">
        <v>188</v>
      </c>
      <c r="I576" s="10" t="s">
        <v>189</v>
      </c>
    </row>
    <row r="577" spans="1:9" ht="45">
      <c r="A577" s="4">
        <v>43558.267141203702</v>
      </c>
      <c r="B577" s="5" t="str">
        <f t="shared" si="24"/>
        <v>@airbnbbukken</v>
      </c>
      <c r="C577" s="6" t="s">
        <v>186</v>
      </c>
      <c r="D577" s="7" t="s">
        <v>12253</v>
      </c>
      <c r="E577" s="8" t="str">
        <f t="shared" si="25"/>
        <v>twittbot.net</v>
      </c>
      <c r="F577" s="4">
        <v>42110.127291666664</v>
      </c>
      <c r="G577" s="17" t="s">
        <v>2783</v>
      </c>
      <c r="H577" s="35" t="s">
        <v>188</v>
      </c>
      <c r="I577" s="10" t="s">
        <v>189</v>
      </c>
    </row>
    <row r="578" spans="1:9" ht="45">
      <c r="A578" s="4">
        <v>43558.183807870373</v>
      </c>
      <c r="B578" s="5" t="str">
        <f t="shared" si="24"/>
        <v>@airbnbbukken</v>
      </c>
      <c r="C578" s="6" t="s">
        <v>186</v>
      </c>
      <c r="D578" s="7" t="s">
        <v>12299</v>
      </c>
      <c r="E578" s="8" t="str">
        <f t="shared" si="25"/>
        <v>twittbot.net</v>
      </c>
      <c r="F578" s="4">
        <v>42110.127291666664</v>
      </c>
      <c r="G578" s="17" t="s">
        <v>2783</v>
      </c>
      <c r="H578" s="35" t="s">
        <v>188</v>
      </c>
      <c r="I578" s="10" t="s">
        <v>189</v>
      </c>
    </row>
    <row r="579" spans="1:9" ht="45">
      <c r="A579" s="4">
        <v>43558.100474537037</v>
      </c>
      <c r="B579" s="5" t="str">
        <f t="shared" si="24"/>
        <v>@airbnbbukken</v>
      </c>
      <c r="C579" s="6" t="s">
        <v>186</v>
      </c>
      <c r="D579" s="7" t="s">
        <v>10752</v>
      </c>
      <c r="E579" s="8" t="str">
        <f t="shared" si="25"/>
        <v>twittbot.net</v>
      </c>
      <c r="F579" s="4">
        <v>42110.127291666664</v>
      </c>
      <c r="G579" s="17" t="s">
        <v>2783</v>
      </c>
      <c r="H579" s="35" t="s">
        <v>188</v>
      </c>
      <c r="I579" s="10" t="s">
        <v>189</v>
      </c>
    </row>
    <row r="580" spans="1:9" ht="45">
      <c r="A580" s="4">
        <v>43557.683807870373</v>
      </c>
      <c r="B580" s="5" t="str">
        <f t="shared" si="24"/>
        <v>@airbnbbukken</v>
      </c>
      <c r="C580" s="6" t="s">
        <v>186</v>
      </c>
      <c r="D580" s="7" t="s">
        <v>1689</v>
      </c>
      <c r="E580" s="8" t="str">
        <f t="shared" si="25"/>
        <v>twittbot.net</v>
      </c>
      <c r="F580" s="4">
        <v>42110.127291666664</v>
      </c>
      <c r="G580" s="17" t="s">
        <v>2783</v>
      </c>
      <c r="H580" s="35" t="s">
        <v>188</v>
      </c>
      <c r="I580" s="10" t="s">
        <v>189</v>
      </c>
    </row>
    <row r="581" spans="1:9" ht="45">
      <c r="A581" s="4">
        <v>43557.100486111114</v>
      </c>
      <c r="B581" s="5" t="str">
        <f t="shared" si="24"/>
        <v>@airbnbbukken</v>
      </c>
      <c r="C581" s="6" t="s">
        <v>186</v>
      </c>
      <c r="D581" s="7" t="s">
        <v>2107</v>
      </c>
      <c r="E581" s="8" t="str">
        <f t="shared" si="25"/>
        <v>twittbot.net</v>
      </c>
      <c r="F581" s="4">
        <v>42110.127291666664</v>
      </c>
      <c r="G581" s="17" t="s">
        <v>2783</v>
      </c>
      <c r="H581" s="35" t="s">
        <v>188</v>
      </c>
      <c r="I581" s="10" t="s">
        <v>189</v>
      </c>
    </row>
    <row r="582" spans="1:9" ht="45">
      <c r="A582" s="4">
        <v>43557.017152777778</v>
      </c>
      <c r="B582" s="5" t="str">
        <f t="shared" si="24"/>
        <v>@airbnbbukken</v>
      </c>
      <c r="C582" s="6" t="s">
        <v>186</v>
      </c>
      <c r="D582" s="7" t="s">
        <v>1375</v>
      </c>
      <c r="E582" s="8" t="str">
        <f t="shared" si="25"/>
        <v>twittbot.net</v>
      </c>
      <c r="F582" s="4">
        <v>42110.127291666664</v>
      </c>
      <c r="G582" s="17" t="s">
        <v>2783</v>
      </c>
      <c r="H582" s="35" t="s">
        <v>188</v>
      </c>
      <c r="I582" s="10" t="s">
        <v>189</v>
      </c>
    </row>
    <row r="583" spans="1:9" ht="45">
      <c r="A583" s="4">
        <v>43556.767141203702</v>
      </c>
      <c r="B583" s="5" t="str">
        <f t="shared" si="24"/>
        <v>@airbnbbukken</v>
      </c>
      <c r="C583" s="6" t="s">
        <v>186</v>
      </c>
      <c r="D583" s="7" t="s">
        <v>12751</v>
      </c>
      <c r="E583" s="8" t="str">
        <f t="shared" si="25"/>
        <v>twittbot.net</v>
      </c>
      <c r="F583" s="4">
        <v>42110.127291666664</v>
      </c>
      <c r="G583" s="17" t="s">
        <v>2783</v>
      </c>
      <c r="H583" s="35" t="s">
        <v>188</v>
      </c>
      <c r="I583" s="10" t="s">
        <v>189</v>
      </c>
    </row>
    <row r="584" spans="1:9" ht="60">
      <c r="A584" s="12">
        <v>43580.642141203702</v>
      </c>
      <c r="B584" s="13" t="str">
        <f t="shared" si="24"/>
        <v>@airbnbbukken</v>
      </c>
      <c r="C584" s="14" t="s">
        <v>186</v>
      </c>
      <c r="D584" s="15" t="s">
        <v>187</v>
      </c>
      <c r="E584" s="16" t="str">
        <f t="shared" si="25"/>
        <v>twittbot.net</v>
      </c>
      <c r="F584" s="12">
        <v>42110.585625</v>
      </c>
      <c r="G584" s="17" t="s">
        <v>2783</v>
      </c>
      <c r="H584" s="35" t="s">
        <v>188</v>
      </c>
      <c r="I584" s="18" t="s">
        <v>189</v>
      </c>
    </row>
    <row r="585" spans="1:9" ht="45">
      <c r="A585" s="12">
        <v>43580.017141203702</v>
      </c>
      <c r="B585" s="13" t="str">
        <f t="shared" si="24"/>
        <v>@airbnbbukken</v>
      </c>
      <c r="C585" s="14" t="s">
        <v>186</v>
      </c>
      <c r="D585" s="15" t="s">
        <v>329</v>
      </c>
      <c r="E585" s="16" t="str">
        <f t="shared" si="25"/>
        <v>twittbot.net</v>
      </c>
      <c r="F585" s="12">
        <v>42110.127291666664</v>
      </c>
      <c r="G585" s="17" t="s">
        <v>2783</v>
      </c>
      <c r="H585" s="35" t="s">
        <v>188</v>
      </c>
      <c r="I585" s="18" t="s">
        <v>189</v>
      </c>
    </row>
    <row r="586" spans="1:9" ht="45">
      <c r="A586" s="12">
        <v>43579.933819444443</v>
      </c>
      <c r="B586" s="13" t="str">
        <f t="shared" si="24"/>
        <v>@airbnbbukken</v>
      </c>
      <c r="C586" s="14" t="s">
        <v>186</v>
      </c>
      <c r="D586" s="15" t="s">
        <v>389</v>
      </c>
      <c r="E586" s="16" t="str">
        <f t="shared" si="25"/>
        <v>twittbot.net</v>
      </c>
      <c r="F586" s="12">
        <v>42110.127291666664</v>
      </c>
      <c r="G586" s="17" t="s">
        <v>2783</v>
      </c>
      <c r="H586" s="35" t="s">
        <v>188</v>
      </c>
      <c r="I586" s="18" t="s">
        <v>189</v>
      </c>
    </row>
    <row r="587" spans="1:9" ht="45">
      <c r="A587" s="12">
        <v>43579.850474537037</v>
      </c>
      <c r="B587" s="13" t="str">
        <f t="shared" si="24"/>
        <v>@airbnbbukken</v>
      </c>
      <c r="C587" s="14" t="s">
        <v>186</v>
      </c>
      <c r="D587" s="15" t="s">
        <v>434</v>
      </c>
      <c r="E587" s="16" t="str">
        <f t="shared" si="25"/>
        <v>twittbot.net</v>
      </c>
      <c r="F587" s="12">
        <v>42110.127291666664</v>
      </c>
      <c r="G587" s="17" t="s">
        <v>2783</v>
      </c>
      <c r="H587" s="35" t="s">
        <v>188</v>
      </c>
      <c r="I587" s="18" t="s">
        <v>189</v>
      </c>
    </row>
    <row r="588" spans="1:9" ht="45">
      <c r="A588" s="12">
        <v>43579.767141203702</v>
      </c>
      <c r="B588" s="13" t="str">
        <f t="shared" si="24"/>
        <v>@airbnbbukken</v>
      </c>
      <c r="C588" s="14" t="s">
        <v>186</v>
      </c>
      <c r="D588" s="15" t="s">
        <v>459</v>
      </c>
      <c r="E588" s="16" t="str">
        <f t="shared" si="25"/>
        <v>twittbot.net</v>
      </c>
      <c r="F588" s="12">
        <v>42110.127291666664</v>
      </c>
      <c r="G588" s="17" t="s">
        <v>2783</v>
      </c>
      <c r="H588" s="35" t="s">
        <v>188</v>
      </c>
      <c r="I588" s="18" t="s">
        <v>189</v>
      </c>
    </row>
    <row r="589" spans="1:9" ht="60">
      <c r="A589" s="12">
        <v>43579.267141203702</v>
      </c>
      <c r="B589" s="13" t="str">
        <f t="shared" si="24"/>
        <v>@airbnbbukken</v>
      </c>
      <c r="C589" s="14" t="s">
        <v>186</v>
      </c>
      <c r="D589" s="15" t="s">
        <v>187</v>
      </c>
      <c r="E589" s="16" t="str">
        <f t="shared" si="25"/>
        <v>twittbot.net</v>
      </c>
      <c r="F589" s="12">
        <v>42110.127291666664</v>
      </c>
      <c r="G589" s="17" t="s">
        <v>2783</v>
      </c>
      <c r="H589" s="35" t="s">
        <v>188</v>
      </c>
      <c r="I589" s="18" t="s">
        <v>189</v>
      </c>
    </row>
    <row r="590" spans="1:9" ht="45">
      <c r="A590" s="12">
        <v>43579.183819444443</v>
      </c>
      <c r="B590" s="13" t="str">
        <f t="shared" si="24"/>
        <v>@airbnbbukken</v>
      </c>
      <c r="C590" s="14" t="s">
        <v>186</v>
      </c>
      <c r="D590" s="15" t="s">
        <v>876</v>
      </c>
      <c r="E590" s="16" t="str">
        <f t="shared" si="25"/>
        <v>twittbot.net</v>
      </c>
      <c r="F590" s="12">
        <v>42110.127291666664</v>
      </c>
      <c r="G590" s="17" t="s">
        <v>2783</v>
      </c>
      <c r="H590" s="35" t="s">
        <v>188</v>
      </c>
      <c r="I590" s="18" t="s">
        <v>189</v>
      </c>
    </row>
    <row r="591" spans="1:9" ht="45">
      <c r="A591" s="12">
        <v>43579.017141203702</v>
      </c>
      <c r="B591" s="13" t="str">
        <f t="shared" si="24"/>
        <v>@airbnbbukken</v>
      </c>
      <c r="C591" s="14" t="s">
        <v>186</v>
      </c>
      <c r="D591" s="15" t="s">
        <v>964</v>
      </c>
      <c r="E591" s="16" t="str">
        <f t="shared" si="25"/>
        <v>twittbot.net</v>
      </c>
      <c r="F591" s="12">
        <v>42110.127291666664</v>
      </c>
      <c r="G591" s="17" t="s">
        <v>2783</v>
      </c>
      <c r="H591" s="35" t="s">
        <v>188</v>
      </c>
      <c r="I591" s="18" t="s">
        <v>189</v>
      </c>
    </row>
    <row r="592" spans="1:9" ht="45">
      <c r="A592" s="12">
        <v>43578.850474537037</v>
      </c>
      <c r="B592" s="13" t="str">
        <f t="shared" si="24"/>
        <v>@airbnbbukken</v>
      </c>
      <c r="C592" s="14" t="s">
        <v>186</v>
      </c>
      <c r="D592" s="15" t="s">
        <v>1021</v>
      </c>
      <c r="E592" s="16" t="str">
        <f t="shared" si="25"/>
        <v>twittbot.net</v>
      </c>
      <c r="F592" s="12">
        <v>42110.127291666664</v>
      </c>
      <c r="G592" s="17" t="s">
        <v>2783</v>
      </c>
      <c r="H592" s="35" t="s">
        <v>188</v>
      </c>
      <c r="I592" s="18" t="s">
        <v>189</v>
      </c>
    </row>
    <row r="593" spans="1:9" ht="30">
      <c r="A593" s="12">
        <v>43578.267141203702</v>
      </c>
      <c r="B593" s="13" t="str">
        <f t="shared" si="24"/>
        <v>@airbnbbukken</v>
      </c>
      <c r="C593" s="14" t="s">
        <v>186</v>
      </c>
      <c r="D593" s="15" t="s">
        <v>1335</v>
      </c>
      <c r="E593" s="16" t="str">
        <f t="shared" si="25"/>
        <v>twittbot.net</v>
      </c>
      <c r="F593" s="12">
        <v>42110.127291666664</v>
      </c>
      <c r="G593" s="17" t="s">
        <v>2783</v>
      </c>
      <c r="H593" s="35" t="s">
        <v>188</v>
      </c>
      <c r="I593" s="18" t="s">
        <v>189</v>
      </c>
    </row>
    <row r="594" spans="1:9" ht="45">
      <c r="A594" s="12">
        <v>43578.183819444443</v>
      </c>
      <c r="B594" s="13" t="str">
        <f t="shared" si="24"/>
        <v>@airbnbbukken</v>
      </c>
      <c r="C594" s="14" t="s">
        <v>186</v>
      </c>
      <c r="D594" s="15" t="s">
        <v>1375</v>
      </c>
      <c r="E594" s="16" t="str">
        <f t="shared" si="25"/>
        <v>twittbot.net</v>
      </c>
      <c r="F594" s="12">
        <v>42110.127291666664</v>
      </c>
      <c r="G594" s="17" t="s">
        <v>2783</v>
      </c>
      <c r="H594" s="35" t="s">
        <v>188</v>
      </c>
      <c r="I594" s="18" t="s">
        <v>189</v>
      </c>
    </row>
    <row r="595" spans="1:9" ht="45">
      <c r="A595" s="12">
        <v>43578.017141203702</v>
      </c>
      <c r="B595" s="13" t="str">
        <f t="shared" si="24"/>
        <v>@airbnbbukken</v>
      </c>
      <c r="C595" s="14" t="s">
        <v>186</v>
      </c>
      <c r="D595" s="15" t="s">
        <v>1426</v>
      </c>
      <c r="E595" s="16" t="str">
        <f t="shared" si="25"/>
        <v>twittbot.net</v>
      </c>
      <c r="F595" s="12">
        <v>42110.127291666664</v>
      </c>
      <c r="G595" s="17" t="s">
        <v>2783</v>
      </c>
      <c r="H595" s="35" t="s">
        <v>188</v>
      </c>
      <c r="I595" s="18" t="s">
        <v>189</v>
      </c>
    </row>
    <row r="596" spans="1:9" ht="45">
      <c r="A596" s="12">
        <v>43577.933819444443</v>
      </c>
      <c r="B596" s="13" t="str">
        <f t="shared" si="24"/>
        <v>@airbnbbukken</v>
      </c>
      <c r="C596" s="14" t="s">
        <v>186</v>
      </c>
      <c r="D596" s="15" t="s">
        <v>389</v>
      </c>
      <c r="E596" s="16" t="str">
        <f t="shared" si="25"/>
        <v>twittbot.net</v>
      </c>
      <c r="F596" s="12">
        <v>42110.127291666664</v>
      </c>
      <c r="G596" s="17" t="s">
        <v>2783</v>
      </c>
      <c r="H596" s="35" t="s">
        <v>188</v>
      </c>
      <c r="I596" s="18" t="s">
        <v>189</v>
      </c>
    </row>
    <row r="597" spans="1:9" ht="45">
      <c r="A597" s="12">
        <v>43577.850486111114</v>
      </c>
      <c r="B597" s="13" t="str">
        <f t="shared" si="24"/>
        <v>@airbnbbukken</v>
      </c>
      <c r="C597" s="14" t="s">
        <v>186</v>
      </c>
      <c r="D597" s="15" t="s">
        <v>1477</v>
      </c>
      <c r="E597" s="16" t="str">
        <f t="shared" si="25"/>
        <v>twittbot.net</v>
      </c>
      <c r="F597" s="12">
        <v>42110.127291666664</v>
      </c>
      <c r="G597" s="17" t="s">
        <v>2783</v>
      </c>
      <c r="H597" s="35" t="s">
        <v>188</v>
      </c>
      <c r="I597" s="18" t="s">
        <v>189</v>
      </c>
    </row>
    <row r="598" spans="1:9" ht="45">
      <c r="A598" s="12">
        <v>43577.767141203702</v>
      </c>
      <c r="B598" s="13" t="str">
        <f t="shared" si="24"/>
        <v>@airbnbbukken</v>
      </c>
      <c r="C598" s="14" t="s">
        <v>186</v>
      </c>
      <c r="D598" s="15" t="s">
        <v>1504</v>
      </c>
      <c r="E598" s="16" t="str">
        <f t="shared" si="25"/>
        <v>twittbot.net</v>
      </c>
      <c r="F598" s="12">
        <v>42110.127291666664</v>
      </c>
      <c r="G598" s="17" t="s">
        <v>2783</v>
      </c>
      <c r="H598" s="35" t="s">
        <v>188</v>
      </c>
      <c r="I598" s="18" t="s">
        <v>189</v>
      </c>
    </row>
    <row r="599" spans="1:9" ht="45">
      <c r="A599" s="12">
        <v>43577.683807870373</v>
      </c>
      <c r="B599" s="13" t="str">
        <f t="shared" si="24"/>
        <v>@airbnbbukken</v>
      </c>
      <c r="C599" s="14" t="s">
        <v>186</v>
      </c>
      <c r="D599" s="15" t="s">
        <v>329</v>
      </c>
      <c r="E599" s="16" t="str">
        <f t="shared" si="25"/>
        <v>twittbot.net</v>
      </c>
      <c r="F599" s="12">
        <v>42110.127291666664</v>
      </c>
      <c r="G599" s="17" t="s">
        <v>2783</v>
      </c>
      <c r="H599" s="35" t="s">
        <v>188</v>
      </c>
      <c r="I599" s="18" t="s">
        <v>189</v>
      </c>
    </row>
    <row r="600" spans="1:9" ht="45">
      <c r="A600" s="12">
        <v>43577.267152777778</v>
      </c>
      <c r="B600" s="13" t="str">
        <f t="shared" si="24"/>
        <v>@airbnbbukken</v>
      </c>
      <c r="C600" s="14" t="s">
        <v>186</v>
      </c>
      <c r="D600" s="15" t="s">
        <v>1689</v>
      </c>
      <c r="E600" s="16" t="str">
        <f t="shared" si="25"/>
        <v>twittbot.net</v>
      </c>
      <c r="F600" s="12">
        <v>42110.127291666664</v>
      </c>
      <c r="G600" s="17" t="s">
        <v>2783</v>
      </c>
      <c r="H600" s="35" t="s">
        <v>188</v>
      </c>
      <c r="I600" s="18" t="s">
        <v>189</v>
      </c>
    </row>
    <row r="601" spans="1:9" ht="45">
      <c r="A601" s="12">
        <v>43577.183807870373</v>
      </c>
      <c r="B601" s="13" t="str">
        <f t="shared" si="24"/>
        <v>@airbnbbukken</v>
      </c>
      <c r="C601" s="14" t="s">
        <v>186</v>
      </c>
      <c r="D601" s="15" t="s">
        <v>1723</v>
      </c>
      <c r="E601" s="16" t="str">
        <f t="shared" si="25"/>
        <v>twittbot.net</v>
      </c>
      <c r="F601" s="12">
        <v>42110.127291666664</v>
      </c>
      <c r="G601" s="17" t="s">
        <v>2783</v>
      </c>
      <c r="H601" s="35" t="s">
        <v>188</v>
      </c>
      <c r="I601" s="18" t="s">
        <v>189</v>
      </c>
    </row>
    <row r="602" spans="1:9" ht="45">
      <c r="A602" s="12">
        <v>43576.933807870373</v>
      </c>
      <c r="B602" s="13" t="str">
        <f t="shared" si="24"/>
        <v>@airbnbbukken</v>
      </c>
      <c r="C602" s="14" t="s">
        <v>186</v>
      </c>
      <c r="D602" s="15" t="s">
        <v>876</v>
      </c>
      <c r="E602" s="16" t="str">
        <f t="shared" si="25"/>
        <v>twittbot.net</v>
      </c>
      <c r="F602" s="12">
        <v>42110.127291666664</v>
      </c>
      <c r="G602" s="17" t="s">
        <v>2783</v>
      </c>
      <c r="H602" s="35" t="s">
        <v>188</v>
      </c>
      <c r="I602" s="18" t="s">
        <v>189</v>
      </c>
    </row>
    <row r="603" spans="1:9" ht="45">
      <c r="A603" s="12">
        <v>43576.850474537037</v>
      </c>
      <c r="B603" s="13" t="str">
        <f t="shared" ref="B603:B634" si="26">HYPERLINK("https://twitter.com/airbnbbukken","@airbnbbukken")</f>
        <v>@airbnbbukken</v>
      </c>
      <c r="C603" s="14" t="s">
        <v>186</v>
      </c>
      <c r="D603" s="15" t="s">
        <v>1426</v>
      </c>
      <c r="E603" s="16" t="str">
        <f t="shared" ref="E603:E634" si="27">HYPERLINK("http://twittbot.net/","twittbot.net")</f>
        <v>twittbot.net</v>
      </c>
      <c r="F603" s="12">
        <v>42110.127291666664</v>
      </c>
      <c r="G603" s="17" t="s">
        <v>2783</v>
      </c>
      <c r="H603" s="35" t="s">
        <v>188</v>
      </c>
      <c r="I603" s="18" t="s">
        <v>189</v>
      </c>
    </row>
    <row r="604" spans="1:9" ht="45">
      <c r="A604" s="12">
        <v>43576.683807870373</v>
      </c>
      <c r="B604" s="13" t="str">
        <f t="shared" si="26"/>
        <v>@airbnbbukken</v>
      </c>
      <c r="C604" s="14" t="s">
        <v>186</v>
      </c>
      <c r="D604" s="15" t="s">
        <v>1863</v>
      </c>
      <c r="E604" s="16" t="str">
        <f t="shared" si="27"/>
        <v>twittbot.net</v>
      </c>
      <c r="F604" s="12">
        <v>42110.127291666664</v>
      </c>
      <c r="G604" s="17" t="s">
        <v>2783</v>
      </c>
      <c r="H604" s="35" t="s">
        <v>188</v>
      </c>
      <c r="I604" s="18" t="s">
        <v>189</v>
      </c>
    </row>
    <row r="605" spans="1:9" ht="45">
      <c r="A605" s="12">
        <v>43576.267141203702</v>
      </c>
      <c r="B605" s="13" t="str">
        <f t="shared" si="26"/>
        <v>@airbnbbukken</v>
      </c>
      <c r="C605" s="14" t="s">
        <v>186</v>
      </c>
      <c r="D605" s="15" t="s">
        <v>2017</v>
      </c>
      <c r="E605" s="16" t="str">
        <f t="shared" si="27"/>
        <v>twittbot.net</v>
      </c>
      <c r="F605" s="12">
        <v>42110.127291666664</v>
      </c>
      <c r="G605" s="17" t="s">
        <v>2783</v>
      </c>
      <c r="H605" s="35" t="s">
        <v>188</v>
      </c>
      <c r="I605" s="18" t="s">
        <v>189</v>
      </c>
    </row>
    <row r="606" spans="1:9" ht="45">
      <c r="A606" s="12">
        <v>43576.100474537037</v>
      </c>
      <c r="B606" s="13" t="str">
        <f t="shared" si="26"/>
        <v>@airbnbbukken</v>
      </c>
      <c r="C606" s="14" t="s">
        <v>186</v>
      </c>
      <c r="D606" s="15" t="s">
        <v>2048</v>
      </c>
      <c r="E606" s="16" t="str">
        <f t="shared" si="27"/>
        <v>twittbot.net</v>
      </c>
      <c r="F606" s="12">
        <v>42110.127291666664</v>
      </c>
      <c r="G606" s="17" t="s">
        <v>2783</v>
      </c>
      <c r="H606" s="35" t="s">
        <v>188</v>
      </c>
      <c r="I606" s="18" t="s">
        <v>189</v>
      </c>
    </row>
    <row r="607" spans="1:9" ht="30">
      <c r="A607" s="12">
        <v>43576.017152777778</v>
      </c>
      <c r="B607" s="13" t="str">
        <f t="shared" si="26"/>
        <v>@airbnbbukken</v>
      </c>
      <c r="C607" s="14" t="s">
        <v>186</v>
      </c>
      <c r="D607" s="15" t="s">
        <v>1335</v>
      </c>
      <c r="E607" s="16" t="str">
        <f t="shared" si="27"/>
        <v>twittbot.net</v>
      </c>
      <c r="F607" s="12">
        <v>42110.127291666664</v>
      </c>
      <c r="G607" s="17" t="s">
        <v>2783</v>
      </c>
      <c r="H607" s="35" t="s">
        <v>188</v>
      </c>
      <c r="I607" s="18" t="s">
        <v>189</v>
      </c>
    </row>
    <row r="608" spans="1:9" ht="45">
      <c r="A608" s="12">
        <v>43575.850474537037</v>
      </c>
      <c r="B608" s="13" t="str">
        <f t="shared" si="26"/>
        <v>@airbnbbukken</v>
      </c>
      <c r="C608" s="14" t="s">
        <v>186</v>
      </c>
      <c r="D608" s="15" t="s">
        <v>2107</v>
      </c>
      <c r="E608" s="16" t="str">
        <f t="shared" si="27"/>
        <v>twittbot.net</v>
      </c>
      <c r="F608" s="12">
        <v>42110.127291666664</v>
      </c>
      <c r="G608" s="17" t="s">
        <v>2783</v>
      </c>
      <c r="H608" s="35" t="s">
        <v>188</v>
      </c>
      <c r="I608" s="18" t="s">
        <v>189</v>
      </c>
    </row>
    <row r="609" spans="1:9" ht="45">
      <c r="A609" s="12">
        <v>43575.767152777778</v>
      </c>
      <c r="B609" s="13" t="str">
        <f t="shared" si="26"/>
        <v>@airbnbbukken</v>
      </c>
      <c r="C609" s="14" t="s">
        <v>186</v>
      </c>
      <c r="D609" s="15" t="s">
        <v>2124</v>
      </c>
      <c r="E609" s="16" t="str">
        <f t="shared" si="27"/>
        <v>twittbot.net</v>
      </c>
      <c r="F609" s="12">
        <v>42110.127291666664</v>
      </c>
      <c r="G609" s="17" t="s">
        <v>2783</v>
      </c>
      <c r="H609" s="35" t="s">
        <v>188</v>
      </c>
      <c r="I609" s="18" t="s">
        <v>189</v>
      </c>
    </row>
    <row r="610" spans="1:9" ht="45">
      <c r="A610" s="12">
        <v>43575.683807870373</v>
      </c>
      <c r="B610" s="13" t="str">
        <f t="shared" si="26"/>
        <v>@airbnbbukken</v>
      </c>
      <c r="C610" s="14" t="s">
        <v>186</v>
      </c>
      <c r="D610" s="15" t="s">
        <v>1426</v>
      </c>
      <c r="E610" s="16" t="str">
        <f t="shared" si="27"/>
        <v>twittbot.net</v>
      </c>
      <c r="F610" s="12">
        <v>42110.127291666664</v>
      </c>
      <c r="G610" s="17" t="s">
        <v>2783</v>
      </c>
      <c r="H610" s="35" t="s">
        <v>188</v>
      </c>
      <c r="I610" s="18" t="s">
        <v>189</v>
      </c>
    </row>
    <row r="611" spans="1:9" ht="45">
      <c r="A611" s="12">
        <v>43575.267141203702</v>
      </c>
      <c r="B611" s="13" t="str">
        <f t="shared" si="26"/>
        <v>@airbnbbukken</v>
      </c>
      <c r="C611" s="14" t="s">
        <v>186</v>
      </c>
      <c r="D611" s="15" t="s">
        <v>2322</v>
      </c>
      <c r="E611" s="16" t="str">
        <f t="shared" si="27"/>
        <v>twittbot.net</v>
      </c>
      <c r="F611" s="12">
        <v>42110.127291666664</v>
      </c>
      <c r="G611" s="17" t="s">
        <v>2783</v>
      </c>
      <c r="H611" s="35" t="s">
        <v>188</v>
      </c>
      <c r="I611" s="18" t="s">
        <v>189</v>
      </c>
    </row>
    <row r="612" spans="1:9" ht="30">
      <c r="A612" s="12">
        <v>43575.183807870373</v>
      </c>
      <c r="B612" s="13" t="str">
        <f t="shared" si="26"/>
        <v>@airbnbbukken</v>
      </c>
      <c r="C612" s="14" t="s">
        <v>186</v>
      </c>
      <c r="D612" s="15" t="s">
        <v>2349</v>
      </c>
      <c r="E612" s="16" t="str">
        <f t="shared" si="27"/>
        <v>twittbot.net</v>
      </c>
      <c r="F612" s="12">
        <v>42110.127291666664</v>
      </c>
      <c r="G612" s="17" t="s">
        <v>2783</v>
      </c>
      <c r="H612" s="35" t="s">
        <v>188</v>
      </c>
      <c r="I612" s="18" t="s">
        <v>189</v>
      </c>
    </row>
    <row r="613" spans="1:9" ht="45">
      <c r="A613" s="12">
        <v>43575.100486111114</v>
      </c>
      <c r="B613" s="13" t="str">
        <f t="shared" si="26"/>
        <v>@airbnbbukken</v>
      </c>
      <c r="C613" s="14" t="s">
        <v>186</v>
      </c>
      <c r="D613" s="15" t="s">
        <v>2363</v>
      </c>
      <c r="E613" s="16" t="str">
        <f t="shared" si="27"/>
        <v>twittbot.net</v>
      </c>
      <c r="F613" s="12">
        <v>42110.127291666664</v>
      </c>
      <c r="G613" s="17" t="s">
        <v>2783</v>
      </c>
      <c r="H613" s="35" t="s">
        <v>188</v>
      </c>
      <c r="I613" s="18" t="s">
        <v>189</v>
      </c>
    </row>
    <row r="614" spans="1:9" ht="45">
      <c r="A614" s="12">
        <v>43575.017152777778</v>
      </c>
      <c r="B614" s="13" t="str">
        <f t="shared" si="26"/>
        <v>@airbnbbukken</v>
      </c>
      <c r="C614" s="14" t="s">
        <v>186</v>
      </c>
      <c r="D614" s="15" t="s">
        <v>2017</v>
      </c>
      <c r="E614" s="16" t="str">
        <f t="shared" si="27"/>
        <v>twittbot.net</v>
      </c>
      <c r="F614" s="12">
        <v>42110.127291666664</v>
      </c>
      <c r="G614" s="17" t="s">
        <v>2783</v>
      </c>
      <c r="H614" s="35" t="s">
        <v>188</v>
      </c>
      <c r="I614" s="18" t="s">
        <v>189</v>
      </c>
    </row>
    <row r="615" spans="1:9" ht="45">
      <c r="A615" s="12">
        <v>43574.850486111114</v>
      </c>
      <c r="B615" s="13" t="str">
        <f t="shared" si="26"/>
        <v>@airbnbbukken</v>
      </c>
      <c r="C615" s="14" t="s">
        <v>186</v>
      </c>
      <c r="D615" s="15" t="s">
        <v>2420</v>
      </c>
      <c r="E615" s="16" t="str">
        <f t="shared" si="27"/>
        <v>twittbot.net</v>
      </c>
      <c r="F615" s="12">
        <v>42110.127291666664</v>
      </c>
      <c r="G615" s="17" t="s">
        <v>2783</v>
      </c>
      <c r="H615" s="35" t="s">
        <v>188</v>
      </c>
      <c r="I615" s="18" t="s">
        <v>189</v>
      </c>
    </row>
    <row r="616" spans="1:9" ht="45">
      <c r="A616" s="12">
        <v>43574.183819444443</v>
      </c>
      <c r="B616" s="13" t="str">
        <f t="shared" si="26"/>
        <v>@airbnbbukken</v>
      </c>
      <c r="C616" s="14" t="s">
        <v>186</v>
      </c>
      <c r="D616" s="15" t="s">
        <v>876</v>
      </c>
      <c r="E616" s="16" t="str">
        <f t="shared" si="27"/>
        <v>twittbot.net</v>
      </c>
      <c r="F616" s="12">
        <v>42110.127291666664</v>
      </c>
      <c r="G616" s="17" t="s">
        <v>2783</v>
      </c>
      <c r="H616" s="35" t="s">
        <v>188</v>
      </c>
      <c r="I616" s="18" t="s">
        <v>189</v>
      </c>
    </row>
    <row r="617" spans="1:9" ht="45">
      <c r="A617" s="12">
        <v>43574.100474537037</v>
      </c>
      <c r="B617" s="13" t="str">
        <f t="shared" si="26"/>
        <v>@airbnbbukken</v>
      </c>
      <c r="C617" s="14" t="s">
        <v>186</v>
      </c>
      <c r="D617" s="15" t="s">
        <v>2017</v>
      </c>
      <c r="E617" s="16" t="str">
        <f t="shared" si="27"/>
        <v>twittbot.net</v>
      </c>
      <c r="F617" s="12">
        <v>42110.127291666664</v>
      </c>
      <c r="G617" s="17" t="s">
        <v>2783</v>
      </c>
      <c r="H617" s="35" t="s">
        <v>188</v>
      </c>
      <c r="I617" s="18" t="s">
        <v>189</v>
      </c>
    </row>
    <row r="618" spans="1:9" ht="45">
      <c r="A618" s="12">
        <v>43574.017141203702</v>
      </c>
      <c r="B618" s="13" t="str">
        <f t="shared" si="26"/>
        <v>@airbnbbukken</v>
      </c>
      <c r="C618" s="14" t="s">
        <v>186</v>
      </c>
      <c r="D618" s="15" t="s">
        <v>329</v>
      </c>
      <c r="E618" s="16" t="str">
        <f t="shared" si="27"/>
        <v>twittbot.net</v>
      </c>
      <c r="F618" s="12">
        <v>42110.127291666664</v>
      </c>
      <c r="G618" s="17" t="s">
        <v>2783</v>
      </c>
      <c r="H618" s="35" t="s">
        <v>188</v>
      </c>
      <c r="I618" s="18" t="s">
        <v>189</v>
      </c>
    </row>
    <row r="619" spans="1:9" ht="45">
      <c r="A619" s="12">
        <v>43573.933807870373</v>
      </c>
      <c r="B619" s="13" t="str">
        <f t="shared" si="26"/>
        <v>@airbnbbukken</v>
      </c>
      <c r="C619" s="14" t="s">
        <v>186</v>
      </c>
      <c r="D619" s="15" t="s">
        <v>1375</v>
      </c>
      <c r="E619" s="16" t="str">
        <f t="shared" si="27"/>
        <v>twittbot.net</v>
      </c>
      <c r="F619" s="12">
        <v>42110.127291666664</v>
      </c>
      <c r="G619" s="17" t="s">
        <v>2783</v>
      </c>
      <c r="H619" s="35" t="s">
        <v>188</v>
      </c>
      <c r="I619" s="18" t="s">
        <v>189</v>
      </c>
    </row>
    <row r="620" spans="1:9" ht="45">
      <c r="A620" s="12">
        <v>43573.267141203702</v>
      </c>
      <c r="B620" s="13" t="str">
        <f t="shared" si="26"/>
        <v>@airbnbbukken</v>
      </c>
      <c r="C620" s="14" t="s">
        <v>186</v>
      </c>
      <c r="D620" s="15" t="s">
        <v>2951</v>
      </c>
      <c r="E620" s="16" t="str">
        <f t="shared" si="27"/>
        <v>twittbot.net</v>
      </c>
      <c r="F620" s="12">
        <v>42110.127291666664</v>
      </c>
      <c r="G620" s="17" t="s">
        <v>2783</v>
      </c>
      <c r="H620" s="35" t="s">
        <v>188</v>
      </c>
      <c r="I620" s="18" t="s">
        <v>189</v>
      </c>
    </row>
    <row r="621" spans="1:9" ht="45">
      <c r="A621" s="12">
        <v>43573.183807870373</v>
      </c>
      <c r="B621" s="13" t="str">
        <f t="shared" si="26"/>
        <v>@airbnbbukken</v>
      </c>
      <c r="C621" s="14" t="s">
        <v>186</v>
      </c>
      <c r="D621" s="15" t="s">
        <v>1426</v>
      </c>
      <c r="E621" s="16" t="str">
        <f t="shared" si="27"/>
        <v>twittbot.net</v>
      </c>
      <c r="F621" s="12">
        <v>42110.127291666664</v>
      </c>
      <c r="G621" s="17" t="s">
        <v>2783</v>
      </c>
      <c r="H621" s="35" t="s">
        <v>188</v>
      </c>
      <c r="I621" s="18" t="s">
        <v>189</v>
      </c>
    </row>
    <row r="622" spans="1:9" ht="45">
      <c r="A622" s="12">
        <v>43572.683807870373</v>
      </c>
      <c r="B622" s="13" t="str">
        <f t="shared" si="26"/>
        <v>@airbnbbukken</v>
      </c>
      <c r="C622" s="14" t="s">
        <v>186</v>
      </c>
      <c r="D622" s="15" t="s">
        <v>3125</v>
      </c>
      <c r="E622" s="16" t="str">
        <f t="shared" si="27"/>
        <v>twittbot.net</v>
      </c>
      <c r="F622" s="12">
        <v>42110.127291666664</v>
      </c>
      <c r="G622" s="17" t="s">
        <v>2783</v>
      </c>
      <c r="H622" s="35" t="s">
        <v>188</v>
      </c>
      <c r="I622" s="18" t="s">
        <v>189</v>
      </c>
    </row>
    <row r="623" spans="1:9" ht="45">
      <c r="A623" s="12">
        <v>43572.267141203702</v>
      </c>
      <c r="B623" s="13" t="str">
        <f t="shared" si="26"/>
        <v>@airbnbbukken</v>
      </c>
      <c r="C623" s="14" t="s">
        <v>186</v>
      </c>
      <c r="D623" s="15" t="s">
        <v>964</v>
      </c>
      <c r="E623" s="16" t="str">
        <f t="shared" si="27"/>
        <v>twittbot.net</v>
      </c>
      <c r="F623" s="12">
        <v>42110.127291666664</v>
      </c>
      <c r="G623" s="17" t="s">
        <v>2783</v>
      </c>
      <c r="H623" s="35" t="s">
        <v>188</v>
      </c>
      <c r="I623" s="18" t="s">
        <v>189</v>
      </c>
    </row>
    <row r="624" spans="1:9" ht="45">
      <c r="A624" s="12">
        <v>43572.183807870373</v>
      </c>
      <c r="B624" s="13" t="str">
        <f t="shared" si="26"/>
        <v>@airbnbbukken</v>
      </c>
      <c r="C624" s="14" t="s">
        <v>186</v>
      </c>
      <c r="D624" s="15" t="s">
        <v>2107</v>
      </c>
      <c r="E624" s="16" t="str">
        <f t="shared" si="27"/>
        <v>twittbot.net</v>
      </c>
      <c r="F624" s="12">
        <v>42110.127291666664</v>
      </c>
      <c r="G624" s="17" t="s">
        <v>2783</v>
      </c>
      <c r="H624" s="35" t="s">
        <v>188</v>
      </c>
      <c r="I624" s="18" t="s">
        <v>189</v>
      </c>
    </row>
    <row r="625" spans="1:9" ht="45">
      <c r="A625" s="12">
        <v>43572.100474537037</v>
      </c>
      <c r="B625" s="13" t="str">
        <f t="shared" si="26"/>
        <v>@airbnbbukken</v>
      </c>
      <c r="C625" s="14" t="s">
        <v>186</v>
      </c>
      <c r="D625" s="15" t="s">
        <v>389</v>
      </c>
      <c r="E625" s="16" t="str">
        <f t="shared" si="27"/>
        <v>twittbot.net</v>
      </c>
      <c r="F625" s="12">
        <v>42110.127291666664</v>
      </c>
      <c r="G625" s="17" t="s">
        <v>2783</v>
      </c>
      <c r="H625" s="35" t="s">
        <v>188</v>
      </c>
      <c r="I625" s="18" t="s">
        <v>189</v>
      </c>
    </row>
    <row r="626" spans="1:9" ht="45">
      <c r="A626" s="12">
        <v>43572.017141203702</v>
      </c>
      <c r="B626" s="13" t="str">
        <f t="shared" si="26"/>
        <v>@airbnbbukken</v>
      </c>
      <c r="C626" s="14" t="s">
        <v>186</v>
      </c>
      <c r="D626" s="15" t="s">
        <v>3464</v>
      </c>
      <c r="E626" s="16" t="str">
        <f t="shared" si="27"/>
        <v>twittbot.net</v>
      </c>
      <c r="F626" s="12">
        <v>42110.127291666664</v>
      </c>
      <c r="G626" s="17" t="s">
        <v>2783</v>
      </c>
      <c r="H626" s="35" t="s">
        <v>188</v>
      </c>
      <c r="I626" s="18" t="s">
        <v>189</v>
      </c>
    </row>
    <row r="627" spans="1:9" ht="45">
      <c r="A627" s="12">
        <v>43571.850474537037</v>
      </c>
      <c r="B627" s="13" t="str">
        <f t="shared" si="26"/>
        <v>@airbnbbukken</v>
      </c>
      <c r="C627" s="14" t="s">
        <v>186</v>
      </c>
      <c r="D627" s="15" t="s">
        <v>2363</v>
      </c>
      <c r="E627" s="16" t="str">
        <f t="shared" si="27"/>
        <v>twittbot.net</v>
      </c>
      <c r="F627" s="12">
        <v>42110.127291666664</v>
      </c>
      <c r="G627" s="17" t="s">
        <v>2783</v>
      </c>
      <c r="H627" s="35" t="s">
        <v>188</v>
      </c>
      <c r="I627" s="18" t="s">
        <v>189</v>
      </c>
    </row>
    <row r="628" spans="1:9" ht="45">
      <c r="A628" s="12">
        <v>43571.767141203702</v>
      </c>
      <c r="B628" s="13" t="str">
        <f t="shared" si="26"/>
        <v>@airbnbbukken</v>
      </c>
      <c r="C628" s="14" t="s">
        <v>186</v>
      </c>
      <c r="D628" s="15" t="s">
        <v>2048</v>
      </c>
      <c r="E628" s="16" t="str">
        <f t="shared" si="27"/>
        <v>twittbot.net</v>
      </c>
      <c r="F628" s="12">
        <v>42110.127291666664</v>
      </c>
      <c r="G628" s="17" t="s">
        <v>2783</v>
      </c>
      <c r="H628" s="35" t="s">
        <v>188</v>
      </c>
      <c r="I628" s="18" t="s">
        <v>189</v>
      </c>
    </row>
    <row r="629" spans="1:9" ht="45">
      <c r="A629" s="12">
        <v>43571.683807870373</v>
      </c>
      <c r="B629" s="13" t="str">
        <f t="shared" si="26"/>
        <v>@airbnbbukken</v>
      </c>
      <c r="C629" s="14" t="s">
        <v>186</v>
      </c>
      <c r="D629" s="15" t="s">
        <v>2420</v>
      </c>
      <c r="E629" s="16" t="str">
        <f t="shared" si="27"/>
        <v>twittbot.net</v>
      </c>
      <c r="F629" s="12">
        <v>42110.127291666664</v>
      </c>
      <c r="G629" s="17" t="s">
        <v>2783</v>
      </c>
      <c r="H629" s="35" t="s">
        <v>188</v>
      </c>
      <c r="I629" s="18" t="s">
        <v>189</v>
      </c>
    </row>
    <row r="630" spans="1:9" ht="45">
      <c r="A630" s="12">
        <v>43571.183819444443</v>
      </c>
      <c r="B630" s="13" t="str">
        <f t="shared" si="26"/>
        <v>@airbnbbukken</v>
      </c>
      <c r="C630" s="14" t="s">
        <v>186</v>
      </c>
      <c r="D630" s="15" t="s">
        <v>1375</v>
      </c>
      <c r="E630" s="16" t="str">
        <f t="shared" si="27"/>
        <v>twittbot.net</v>
      </c>
      <c r="F630" s="12">
        <v>42110.127291666664</v>
      </c>
      <c r="G630" s="17" t="s">
        <v>2783</v>
      </c>
      <c r="H630" s="35" t="s">
        <v>188</v>
      </c>
      <c r="I630" s="18" t="s">
        <v>189</v>
      </c>
    </row>
    <row r="631" spans="1:9" ht="30">
      <c r="A631" s="12">
        <v>43571.100474537037</v>
      </c>
      <c r="B631" s="13" t="str">
        <f t="shared" si="26"/>
        <v>@airbnbbukken</v>
      </c>
      <c r="C631" s="14" t="s">
        <v>186</v>
      </c>
      <c r="D631" s="15" t="s">
        <v>3850</v>
      </c>
      <c r="E631" s="16" t="str">
        <f t="shared" si="27"/>
        <v>twittbot.net</v>
      </c>
      <c r="F631" s="12">
        <v>42110.127291666664</v>
      </c>
      <c r="G631" s="17" t="s">
        <v>2783</v>
      </c>
      <c r="H631" s="35" t="s">
        <v>188</v>
      </c>
      <c r="I631" s="18" t="s">
        <v>189</v>
      </c>
    </row>
    <row r="632" spans="1:9" ht="30">
      <c r="A632" s="12">
        <v>43570.850474537037</v>
      </c>
      <c r="B632" s="13" t="str">
        <f t="shared" si="26"/>
        <v>@airbnbbukken</v>
      </c>
      <c r="C632" s="14" t="s">
        <v>186</v>
      </c>
      <c r="D632" s="15" t="s">
        <v>3958</v>
      </c>
      <c r="E632" s="16" t="str">
        <f t="shared" si="27"/>
        <v>twittbot.net</v>
      </c>
      <c r="F632" s="12">
        <v>42110.127291666664</v>
      </c>
      <c r="G632" s="17" t="s">
        <v>2783</v>
      </c>
      <c r="H632" s="35" t="s">
        <v>188</v>
      </c>
      <c r="I632" s="18" t="s">
        <v>189</v>
      </c>
    </row>
    <row r="633" spans="1:9" ht="45">
      <c r="A633" s="12">
        <v>43570.767152777778</v>
      </c>
      <c r="B633" s="13" t="str">
        <f t="shared" si="26"/>
        <v>@airbnbbukken</v>
      </c>
      <c r="C633" s="14" t="s">
        <v>186</v>
      </c>
      <c r="D633" s="15" t="s">
        <v>3984</v>
      </c>
      <c r="E633" s="16" t="str">
        <f t="shared" si="27"/>
        <v>twittbot.net</v>
      </c>
      <c r="F633" s="12">
        <v>42110.127291666664</v>
      </c>
      <c r="G633" s="17" t="s">
        <v>2783</v>
      </c>
      <c r="H633" s="35" t="s">
        <v>188</v>
      </c>
      <c r="I633" s="18" t="s">
        <v>189</v>
      </c>
    </row>
    <row r="634" spans="1:9" ht="45">
      <c r="A634" s="12">
        <v>43570.267152777778</v>
      </c>
      <c r="B634" s="13" t="str">
        <f t="shared" si="26"/>
        <v>@airbnbbukken</v>
      </c>
      <c r="C634" s="14" t="s">
        <v>186</v>
      </c>
      <c r="D634" s="15" t="s">
        <v>2420</v>
      </c>
      <c r="E634" s="16" t="str">
        <f t="shared" si="27"/>
        <v>twittbot.net</v>
      </c>
      <c r="F634" s="12">
        <v>42110.127291666664</v>
      </c>
      <c r="G634" s="17" t="s">
        <v>2783</v>
      </c>
      <c r="H634" s="35" t="s">
        <v>188</v>
      </c>
      <c r="I634" s="18" t="s">
        <v>189</v>
      </c>
    </row>
    <row r="635" spans="1:9" ht="45">
      <c r="A635" s="12">
        <v>43570.100474537037</v>
      </c>
      <c r="B635" s="13" t="str">
        <f t="shared" ref="B635:B660" si="28">HYPERLINK("https://twitter.com/airbnbbukken","@airbnbbukken")</f>
        <v>@airbnbbukken</v>
      </c>
      <c r="C635" s="14" t="s">
        <v>186</v>
      </c>
      <c r="D635" s="15" t="s">
        <v>4333</v>
      </c>
      <c r="E635" s="16" t="str">
        <f t="shared" ref="E635:E660" si="29">HYPERLINK("http://twittbot.net/","twittbot.net")</f>
        <v>twittbot.net</v>
      </c>
      <c r="F635" s="12">
        <v>42110.127291666664</v>
      </c>
      <c r="G635" s="17" t="s">
        <v>2783</v>
      </c>
      <c r="H635" s="35" t="s">
        <v>188</v>
      </c>
      <c r="I635" s="18" t="s">
        <v>189</v>
      </c>
    </row>
    <row r="636" spans="1:9" ht="45">
      <c r="A636" s="12">
        <v>43570.017141203702</v>
      </c>
      <c r="B636" s="13" t="str">
        <f t="shared" si="28"/>
        <v>@airbnbbukken</v>
      </c>
      <c r="C636" s="14" t="s">
        <v>186</v>
      </c>
      <c r="D636" s="15" t="s">
        <v>1863</v>
      </c>
      <c r="E636" s="16" t="str">
        <f t="shared" si="29"/>
        <v>twittbot.net</v>
      </c>
      <c r="F636" s="12">
        <v>42110.127291666664</v>
      </c>
      <c r="G636" s="17" t="s">
        <v>2783</v>
      </c>
      <c r="H636" s="35" t="s">
        <v>188</v>
      </c>
      <c r="I636" s="18" t="s">
        <v>189</v>
      </c>
    </row>
    <row r="637" spans="1:9" ht="45">
      <c r="A637" s="12">
        <v>43569.767141203702</v>
      </c>
      <c r="B637" s="13" t="str">
        <f t="shared" si="28"/>
        <v>@airbnbbukken</v>
      </c>
      <c r="C637" s="14" t="s">
        <v>186</v>
      </c>
      <c r="D637" s="15" t="s">
        <v>1723</v>
      </c>
      <c r="E637" s="16" t="str">
        <f t="shared" si="29"/>
        <v>twittbot.net</v>
      </c>
      <c r="F637" s="12">
        <v>42110.127291666664</v>
      </c>
      <c r="G637" s="17" t="s">
        <v>2783</v>
      </c>
      <c r="H637" s="35" t="s">
        <v>188</v>
      </c>
      <c r="I637" s="18" t="s">
        <v>189</v>
      </c>
    </row>
    <row r="638" spans="1:9" ht="45">
      <c r="A638" s="12">
        <v>43569.683807870373</v>
      </c>
      <c r="B638" s="13" t="str">
        <f t="shared" si="28"/>
        <v>@airbnbbukken</v>
      </c>
      <c r="C638" s="14" t="s">
        <v>186</v>
      </c>
      <c r="D638" s="15" t="s">
        <v>4436</v>
      </c>
      <c r="E638" s="16" t="str">
        <f t="shared" si="29"/>
        <v>twittbot.net</v>
      </c>
      <c r="F638" s="12">
        <v>42110.127291666664</v>
      </c>
      <c r="G638" s="17" t="s">
        <v>2783</v>
      </c>
      <c r="H638" s="35" t="s">
        <v>188</v>
      </c>
      <c r="I638" s="18" t="s">
        <v>189</v>
      </c>
    </row>
    <row r="639" spans="1:9" ht="30">
      <c r="A639" s="12">
        <v>43569.267141203702</v>
      </c>
      <c r="B639" s="13" t="str">
        <f t="shared" si="28"/>
        <v>@airbnbbukken</v>
      </c>
      <c r="C639" s="14" t="s">
        <v>186</v>
      </c>
      <c r="D639" s="15" t="s">
        <v>4566</v>
      </c>
      <c r="E639" s="16" t="str">
        <f t="shared" si="29"/>
        <v>twittbot.net</v>
      </c>
      <c r="F639" s="12">
        <v>42110.127291666664</v>
      </c>
      <c r="G639" s="17" t="s">
        <v>2783</v>
      </c>
      <c r="H639" s="35" t="s">
        <v>188</v>
      </c>
      <c r="I639" s="18" t="s">
        <v>189</v>
      </c>
    </row>
    <row r="640" spans="1:9" ht="30">
      <c r="A640" s="12">
        <v>43569.183807870373</v>
      </c>
      <c r="B640" s="13" t="str">
        <f t="shared" si="28"/>
        <v>@airbnbbukken</v>
      </c>
      <c r="C640" s="14" t="s">
        <v>186</v>
      </c>
      <c r="D640" s="15" t="s">
        <v>4580</v>
      </c>
      <c r="E640" s="16" t="str">
        <f t="shared" si="29"/>
        <v>twittbot.net</v>
      </c>
      <c r="F640" s="12">
        <v>42110.127291666664</v>
      </c>
      <c r="G640" s="17" t="s">
        <v>2783</v>
      </c>
      <c r="H640" s="35" t="s">
        <v>188</v>
      </c>
      <c r="I640" s="18" t="s">
        <v>189</v>
      </c>
    </row>
    <row r="641" spans="1:9" ht="45">
      <c r="A641" s="12">
        <v>43569.100474537037</v>
      </c>
      <c r="B641" s="13" t="str">
        <f t="shared" si="28"/>
        <v>@airbnbbukken</v>
      </c>
      <c r="C641" s="14" t="s">
        <v>186</v>
      </c>
      <c r="D641" s="15" t="s">
        <v>1426</v>
      </c>
      <c r="E641" s="16" t="str">
        <f t="shared" si="29"/>
        <v>twittbot.net</v>
      </c>
      <c r="F641" s="12">
        <v>42110.127291666664</v>
      </c>
      <c r="G641" s="17" t="s">
        <v>2783</v>
      </c>
      <c r="H641" s="35" t="s">
        <v>188</v>
      </c>
      <c r="I641" s="18" t="s">
        <v>189</v>
      </c>
    </row>
    <row r="642" spans="1:9" ht="60">
      <c r="A642" s="12">
        <v>43568.933819444443</v>
      </c>
      <c r="B642" s="13" t="str">
        <f t="shared" si="28"/>
        <v>@airbnbbukken</v>
      </c>
      <c r="C642" s="14" t="s">
        <v>186</v>
      </c>
      <c r="D642" s="15" t="s">
        <v>187</v>
      </c>
      <c r="E642" s="16" t="str">
        <f t="shared" si="29"/>
        <v>twittbot.net</v>
      </c>
      <c r="F642" s="12">
        <v>42110.127291666664</v>
      </c>
      <c r="G642" s="17" t="s">
        <v>2783</v>
      </c>
      <c r="H642" s="35" t="s">
        <v>188</v>
      </c>
      <c r="I642" s="18" t="s">
        <v>189</v>
      </c>
    </row>
    <row r="643" spans="1:9" ht="30">
      <c r="A643" s="12">
        <v>43568.850486111114</v>
      </c>
      <c r="B643" s="13" t="str">
        <f t="shared" si="28"/>
        <v>@airbnbbukken</v>
      </c>
      <c r="C643" s="14" t="s">
        <v>186</v>
      </c>
      <c r="D643" s="15" t="s">
        <v>4566</v>
      </c>
      <c r="E643" s="16" t="str">
        <f t="shared" si="29"/>
        <v>twittbot.net</v>
      </c>
      <c r="F643" s="12">
        <v>42110.127291666664</v>
      </c>
      <c r="G643" s="17" t="s">
        <v>2783</v>
      </c>
      <c r="H643" s="35" t="s">
        <v>188</v>
      </c>
      <c r="I643" s="18" t="s">
        <v>189</v>
      </c>
    </row>
    <row r="644" spans="1:9" ht="45">
      <c r="A644" s="12">
        <v>43568.683807870373</v>
      </c>
      <c r="B644" s="13" t="str">
        <f t="shared" si="28"/>
        <v>@airbnbbukken</v>
      </c>
      <c r="C644" s="14" t="s">
        <v>186</v>
      </c>
      <c r="D644" s="15" t="s">
        <v>2017</v>
      </c>
      <c r="E644" s="16" t="str">
        <f t="shared" si="29"/>
        <v>twittbot.net</v>
      </c>
      <c r="F644" s="12">
        <v>42110.127291666664</v>
      </c>
      <c r="G644" s="17" t="s">
        <v>2783</v>
      </c>
      <c r="H644" s="35" t="s">
        <v>188</v>
      </c>
      <c r="I644" s="18" t="s">
        <v>189</v>
      </c>
    </row>
    <row r="645" spans="1:9" ht="45">
      <c r="A645" s="12">
        <v>43568.267152777778</v>
      </c>
      <c r="B645" s="13" t="str">
        <f t="shared" si="28"/>
        <v>@airbnbbukken</v>
      </c>
      <c r="C645" s="14" t="s">
        <v>186</v>
      </c>
      <c r="D645" s="15" t="s">
        <v>4824</v>
      </c>
      <c r="E645" s="16" t="str">
        <f t="shared" si="29"/>
        <v>twittbot.net</v>
      </c>
      <c r="F645" s="12">
        <v>42110.127291666664</v>
      </c>
      <c r="G645" s="17" t="s">
        <v>2783</v>
      </c>
      <c r="H645" s="35" t="s">
        <v>188</v>
      </c>
      <c r="I645" s="18" t="s">
        <v>189</v>
      </c>
    </row>
    <row r="646" spans="1:9" ht="30">
      <c r="A646" s="12">
        <v>43568.100486111114</v>
      </c>
      <c r="B646" s="13" t="str">
        <f t="shared" si="28"/>
        <v>@airbnbbukken</v>
      </c>
      <c r="C646" s="14" t="s">
        <v>186</v>
      </c>
      <c r="D646" s="15" t="s">
        <v>3850</v>
      </c>
      <c r="E646" s="16" t="str">
        <f t="shared" si="29"/>
        <v>twittbot.net</v>
      </c>
      <c r="F646" s="12">
        <v>42110.127291666664</v>
      </c>
      <c r="G646" s="17" t="s">
        <v>2783</v>
      </c>
      <c r="H646" s="35" t="s">
        <v>188</v>
      </c>
      <c r="I646" s="18" t="s">
        <v>189</v>
      </c>
    </row>
    <row r="647" spans="1:9" ht="45">
      <c r="A647" s="12">
        <v>43567.933807870373</v>
      </c>
      <c r="B647" s="13" t="str">
        <f t="shared" si="28"/>
        <v>@airbnbbukken</v>
      </c>
      <c r="C647" s="14" t="s">
        <v>186</v>
      </c>
      <c r="D647" s="15" t="s">
        <v>329</v>
      </c>
      <c r="E647" s="16" t="str">
        <f t="shared" si="29"/>
        <v>twittbot.net</v>
      </c>
      <c r="F647" s="12">
        <v>42110.127291666664</v>
      </c>
      <c r="G647" s="17" t="s">
        <v>2783</v>
      </c>
      <c r="H647" s="35" t="s">
        <v>188</v>
      </c>
      <c r="I647" s="18" t="s">
        <v>189</v>
      </c>
    </row>
    <row r="648" spans="1:9" ht="45">
      <c r="A648" s="12">
        <v>43567.850474537037</v>
      </c>
      <c r="B648" s="13" t="str">
        <f t="shared" si="28"/>
        <v>@airbnbbukken</v>
      </c>
      <c r="C648" s="14" t="s">
        <v>186</v>
      </c>
      <c r="D648" s="15" t="s">
        <v>4936</v>
      </c>
      <c r="E648" s="16" t="str">
        <f t="shared" si="29"/>
        <v>twittbot.net</v>
      </c>
      <c r="F648" s="12">
        <v>42110.127291666664</v>
      </c>
      <c r="G648" s="17" t="s">
        <v>2783</v>
      </c>
      <c r="H648" s="35" t="s">
        <v>188</v>
      </c>
      <c r="I648" s="18" t="s">
        <v>189</v>
      </c>
    </row>
    <row r="649" spans="1:9" ht="45">
      <c r="A649" s="12">
        <v>43567.767141203702</v>
      </c>
      <c r="B649" s="13" t="str">
        <f t="shared" si="28"/>
        <v>@airbnbbukken</v>
      </c>
      <c r="C649" s="14" t="s">
        <v>186</v>
      </c>
      <c r="D649" s="15" t="s">
        <v>4824</v>
      </c>
      <c r="E649" s="16" t="str">
        <f t="shared" si="29"/>
        <v>twittbot.net</v>
      </c>
      <c r="F649" s="12">
        <v>42110.127291666664</v>
      </c>
      <c r="G649" s="17" t="s">
        <v>2783</v>
      </c>
      <c r="H649" s="35" t="s">
        <v>188</v>
      </c>
      <c r="I649" s="18" t="s">
        <v>189</v>
      </c>
    </row>
    <row r="650" spans="1:9" ht="45">
      <c r="A650" s="12">
        <v>43567.683807870373</v>
      </c>
      <c r="B650" s="13" t="str">
        <f t="shared" si="28"/>
        <v>@airbnbbukken</v>
      </c>
      <c r="C650" s="14" t="s">
        <v>186</v>
      </c>
      <c r="D650" s="15" t="s">
        <v>5005</v>
      </c>
      <c r="E650" s="16" t="str">
        <f t="shared" si="29"/>
        <v>twittbot.net</v>
      </c>
      <c r="F650" s="12">
        <v>42110.127291666664</v>
      </c>
      <c r="G650" s="17" t="s">
        <v>2783</v>
      </c>
      <c r="H650" s="35" t="s">
        <v>188</v>
      </c>
      <c r="I650" s="18" t="s">
        <v>189</v>
      </c>
    </row>
    <row r="651" spans="1:9" ht="45">
      <c r="A651" s="12">
        <v>43567.267152777778</v>
      </c>
      <c r="B651" s="13" t="str">
        <f t="shared" si="28"/>
        <v>@airbnbbukken</v>
      </c>
      <c r="C651" s="14" t="s">
        <v>186</v>
      </c>
      <c r="D651" s="15" t="s">
        <v>5187</v>
      </c>
      <c r="E651" s="16" t="str">
        <f t="shared" si="29"/>
        <v>twittbot.net</v>
      </c>
      <c r="F651" s="12">
        <v>42110.127291666664</v>
      </c>
      <c r="G651" s="17" t="s">
        <v>2783</v>
      </c>
      <c r="H651" s="35" t="s">
        <v>188</v>
      </c>
      <c r="I651" s="18" t="s">
        <v>189</v>
      </c>
    </row>
    <row r="652" spans="1:9" ht="45">
      <c r="A652" s="12">
        <v>43567.017141203702</v>
      </c>
      <c r="B652" s="13" t="str">
        <f t="shared" si="28"/>
        <v>@airbnbbukken</v>
      </c>
      <c r="C652" s="14" t="s">
        <v>186</v>
      </c>
      <c r="D652" s="15" t="s">
        <v>2951</v>
      </c>
      <c r="E652" s="16" t="str">
        <f t="shared" si="29"/>
        <v>twittbot.net</v>
      </c>
      <c r="F652" s="12">
        <v>42110.127291666664</v>
      </c>
      <c r="G652" s="17" t="s">
        <v>2783</v>
      </c>
      <c r="H652" s="35" t="s">
        <v>188</v>
      </c>
      <c r="I652" s="18" t="s">
        <v>189</v>
      </c>
    </row>
    <row r="653" spans="1:9" ht="45">
      <c r="A653" s="12">
        <v>43566.933807870373</v>
      </c>
      <c r="B653" s="13" t="str">
        <f t="shared" si="28"/>
        <v>@airbnbbukken</v>
      </c>
      <c r="C653" s="14" t="s">
        <v>186</v>
      </c>
      <c r="D653" s="15" t="s">
        <v>2322</v>
      </c>
      <c r="E653" s="16" t="str">
        <f t="shared" si="29"/>
        <v>twittbot.net</v>
      </c>
      <c r="F653" s="12">
        <v>42110.127291666664</v>
      </c>
      <c r="G653" s="17" t="s">
        <v>2783</v>
      </c>
      <c r="H653" s="35" t="s">
        <v>188</v>
      </c>
      <c r="I653" s="18" t="s">
        <v>189</v>
      </c>
    </row>
    <row r="654" spans="1:9" ht="45">
      <c r="A654" s="12">
        <v>43566.850474537037</v>
      </c>
      <c r="B654" s="13" t="str">
        <f t="shared" si="28"/>
        <v>@airbnbbukken</v>
      </c>
      <c r="C654" s="14" t="s">
        <v>186</v>
      </c>
      <c r="D654" s="15" t="s">
        <v>1021</v>
      </c>
      <c r="E654" s="16" t="str">
        <f t="shared" si="29"/>
        <v>twittbot.net</v>
      </c>
      <c r="F654" s="12">
        <v>42110.127291666664</v>
      </c>
      <c r="G654" s="17" t="s">
        <v>2783</v>
      </c>
      <c r="H654" s="35" t="s">
        <v>188</v>
      </c>
      <c r="I654" s="18" t="s">
        <v>189</v>
      </c>
    </row>
    <row r="655" spans="1:9" ht="60">
      <c r="A655" s="12">
        <v>43566.767141203702</v>
      </c>
      <c r="B655" s="13" t="str">
        <f t="shared" si="28"/>
        <v>@airbnbbukken</v>
      </c>
      <c r="C655" s="14" t="s">
        <v>186</v>
      </c>
      <c r="D655" s="15" t="s">
        <v>187</v>
      </c>
      <c r="E655" s="16" t="str">
        <f t="shared" si="29"/>
        <v>twittbot.net</v>
      </c>
      <c r="F655" s="12">
        <v>42110.127291666664</v>
      </c>
      <c r="G655" s="17" t="s">
        <v>2783</v>
      </c>
      <c r="H655" s="35" t="s">
        <v>188</v>
      </c>
      <c r="I655" s="18" t="s">
        <v>189</v>
      </c>
    </row>
    <row r="656" spans="1:9" ht="45">
      <c r="A656" s="12">
        <v>43566.683807870373</v>
      </c>
      <c r="B656" s="13" t="str">
        <f t="shared" si="28"/>
        <v>@airbnbbukken</v>
      </c>
      <c r="C656" s="14" t="s">
        <v>186</v>
      </c>
      <c r="D656" s="15" t="s">
        <v>1375</v>
      </c>
      <c r="E656" s="16" t="str">
        <f t="shared" si="29"/>
        <v>twittbot.net</v>
      </c>
      <c r="F656" s="12">
        <v>42110.127291666664</v>
      </c>
      <c r="G656" s="17" t="s">
        <v>2783</v>
      </c>
      <c r="H656" s="35" t="s">
        <v>188</v>
      </c>
      <c r="I656" s="18" t="s">
        <v>189</v>
      </c>
    </row>
    <row r="657" spans="1:9" ht="45">
      <c r="A657" s="12">
        <v>43566.267141203702</v>
      </c>
      <c r="B657" s="13" t="str">
        <f t="shared" si="28"/>
        <v>@airbnbbukken</v>
      </c>
      <c r="C657" s="14" t="s">
        <v>186</v>
      </c>
      <c r="D657" s="15" t="s">
        <v>2017</v>
      </c>
      <c r="E657" s="16" t="str">
        <f t="shared" si="29"/>
        <v>twittbot.net</v>
      </c>
      <c r="F657" s="12">
        <v>42110.127291666664</v>
      </c>
      <c r="G657" s="17" t="s">
        <v>2783</v>
      </c>
      <c r="H657" s="35" t="s">
        <v>188</v>
      </c>
      <c r="I657" s="18" t="s">
        <v>189</v>
      </c>
    </row>
    <row r="658" spans="1:9" ht="45">
      <c r="A658" s="12">
        <v>43566.100474537037</v>
      </c>
      <c r="B658" s="13" t="str">
        <f t="shared" si="28"/>
        <v>@airbnbbukken</v>
      </c>
      <c r="C658" s="14" t="s">
        <v>186</v>
      </c>
      <c r="D658" s="15" t="s">
        <v>2420</v>
      </c>
      <c r="E658" s="16" t="str">
        <f t="shared" si="29"/>
        <v>twittbot.net</v>
      </c>
      <c r="F658" s="12">
        <v>42110.127291666664</v>
      </c>
      <c r="G658" s="17" t="s">
        <v>2783</v>
      </c>
      <c r="H658" s="35" t="s">
        <v>188</v>
      </c>
      <c r="I658" s="18" t="s">
        <v>189</v>
      </c>
    </row>
    <row r="659" spans="1:9" ht="45">
      <c r="A659" s="12">
        <v>43565.933819444443</v>
      </c>
      <c r="B659" s="13" t="str">
        <f t="shared" si="28"/>
        <v>@airbnbbukken</v>
      </c>
      <c r="C659" s="14" t="s">
        <v>186</v>
      </c>
      <c r="D659" s="15" t="s">
        <v>1863</v>
      </c>
      <c r="E659" s="16" t="str">
        <f t="shared" si="29"/>
        <v>twittbot.net</v>
      </c>
      <c r="F659" s="12">
        <v>42110.127291666664</v>
      </c>
      <c r="G659" s="17" t="s">
        <v>2783</v>
      </c>
      <c r="H659" s="35" t="s">
        <v>188</v>
      </c>
      <c r="I659" s="18" t="s">
        <v>189</v>
      </c>
    </row>
    <row r="660" spans="1:9" ht="45">
      <c r="A660" s="12">
        <v>43565.850486111114</v>
      </c>
      <c r="B660" s="13" t="str">
        <f t="shared" si="28"/>
        <v>@airbnbbukken</v>
      </c>
      <c r="C660" s="14" t="s">
        <v>186</v>
      </c>
      <c r="D660" s="15" t="s">
        <v>5877</v>
      </c>
      <c r="E660" s="16" t="str">
        <f t="shared" si="29"/>
        <v>twittbot.net</v>
      </c>
      <c r="F660" s="12">
        <v>42110.127291666664</v>
      </c>
      <c r="G660" s="17" t="s">
        <v>2783</v>
      </c>
      <c r="H660" s="35" t="s">
        <v>188</v>
      </c>
      <c r="I660" s="18" t="s">
        <v>189</v>
      </c>
    </row>
    <row r="661" spans="1:9" ht="75">
      <c r="A661" s="4">
        <v>43565.208414351851</v>
      </c>
      <c r="B661" s="5" t="str">
        <f>HYPERLINK("https://twitter.com/LollllllaJR","@LollllllaJR")</f>
        <v>@LollllllaJR</v>
      </c>
      <c r="C661" s="6" t="s">
        <v>6232</v>
      </c>
      <c r="D661" s="7" t="s">
        <v>6233</v>
      </c>
      <c r="E661" s="8" t="str">
        <f>HYPERLINK("http://twitter.com","Twitter Web Client")</f>
        <v>Twitter Web Client</v>
      </c>
      <c r="F661" s="4">
        <v>42662.405810185184</v>
      </c>
      <c r="G661" s="17" t="s">
        <v>2783</v>
      </c>
      <c r="H661" s="35" t="s">
        <v>6234</v>
      </c>
      <c r="I661" s="10" t="s">
        <v>6235</v>
      </c>
    </row>
    <row r="662" spans="1:9" ht="105">
      <c r="A662" s="4">
        <v>43564.73841435185</v>
      </c>
      <c r="B662" s="5" t="str">
        <f>HYPERLINK("https://twitter.com/GOPIsrael","@GOPIsrael")</f>
        <v>@GOPIsrael</v>
      </c>
      <c r="C662" s="6" t="s">
        <v>6437</v>
      </c>
      <c r="D662" s="7" t="s">
        <v>6438</v>
      </c>
      <c r="E662" s="8" t="str">
        <f>HYPERLINK("http://twitter.com/download/android","Twitter for Android")</f>
        <v>Twitter for Android</v>
      </c>
      <c r="F662" s="4">
        <v>41154.937604166669</v>
      </c>
      <c r="G662" s="17" t="s">
        <v>2783</v>
      </c>
      <c r="H662" s="35" t="s">
        <v>6234</v>
      </c>
      <c r="I662" s="10" t="s">
        <v>6439</v>
      </c>
    </row>
    <row r="663" spans="1:9" ht="45">
      <c r="A663" s="4">
        <v>43564.620937500003</v>
      </c>
      <c r="B663" s="5" t="str">
        <f>HYPERLINK("https://twitter.com/JIJ_Israel","@JIJ_Israel")</f>
        <v>@JIJ_Israel</v>
      </c>
      <c r="C663" s="6" t="s">
        <v>6496</v>
      </c>
      <c r="D663" s="7" t="s">
        <v>6497</v>
      </c>
      <c r="E663" s="8" t="str">
        <f>HYPERLINK("http://twitter.com/download/iphone","Twitter for iPhone")</f>
        <v>Twitter for iPhone</v>
      </c>
      <c r="F663" s="4">
        <v>41177.486840277779</v>
      </c>
      <c r="G663" s="17" t="s">
        <v>2783</v>
      </c>
      <c r="H663" s="35" t="s">
        <v>6234</v>
      </c>
      <c r="I663" s="10" t="s">
        <v>6498</v>
      </c>
    </row>
    <row r="664" spans="1:9" ht="150">
      <c r="A664" s="4">
        <v>43565.234583333338</v>
      </c>
      <c r="B664" s="5" t="str">
        <f>HYPERLINK("https://twitter.com/ItisMoody","@ItisMoody")</f>
        <v>@ItisMoody</v>
      </c>
      <c r="C664" s="6" t="s">
        <v>6216</v>
      </c>
      <c r="D664" s="7" t="s">
        <v>6217</v>
      </c>
      <c r="E664" s="8" t="str">
        <f>HYPERLINK("http://twitter.com","Twitter Web Client")</f>
        <v>Twitter Web Client</v>
      </c>
      <c r="F664" s="4">
        <v>40240.25105324074</v>
      </c>
      <c r="G664" s="17" t="s">
        <v>2783</v>
      </c>
      <c r="H664" s="35" t="s">
        <v>6218</v>
      </c>
      <c r="I664" s="10" t="s">
        <v>6219</v>
      </c>
    </row>
    <row r="665" spans="1:9" ht="90">
      <c r="A665" s="4">
        <v>43564.818518518514</v>
      </c>
      <c r="B665" s="5" t="str">
        <f>HYPERLINK("https://twitter.com/RandaHabib","@RandaHabib")</f>
        <v>@RandaHabib</v>
      </c>
      <c r="C665" s="6" t="s">
        <v>6402</v>
      </c>
      <c r="D665" s="7" t="s">
        <v>6403</v>
      </c>
      <c r="E665" s="8" t="str">
        <f>HYPERLINK("http://twitter.com/download/iphone","Twitter for iPhone")</f>
        <v>Twitter for iPhone</v>
      </c>
      <c r="F665" s="4">
        <v>39937.108564814815</v>
      </c>
      <c r="G665" s="17" t="s">
        <v>2783</v>
      </c>
      <c r="H665" s="35" t="s">
        <v>6218</v>
      </c>
      <c r="I665" s="10" t="s">
        <v>6404</v>
      </c>
    </row>
    <row r="666" spans="1:9" ht="120">
      <c r="A666" s="4">
        <v>43564.612326388888</v>
      </c>
      <c r="B666" s="5" t="str">
        <f>HYPERLINK("https://twitter.com/ItisMoody","@ItisMoody")</f>
        <v>@ItisMoody</v>
      </c>
      <c r="C666" s="6" t="s">
        <v>6216</v>
      </c>
      <c r="D666" s="7" t="s">
        <v>6508</v>
      </c>
      <c r="E666" s="8" t="str">
        <f>HYPERLINK("http://twitter.com/download/android","Twitter for Android")</f>
        <v>Twitter for Android</v>
      </c>
      <c r="F666" s="4">
        <v>40240.25105324074</v>
      </c>
      <c r="G666" s="17" t="s">
        <v>2783</v>
      </c>
      <c r="H666" s="35" t="s">
        <v>6218</v>
      </c>
      <c r="I666" s="10" t="s">
        <v>6219</v>
      </c>
    </row>
    <row r="667" spans="1:9" ht="30">
      <c r="A667" s="19">
        <v>43545.215486111112</v>
      </c>
      <c r="B667" s="20" t="str">
        <f>HYPERLINK("https://twitter.com/Chriscle_26","@Chriscle_26")</f>
        <v>@Chriscle_26</v>
      </c>
      <c r="C667" s="21" t="s">
        <v>9244</v>
      </c>
      <c r="D667" s="22" t="s">
        <v>9245</v>
      </c>
      <c r="E667" s="23" t="str">
        <f>HYPERLINK("http://www.echofon.com/","Echofon")</f>
        <v>Echofon</v>
      </c>
      <c r="F667" s="19">
        <v>40663.815370370372</v>
      </c>
      <c r="G667" s="24" t="s">
        <v>2783</v>
      </c>
      <c r="H667" s="35" t="s">
        <v>9246</v>
      </c>
      <c r="I667" s="25" t="s">
        <v>9247</v>
      </c>
    </row>
    <row r="668" spans="1:9" ht="90">
      <c r="A668" s="12">
        <v>43566.151354166665</v>
      </c>
      <c r="B668" s="13" t="str">
        <f>HYPERLINK("https://twitter.com/HITinPk","@HITinPk")</f>
        <v>@HITinPk</v>
      </c>
      <c r="C668" s="14" t="s">
        <v>5759</v>
      </c>
      <c r="D668" s="15" t="s">
        <v>5760</v>
      </c>
      <c r="E668" s="16" t="str">
        <f>HYPERLINK("https://www.blog2social.com","Blog2Social APP")</f>
        <v>Blog2Social APP</v>
      </c>
      <c r="F668" s="12">
        <v>43459.984699074077</v>
      </c>
      <c r="G668" s="24" t="s">
        <v>2783</v>
      </c>
      <c r="H668" s="35" t="s">
        <v>5761</v>
      </c>
      <c r="I668" s="18" t="s">
        <v>5762</v>
      </c>
    </row>
    <row r="669" spans="1:9" ht="75">
      <c r="A669" s="19">
        <v>43545.525474537033</v>
      </c>
      <c r="B669" s="20" t="str">
        <f>HYPERLINK("https://twitter.com/ARYNEWSOFFICIAL","@ARYNEWSOFFICIAL")</f>
        <v>@ARYNEWSOFFICIAL</v>
      </c>
      <c r="C669" s="21" t="s">
        <v>9107</v>
      </c>
      <c r="D669" s="22" t="s">
        <v>9108</v>
      </c>
      <c r="E669" s="23" t="str">
        <f>HYPERLINK("http://twitter.com","Twitter Web Client")</f>
        <v>Twitter Web Client</v>
      </c>
      <c r="F669" s="19">
        <v>41409.358148148152</v>
      </c>
      <c r="G669" s="24" t="s">
        <v>2783</v>
      </c>
      <c r="H669" s="35" t="s">
        <v>9109</v>
      </c>
      <c r="I669" s="25" t="s">
        <v>9110</v>
      </c>
    </row>
    <row r="670" spans="1:9" ht="75">
      <c r="A670" s="4">
        <v>43565.192835648151</v>
      </c>
      <c r="B670" s="5" t="str">
        <f>HYPERLINK("https://twitter.com/soadig","@soadig")</f>
        <v>@soadig</v>
      </c>
      <c r="C670" s="6" t="s">
        <v>6240</v>
      </c>
      <c r="D670" s="7" t="s">
        <v>6241</v>
      </c>
      <c r="E670" s="8" t="str">
        <f>HYPERLINK("https://mobile.twitter.com","Twitter Web App")</f>
        <v>Twitter Web App</v>
      </c>
      <c r="F670" s="4">
        <v>40512.861990740741</v>
      </c>
      <c r="G670" s="17" t="s">
        <v>2783</v>
      </c>
      <c r="H670" s="35" t="s">
        <v>6242</v>
      </c>
      <c r="I670" s="10" t="s">
        <v>6243</v>
      </c>
    </row>
    <row r="671" spans="1:9" ht="120">
      <c r="A671" s="19">
        <v>43551.845266203702</v>
      </c>
      <c r="B671" s="20" t="str">
        <f>HYPERLINK("https://twitter.com/noikeanolife","@noikeanolife")</f>
        <v>@noikeanolife</v>
      </c>
      <c r="C671" s="21" t="s">
        <v>6980</v>
      </c>
      <c r="D671" s="22" t="s">
        <v>6981</v>
      </c>
      <c r="E671" s="23" t="str">
        <f>HYPERLINK("http://twitter.com","Twitter Web Client")</f>
        <v>Twitter Web Client</v>
      </c>
      <c r="F671" s="19">
        <v>40354.966296296298</v>
      </c>
      <c r="G671" s="24" t="s">
        <v>2783</v>
      </c>
      <c r="H671" s="35" t="s">
        <v>6982</v>
      </c>
      <c r="I671" s="25" t="s">
        <v>6983</v>
      </c>
    </row>
    <row r="672" spans="1:9" ht="30">
      <c r="A672" s="4">
        <v>43556.890879629631</v>
      </c>
      <c r="B672" s="5" t="str">
        <f>HYPERLINK("https://twitter.com/OnmanoramaLive","@OnmanoramaLive")</f>
        <v>@OnmanoramaLive</v>
      </c>
      <c r="C672" s="6" t="s">
        <v>12709</v>
      </c>
      <c r="D672" s="7" t="s">
        <v>12710</v>
      </c>
      <c r="E672" s="8" t="str">
        <f>HYPERLINK("https://about.twitter.com/products/tweetdeck","TweetDeck")</f>
        <v>TweetDeck</v>
      </c>
      <c r="F672" s="4">
        <v>39878.260520833333</v>
      </c>
      <c r="G672" s="9" t="s">
        <v>2783</v>
      </c>
      <c r="H672" s="35" t="s">
        <v>12711</v>
      </c>
      <c r="I672" s="10" t="s">
        <v>12712</v>
      </c>
    </row>
    <row r="673" spans="1:9" ht="75">
      <c r="A673" s="19">
        <v>43544.404166666667</v>
      </c>
      <c r="B673" s="20" t="str">
        <f>HYPERLINK("https://twitter.com/innofied","@innofied")</f>
        <v>@innofied</v>
      </c>
      <c r="C673" s="21" t="s">
        <v>9484</v>
      </c>
      <c r="D673" s="22" t="s">
        <v>9485</v>
      </c>
      <c r="E673" s="23" t="str">
        <f>HYPERLINK("https://www.semrush.com/","SEMrush Social Media Tool")</f>
        <v>SEMrush Social Media Tool</v>
      </c>
      <c r="F673" s="19">
        <v>40919.134201388893</v>
      </c>
      <c r="G673" s="24" t="s">
        <v>2783</v>
      </c>
      <c r="H673" s="35" t="s">
        <v>9486</v>
      </c>
      <c r="I673" s="25" t="s">
        <v>9487</v>
      </c>
    </row>
    <row r="674" spans="1:9" ht="45">
      <c r="A674" s="19">
        <v>43548.932604166665</v>
      </c>
      <c r="B674" s="20" t="str">
        <f>HYPERLINK("https://twitter.com/recomn","@recomn")</f>
        <v>@recomn</v>
      </c>
      <c r="C674" s="20" t="s">
        <v>3054</v>
      </c>
      <c r="D674" s="22" t="s">
        <v>8197</v>
      </c>
      <c r="E674" s="23" t="str">
        <f>HYPERLINK("https://coschedule.com","CoSchedule")</f>
        <v>CoSchedule</v>
      </c>
      <c r="F674" s="19">
        <v>41774.048993055556</v>
      </c>
      <c r="G674" s="17" t="s">
        <v>2783</v>
      </c>
      <c r="H674" s="35" t="s">
        <v>3056</v>
      </c>
      <c r="I674" s="25" t="s">
        <v>3057</v>
      </c>
    </row>
    <row r="675" spans="1:9" ht="60">
      <c r="A675" s="19">
        <v>43548.166458333333</v>
      </c>
      <c r="B675" s="20" t="str">
        <f>HYPERLINK("https://twitter.com/recomn","@recomn")</f>
        <v>@recomn</v>
      </c>
      <c r="C675" s="20" t="s">
        <v>3054</v>
      </c>
      <c r="D675" s="22" t="s">
        <v>8392</v>
      </c>
      <c r="E675" s="23" t="str">
        <f>HYPERLINK("https://coschedule.com","CoSchedule")</f>
        <v>CoSchedule</v>
      </c>
      <c r="F675" s="19">
        <v>41774.048993055556</v>
      </c>
      <c r="G675" s="17" t="s">
        <v>2783</v>
      </c>
      <c r="H675" s="35" t="s">
        <v>3056</v>
      </c>
      <c r="I675" s="25" t="s">
        <v>3057</v>
      </c>
    </row>
    <row r="676" spans="1:9" ht="45">
      <c r="A676" s="19">
        <v>43547.908263888894</v>
      </c>
      <c r="B676" s="20" t="str">
        <f>HYPERLINK("https://twitter.com/recomn","@recomn")</f>
        <v>@recomn</v>
      </c>
      <c r="C676" s="20" t="s">
        <v>3054</v>
      </c>
      <c r="D676" s="22" t="s">
        <v>8445</v>
      </c>
      <c r="E676" s="23" t="str">
        <f>HYPERLINK("https://coschedule.com","CoSchedule")</f>
        <v>CoSchedule</v>
      </c>
      <c r="F676" s="19">
        <v>41774.048993055556</v>
      </c>
      <c r="G676" s="17" t="s">
        <v>2783</v>
      </c>
      <c r="H676" s="35" t="s">
        <v>3056</v>
      </c>
      <c r="I676" s="25" t="s">
        <v>3057</v>
      </c>
    </row>
    <row r="677" spans="1:9" ht="60">
      <c r="A677" s="12">
        <v>43572.92052083333</v>
      </c>
      <c r="B677" s="13" t="str">
        <f>HYPERLINK("https://twitter.com/recomn","@recomn")</f>
        <v>@recomn</v>
      </c>
      <c r="C677" s="13" t="s">
        <v>3054</v>
      </c>
      <c r="D677" s="15" t="s">
        <v>3055</v>
      </c>
      <c r="E677" s="16" t="str">
        <f>HYPERLINK("https://coschedule.com","CoSchedule")</f>
        <v>CoSchedule</v>
      </c>
      <c r="F677" s="12">
        <v>41774.048993055556</v>
      </c>
      <c r="G677" s="17" t="s">
        <v>2783</v>
      </c>
      <c r="H677" s="35" t="s">
        <v>3056</v>
      </c>
      <c r="I677" s="18" t="s">
        <v>3057</v>
      </c>
    </row>
    <row r="678" spans="1:9" ht="90">
      <c r="A678" s="4">
        <v>43564.884999999995</v>
      </c>
      <c r="B678" s="5" t="str">
        <f>HYPERLINK("https://twitter.com/unreservedmedia","@unreservedmedia")</f>
        <v>@unreservedmedia</v>
      </c>
      <c r="C678" s="6" t="s">
        <v>10191</v>
      </c>
      <c r="D678" s="7" t="s">
        <v>10192</v>
      </c>
      <c r="E678" s="8" t="str">
        <f>HYPERLINK("https://about.twitter.com/products/tweetdeck","TweetDeck")</f>
        <v>TweetDeck</v>
      </c>
      <c r="F678" s="4">
        <v>43142.980439814812</v>
      </c>
      <c r="G678" s="17" t="s">
        <v>2783</v>
      </c>
      <c r="H678" s="35" t="s">
        <v>10193</v>
      </c>
      <c r="I678" s="10" t="s">
        <v>10194</v>
      </c>
    </row>
    <row r="679" spans="1:9" ht="15">
      <c r="A679" s="4">
        <v>43560.293807870374</v>
      </c>
      <c r="B679" s="5" t="str">
        <f>HYPERLINK("https://twitter.com/keantee","@keantee")</f>
        <v>@keantee</v>
      </c>
      <c r="C679" s="6" t="s">
        <v>11489</v>
      </c>
      <c r="D679" s="7" t="s">
        <v>11490</v>
      </c>
      <c r="E679" s="8" t="str">
        <f>HYPERLINK("http://twitter.com/download/iphone","Twitter for iPhone")</f>
        <v>Twitter for iPhone</v>
      </c>
      <c r="F679" s="4">
        <v>40390.469594907408</v>
      </c>
      <c r="G679" s="17" t="s">
        <v>2783</v>
      </c>
      <c r="H679" s="35" t="s">
        <v>11491</v>
      </c>
      <c r="I679" s="10" t="s">
        <v>11492</v>
      </c>
    </row>
    <row r="680" spans="1:9" ht="105">
      <c r="A680" s="19">
        <v>43549.431932870371</v>
      </c>
      <c r="B680" s="20" t="str">
        <f>HYPERLINK("https://twitter.com/BacWater_Routes","@BacWater_Routes")</f>
        <v>@BacWater_Routes</v>
      </c>
      <c r="C680" s="21" t="s">
        <v>8039</v>
      </c>
      <c r="D680" s="22" t="s">
        <v>8040</v>
      </c>
      <c r="E680" s="23" t="str">
        <f>HYPERLINK("https://ifttt.com","IFTTT")</f>
        <v>IFTTT</v>
      </c>
      <c r="F680" s="19">
        <v>42661.275914351849</v>
      </c>
      <c r="G680" s="17" t="s">
        <v>2783</v>
      </c>
      <c r="H680" s="35" t="s">
        <v>8041</v>
      </c>
      <c r="I680" s="25" t="s">
        <v>8042</v>
      </c>
    </row>
    <row r="681" spans="1:9" ht="75">
      <c r="A681" s="19">
        <v>43545.202696759261</v>
      </c>
      <c r="B681" s="20" t="str">
        <f t="shared" ref="B681:B686" si="30">HYPERLINK("https://twitter.com/UP2USurfSchool","@UP2USurfSchool")</f>
        <v>@UP2USurfSchool</v>
      </c>
      <c r="C681" s="21" t="s">
        <v>3006</v>
      </c>
      <c r="D681" s="22" t="s">
        <v>9256</v>
      </c>
      <c r="E681" s="23" t="str">
        <f t="shared" ref="E681:E686" si="31">HYPERLINK("http://instagram.com","Instagram")</f>
        <v>Instagram</v>
      </c>
      <c r="F681" s="19">
        <v>40500.655127314814</v>
      </c>
      <c r="G681" s="17" t="s">
        <v>2783</v>
      </c>
      <c r="H681" s="35" t="s">
        <v>3008</v>
      </c>
      <c r="I681" s="25" t="s">
        <v>3009</v>
      </c>
    </row>
    <row r="682" spans="1:9" ht="90">
      <c r="A682" s="4">
        <v>43562.173935185187</v>
      </c>
      <c r="B682" s="5" t="str">
        <f t="shared" si="30"/>
        <v>@UP2USurfSchool</v>
      </c>
      <c r="C682" s="6" t="s">
        <v>3006</v>
      </c>
      <c r="D682" s="7" t="s">
        <v>10736</v>
      </c>
      <c r="E682" s="8" t="str">
        <f t="shared" si="31"/>
        <v>Instagram</v>
      </c>
      <c r="F682" s="4">
        <v>40500.655127314814</v>
      </c>
      <c r="G682" s="17" t="s">
        <v>2783</v>
      </c>
      <c r="H682" s="35" t="s">
        <v>3008</v>
      </c>
      <c r="I682" s="10" t="s">
        <v>3009</v>
      </c>
    </row>
    <row r="683" spans="1:9" ht="75">
      <c r="A683" s="4">
        <v>43560.133923611109</v>
      </c>
      <c r="B683" s="5" t="str">
        <f t="shared" si="30"/>
        <v>@UP2USurfSchool</v>
      </c>
      <c r="C683" s="6" t="s">
        <v>3006</v>
      </c>
      <c r="D683" s="7" t="s">
        <v>11603</v>
      </c>
      <c r="E683" s="8" t="str">
        <f t="shared" si="31"/>
        <v>Instagram</v>
      </c>
      <c r="F683" s="4">
        <v>40500.655127314814</v>
      </c>
      <c r="G683" s="17" t="s">
        <v>2783</v>
      </c>
      <c r="H683" s="35" t="s">
        <v>3008</v>
      </c>
      <c r="I683" s="10" t="s">
        <v>3009</v>
      </c>
    </row>
    <row r="684" spans="1:9" ht="75">
      <c r="A684" s="12">
        <v>43573.102893518517</v>
      </c>
      <c r="B684" s="13" t="str">
        <f t="shared" si="30"/>
        <v>@UP2USurfSchool</v>
      </c>
      <c r="C684" s="14" t="s">
        <v>3006</v>
      </c>
      <c r="D684" s="15" t="s">
        <v>3007</v>
      </c>
      <c r="E684" s="16" t="str">
        <f t="shared" si="31"/>
        <v>Instagram</v>
      </c>
      <c r="F684" s="12">
        <v>40500.655127314814</v>
      </c>
      <c r="G684" s="17" t="s">
        <v>2783</v>
      </c>
      <c r="H684" s="35" t="s">
        <v>3008</v>
      </c>
      <c r="I684" s="18" t="s">
        <v>3009</v>
      </c>
    </row>
    <row r="685" spans="1:9" ht="75">
      <c r="A685" s="12">
        <v>43573.102164351847</v>
      </c>
      <c r="B685" s="13" t="str">
        <f t="shared" si="30"/>
        <v>@UP2USurfSchool</v>
      </c>
      <c r="C685" s="14" t="s">
        <v>3006</v>
      </c>
      <c r="D685" s="15" t="s">
        <v>3007</v>
      </c>
      <c r="E685" s="16" t="str">
        <f t="shared" si="31"/>
        <v>Instagram</v>
      </c>
      <c r="F685" s="12">
        <v>40500.655127314814</v>
      </c>
      <c r="G685" s="17" t="s">
        <v>2783</v>
      </c>
      <c r="H685" s="35" t="s">
        <v>3008</v>
      </c>
      <c r="I685" s="18" t="s">
        <v>3009</v>
      </c>
    </row>
    <row r="686" spans="1:9" ht="75">
      <c r="A686" s="12">
        <v>43566.960057870368</v>
      </c>
      <c r="B686" s="13" t="str">
        <f t="shared" si="30"/>
        <v>@UP2USurfSchool</v>
      </c>
      <c r="C686" s="14" t="s">
        <v>3006</v>
      </c>
      <c r="D686" s="15" t="s">
        <v>5296</v>
      </c>
      <c r="E686" s="16" t="str">
        <f t="shared" si="31"/>
        <v>Instagram</v>
      </c>
      <c r="F686" s="12">
        <v>40500.655127314814</v>
      </c>
      <c r="G686" s="17" t="s">
        <v>2783</v>
      </c>
      <c r="H686" s="35" t="s">
        <v>3008</v>
      </c>
      <c r="I686" s="18" t="s">
        <v>3009</v>
      </c>
    </row>
    <row r="687" spans="1:9" ht="90">
      <c r="A687" s="4">
        <v>43564.965277777781</v>
      </c>
      <c r="B687" s="5" t="str">
        <f>HYPERLINK("https://twitter.com/mnaEN","@mnaEN")</f>
        <v>@mnaEN</v>
      </c>
      <c r="C687" s="6" t="s">
        <v>6363</v>
      </c>
      <c r="D687" s="7" t="s">
        <v>6364</v>
      </c>
      <c r="E687" s="8" t="str">
        <f>HYPERLINK("https://about.twitter.com/products/tweetdeck","TweetDeck")</f>
        <v>TweetDeck</v>
      </c>
      <c r="F687" s="4">
        <v>43321.276932870373</v>
      </c>
      <c r="G687" s="17" t="s">
        <v>2783</v>
      </c>
      <c r="H687" s="35" t="s">
        <v>6365</v>
      </c>
      <c r="I687" s="10" t="s">
        <v>6366</v>
      </c>
    </row>
    <row r="688" spans="1:9" ht="75">
      <c r="A688" s="12">
        <v>43578.128310185188</v>
      </c>
      <c r="B688" s="13" t="str">
        <f>HYPERLINK("https://twitter.com/ttakessy","@ttakessy")</f>
        <v>@ttakessy</v>
      </c>
      <c r="C688" s="14" t="s">
        <v>1385</v>
      </c>
      <c r="D688" s="15" t="s">
        <v>1386</v>
      </c>
      <c r="E688" s="16" t="str">
        <f>HYPERLINK("http://instagram.com","Instagram")</f>
        <v>Instagram</v>
      </c>
      <c r="F688" s="12">
        <v>40589.21366898148</v>
      </c>
      <c r="G688" s="17" t="s">
        <v>2783</v>
      </c>
      <c r="H688" s="35" t="s">
        <v>1387</v>
      </c>
      <c r="I688" s="18" t="s">
        <v>1388</v>
      </c>
    </row>
    <row r="689" spans="1:9" ht="75">
      <c r="A689" s="12">
        <v>43578.115532407406</v>
      </c>
      <c r="B689" s="13" t="str">
        <f>HYPERLINK("https://twitter.com/ttakessy","@ttakessy")</f>
        <v>@ttakessy</v>
      </c>
      <c r="C689" s="14" t="s">
        <v>1385</v>
      </c>
      <c r="D689" s="15" t="s">
        <v>1395</v>
      </c>
      <c r="E689" s="16" t="str">
        <f>HYPERLINK("http://instagram.com","Instagram")</f>
        <v>Instagram</v>
      </c>
      <c r="F689" s="12">
        <v>40589.21366898148</v>
      </c>
      <c r="G689" s="17" t="s">
        <v>2783</v>
      </c>
      <c r="H689" s="35" t="s">
        <v>1387</v>
      </c>
      <c r="I689" s="18" t="s">
        <v>1388</v>
      </c>
    </row>
    <row r="690" spans="1:9" ht="90">
      <c r="A690" s="19">
        <v>43547.009571759263</v>
      </c>
      <c r="B690" s="20" t="str">
        <f>HYPERLINK("https://twitter.com/giliasahan","@giliasahan")</f>
        <v>@giliasahan</v>
      </c>
      <c r="C690" s="21" t="s">
        <v>8680</v>
      </c>
      <c r="D690" s="28" t="s">
        <v>8681</v>
      </c>
      <c r="E690" s="23" t="str">
        <f>HYPERLINK("https://www.later.com","LaterMedia")</f>
        <v>LaterMedia</v>
      </c>
      <c r="F690" s="19">
        <v>42565.758854166663</v>
      </c>
      <c r="G690" s="24" t="s">
        <v>2783</v>
      </c>
      <c r="H690" s="35" t="s">
        <v>8682</v>
      </c>
      <c r="I690" s="25" t="s">
        <v>8683</v>
      </c>
    </row>
    <row r="691" spans="1:9" ht="90">
      <c r="A691" s="12">
        <v>43574.854305555556</v>
      </c>
      <c r="B691" s="13" t="str">
        <f>HYPERLINK("https://twitter.com/wbcomdesigns","@wbcomdesigns")</f>
        <v>@wbcomdesigns</v>
      </c>
      <c r="C691" s="14" t="s">
        <v>2413</v>
      </c>
      <c r="D691" s="15" t="s">
        <v>2414</v>
      </c>
      <c r="E691" s="16" t="str">
        <f>HYPERLINK("https://www.hootsuite.com","Hootsuite Inc.")</f>
        <v>Hootsuite Inc.</v>
      </c>
      <c r="F691" s="12">
        <v>40644.862638888888</v>
      </c>
      <c r="G691" s="17" t="s">
        <v>2783</v>
      </c>
      <c r="H691" s="35" t="s">
        <v>2415</v>
      </c>
      <c r="I691" s="18" t="s">
        <v>2416</v>
      </c>
    </row>
    <row r="692" spans="1:9" ht="90">
      <c r="A692" s="12">
        <v>43574.854270833333</v>
      </c>
      <c r="B692" s="13" t="str">
        <f>HYPERLINK("https://twitter.com/vapvarun","@vapvarun")</f>
        <v>@vapvarun</v>
      </c>
      <c r="C692" s="14" t="s">
        <v>2417</v>
      </c>
      <c r="D692" s="15" t="s">
        <v>2414</v>
      </c>
      <c r="E692" s="16" t="str">
        <f>HYPERLINK("https://www.hootsuite.com","Hootsuite Inc.")</f>
        <v>Hootsuite Inc.</v>
      </c>
      <c r="F692" s="12">
        <v>39918.999803240738</v>
      </c>
      <c r="G692" s="17" t="s">
        <v>2783</v>
      </c>
      <c r="H692" s="35" t="s">
        <v>2418</v>
      </c>
      <c r="I692" s="18" t="s">
        <v>2419</v>
      </c>
    </row>
    <row r="693" spans="1:9" ht="75">
      <c r="A693" s="19">
        <v>43550.163576388892</v>
      </c>
      <c r="B693" s="20" t="str">
        <f>HYPERLINK("https://twitter.com/CalistaLeahLiew","@CalistaLeahLiew")</f>
        <v>@CalistaLeahLiew</v>
      </c>
      <c r="C693" s="21" t="s">
        <v>7803</v>
      </c>
      <c r="D693" s="22" t="s">
        <v>7804</v>
      </c>
      <c r="E693" s="23" t="str">
        <f>HYPERLINK("http://instagram.com","Instagram")</f>
        <v>Instagram</v>
      </c>
      <c r="F693" s="19">
        <v>39870.07980324074</v>
      </c>
      <c r="G693" s="17" t="s">
        <v>2783</v>
      </c>
      <c r="H693" s="35" t="s">
        <v>233</v>
      </c>
      <c r="I693" s="25" t="s">
        <v>7805</v>
      </c>
    </row>
    <row r="694" spans="1:9" ht="60">
      <c r="A694" s="19">
        <v>43542.929594907408</v>
      </c>
      <c r="B694" s="20" t="str">
        <f>HYPERLINK("https://twitter.com/NST_Online","@NST_Online")</f>
        <v>@NST_Online</v>
      </c>
      <c r="C694" s="21" t="s">
        <v>9990</v>
      </c>
      <c r="D694" s="22" t="s">
        <v>9991</v>
      </c>
      <c r="E694" s="23" t="str">
        <f>HYPERLINK("https://about.twitter.com/products/tweetdeck","TweetDeck")</f>
        <v>TweetDeck</v>
      </c>
      <c r="F694" s="19">
        <v>40003.086122685185</v>
      </c>
      <c r="G694" s="17" t="s">
        <v>2783</v>
      </c>
      <c r="H694" s="35" t="s">
        <v>233</v>
      </c>
      <c r="I694" s="25" t="s">
        <v>9992</v>
      </c>
    </row>
    <row r="695" spans="1:9" ht="45">
      <c r="A695" s="19">
        <v>43542.756944444445</v>
      </c>
      <c r="B695" s="20" t="str">
        <f>HYPERLINK("https://twitter.com/NST_Online","@NST_Online")</f>
        <v>@NST_Online</v>
      </c>
      <c r="C695" s="21" t="s">
        <v>9990</v>
      </c>
      <c r="D695" s="22" t="s">
        <v>10024</v>
      </c>
      <c r="E695" s="23" t="str">
        <f>HYPERLINK("https://about.twitter.com/products/tweetdeck","TweetDeck")</f>
        <v>TweetDeck</v>
      </c>
      <c r="F695" s="19">
        <v>40003.086122685185</v>
      </c>
      <c r="G695" s="17" t="s">
        <v>2783</v>
      </c>
      <c r="H695" s="35" t="s">
        <v>233</v>
      </c>
      <c r="I695" s="25" t="s">
        <v>9992</v>
      </c>
    </row>
    <row r="696" spans="1:9" ht="60">
      <c r="A696" s="4">
        <v>43556.8125</v>
      </c>
      <c r="B696" s="5" t="str">
        <f>HYPERLINK("https://twitter.com/NST_Online","@NST_Online")</f>
        <v>@NST_Online</v>
      </c>
      <c r="C696" s="6" t="s">
        <v>9990</v>
      </c>
      <c r="D696" s="7" t="s">
        <v>12735</v>
      </c>
      <c r="E696" s="8" t="str">
        <f>HYPERLINK("https://about.twitter.com/products/tweetdeck","TweetDeck")</f>
        <v>TweetDeck</v>
      </c>
      <c r="F696" s="4">
        <v>40003.086122685185</v>
      </c>
      <c r="G696" s="17" t="s">
        <v>2783</v>
      </c>
      <c r="H696" s="35" t="s">
        <v>233</v>
      </c>
      <c r="I696" s="10" t="s">
        <v>9992</v>
      </c>
    </row>
    <row r="697" spans="1:9" ht="30">
      <c r="A697" s="12">
        <v>43580.143854166672</v>
      </c>
      <c r="B697" s="13" t="str">
        <f>HYPERLINK("https://twitter.com/MashableSEA","@MashableSEA")</f>
        <v>@MashableSEA</v>
      </c>
      <c r="C697" s="14" t="s">
        <v>231</v>
      </c>
      <c r="D697" s="15" t="s">
        <v>232</v>
      </c>
      <c r="E697" s="16" t="str">
        <f>HYPERLINK("http://twitter.com","Twitter Web Client")</f>
        <v>Twitter Web Client</v>
      </c>
      <c r="F697" s="12">
        <v>42117.278379629628</v>
      </c>
      <c r="G697" s="17" t="s">
        <v>2783</v>
      </c>
      <c r="H697" s="35" t="s">
        <v>233</v>
      </c>
      <c r="I697" s="18" t="s">
        <v>234</v>
      </c>
    </row>
    <row r="698" spans="1:9" ht="30">
      <c r="A698" s="19">
        <v>43551.295648148152</v>
      </c>
      <c r="B698" s="20" t="str">
        <f>HYPERLINK("https://twitter.com/chestweets","@chestweets")</f>
        <v>@chestweets</v>
      </c>
      <c r="C698" s="21" t="s">
        <v>7338</v>
      </c>
      <c r="D698" s="22" t="s">
        <v>7339</v>
      </c>
      <c r="E698" s="23" t="str">
        <f>HYPERLINK("http://instagram.com","Instagram")</f>
        <v>Instagram</v>
      </c>
      <c r="F698" s="19">
        <v>39984.320925925924</v>
      </c>
      <c r="G698" s="24" t="s">
        <v>2783</v>
      </c>
      <c r="H698" s="35" t="s">
        <v>7340</v>
      </c>
      <c r="I698" s="25" t="s">
        <v>7341</v>
      </c>
    </row>
    <row r="699" spans="1:9" ht="30">
      <c r="A699" s="4">
        <v>43558.844409722224</v>
      </c>
      <c r="B699" s="5" t="str">
        <f>HYPERLINK("https://twitter.com/milesaudrey","@milesaudrey")</f>
        <v>@milesaudrey</v>
      </c>
      <c r="C699" s="6" t="s">
        <v>12019</v>
      </c>
      <c r="D699" s="7" t="s">
        <v>12020</v>
      </c>
      <c r="E699" s="8" t="str">
        <f>HYPERLINK("http://twitter.com/download/android","Twitter for Android")</f>
        <v>Twitter for Android</v>
      </c>
      <c r="F699" s="4">
        <v>39402.962962962964</v>
      </c>
      <c r="G699" s="9" t="s">
        <v>2783</v>
      </c>
      <c r="H699" s="35" t="s">
        <v>12021</v>
      </c>
      <c r="I699" s="10" t="s">
        <v>12022</v>
      </c>
    </row>
    <row r="700" spans="1:9" ht="105">
      <c r="A700" s="4">
        <v>43560.414398148147</v>
      </c>
      <c r="B700" s="5" t="str">
        <f>HYPERLINK("https://twitter.com/newgreenpark","@newgreenpark")</f>
        <v>@newgreenpark</v>
      </c>
      <c r="C700" s="6" t="s">
        <v>11397</v>
      </c>
      <c r="D700" s="7" t="s">
        <v>11398</v>
      </c>
      <c r="E700" s="8" t="str">
        <f>HYPERLINK("http://twitter.com/download/android","Twitter for Android")</f>
        <v>Twitter for Android</v>
      </c>
      <c r="F700" s="4">
        <v>43522.168842592597</v>
      </c>
      <c r="G700" s="9" t="s">
        <v>2783</v>
      </c>
      <c r="H700" s="35" t="s">
        <v>11399</v>
      </c>
      <c r="I700" s="10" t="s">
        <v>11400</v>
      </c>
    </row>
    <row r="701" spans="1:9" ht="60">
      <c r="A701" s="19">
        <v>43543.366018518514</v>
      </c>
      <c r="B701" s="20" t="str">
        <f>HYPERLINK("https://twitter.com/MorjimSunset","@MorjimSunset")</f>
        <v>@MorjimSunset</v>
      </c>
      <c r="C701" s="21" t="s">
        <v>9844</v>
      </c>
      <c r="D701" s="22" t="s">
        <v>9845</v>
      </c>
      <c r="E701" s="23" t="str">
        <f>HYPERLINK("http://twitter.com/download/android","Twitter for Android")</f>
        <v>Twitter for Android</v>
      </c>
      <c r="F701" s="19">
        <v>42242.446597222224</v>
      </c>
      <c r="G701" s="9" t="s">
        <v>2783</v>
      </c>
      <c r="H701" s="35" t="s">
        <v>9846</v>
      </c>
      <c r="I701" s="25" t="s">
        <v>9847</v>
      </c>
    </row>
    <row r="702" spans="1:9" ht="60">
      <c r="A702" s="4">
        <v>43560.430173611108</v>
      </c>
      <c r="B702" s="5" t="str">
        <f>HYPERLINK("https://twitter.com/MorjimSunset","@MorjimSunset")</f>
        <v>@MorjimSunset</v>
      </c>
      <c r="C702" s="6" t="s">
        <v>9844</v>
      </c>
      <c r="D702" s="7" t="s">
        <v>11380</v>
      </c>
      <c r="E702" s="8" t="str">
        <f>HYPERLINK("http://twitter.com/download/android","Twitter for Android")</f>
        <v>Twitter for Android</v>
      </c>
      <c r="F702" s="4">
        <v>42242.446597222224</v>
      </c>
      <c r="G702" s="9" t="s">
        <v>2783</v>
      </c>
      <c r="H702" s="35" t="s">
        <v>9846</v>
      </c>
      <c r="I702" s="10" t="s">
        <v>9847</v>
      </c>
    </row>
    <row r="703" spans="1:9" ht="60">
      <c r="A703" s="4">
        <v>43565.433275462958</v>
      </c>
      <c r="B703" s="5" t="str">
        <f>HYPERLINK("https://twitter.com/BeOpsguy","@BeOpsguy")</f>
        <v>@BeOpsguy</v>
      </c>
      <c r="C703" s="6" t="s">
        <v>510</v>
      </c>
      <c r="D703" s="7" t="s">
        <v>6095</v>
      </c>
      <c r="E703" s="8" t="str">
        <f t="shared" ref="E703:E709" si="32">HYPERLINK("http://twitter.com","Twitter Web Client")</f>
        <v>Twitter Web Client</v>
      </c>
      <c r="F703" s="4">
        <v>40115.224664351852</v>
      </c>
      <c r="G703" s="24" t="s">
        <v>2783</v>
      </c>
      <c r="H703" s="35" t="s">
        <v>512</v>
      </c>
      <c r="I703" s="10" t="s">
        <v>513</v>
      </c>
    </row>
    <row r="704" spans="1:9" ht="75">
      <c r="A704" s="4">
        <v>43565.007476851853</v>
      </c>
      <c r="B704" s="5" t="str">
        <f>HYPERLINK("https://twitter.com/_sukhiaatma","@_sukhiaatma")</f>
        <v>@_sukhiaatma</v>
      </c>
      <c r="C704" s="6" t="s">
        <v>6342</v>
      </c>
      <c r="D704" s="7" t="s">
        <v>6343</v>
      </c>
      <c r="E704" s="8" t="str">
        <f t="shared" si="32"/>
        <v>Twitter Web Client</v>
      </c>
      <c r="F704" s="4">
        <v>41269.91684027778</v>
      </c>
      <c r="G704" s="24" t="s">
        <v>2783</v>
      </c>
      <c r="H704" s="35" t="s">
        <v>512</v>
      </c>
      <c r="I704" s="10" t="s">
        <v>6344</v>
      </c>
    </row>
    <row r="705" spans="1:9" ht="30">
      <c r="A705" s="4">
        <v>43562.290462962963</v>
      </c>
      <c r="B705" s="5" t="str">
        <f>HYPERLINK("https://twitter.com/BeOpsguy","@BeOpsguy")</f>
        <v>@BeOpsguy</v>
      </c>
      <c r="C705" s="6" t="s">
        <v>510</v>
      </c>
      <c r="D705" s="7" t="s">
        <v>10711</v>
      </c>
      <c r="E705" s="8" t="str">
        <f t="shared" si="32"/>
        <v>Twitter Web Client</v>
      </c>
      <c r="F705" s="4">
        <v>40115.224664351852</v>
      </c>
      <c r="G705" s="24" t="s">
        <v>2783</v>
      </c>
      <c r="H705" s="35" t="s">
        <v>512</v>
      </c>
      <c r="I705" s="10" t="s">
        <v>513</v>
      </c>
    </row>
    <row r="706" spans="1:9" ht="60">
      <c r="A706" s="4">
        <v>43561.604409722218</v>
      </c>
      <c r="B706" s="5" t="str">
        <f>HYPERLINK("https://twitter.com/BeOpsguy","@BeOpsguy")</f>
        <v>@BeOpsguy</v>
      </c>
      <c r="C706" s="6" t="s">
        <v>510</v>
      </c>
      <c r="D706" s="7" t="s">
        <v>10908</v>
      </c>
      <c r="E706" s="8" t="str">
        <f t="shared" si="32"/>
        <v>Twitter Web Client</v>
      </c>
      <c r="F706" s="4">
        <v>40115.224664351852</v>
      </c>
      <c r="G706" s="24" t="s">
        <v>2783</v>
      </c>
      <c r="H706" s="35" t="s">
        <v>512</v>
      </c>
      <c r="I706" s="10" t="s">
        <v>513</v>
      </c>
    </row>
    <row r="707" spans="1:9" ht="45">
      <c r="A707" s="4">
        <v>43557.359201388885</v>
      </c>
      <c r="B707" s="5" t="str">
        <f>HYPERLINK("https://twitter.com/freakynit","@freakynit")</f>
        <v>@freakynit</v>
      </c>
      <c r="C707" s="6" t="s">
        <v>12542</v>
      </c>
      <c r="D707" s="7" t="s">
        <v>12543</v>
      </c>
      <c r="E707" s="8" t="str">
        <f t="shared" si="32"/>
        <v>Twitter Web Client</v>
      </c>
      <c r="F707" s="4">
        <v>40080.484571759262</v>
      </c>
      <c r="G707" s="24" t="s">
        <v>2783</v>
      </c>
      <c r="H707" s="35" t="s">
        <v>512</v>
      </c>
      <c r="I707" s="10" t="s">
        <v>12544</v>
      </c>
    </row>
    <row r="708" spans="1:9" ht="120">
      <c r="A708" s="12">
        <v>43579.686712962968</v>
      </c>
      <c r="B708" s="13" t="str">
        <f>HYPERLINK("https://twitter.com/BeOpsguy","@BeOpsguy")</f>
        <v>@BeOpsguy</v>
      </c>
      <c r="C708" s="14" t="s">
        <v>510</v>
      </c>
      <c r="D708" s="15" t="s">
        <v>511</v>
      </c>
      <c r="E708" s="16" t="str">
        <f t="shared" si="32"/>
        <v>Twitter Web Client</v>
      </c>
      <c r="F708" s="12">
        <v>40115.224664351852</v>
      </c>
      <c r="G708" s="24" t="s">
        <v>2783</v>
      </c>
      <c r="H708" s="35" t="s">
        <v>512</v>
      </c>
      <c r="I708" s="18" t="s">
        <v>513</v>
      </c>
    </row>
    <row r="709" spans="1:9" ht="60">
      <c r="A709" s="12">
        <v>43579.660081018519</v>
      </c>
      <c r="B709" s="13" t="str">
        <f>HYPERLINK("https://twitter.com/BeOpsguy","@BeOpsguy")</f>
        <v>@BeOpsguy</v>
      </c>
      <c r="C709" s="14" t="s">
        <v>510</v>
      </c>
      <c r="D709" s="15" t="s">
        <v>525</v>
      </c>
      <c r="E709" s="16" t="str">
        <f t="shared" si="32"/>
        <v>Twitter Web Client</v>
      </c>
      <c r="F709" s="12">
        <v>40115.224664351852</v>
      </c>
      <c r="G709" s="24" t="s">
        <v>2783</v>
      </c>
      <c r="H709" s="35" t="s">
        <v>512</v>
      </c>
      <c r="I709" s="18" t="s">
        <v>513</v>
      </c>
    </row>
    <row r="710" spans="1:9" ht="105">
      <c r="A710" s="12">
        <v>43578.037974537037</v>
      </c>
      <c r="B710" s="13" t="str">
        <f>HYPERLINK("https://twitter.com/DeepakRKhemani","@DeepakRKhemani")</f>
        <v>@DeepakRKhemani</v>
      </c>
      <c r="C710" s="14" t="s">
        <v>1414</v>
      </c>
      <c r="D710" s="15" t="s">
        <v>1415</v>
      </c>
      <c r="E710" s="16" t="str">
        <f>HYPERLINK("http://twitter.com/download/android","Twitter for Android")</f>
        <v>Twitter for Android</v>
      </c>
      <c r="F710" s="12">
        <v>41710.311400462961</v>
      </c>
      <c r="G710" s="24" t="s">
        <v>2783</v>
      </c>
      <c r="H710" s="35" t="s">
        <v>512</v>
      </c>
      <c r="I710" s="18" t="s">
        <v>1416</v>
      </c>
    </row>
    <row r="711" spans="1:9" ht="45">
      <c r="A711" s="12">
        <v>43575.512673611112</v>
      </c>
      <c r="B711" s="13" t="str">
        <f>HYPERLINK("https://twitter.com/BeOpsguy","@BeOpsguy")</f>
        <v>@BeOpsguy</v>
      </c>
      <c r="C711" s="14" t="s">
        <v>510</v>
      </c>
      <c r="D711" s="15" t="s">
        <v>2182</v>
      </c>
      <c r="E711" s="16" t="str">
        <f>HYPERLINK("http://twitter.com","Twitter Web Client")</f>
        <v>Twitter Web Client</v>
      </c>
      <c r="F711" s="12">
        <v>40115.224664351852</v>
      </c>
      <c r="G711" s="24" t="s">
        <v>2783</v>
      </c>
      <c r="H711" s="35" t="s">
        <v>512</v>
      </c>
      <c r="I711" s="18" t="s">
        <v>513</v>
      </c>
    </row>
    <row r="712" spans="1:9" ht="45">
      <c r="A712" s="19">
        <v>43550.877662037034</v>
      </c>
      <c r="B712" s="20" t="str">
        <f>HYPERLINK("https://twitter.com/VirenRM","@VirenRM")</f>
        <v>@VirenRM</v>
      </c>
      <c r="C712" s="21" t="s">
        <v>7478</v>
      </c>
      <c r="D712" s="22" t="s">
        <v>7479</v>
      </c>
      <c r="E712" s="23" t="str">
        <f>HYPERLINK("http://twitter.com/download/iphone","Twitter for iPhone")</f>
        <v>Twitter for iPhone</v>
      </c>
      <c r="F712" s="19">
        <v>40067.071956018517</v>
      </c>
      <c r="G712" s="24" t="s">
        <v>2783</v>
      </c>
      <c r="H712" s="35" t="s">
        <v>7480</v>
      </c>
      <c r="I712" s="25" t="s">
        <v>7481</v>
      </c>
    </row>
    <row r="713" spans="1:9" ht="45">
      <c r="A713" s="19">
        <v>43549.238333333335</v>
      </c>
      <c r="B713" s="20" t="str">
        <f>HYPERLINK("https://twitter.com/DealBankAsia","@DealBankAsia")</f>
        <v>@DealBankAsia</v>
      </c>
      <c r="C713" s="21" t="s">
        <v>8120</v>
      </c>
      <c r="D713" s="22" t="s">
        <v>8121</v>
      </c>
      <c r="E713" s="23" t="str">
        <f>HYPERLINK("http://twitter.com","Twitter Web Client")</f>
        <v>Twitter Web Client</v>
      </c>
      <c r="F713" s="19">
        <v>42373.080601851849</v>
      </c>
      <c r="G713" s="24" t="s">
        <v>2783</v>
      </c>
      <c r="H713" s="35" t="s">
        <v>7480</v>
      </c>
      <c r="I713" s="25" t="s">
        <v>8122</v>
      </c>
    </row>
    <row r="714" spans="1:9" ht="45">
      <c r="A714" s="19">
        <v>43543.708483796298</v>
      </c>
      <c r="B714" s="20" t="str">
        <f>HYPERLINK("https://twitter.com/myedgeprop","@myedgeprop")</f>
        <v>@myedgeprop</v>
      </c>
      <c r="C714" s="21" t="s">
        <v>850</v>
      </c>
      <c r="D714" s="22" t="s">
        <v>9694</v>
      </c>
      <c r="E714" s="23" t="str">
        <f>HYPERLINK("https://buffer.com","Buffer")</f>
        <v>Buffer</v>
      </c>
      <c r="F714" s="19">
        <v>40546.12300925926</v>
      </c>
      <c r="G714" s="17" t="s">
        <v>2783</v>
      </c>
      <c r="H714" s="35" t="s">
        <v>852</v>
      </c>
      <c r="I714" s="25" t="s">
        <v>853</v>
      </c>
    </row>
    <row r="715" spans="1:9" ht="45">
      <c r="A715" s="19">
        <v>43542.967175925922</v>
      </c>
      <c r="B715" s="20" t="str">
        <f>HYPERLINK("https://twitter.com/myedgeprop","@myedgeprop")</f>
        <v>@myedgeprop</v>
      </c>
      <c r="C715" s="21" t="s">
        <v>850</v>
      </c>
      <c r="D715" s="22" t="s">
        <v>9694</v>
      </c>
      <c r="E715" s="23" t="str">
        <f>HYPERLINK("https://buffer.com","Buffer")</f>
        <v>Buffer</v>
      </c>
      <c r="F715" s="19">
        <v>40546.12300925926</v>
      </c>
      <c r="G715" s="17" t="s">
        <v>2783</v>
      </c>
      <c r="H715" s="35" t="s">
        <v>852</v>
      </c>
      <c r="I715" s="25" t="s">
        <v>853</v>
      </c>
    </row>
    <row r="716" spans="1:9" ht="45">
      <c r="A716" s="4">
        <v>43556.894652777773</v>
      </c>
      <c r="B716" s="5" t="str">
        <f>HYPERLINK("https://twitter.com/myedgeprop","@myedgeprop")</f>
        <v>@myedgeprop</v>
      </c>
      <c r="C716" s="6" t="s">
        <v>850</v>
      </c>
      <c r="D716" s="7" t="s">
        <v>12708</v>
      </c>
      <c r="E716" s="8" t="str">
        <f>HYPERLINK("https://buffer.com","Buffer")</f>
        <v>Buffer</v>
      </c>
      <c r="F716" s="4">
        <v>40546.12300925926</v>
      </c>
      <c r="G716" s="17" t="s">
        <v>2783</v>
      </c>
      <c r="H716" s="35" t="s">
        <v>852</v>
      </c>
      <c r="I716" s="10" t="s">
        <v>853</v>
      </c>
    </row>
    <row r="717" spans="1:9" ht="45">
      <c r="A717" s="12">
        <v>43579.208518518513</v>
      </c>
      <c r="B717" s="13" t="str">
        <f>HYPERLINK("https://twitter.com/myedgeprop","@myedgeprop")</f>
        <v>@myedgeprop</v>
      </c>
      <c r="C717" s="14" t="s">
        <v>850</v>
      </c>
      <c r="D717" s="15" t="s">
        <v>851</v>
      </c>
      <c r="E717" s="16" t="str">
        <f>HYPERLINK("https://buffer.com","Buffer")</f>
        <v>Buffer</v>
      </c>
      <c r="F717" s="12">
        <v>40546.12300925926</v>
      </c>
      <c r="G717" s="17" t="s">
        <v>2783</v>
      </c>
      <c r="H717" s="35" t="s">
        <v>852</v>
      </c>
      <c r="I717" s="18" t="s">
        <v>853</v>
      </c>
    </row>
    <row r="718" spans="1:9" ht="45">
      <c r="A718" s="12">
        <v>43572.019386574073</v>
      </c>
      <c r="B718" s="13" t="str">
        <f>HYPERLINK("https://twitter.com/myedgeprop","@myedgeprop")</f>
        <v>@myedgeprop</v>
      </c>
      <c r="C718" s="14" t="s">
        <v>850</v>
      </c>
      <c r="D718" s="15" t="s">
        <v>3463</v>
      </c>
      <c r="E718" s="16" t="str">
        <f>HYPERLINK("https://buffer.com","Buffer")</f>
        <v>Buffer</v>
      </c>
      <c r="F718" s="12">
        <v>40546.12300925926</v>
      </c>
      <c r="G718" s="17" t="s">
        <v>2783</v>
      </c>
      <c r="H718" s="35" t="s">
        <v>852</v>
      </c>
      <c r="I718" s="18" t="s">
        <v>853</v>
      </c>
    </row>
    <row r="719" spans="1:9" ht="90">
      <c r="A719" s="19">
        <v>43542.811909722222</v>
      </c>
      <c r="B719" s="20" t="str">
        <f>HYPERLINK("https://twitter.com/businessfuels","@businessfuels")</f>
        <v>@businessfuels</v>
      </c>
      <c r="C719" s="21" t="s">
        <v>10011</v>
      </c>
      <c r="D719" s="22" t="s">
        <v>10012</v>
      </c>
      <c r="E719" s="23" t="str">
        <f>HYPERLINK("http://twitter.com","Twitter Web Client")</f>
        <v>Twitter Web Client</v>
      </c>
      <c r="F719" s="19">
        <v>43510.981458333335</v>
      </c>
      <c r="G719" s="24" t="s">
        <v>2783</v>
      </c>
      <c r="H719" s="35" t="s">
        <v>10013</v>
      </c>
      <c r="I719" s="25" t="s">
        <v>10014</v>
      </c>
    </row>
    <row r="720" spans="1:9" ht="75">
      <c r="A720" s="19">
        <v>43544.229421296295</v>
      </c>
      <c r="B720" s="20" t="str">
        <f>HYPERLINK("https://twitter.com/NairVentures","@NairVentures")</f>
        <v>@NairVentures</v>
      </c>
      <c r="C720" s="21" t="s">
        <v>9569</v>
      </c>
      <c r="D720" s="22" t="s">
        <v>9570</v>
      </c>
      <c r="E720" s="23" t="str">
        <f>HYPERLINK("https://buffer.com","Buffer")</f>
        <v>Buffer</v>
      </c>
      <c r="F720" s="19">
        <v>42611.473969907413</v>
      </c>
      <c r="G720" s="24" t="s">
        <v>2783</v>
      </c>
      <c r="H720" s="35" t="s">
        <v>9571</v>
      </c>
      <c r="I720" s="25" t="s">
        <v>9572</v>
      </c>
    </row>
    <row r="721" spans="1:9" ht="60">
      <c r="A721" s="19">
        <v>43542.96466435185</v>
      </c>
      <c r="B721" s="20" t="str">
        <f>HYPERLINK("https://twitter.com/ians_india","@ians_india")</f>
        <v>@ians_india</v>
      </c>
      <c r="C721" s="21" t="s">
        <v>2365</v>
      </c>
      <c r="D721" s="22" t="s">
        <v>9980</v>
      </c>
      <c r="E721" s="23" t="str">
        <f>HYPERLINK("http://twitter.com","Twitter Web Client")</f>
        <v>Twitter Web Client</v>
      </c>
      <c r="F721" s="19">
        <v>40306.265104166669</v>
      </c>
      <c r="G721" s="17" t="s">
        <v>2783</v>
      </c>
      <c r="H721" s="35" t="s">
        <v>2099</v>
      </c>
      <c r="I721" s="25" t="s">
        <v>2367</v>
      </c>
    </row>
    <row r="722" spans="1:9" ht="120">
      <c r="A722" s="4">
        <v>43561.925578703704</v>
      </c>
      <c r="B722" s="5" t="str">
        <f>HYPERLINK("https://twitter.com/shakhersaini","@shakhersaini")</f>
        <v>@shakhersaini</v>
      </c>
      <c r="C722" s="6" t="s">
        <v>10794</v>
      </c>
      <c r="D722" s="7" t="s">
        <v>10795</v>
      </c>
      <c r="E722" s="8" t="str">
        <f>HYPERLINK("http://twitter.com/download/android","Twitter for Android")</f>
        <v>Twitter for Android</v>
      </c>
      <c r="F722" s="4">
        <v>41877.17496527778</v>
      </c>
      <c r="G722" s="17" t="s">
        <v>2783</v>
      </c>
      <c r="H722" s="35" t="s">
        <v>2099</v>
      </c>
      <c r="I722" s="10" t="s">
        <v>10796</v>
      </c>
    </row>
    <row r="723" spans="1:9" ht="90">
      <c r="A723" s="12">
        <v>43575.932858796295</v>
      </c>
      <c r="B723" s="13" t="str">
        <f>HYPERLINK("https://twitter.com/saurabhparmar","@saurabhparmar")</f>
        <v>@saurabhparmar</v>
      </c>
      <c r="C723" s="14" t="s">
        <v>2097</v>
      </c>
      <c r="D723" s="15" t="s">
        <v>2098</v>
      </c>
      <c r="E723" s="16" t="str">
        <f>HYPERLINK("http://twitter.com","Twitter Web Client")</f>
        <v>Twitter Web Client</v>
      </c>
      <c r="F723" s="12">
        <v>39747.152337962965</v>
      </c>
      <c r="G723" s="17" t="s">
        <v>2783</v>
      </c>
      <c r="H723" s="35" t="s">
        <v>2099</v>
      </c>
      <c r="I723" s="18" t="s">
        <v>2100</v>
      </c>
    </row>
    <row r="724" spans="1:9" ht="60">
      <c r="A724" s="12">
        <v>43575.092141203699</v>
      </c>
      <c r="B724" s="13" t="str">
        <f>HYPERLINK("https://twitter.com/ians_india","@ians_india")</f>
        <v>@ians_india</v>
      </c>
      <c r="C724" s="14" t="s">
        <v>2365</v>
      </c>
      <c r="D724" s="15" t="s">
        <v>2366</v>
      </c>
      <c r="E724" s="16" t="str">
        <f>HYPERLINK("http://twitter.com","Twitter Web Client")</f>
        <v>Twitter Web Client</v>
      </c>
      <c r="F724" s="12">
        <v>40306.265104166669</v>
      </c>
      <c r="G724" s="17" t="s">
        <v>2783</v>
      </c>
      <c r="H724" s="35" t="s">
        <v>2099</v>
      </c>
      <c r="I724" s="18" t="s">
        <v>2367</v>
      </c>
    </row>
    <row r="725" spans="1:9" ht="30">
      <c r="A725" s="12">
        <v>43567.838703703703</v>
      </c>
      <c r="B725" s="13" t="str">
        <f>HYPERLINK("https://twitter.com/kishiarora","@kishiarora")</f>
        <v>@kishiarora</v>
      </c>
      <c r="C725" s="14" t="s">
        <v>4940</v>
      </c>
      <c r="D725" s="15" t="s">
        <v>4941</v>
      </c>
      <c r="E725" s="16" t="str">
        <f>HYPERLINK("http://twitter.com/download/iphone","Twitter for iPhone")</f>
        <v>Twitter for iPhone</v>
      </c>
      <c r="F725" s="12">
        <v>39711.096689814818</v>
      </c>
      <c r="G725" s="17" t="s">
        <v>2783</v>
      </c>
      <c r="H725" s="35" t="s">
        <v>2099</v>
      </c>
      <c r="I725" s="18" t="s">
        <v>4942</v>
      </c>
    </row>
    <row r="726" spans="1:9" ht="30">
      <c r="A726" s="12">
        <v>43567.370405092588</v>
      </c>
      <c r="B726" s="13" t="str">
        <f>HYPERLINK("https://twitter.com/saurabhparmar","@saurabhparmar")</f>
        <v>@saurabhparmar</v>
      </c>
      <c r="C726" s="14" t="s">
        <v>2097</v>
      </c>
      <c r="D726" s="15" t="s">
        <v>5135</v>
      </c>
      <c r="E726" s="16" t="str">
        <f>HYPERLINK("http://twitter.com","Twitter Web Client")</f>
        <v>Twitter Web Client</v>
      </c>
      <c r="F726" s="12">
        <v>39747.152337962965</v>
      </c>
      <c r="G726" s="17" t="s">
        <v>2783</v>
      </c>
      <c r="H726" s="35" t="s">
        <v>2099</v>
      </c>
      <c r="I726" s="18" t="s">
        <v>2100</v>
      </c>
    </row>
    <row r="727" spans="1:9" ht="60">
      <c r="A727" s="19">
        <v>43547.708090277782</v>
      </c>
      <c r="B727" s="20" t="str">
        <f t="shared" ref="B727:B732" si="33">HYPERLINK("https://twitter.com/isrgrajan","@isrgrajan")</f>
        <v>@isrgrajan</v>
      </c>
      <c r="C727" s="21" t="s">
        <v>653</v>
      </c>
      <c r="D727" s="22" t="s">
        <v>8481</v>
      </c>
      <c r="E727" s="23" t="str">
        <f t="shared" ref="E727:E732" si="34">HYPERLINK("http://www.isrg.in/","Isrg")</f>
        <v>Isrg</v>
      </c>
      <c r="F727" s="19">
        <v>40108.288819444446</v>
      </c>
      <c r="G727" s="17" t="s">
        <v>2783</v>
      </c>
      <c r="H727" s="35" t="s">
        <v>655</v>
      </c>
      <c r="I727" s="25" t="s">
        <v>656</v>
      </c>
    </row>
    <row r="728" spans="1:9" ht="60">
      <c r="A728" s="19">
        <v>43546.374791666662</v>
      </c>
      <c r="B728" s="20" t="str">
        <f t="shared" si="33"/>
        <v>@isrgrajan</v>
      </c>
      <c r="C728" s="21" t="s">
        <v>653</v>
      </c>
      <c r="D728" s="22" t="s">
        <v>8882</v>
      </c>
      <c r="E728" s="23" t="str">
        <f t="shared" si="34"/>
        <v>Isrg</v>
      </c>
      <c r="F728" s="19">
        <v>40108.288819444446</v>
      </c>
      <c r="G728" s="17" t="s">
        <v>2783</v>
      </c>
      <c r="H728" s="35" t="s">
        <v>655</v>
      </c>
      <c r="I728" s="25" t="s">
        <v>656</v>
      </c>
    </row>
    <row r="729" spans="1:9" ht="60">
      <c r="A729" s="19">
        <v>43545.166469907403</v>
      </c>
      <c r="B729" s="20" t="str">
        <f t="shared" si="33"/>
        <v>@isrgrajan</v>
      </c>
      <c r="C729" s="21" t="s">
        <v>653</v>
      </c>
      <c r="D729" s="22" t="s">
        <v>9271</v>
      </c>
      <c r="E729" s="23" t="str">
        <f t="shared" si="34"/>
        <v>Isrg</v>
      </c>
      <c r="F729" s="19">
        <v>40108.288819444446</v>
      </c>
      <c r="G729" s="17" t="s">
        <v>2783</v>
      </c>
      <c r="H729" s="35" t="s">
        <v>655</v>
      </c>
      <c r="I729" s="25" t="s">
        <v>656</v>
      </c>
    </row>
    <row r="730" spans="1:9" ht="60">
      <c r="A730" s="4">
        <v>43561.353912037041</v>
      </c>
      <c r="B730" s="5" t="str">
        <f t="shared" si="33"/>
        <v>@isrgrajan</v>
      </c>
      <c r="C730" s="6" t="s">
        <v>653</v>
      </c>
      <c r="D730" s="7" t="s">
        <v>4810</v>
      </c>
      <c r="E730" s="8" t="str">
        <f t="shared" si="34"/>
        <v>Isrg</v>
      </c>
      <c r="F730" s="4">
        <v>40108.288819444446</v>
      </c>
      <c r="G730" s="17" t="s">
        <v>2783</v>
      </c>
      <c r="H730" s="35" t="s">
        <v>655</v>
      </c>
      <c r="I730" s="10" t="s">
        <v>656</v>
      </c>
    </row>
    <row r="731" spans="1:9" ht="75">
      <c r="A731" s="12">
        <v>43579.458032407405</v>
      </c>
      <c r="B731" s="13" t="str">
        <f t="shared" si="33"/>
        <v>@isrgrajan</v>
      </c>
      <c r="C731" s="14" t="s">
        <v>653</v>
      </c>
      <c r="D731" s="15" t="s">
        <v>654</v>
      </c>
      <c r="E731" s="16" t="str">
        <f t="shared" si="34"/>
        <v>Isrg</v>
      </c>
      <c r="F731" s="12">
        <v>40108.288819444446</v>
      </c>
      <c r="G731" s="17" t="s">
        <v>2783</v>
      </c>
      <c r="H731" s="35" t="s">
        <v>655</v>
      </c>
      <c r="I731" s="18" t="s">
        <v>656</v>
      </c>
    </row>
    <row r="732" spans="1:9" ht="60">
      <c r="A732" s="12">
        <v>43568.333032407405</v>
      </c>
      <c r="B732" s="13" t="str">
        <f t="shared" si="33"/>
        <v>@isrgrajan</v>
      </c>
      <c r="C732" s="14" t="s">
        <v>653</v>
      </c>
      <c r="D732" s="15" t="s">
        <v>4810</v>
      </c>
      <c r="E732" s="16" t="str">
        <f t="shared" si="34"/>
        <v>Isrg</v>
      </c>
      <c r="F732" s="12">
        <v>40108.288819444446</v>
      </c>
      <c r="G732" s="17" t="s">
        <v>2783</v>
      </c>
      <c r="H732" s="35" t="s">
        <v>655</v>
      </c>
      <c r="I732" s="18" t="s">
        <v>656</v>
      </c>
    </row>
    <row r="733" spans="1:9" ht="105">
      <c r="A733" s="19">
        <v>43543.492384259254</v>
      </c>
      <c r="B733" s="20" t="str">
        <f>HYPERLINK("https://twitter.com/joinkunal","@joinkunal")</f>
        <v>@joinkunal</v>
      </c>
      <c r="C733" s="21" t="s">
        <v>9778</v>
      </c>
      <c r="D733" s="22" t="s">
        <v>9779</v>
      </c>
      <c r="E733" s="23" t="str">
        <f>HYPERLINK("http://twitter.com/download/android","Twitter for Android")</f>
        <v>Twitter for Android</v>
      </c>
      <c r="F733" s="19">
        <v>41695.425358796296</v>
      </c>
      <c r="G733" s="17" t="s">
        <v>2783</v>
      </c>
      <c r="H733" s="35" t="s">
        <v>2978</v>
      </c>
      <c r="I733" s="25" t="s">
        <v>9780</v>
      </c>
    </row>
    <row r="734" spans="1:9" ht="90">
      <c r="A734" s="19">
        <v>43543.044907407406</v>
      </c>
      <c r="B734" s="20" t="str">
        <f>HYPERLINK("https://twitter.com/wordant","@wordant")</f>
        <v>@wordant</v>
      </c>
      <c r="C734" s="21" t="s">
        <v>9955</v>
      </c>
      <c r="D734" s="22" t="s">
        <v>9956</v>
      </c>
      <c r="E734" s="23" t="str">
        <f>HYPERLINK("http://twitter.com/download/android","Twitter for Android")</f>
        <v>Twitter for Android</v>
      </c>
      <c r="F734" s="19">
        <v>39960.981956018521</v>
      </c>
      <c r="G734" s="17" t="s">
        <v>2783</v>
      </c>
      <c r="H734" s="35" t="s">
        <v>2978</v>
      </c>
      <c r="I734" s="25" t="s">
        <v>9957</v>
      </c>
    </row>
    <row r="735" spans="1:9" ht="30">
      <c r="A735" s="4">
        <v>43556.966249999998</v>
      </c>
      <c r="B735" s="5" t="str">
        <f>HYPERLINK("https://twitter.com/wextcommunity","@wextcommunity")</f>
        <v>@wextcommunity</v>
      </c>
      <c r="C735" s="6" t="s">
        <v>3825</v>
      </c>
      <c r="D735" s="7" t="s">
        <v>12694</v>
      </c>
      <c r="E735" s="8" t="str">
        <f>HYPERLINK("https://mobile.twitter.com","Twitter Web App")</f>
        <v>Twitter Web App</v>
      </c>
      <c r="F735" s="4">
        <v>42735.085856481484</v>
      </c>
      <c r="G735" s="17" t="s">
        <v>2783</v>
      </c>
      <c r="H735" s="35" t="s">
        <v>2978</v>
      </c>
      <c r="I735" s="10" t="s">
        <v>3827</v>
      </c>
    </row>
    <row r="736" spans="1:9" ht="105">
      <c r="A736" s="4">
        <v>43556.843136574069</v>
      </c>
      <c r="B736" s="5" t="str">
        <f>HYPERLINK("https://twitter.com/connectgurmeet","@connectgurmeet")</f>
        <v>@connectgurmeet</v>
      </c>
      <c r="C736" s="6" t="s">
        <v>12723</v>
      </c>
      <c r="D736" s="7" t="s">
        <v>12724</v>
      </c>
      <c r="E736" s="8" t="str">
        <f>HYPERLINK("http://twitter.com/download/iphone","Twitter for iPhone")</f>
        <v>Twitter for iPhone</v>
      </c>
      <c r="F736" s="4">
        <v>42387.352708333332</v>
      </c>
      <c r="G736" s="17" t="s">
        <v>2783</v>
      </c>
      <c r="H736" s="35" t="s">
        <v>2978</v>
      </c>
      <c r="I736" s="10" t="s">
        <v>12725</v>
      </c>
    </row>
    <row r="737" spans="1:9" ht="45">
      <c r="A737" s="12">
        <v>43573.209131944444</v>
      </c>
      <c r="B737" s="13" t="str">
        <f>HYPERLINK("https://twitter.com/BDEisenstein","@BDEisenstein")</f>
        <v>@BDEisenstein</v>
      </c>
      <c r="C737" s="14" t="s">
        <v>2976</v>
      </c>
      <c r="D737" s="15" t="s">
        <v>2977</v>
      </c>
      <c r="E737" s="16" t="str">
        <f>HYPERLINK("http://twitter.com/download/iphone","Twitter for iPhone")</f>
        <v>Twitter for iPhone</v>
      </c>
      <c r="F737" s="12">
        <v>41440.749305555553</v>
      </c>
      <c r="G737" s="17" t="s">
        <v>2783</v>
      </c>
      <c r="H737" s="35" t="s">
        <v>2978</v>
      </c>
      <c r="I737" s="18" t="s">
        <v>2979</v>
      </c>
    </row>
    <row r="738" spans="1:9" ht="45">
      <c r="A738" s="12">
        <v>43571.166412037041</v>
      </c>
      <c r="B738" s="13" t="str">
        <f>HYPERLINK("https://twitter.com/wextcommunity","@wextcommunity")</f>
        <v>@wextcommunity</v>
      </c>
      <c r="C738" s="14" t="s">
        <v>3825</v>
      </c>
      <c r="D738" s="15" t="s">
        <v>3826</v>
      </c>
      <c r="E738" s="16" t="str">
        <f>HYPERLINK("https://mobile.twitter.com","Twitter Web App")</f>
        <v>Twitter Web App</v>
      </c>
      <c r="F738" s="12">
        <v>42735.085856481484</v>
      </c>
      <c r="G738" s="17" t="s">
        <v>2783</v>
      </c>
      <c r="H738" s="35" t="s">
        <v>2978</v>
      </c>
      <c r="I738" s="18" t="s">
        <v>3827</v>
      </c>
    </row>
    <row r="739" spans="1:9" ht="15">
      <c r="A739" s="19">
        <v>43551.569131944445</v>
      </c>
      <c r="B739" s="20" t="str">
        <f>HYPERLINK("https://twitter.com/craveyourave","@craveyourave")</f>
        <v>@craveyourave</v>
      </c>
      <c r="C739" s="21" t="s">
        <v>7118</v>
      </c>
      <c r="D739" s="22" t="s">
        <v>7119</v>
      </c>
      <c r="E739" s="23" t="str">
        <f>HYPERLINK("http://twitter.com/download/android","Twitter for Android")</f>
        <v>Twitter for Android</v>
      </c>
      <c r="F739" s="19">
        <v>41057.141504629632</v>
      </c>
      <c r="G739" s="24" t="s">
        <v>2783</v>
      </c>
      <c r="H739" s="35" t="s">
        <v>7120</v>
      </c>
      <c r="I739" s="25"/>
    </row>
    <row r="740" spans="1:9" ht="45">
      <c r="A740" s="19">
        <v>43547.277858796297</v>
      </c>
      <c r="B740" s="20" t="str">
        <f>HYPERLINK("https://twitter.com/toeliner_1","@toeliner_1")</f>
        <v>@toeliner_1</v>
      </c>
      <c r="C740" s="21" t="s">
        <v>8599</v>
      </c>
      <c r="D740" s="22" t="s">
        <v>8600</v>
      </c>
      <c r="E740" s="23" t="str">
        <f>HYPERLINK("http://twitter.com","Twitter Web Client")</f>
        <v>Twitter Web Client</v>
      </c>
      <c r="F740" s="19">
        <v>42792.545324074075</v>
      </c>
      <c r="G740" s="24" t="s">
        <v>2783</v>
      </c>
      <c r="H740" s="35" t="s">
        <v>7120</v>
      </c>
      <c r="I740" s="25" t="s">
        <v>8601</v>
      </c>
    </row>
    <row r="741" spans="1:9" ht="75">
      <c r="A741" s="19">
        <v>43545.937627314815</v>
      </c>
      <c r="B741" s="20" t="str">
        <f>HYPERLINK("https://twitter.com/toeliner_1","@toeliner_1")</f>
        <v>@toeliner_1</v>
      </c>
      <c r="C741" s="21" t="s">
        <v>8599</v>
      </c>
      <c r="D741" s="22" t="s">
        <v>8995</v>
      </c>
      <c r="E741" s="23" t="str">
        <f>HYPERLINK("https://buffer.com","Buffer")</f>
        <v>Buffer</v>
      </c>
      <c r="F741" s="19">
        <v>42792.545324074075</v>
      </c>
      <c r="G741" s="24" t="s">
        <v>2783</v>
      </c>
      <c r="H741" s="35" t="s">
        <v>7120</v>
      </c>
      <c r="I741" s="25" t="s">
        <v>8601</v>
      </c>
    </row>
    <row r="742" spans="1:9" ht="45">
      <c r="A742" s="12">
        <v>43576.125138888892</v>
      </c>
      <c r="B742" s="13" t="str">
        <f>HYPERLINK("https://twitter.com/ForbesME","@ForbesME")</f>
        <v>@ForbesME</v>
      </c>
      <c r="C742" s="14" t="s">
        <v>2044</v>
      </c>
      <c r="D742" s="15" t="s">
        <v>2045</v>
      </c>
      <c r="E742" s="16" t="str">
        <f>HYPERLINK("https://www.hootsuite.com","Hootsuite Inc.")</f>
        <v>Hootsuite Inc.</v>
      </c>
      <c r="F742" s="12">
        <v>40702.006238425922</v>
      </c>
      <c r="G742" s="17" t="s">
        <v>2783</v>
      </c>
      <c r="H742" s="35" t="s">
        <v>2046</v>
      </c>
      <c r="I742" s="18" t="s">
        <v>2047</v>
      </c>
    </row>
    <row r="743" spans="1:9" ht="90">
      <c r="A743" s="19">
        <v>43551.663344907407</v>
      </c>
      <c r="B743" s="20" t="str">
        <f t="shared" ref="B743:B778" si="35">HYPERLINK("https://twitter.com/UCHImedia","@UCHImedia")</f>
        <v>@UCHImedia</v>
      </c>
      <c r="C743" s="21" t="s">
        <v>560</v>
      </c>
      <c r="D743" s="22" t="s">
        <v>7069</v>
      </c>
      <c r="E743" s="23" t="str">
        <f t="shared" ref="E743:E781" si="36">HYPERLINK("http://twitter.com/download/iphone","Twitter for iPhone")</f>
        <v>Twitter for iPhone</v>
      </c>
      <c r="F743" s="19">
        <v>43323.071516203709</v>
      </c>
      <c r="G743" s="17" t="s">
        <v>2783</v>
      </c>
      <c r="H743" s="35" t="s">
        <v>562</v>
      </c>
      <c r="I743" s="25"/>
    </row>
    <row r="744" spans="1:9" ht="75">
      <c r="A744" s="19">
        <v>43551.662650462968</v>
      </c>
      <c r="B744" s="20" t="str">
        <f t="shared" si="35"/>
        <v>@UCHImedia</v>
      </c>
      <c r="C744" s="21" t="s">
        <v>560</v>
      </c>
      <c r="D744" s="22" t="s">
        <v>7070</v>
      </c>
      <c r="E744" s="23" t="str">
        <f t="shared" si="36"/>
        <v>Twitter for iPhone</v>
      </c>
      <c r="F744" s="19">
        <v>43323.071516203709</v>
      </c>
      <c r="G744" s="17" t="s">
        <v>2783</v>
      </c>
      <c r="H744" s="35" t="s">
        <v>562</v>
      </c>
      <c r="I744" s="25"/>
    </row>
    <row r="745" spans="1:9" ht="75">
      <c r="A745" s="19">
        <v>43551.661354166667</v>
      </c>
      <c r="B745" s="20" t="str">
        <f t="shared" si="35"/>
        <v>@UCHImedia</v>
      </c>
      <c r="C745" s="21" t="s">
        <v>560</v>
      </c>
      <c r="D745" s="22" t="s">
        <v>7071</v>
      </c>
      <c r="E745" s="23" t="str">
        <f t="shared" si="36"/>
        <v>Twitter for iPhone</v>
      </c>
      <c r="F745" s="19">
        <v>43323.071516203709</v>
      </c>
      <c r="G745" s="17" t="s">
        <v>2783</v>
      </c>
      <c r="H745" s="35" t="s">
        <v>562</v>
      </c>
      <c r="I745" s="25"/>
    </row>
    <row r="746" spans="1:9" ht="60">
      <c r="A746" s="19">
        <v>43551.659363425926</v>
      </c>
      <c r="B746" s="20" t="str">
        <f t="shared" si="35"/>
        <v>@UCHImedia</v>
      </c>
      <c r="C746" s="21" t="s">
        <v>560</v>
      </c>
      <c r="D746" s="22" t="s">
        <v>7072</v>
      </c>
      <c r="E746" s="23" t="str">
        <f t="shared" si="36"/>
        <v>Twitter for iPhone</v>
      </c>
      <c r="F746" s="19">
        <v>43323.071516203709</v>
      </c>
      <c r="G746" s="17" t="s">
        <v>2783</v>
      </c>
      <c r="H746" s="35" t="s">
        <v>562</v>
      </c>
      <c r="I746" s="25"/>
    </row>
    <row r="747" spans="1:9" ht="90">
      <c r="A747" s="19">
        <v>43551.658819444448</v>
      </c>
      <c r="B747" s="20" t="str">
        <f t="shared" si="35"/>
        <v>@UCHImedia</v>
      </c>
      <c r="C747" s="21" t="s">
        <v>560</v>
      </c>
      <c r="D747" s="22" t="s">
        <v>7073</v>
      </c>
      <c r="E747" s="23" t="str">
        <f t="shared" si="36"/>
        <v>Twitter for iPhone</v>
      </c>
      <c r="F747" s="19">
        <v>43323.071516203709</v>
      </c>
      <c r="G747" s="17" t="s">
        <v>2783</v>
      </c>
      <c r="H747" s="35" t="s">
        <v>562</v>
      </c>
      <c r="I747" s="25"/>
    </row>
    <row r="748" spans="1:9" ht="105">
      <c r="A748" s="19">
        <v>43551.658055555556</v>
      </c>
      <c r="B748" s="20" t="str">
        <f t="shared" si="35"/>
        <v>@UCHImedia</v>
      </c>
      <c r="C748" s="21" t="s">
        <v>560</v>
      </c>
      <c r="D748" s="22" t="s">
        <v>7074</v>
      </c>
      <c r="E748" s="23" t="str">
        <f t="shared" si="36"/>
        <v>Twitter for iPhone</v>
      </c>
      <c r="F748" s="19">
        <v>43323.071516203709</v>
      </c>
      <c r="G748" s="17" t="s">
        <v>2783</v>
      </c>
      <c r="H748" s="35" t="s">
        <v>562</v>
      </c>
      <c r="I748" s="25"/>
    </row>
    <row r="749" spans="1:9" ht="30">
      <c r="A749" s="19">
        <v>43551.261655092589</v>
      </c>
      <c r="B749" s="20" t="str">
        <f t="shared" si="35"/>
        <v>@UCHImedia</v>
      </c>
      <c r="C749" s="21" t="s">
        <v>560</v>
      </c>
      <c r="D749" s="22" t="s">
        <v>7372</v>
      </c>
      <c r="E749" s="23" t="str">
        <f t="shared" si="36"/>
        <v>Twitter for iPhone</v>
      </c>
      <c r="F749" s="19">
        <v>43323.071516203709</v>
      </c>
      <c r="G749" s="17" t="s">
        <v>2783</v>
      </c>
      <c r="H749" s="35" t="s">
        <v>562</v>
      </c>
      <c r="I749" s="25"/>
    </row>
    <row r="750" spans="1:9" ht="45">
      <c r="A750" s="4">
        <v>43565.641851851848</v>
      </c>
      <c r="B750" s="5" t="str">
        <f t="shared" si="35"/>
        <v>@UCHImedia</v>
      </c>
      <c r="C750" s="6" t="s">
        <v>560</v>
      </c>
      <c r="D750" s="7" t="s">
        <v>10170</v>
      </c>
      <c r="E750" s="8" t="str">
        <f t="shared" si="36"/>
        <v>Twitter for iPhone</v>
      </c>
      <c r="F750" s="4">
        <v>43323.071516203709</v>
      </c>
      <c r="G750" s="17" t="s">
        <v>2783</v>
      </c>
      <c r="H750" s="35" t="s">
        <v>562</v>
      </c>
      <c r="I750" s="10"/>
    </row>
    <row r="751" spans="1:9" ht="90">
      <c r="A751" s="4">
        <v>43565.640023148153</v>
      </c>
      <c r="B751" s="5" t="str">
        <f t="shared" si="35"/>
        <v>@UCHImedia</v>
      </c>
      <c r="C751" s="6" t="s">
        <v>560</v>
      </c>
      <c r="D751" s="7" t="s">
        <v>10171</v>
      </c>
      <c r="E751" s="8" t="str">
        <f t="shared" si="36"/>
        <v>Twitter for iPhone</v>
      </c>
      <c r="F751" s="4">
        <v>43323.071516203709</v>
      </c>
      <c r="G751" s="17" t="s">
        <v>2783</v>
      </c>
      <c r="H751" s="35" t="s">
        <v>562</v>
      </c>
      <c r="I751" s="10"/>
    </row>
    <row r="752" spans="1:9" ht="75">
      <c r="A752" s="4">
        <v>43565.63753472222</v>
      </c>
      <c r="B752" s="5" t="str">
        <f t="shared" si="35"/>
        <v>@UCHImedia</v>
      </c>
      <c r="C752" s="6" t="s">
        <v>560</v>
      </c>
      <c r="D752" s="7" t="s">
        <v>561</v>
      </c>
      <c r="E752" s="8" t="str">
        <f t="shared" si="36"/>
        <v>Twitter for iPhone</v>
      </c>
      <c r="F752" s="4">
        <v>43323.071516203709</v>
      </c>
      <c r="G752" s="17" t="s">
        <v>2783</v>
      </c>
      <c r="H752" s="35" t="s">
        <v>562</v>
      </c>
      <c r="I752" s="10"/>
    </row>
    <row r="753" spans="1:9" ht="105">
      <c r="A753" s="4">
        <v>43565.636550925927</v>
      </c>
      <c r="B753" s="5" t="str">
        <f t="shared" si="35"/>
        <v>@UCHImedia</v>
      </c>
      <c r="C753" s="6" t="s">
        <v>560</v>
      </c>
      <c r="D753" s="7" t="s">
        <v>10172</v>
      </c>
      <c r="E753" s="8" t="str">
        <f t="shared" si="36"/>
        <v>Twitter for iPhone</v>
      </c>
      <c r="F753" s="4">
        <v>43323.071516203709</v>
      </c>
      <c r="G753" s="17" t="s">
        <v>2783</v>
      </c>
      <c r="H753" s="35" t="s">
        <v>562</v>
      </c>
      <c r="I753" s="10"/>
    </row>
    <row r="754" spans="1:9" ht="90">
      <c r="A754" s="4">
        <v>43565.235625000001</v>
      </c>
      <c r="B754" s="5" t="str">
        <f t="shared" si="35"/>
        <v>@UCHImedia</v>
      </c>
      <c r="C754" s="6" t="s">
        <v>560</v>
      </c>
      <c r="D754" s="7" t="s">
        <v>1872</v>
      </c>
      <c r="E754" s="8" t="str">
        <f t="shared" si="36"/>
        <v>Twitter for iPhone</v>
      </c>
      <c r="F754" s="4">
        <v>43323.071516203709</v>
      </c>
      <c r="G754" s="17" t="s">
        <v>2783</v>
      </c>
      <c r="H754" s="35" t="s">
        <v>562</v>
      </c>
      <c r="I754" s="10"/>
    </row>
    <row r="755" spans="1:9" ht="75">
      <c r="A755" s="12">
        <v>43579.591134259259</v>
      </c>
      <c r="B755" s="13" t="str">
        <f t="shared" si="35"/>
        <v>@UCHImedia</v>
      </c>
      <c r="C755" s="14" t="s">
        <v>560</v>
      </c>
      <c r="D755" s="15" t="s">
        <v>561</v>
      </c>
      <c r="E755" s="16" t="str">
        <f t="shared" si="36"/>
        <v>Twitter for iPhone</v>
      </c>
      <c r="F755" s="12">
        <v>43323.071516203709</v>
      </c>
      <c r="G755" s="17" t="s">
        <v>2783</v>
      </c>
      <c r="H755" s="35" t="s">
        <v>562</v>
      </c>
      <c r="I755" s="18"/>
    </row>
    <row r="756" spans="1:9" ht="105">
      <c r="A756" s="12">
        <v>43579.588240740741</v>
      </c>
      <c r="B756" s="13" t="str">
        <f t="shared" si="35"/>
        <v>@UCHImedia</v>
      </c>
      <c r="C756" s="14" t="s">
        <v>560</v>
      </c>
      <c r="D756" s="15" t="s">
        <v>563</v>
      </c>
      <c r="E756" s="16" t="str">
        <f t="shared" si="36"/>
        <v>Twitter for iPhone</v>
      </c>
      <c r="F756" s="12">
        <v>43323.071516203709</v>
      </c>
      <c r="G756" s="17" t="s">
        <v>2783</v>
      </c>
      <c r="H756" s="35" t="s">
        <v>562</v>
      </c>
      <c r="I756" s="18"/>
    </row>
    <row r="757" spans="1:9" ht="75">
      <c r="A757" s="12">
        <v>43578.66978009259</v>
      </c>
      <c r="B757" s="13" t="str">
        <f t="shared" si="35"/>
        <v>@UCHImedia</v>
      </c>
      <c r="C757" s="14" t="s">
        <v>560</v>
      </c>
      <c r="D757" s="15" t="s">
        <v>561</v>
      </c>
      <c r="E757" s="16" t="str">
        <f t="shared" si="36"/>
        <v>Twitter for iPhone</v>
      </c>
      <c r="F757" s="12">
        <v>43323.071516203709</v>
      </c>
      <c r="G757" s="17" t="s">
        <v>2783</v>
      </c>
      <c r="H757" s="35" t="s">
        <v>562</v>
      </c>
      <c r="I757" s="18"/>
    </row>
    <row r="758" spans="1:9" ht="105">
      <c r="A758" s="12">
        <v>43578.667372685188</v>
      </c>
      <c r="B758" s="13" t="str">
        <f t="shared" si="35"/>
        <v>@UCHImedia</v>
      </c>
      <c r="C758" s="14" t="s">
        <v>560</v>
      </c>
      <c r="D758" s="15" t="s">
        <v>1117</v>
      </c>
      <c r="E758" s="16" t="str">
        <f t="shared" si="36"/>
        <v>Twitter for iPhone</v>
      </c>
      <c r="F758" s="12">
        <v>43323.071516203709</v>
      </c>
      <c r="G758" s="17" t="s">
        <v>2783</v>
      </c>
      <c r="H758" s="35" t="s">
        <v>562</v>
      </c>
      <c r="I758" s="18"/>
    </row>
    <row r="759" spans="1:9" ht="75">
      <c r="A759" s="12">
        <v>43577.633263888885</v>
      </c>
      <c r="B759" s="13" t="str">
        <f t="shared" si="35"/>
        <v>@UCHImedia</v>
      </c>
      <c r="C759" s="14" t="s">
        <v>560</v>
      </c>
      <c r="D759" s="15" t="s">
        <v>561</v>
      </c>
      <c r="E759" s="16" t="str">
        <f t="shared" si="36"/>
        <v>Twitter for iPhone</v>
      </c>
      <c r="F759" s="12">
        <v>43323.071516203709</v>
      </c>
      <c r="G759" s="17" t="s">
        <v>2783</v>
      </c>
      <c r="H759" s="35" t="s">
        <v>562</v>
      </c>
      <c r="I759" s="18"/>
    </row>
    <row r="760" spans="1:9" ht="105">
      <c r="A760" s="12">
        <v>43577.630300925928</v>
      </c>
      <c r="B760" s="13" t="str">
        <f t="shared" si="35"/>
        <v>@UCHImedia</v>
      </c>
      <c r="C760" s="14" t="s">
        <v>560</v>
      </c>
      <c r="D760" s="15" t="s">
        <v>1117</v>
      </c>
      <c r="E760" s="16" t="str">
        <f t="shared" si="36"/>
        <v>Twitter for iPhone</v>
      </c>
      <c r="F760" s="12">
        <v>43323.071516203709</v>
      </c>
      <c r="G760" s="17" t="s">
        <v>2783</v>
      </c>
      <c r="H760" s="35" t="s">
        <v>562</v>
      </c>
      <c r="I760" s="18"/>
    </row>
    <row r="761" spans="1:9" ht="75">
      <c r="A761" s="12">
        <v>43576.68450231482</v>
      </c>
      <c r="B761" s="13" t="str">
        <f t="shared" si="35"/>
        <v>@UCHImedia</v>
      </c>
      <c r="C761" s="14" t="s">
        <v>560</v>
      </c>
      <c r="D761" s="15" t="s">
        <v>561</v>
      </c>
      <c r="E761" s="16" t="str">
        <f t="shared" si="36"/>
        <v>Twitter for iPhone</v>
      </c>
      <c r="F761" s="12">
        <v>43323.071516203709</v>
      </c>
      <c r="G761" s="17" t="s">
        <v>2783</v>
      </c>
      <c r="H761" s="35" t="s">
        <v>562</v>
      </c>
      <c r="I761" s="18"/>
    </row>
    <row r="762" spans="1:9" ht="105">
      <c r="A762" s="12">
        <v>43576.677407407406</v>
      </c>
      <c r="B762" s="13" t="str">
        <f t="shared" si="35"/>
        <v>@UCHImedia</v>
      </c>
      <c r="C762" s="14" t="s">
        <v>560</v>
      </c>
      <c r="D762" s="15" t="s">
        <v>1868</v>
      </c>
      <c r="E762" s="16" t="str">
        <f t="shared" si="36"/>
        <v>Twitter for iPhone</v>
      </c>
      <c r="F762" s="12">
        <v>43323.071516203709</v>
      </c>
      <c r="G762" s="17" t="s">
        <v>2783</v>
      </c>
      <c r="H762" s="35" t="s">
        <v>562</v>
      </c>
      <c r="I762" s="18"/>
    </row>
    <row r="763" spans="1:9" ht="90">
      <c r="A763" s="12">
        <v>43576.670300925922</v>
      </c>
      <c r="B763" s="13" t="str">
        <f t="shared" si="35"/>
        <v>@UCHImedia</v>
      </c>
      <c r="C763" s="14" t="s">
        <v>560</v>
      </c>
      <c r="D763" s="15" t="s">
        <v>1872</v>
      </c>
      <c r="E763" s="16" t="str">
        <f t="shared" si="36"/>
        <v>Twitter for iPhone</v>
      </c>
      <c r="F763" s="12">
        <v>43323.071516203709</v>
      </c>
      <c r="G763" s="17" t="s">
        <v>2783</v>
      </c>
      <c r="H763" s="35" t="s">
        <v>562</v>
      </c>
      <c r="I763" s="18"/>
    </row>
    <row r="764" spans="1:9" ht="120">
      <c r="A764" s="12">
        <v>43576.669386574074</v>
      </c>
      <c r="B764" s="13" t="str">
        <f t="shared" si="35"/>
        <v>@UCHImedia</v>
      </c>
      <c r="C764" s="14" t="s">
        <v>560</v>
      </c>
      <c r="D764" s="15" t="s">
        <v>1873</v>
      </c>
      <c r="E764" s="16" t="str">
        <f t="shared" si="36"/>
        <v>Twitter for iPhone</v>
      </c>
      <c r="F764" s="12">
        <v>43323.071516203709</v>
      </c>
      <c r="G764" s="17" t="s">
        <v>2783</v>
      </c>
      <c r="H764" s="35" t="s">
        <v>562</v>
      </c>
      <c r="I764" s="18"/>
    </row>
    <row r="765" spans="1:9" ht="75">
      <c r="A765" s="12">
        <v>43575.645127314812</v>
      </c>
      <c r="B765" s="13" t="str">
        <f t="shared" si="35"/>
        <v>@UCHImedia</v>
      </c>
      <c r="C765" s="14" t="s">
        <v>560</v>
      </c>
      <c r="D765" s="15" t="s">
        <v>561</v>
      </c>
      <c r="E765" s="16" t="str">
        <f t="shared" si="36"/>
        <v>Twitter for iPhone</v>
      </c>
      <c r="F765" s="12">
        <v>43323.071516203709</v>
      </c>
      <c r="G765" s="17" t="s">
        <v>2783</v>
      </c>
      <c r="H765" s="35" t="s">
        <v>562</v>
      </c>
      <c r="I765" s="18"/>
    </row>
    <row r="766" spans="1:9" ht="105">
      <c r="A766" s="12">
        <v>43575.643993055557</v>
      </c>
      <c r="B766" s="13" t="str">
        <f t="shared" si="35"/>
        <v>@UCHImedia</v>
      </c>
      <c r="C766" s="14" t="s">
        <v>560</v>
      </c>
      <c r="D766" s="15" t="s">
        <v>2156</v>
      </c>
      <c r="E766" s="16" t="str">
        <f t="shared" si="36"/>
        <v>Twitter for iPhone</v>
      </c>
      <c r="F766" s="12">
        <v>43323.071516203709</v>
      </c>
      <c r="G766" s="17" t="s">
        <v>2783</v>
      </c>
      <c r="H766" s="35" t="s">
        <v>562</v>
      </c>
      <c r="I766" s="18"/>
    </row>
    <row r="767" spans="1:9" ht="90">
      <c r="A767" s="12">
        <v>43575.637870370367</v>
      </c>
      <c r="B767" s="13" t="str">
        <f t="shared" si="35"/>
        <v>@UCHImedia</v>
      </c>
      <c r="C767" s="14" t="s">
        <v>560</v>
      </c>
      <c r="D767" s="15" t="s">
        <v>1872</v>
      </c>
      <c r="E767" s="16" t="str">
        <f t="shared" si="36"/>
        <v>Twitter for iPhone</v>
      </c>
      <c r="F767" s="12">
        <v>43323.071516203709</v>
      </c>
      <c r="G767" s="17" t="s">
        <v>2783</v>
      </c>
      <c r="H767" s="35" t="s">
        <v>562</v>
      </c>
      <c r="I767" s="18"/>
    </row>
    <row r="768" spans="1:9" ht="120">
      <c r="A768" s="12">
        <v>43575.637118055558</v>
      </c>
      <c r="B768" s="13" t="str">
        <f t="shared" si="35"/>
        <v>@UCHImedia</v>
      </c>
      <c r="C768" s="14" t="s">
        <v>560</v>
      </c>
      <c r="D768" s="15" t="s">
        <v>1873</v>
      </c>
      <c r="E768" s="16" t="str">
        <f t="shared" si="36"/>
        <v>Twitter for iPhone</v>
      </c>
      <c r="F768" s="12">
        <v>43323.071516203709</v>
      </c>
      <c r="G768" s="17" t="s">
        <v>2783</v>
      </c>
      <c r="H768" s="35" t="s">
        <v>562</v>
      </c>
      <c r="I768" s="18"/>
    </row>
    <row r="769" spans="1:9" ht="75">
      <c r="A769" s="12">
        <v>43573.663495370369</v>
      </c>
      <c r="B769" s="13" t="str">
        <f t="shared" si="35"/>
        <v>@UCHImedia</v>
      </c>
      <c r="C769" s="14" t="s">
        <v>560</v>
      </c>
      <c r="D769" s="15" t="s">
        <v>561</v>
      </c>
      <c r="E769" s="16" t="str">
        <f t="shared" si="36"/>
        <v>Twitter for iPhone</v>
      </c>
      <c r="F769" s="12">
        <v>43323.071516203709</v>
      </c>
      <c r="G769" s="17" t="s">
        <v>2783</v>
      </c>
      <c r="H769" s="35" t="s">
        <v>562</v>
      </c>
      <c r="I769" s="18"/>
    </row>
    <row r="770" spans="1:9" ht="105">
      <c r="A770" s="12">
        <v>43573.662615740745</v>
      </c>
      <c r="B770" s="13" t="str">
        <f t="shared" si="35"/>
        <v>@UCHImedia</v>
      </c>
      <c r="C770" s="14" t="s">
        <v>560</v>
      </c>
      <c r="D770" s="15" t="s">
        <v>2789</v>
      </c>
      <c r="E770" s="16" t="str">
        <f t="shared" si="36"/>
        <v>Twitter for iPhone</v>
      </c>
      <c r="F770" s="12">
        <v>43323.071516203709</v>
      </c>
      <c r="G770" s="17" t="s">
        <v>2783</v>
      </c>
      <c r="H770" s="35" t="s">
        <v>562</v>
      </c>
      <c r="I770" s="18"/>
    </row>
    <row r="771" spans="1:9" ht="90">
      <c r="A771" s="12">
        <v>43573.38490740741</v>
      </c>
      <c r="B771" s="13" t="str">
        <f t="shared" si="35"/>
        <v>@UCHImedia</v>
      </c>
      <c r="C771" s="14" t="s">
        <v>560</v>
      </c>
      <c r="D771" s="15" t="s">
        <v>1872</v>
      </c>
      <c r="E771" s="16" t="str">
        <f t="shared" si="36"/>
        <v>Twitter for iPhone</v>
      </c>
      <c r="F771" s="12">
        <v>43323.071516203709</v>
      </c>
      <c r="G771" s="17" t="s">
        <v>2783</v>
      </c>
      <c r="H771" s="35" t="s">
        <v>562</v>
      </c>
      <c r="I771" s="18"/>
    </row>
    <row r="772" spans="1:9" ht="120">
      <c r="A772" s="12">
        <v>43573.381979166668</v>
      </c>
      <c r="B772" s="13" t="str">
        <f t="shared" si="35"/>
        <v>@UCHImedia</v>
      </c>
      <c r="C772" s="14" t="s">
        <v>560</v>
      </c>
      <c r="D772" s="15" t="s">
        <v>1873</v>
      </c>
      <c r="E772" s="16" t="str">
        <f t="shared" si="36"/>
        <v>Twitter for iPhone</v>
      </c>
      <c r="F772" s="12">
        <v>43323.071516203709</v>
      </c>
      <c r="G772" s="17" t="s">
        <v>2783</v>
      </c>
      <c r="H772" s="35" t="s">
        <v>562</v>
      </c>
      <c r="I772" s="18"/>
    </row>
    <row r="773" spans="1:9" ht="135">
      <c r="A773" s="12">
        <v>43573.361354166671</v>
      </c>
      <c r="B773" s="13" t="str">
        <f t="shared" si="35"/>
        <v>@UCHImedia</v>
      </c>
      <c r="C773" s="14" t="s">
        <v>560</v>
      </c>
      <c r="D773" s="15" t="s">
        <v>2920</v>
      </c>
      <c r="E773" s="16" t="str">
        <f t="shared" si="36"/>
        <v>Twitter for iPhone</v>
      </c>
      <c r="F773" s="12">
        <v>43323.071516203709</v>
      </c>
      <c r="G773" s="17" t="s">
        <v>2783</v>
      </c>
      <c r="H773" s="35" t="s">
        <v>562</v>
      </c>
      <c r="I773" s="18"/>
    </row>
    <row r="774" spans="1:9" ht="75">
      <c r="A774" s="12">
        <v>43572.597615740742</v>
      </c>
      <c r="B774" s="13" t="str">
        <f t="shared" si="35"/>
        <v>@UCHImedia</v>
      </c>
      <c r="C774" s="14" t="s">
        <v>560</v>
      </c>
      <c r="D774" s="15" t="s">
        <v>561</v>
      </c>
      <c r="E774" s="16" t="str">
        <f t="shared" si="36"/>
        <v>Twitter for iPhone</v>
      </c>
      <c r="F774" s="12">
        <v>43323.071516203709</v>
      </c>
      <c r="G774" s="17" t="s">
        <v>2783</v>
      </c>
      <c r="H774" s="35" t="s">
        <v>562</v>
      </c>
      <c r="I774" s="18"/>
    </row>
    <row r="775" spans="1:9" ht="105">
      <c r="A775" s="12">
        <v>43572.596875000003</v>
      </c>
      <c r="B775" s="13" t="str">
        <f t="shared" si="35"/>
        <v>@UCHImedia</v>
      </c>
      <c r="C775" s="14" t="s">
        <v>560</v>
      </c>
      <c r="D775" s="15" t="s">
        <v>2789</v>
      </c>
      <c r="E775" s="16" t="str">
        <f t="shared" si="36"/>
        <v>Twitter for iPhone</v>
      </c>
      <c r="F775" s="12">
        <v>43323.071516203709</v>
      </c>
      <c r="G775" s="17" t="s">
        <v>2783</v>
      </c>
      <c r="H775" s="35" t="s">
        <v>562</v>
      </c>
      <c r="I775" s="18"/>
    </row>
    <row r="776" spans="1:9" ht="45">
      <c r="A776" s="12">
        <v>43572.315104166672</v>
      </c>
      <c r="B776" s="13" t="str">
        <f t="shared" si="35"/>
        <v>@UCHImedia</v>
      </c>
      <c r="C776" s="14" t="s">
        <v>560</v>
      </c>
      <c r="D776" s="15" t="s">
        <v>3339</v>
      </c>
      <c r="E776" s="16" t="str">
        <f t="shared" si="36"/>
        <v>Twitter for iPhone</v>
      </c>
      <c r="F776" s="12">
        <v>43323.071516203709</v>
      </c>
      <c r="G776" s="17" t="s">
        <v>2783</v>
      </c>
      <c r="H776" s="35" t="s">
        <v>562</v>
      </c>
      <c r="I776" s="18"/>
    </row>
    <row r="777" spans="1:9" ht="120">
      <c r="A777" s="12">
        <v>43572.3125</v>
      </c>
      <c r="B777" s="13" t="str">
        <f t="shared" si="35"/>
        <v>@UCHImedia</v>
      </c>
      <c r="C777" s="14" t="s">
        <v>560</v>
      </c>
      <c r="D777" s="15" t="s">
        <v>1873</v>
      </c>
      <c r="E777" s="16" t="str">
        <f t="shared" si="36"/>
        <v>Twitter for iPhone</v>
      </c>
      <c r="F777" s="12">
        <v>43323.071516203709</v>
      </c>
      <c r="G777" s="17" t="s">
        <v>2783</v>
      </c>
      <c r="H777" s="35" t="s">
        <v>562</v>
      </c>
      <c r="I777" s="18"/>
    </row>
    <row r="778" spans="1:9" ht="90">
      <c r="A778" s="12">
        <v>43572.307222222225</v>
      </c>
      <c r="B778" s="13" t="str">
        <f t="shared" si="35"/>
        <v>@UCHImedia</v>
      </c>
      <c r="C778" s="14" t="s">
        <v>560</v>
      </c>
      <c r="D778" s="15" t="s">
        <v>1872</v>
      </c>
      <c r="E778" s="16" t="str">
        <f t="shared" si="36"/>
        <v>Twitter for iPhone</v>
      </c>
      <c r="F778" s="12">
        <v>43323.071516203709</v>
      </c>
      <c r="G778" s="17" t="s">
        <v>2783</v>
      </c>
      <c r="H778" s="35" t="s">
        <v>562</v>
      </c>
      <c r="I778" s="18"/>
    </row>
    <row r="779" spans="1:9" ht="60">
      <c r="A779" s="4">
        <v>43562.948761574073</v>
      </c>
      <c r="B779" s="5" t="str">
        <f>HYPERLINK("https://twitter.com/Nao_wagashi","@Nao_wagashi")</f>
        <v>@Nao_wagashi</v>
      </c>
      <c r="C779" s="6" t="s">
        <v>10531</v>
      </c>
      <c r="D779" s="7" t="s">
        <v>10532</v>
      </c>
      <c r="E779" s="8" t="str">
        <f t="shared" si="36"/>
        <v>Twitter for iPhone</v>
      </c>
      <c r="F779" s="4">
        <v>43558.761504629627</v>
      </c>
      <c r="G779" s="17" t="s">
        <v>2783</v>
      </c>
      <c r="H779" s="35" t="s">
        <v>10533</v>
      </c>
      <c r="I779" s="10" t="s">
        <v>10534</v>
      </c>
    </row>
    <row r="780" spans="1:9" ht="120">
      <c r="A780" s="4">
        <v>43559.800162037034</v>
      </c>
      <c r="B780" s="5" t="str">
        <f>HYPERLINK("https://twitter.com/Nao_wagashi","@Nao_wagashi")</f>
        <v>@Nao_wagashi</v>
      </c>
      <c r="C780" s="6" t="s">
        <v>10531</v>
      </c>
      <c r="D780" s="7" t="s">
        <v>11693</v>
      </c>
      <c r="E780" s="8" t="str">
        <f t="shared" si="36"/>
        <v>Twitter for iPhone</v>
      </c>
      <c r="F780" s="4">
        <v>43558.761504629627</v>
      </c>
      <c r="G780" s="17" t="s">
        <v>2783</v>
      </c>
      <c r="H780" s="35" t="s">
        <v>10533</v>
      </c>
      <c r="I780" s="10" t="s">
        <v>10534</v>
      </c>
    </row>
    <row r="781" spans="1:9" ht="75">
      <c r="A781" s="4">
        <v>43558.796319444446</v>
      </c>
      <c r="B781" s="5" t="str">
        <f>HYPERLINK("https://twitter.com/Nao_wagashi","@Nao_wagashi")</f>
        <v>@Nao_wagashi</v>
      </c>
      <c r="C781" s="6" t="s">
        <v>10531</v>
      </c>
      <c r="D781" s="7" t="s">
        <v>12035</v>
      </c>
      <c r="E781" s="8" t="str">
        <f t="shared" si="36"/>
        <v>Twitter for iPhone</v>
      </c>
      <c r="F781" s="4">
        <v>43558.761504629627</v>
      </c>
      <c r="G781" s="17" t="s">
        <v>2783</v>
      </c>
      <c r="H781" s="35" t="s">
        <v>10533</v>
      </c>
      <c r="I781" s="10" t="s">
        <v>10534</v>
      </c>
    </row>
    <row r="782" spans="1:9" ht="90">
      <c r="A782" s="12">
        <v>43579.95112268519</v>
      </c>
      <c r="B782" s="13" t="str">
        <f>HYPERLINK("https://twitter.com/osaka_airbnb","@osaka_airbnb")</f>
        <v>@osaka_airbnb</v>
      </c>
      <c r="C782" s="14" t="s">
        <v>379</v>
      </c>
      <c r="D782" s="15" t="s">
        <v>380</v>
      </c>
      <c r="E782" s="16" t="str">
        <f>HYPERLINK("http://twitter.com","Twitter Web Client")</f>
        <v>Twitter Web Client</v>
      </c>
      <c r="F782" s="12">
        <v>43391.095555555556</v>
      </c>
      <c r="G782" s="17" t="s">
        <v>2783</v>
      </c>
      <c r="H782" s="35" t="s">
        <v>381</v>
      </c>
      <c r="I782" s="18" t="s">
        <v>382</v>
      </c>
    </row>
    <row r="783" spans="1:9" ht="75">
      <c r="A783" s="4">
        <v>43560.775104166663</v>
      </c>
      <c r="B783" s="5" t="str">
        <f>HYPERLINK("https://twitter.com/StarLifestyleMY","@StarLifestyleMY")</f>
        <v>@StarLifestyleMY</v>
      </c>
      <c r="C783" s="6" t="s">
        <v>11170</v>
      </c>
      <c r="D783" s="7" t="s">
        <v>11171</v>
      </c>
      <c r="E783" s="8" t="str">
        <f>HYPERLINK("http://twitter.com/download/iphone","Twitter for iPhone")</f>
        <v>Twitter for iPhone</v>
      </c>
      <c r="F783" s="4">
        <v>40099.114988425928</v>
      </c>
      <c r="G783" s="17" t="s">
        <v>2783</v>
      </c>
      <c r="H783" s="35" t="s">
        <v>11172</v>
      </c>
      <c r="I783" s="10" t="s">
        <v>11173</v>
      </c>
    </row>
    <row r="784" spans="1:9" ht="75">
      <c r="A784" s="19">
        <v>43550.104351851856</v>
      </c>
      <c r="B784" s="20" t="str">
        <f>HYPERLINK("https://twitter.com/nanashomes","@nanashomes")</f>
        <v>@nanashomes</v>
      </c>
      <c r="C784" s="21" t="s">
        <v>878</v>
      </c>
      <c r="D784" s="22" t="s">
        <v>7829</v>
      </c>
      <c r="E784" s="23" t="str">
        <f>HYPERLINK("http://instagram.com","Instagram")</f>
        <v>Instagram</v>
      </c>
      <c r="F784" s="19">
        <v>43287.059131944443</v>
      </c>
      <c r="G784" s="17" t="s">
        <v>2783</v>
      </c>
      <c r="H784" s="35" t="s">
        <v>880</v>
      </c>
      <c r="I784" s="25" t="s">
        <v>881</v>
      </c>
    </row>
    <row r="785" spans="1:9" ht="90">
      <c r="A785" s="4">
        <v>43562.916689814811</v>
      </c>
      <c r="B785" s="5" t="str">
        <f>HYPERLINK("https://twitter.com/nanashomes","@nanashomes")</f>
        <v>@nanashomes</v>
      </c>
      <c r="C785" s="6" t="s">
        <v>878</v>
      </c>
      <c r="D785" s="7" t="s">
        <v>10550</v>
      </c>
      <c r="E785" s="8" t="str">
        <f>HYPERLINK("http://instagram.com","Instagram")</f>
        <v>Instagram</v>
      </c>
      <c r="F785" s="4">
        <v>43287.059131944443</v>
      </c>
      <c r="G785" s="17" t="s">
        <v>2783</v>
      </c>
      <c r="H785" s="35" t="s">
        <v>880</v>
      </c>
      <c r="I785" s="10" t="s">
        <v>881</v>
      </c>
    </row>
    <row r="786" spans="1:9" ht="90">
      <c r="A786" s="4">
        <v>43562.911469907413</v>
      </c>
      <c r="B786" s="5" t="str">
        <f>HYPERLINK("https://twitter.com/nanashomes","@nanashomes")</f>
        <v>@nanashomes</v>
      </c>
      <c r="C786" s="6" t="s">
        <v>878</v>
      </c>
      <c r="D786" s="7" t="s">
        <v>10551</v>
      </c>
      <c r="E786" s="8" t="str">
        <f>HYPERLINK("http://instagram.com","Instagram")</f>
        <v>Instagram</v>
      </c>
      <c r="F786" s="4">
        <v>43287.059131944443</v>
      </c>
      <c r="G786" s="17" t="s">
        <v>2783</v>
      </c>
      <c r="H786" s="35" t="s">
        <v>880</v>
      </c>
      <c r="I786" s="10" t="s">
        <v>881</v>
      </c>
    </row>
    <row r="787" spans="1:9" ht="90">
      <c r="A787" s="12">
        <v>43579.177361111113</v>
      </c>
      <c r="B787" s="13" t="str">
        <f>HYPERLINK("https://twitter.com/nanashomes","@nanashomes")</f>
        <v>@nanashomes</v>
      </c>
      <c r="C787" s="14" t="s">
        <v>878</v>
      </c>
      <c r="D787" s="15" t="s">
        <v>879</v>
      </c>
      <c r="E787" s="16" t="str">
        <f>HYPERLINK("http://instagram.com","Instagram")</f>
        <v>Instagram</v>
      </c>
      <c r="F787" s="12">
        <v>43287.059131944443</v>
      </c>
      <c r="G787" s="17" t="s">
        <v>2783</v>
      </c>
      <c r="H787" s="35" t="s">
        <v>880</v>
      </c>
      <c r="I787" s="18" t="s">
        <v>881</v>
      </c>
    </row>
    <row r="788" spans="1:9" ht="15">
      <c r="A788" s="12">
        <v>43576.335555555561</v>
      </c>
      <c r="B788" s="13" t="str">
        <f>HYPERLINK("https://twitter.com/IxoraLin","@IxoraLin")</f>
        <v>@IxoraLin</v>
      </c>
      <c r="C788" s="14" t="s">
        <v>1996</v>
      </c>
      <c r="D788" s="15" t="s">
        <v>1997</v>
      </c>
      <c r="E788" s="16" t="str">
        <f>HYPERLINK("http://twitter.com","Twitter Web Client")</f>
        <v>Twitter Web Client</v>
      </c>
      <c r="F788" s="12">
        <v>41057.005520833336</v>
      </c>
      <c r="G788" s="17" t="s">
        <v>2783</v>
      </c>
      <c r="H788" s="35" t="s">
        <v>880</v>
      </c>
      <c r="I788" s="18" t="s">
        <v>1998</v>
      </c>
    </row>
    <row r="789" spans="1:9" ht="60">
      <c r="A789" s="19">
        <v>43550.596458333333</v>
      </c>
      <c r="B789" s="20" t="str">
        <f>HYPERLINK("https://twitter.com/MakoyBautista","@MakoyBautista")</f>
        <v>@MakoyBautista</v>
      </c>
      <c r="C789" s="21" t="s">
        <v>519</v>
      </c>
      <c r="D789" s="22" t="s">
        <v>7598</v>
      </c>
      <c r="E789" s="23" t="str">
        <f>HYPERLINK("http://twitter.com/download/android","Twitter for Android")</f>
        <v>Twitter for Android</v>
      </c>
      <c r="F789" s="19">
        <v>40276.970659722225</v>
      </c>
      <c r="G789" s="17" t="s">
        <v>2783</v>
      </c>
      <c r="H789" s="35" t="s">
        <v>521</v>
      </c>
      <c r="I789" s="25" t="s">
        <v>522</v>
      </c>
    </row>
    <row r="790" spans="1:9" ht="30">
      <c r="A790" s="19">
        <v>43550.245196759264</v>
      </c>
      <c r="B790" s="20" t="str">
        <f>HYPERLINK("https://twitter.com/LourdesAbrasal1","@LourdesAbrasal1")</f>
        <v>@LourdesAbrasal1</v>
      </c>
      <c r="C790" s="21" t="s">
        <v>7768</v>
      </c>
      <c r="D790" s="22" t="s">
        <v>7769</v>
      </c>
      <c r="E790" s="23" t="str">
        <f>HYPERLINK("http://twitter.com/download/android","Twitter for Android")</f>
        <v>Twitter for Android</v>
      </c>
      <c r="F790" s="19">
        <v>41333.785752314812</v>
      </c>
      <c r="G790" s="17" t="s">
        <v>2783</v>
      </c>
      <c r="H790" s="35" t="s">
        <v>521</v>
      </c>
      <c r="I790" s="25" t="s">
        <v>7770</v>
      </c>
    </row>
    <row r="791" spans="1:9" ht="90">
      <c r="A791" s="19">
        <v>43549.828726851847</v>
      </c>
      <c r="B791" s="20" t="str">
        <f>HYPERLINK("https://twitter.com/shilamaricorazn","@shilamaricorazn")</f>
        <v>@shilamaricorazn</v>
      </c>
      <c r="C791" s="21" t="s">
        <v>7915</v>
      </c>
      <c r="D791" s="22" t="s">
        <v>7916</v>
      </c>
      <c r="E791" s="23" t="str">
        <f>HYPERLINK("http://twitter.com/download/iphone","Twitter for iPhone")</f>
        <v>Twitter for iPhone</v>
      </c>
      <c r="F791" s="19">
        <v>43311.590266203704</v>
      </c>
      <c r="G791" s="17" t="s">
        <v>2783</v>
      </c>
      <c r="H791" s="35" t="s">
        <v>521</v>
      </c>
      <c r="I791" s="25" t="s">
        <v>7917</v>
      </c>
    </row>
    <row r="792" spans="1:9" ht="45">
      <c r="A792" s="19">
        <v>43549.293217592596</v>
      </c>
      <c r="B792" s="20" t="str">
        <f>HYPERLINK("https://twitter.com/LourdesAbrasal1","@LourdesAbrasal1")</f>
        <v>@LourdesAbrasal1</v>
      </c>
      <c r="C792" s="21" t="s">
        <v>7768</v>
      </c>
      <c r="D792" s="22" t="s">
        <v>8106</v>
      </c>
      <c r="E792" s="23" t="str">
        <f>HYPERLINK("http://twitter.com/download/android","Twitter for Android")</f>
        <v>Twitter for Android</v>
      </c>
      <c r="F792" s="19">
        <v>41333.785752314812</v>
      </c>
      <c r="G792" s="17" t="s">
        <v>2783</v>
      </c>
      <c r="H792" s="35" t="s">
        <v>521</v>
      </c>
      <c r="I792" s="25" t="s">
        <v>7770</v>
      </c>
    </row>
    <row r="793" spans="1:9" ht="30">
      <c r="A793" s="19">
        <v>43548.719780092593</v>
      </c>
      <c r="B793" s="20" t="str">
        <f>HYPERLINK("https://twitter.com/LourdesAbrasal1","@LourdesAbrasal1")</f>
        <v>@LourdesAbrasal1</v>
      </c>
      <c r="C793" s="21" t="s">
        <v>7768</v>
      </c>
      <c r="D793" s="22" t="s">
        <v>8233</v>
      </c>
      <c r="E793" s="23" t="str">
        <f>HYPERLINK("http://twitter.com/download/android","Twitter for Android")</f>
        <v>Twitter for Android</v>
      </c>
      <c r="F793" s="19">
        <v>41333.785752314812</v>
      </c>
      <c r="G793" s="17" t="s">
        <v>2783</v>
      </c>
      <c r="H793" s="35" t="s">
        <v>521</v>
      </c>
      <c r="I793" s="25" t="s">
        <v>7770</v>
      </c>
    </row>
    <row r="794" spans="1:9" ht="45">
      <c r="A794" s="19">
        <v>43546.88071759259</v>
      </c>
      <c r="B794" s="20" t="str">
        <f>HYPERLINK("https://twitter.com/auoieto","@auoieto")</f>
        <v>@auoieto</v>
      </c>
      <c r="C794" s="21" t="s">
        <v>8714</v>
      </c>
      <c r="D794" s="22" t="s">
        <v>8715</v>
      </c>
      <c r="E794" s="23" t="str">
        <f>HYPERLINK("http://instagram.com","Instagram")</f>
        <v>Instagram</v>
      </c>
      <c r="F794" s="19">
        <v>40036.17046296296</v>
      </c>
      <c r="G794" s="17" t="s">
        <v>2783</v>
      </c>
      <c r="H794" s="35" t="s">
        <v>521</v>
      </c>
      <c r="I794" s="25" t="s">
        <v>8716</v>
      </c>
    </row>
    <row r="795" spans="1:9" ht="60">
      <c r="A795" s="19">
        <v>43545.884606481486</v>
      </c>
      <c r="B795" s="20" t="str">
        <f>HYPERLINK("https://twitter.com/LourdesAbrasal1","@LourdesAbrasal1")</f>
        <v>@LourdesAbrasal1</v>
      </c>
      <c r="C795" s="21" t="s">
        <v>7768</v>
      </c>
      <c r="D795" s="22" t="s">
        <v>9014</v>
      </c>
      <c r="E795" s="23" t="str">
        <f>HYPERLINK("http://twitter.com/download/android","Twitter for Android")</f>
        <v>Twitter for Android</v>
      </c>
      <c r="F795" s="19">
        <v>41333.785752314812</v>
      </c>
      <c r="G795" s="17" t="s">
        <v>2783</v>
      </c>
      <c r="H795" s="35" t="s">
        <v>521</v>
      </c>
      <c r="I795" s="25" t="s">
        <v>7770</v>
      </c>
    </row>
    <row r="796" spans="1:9" ht="60">
      <c r="A796" s="12">
        <v>43579.682986111111</v>
      </c>
      <c r="B796" s="13" t="str">
        <f>HYPERLINK("https://twitter.com/MakoyBautista","@MakoyBautista")</f>
        <v>@MakoyBautista</v>
      </c>
      <c r="C796" s="14" t="s">
        <v>519</v>
      </c>
      <c r="D796" s="15" t="s">
        <v>520</v>
      </c>
      <c r="E796" s="16" t="str">
        <f>HYPERLINK("http://twitter.com/download/android","Twitter for Android")</f>
        <v>Twitter for Android</v>
      </c>
      <c r="F796" s="12">
        <v>40276.970659722225</v>
      </c>
      <c r="G796" s="17" t="s">
        <v>2783</v>
      </c>
      <c r="H796" s="35" t="s">
        <v>521</v>
      </c>
      <c r="I796" s="18" t="s">
        <v>522</v>
      </c>
    </row>
    <row r="797" spans="1:9" ht="105">
      <c r="A797" s="12">
        <v>43574.786990740744</v>
      </c>
      <c r="B797" s="13" t="str">
        <f>HYPERLINK("https://twitter.com/A_katepascual","@A_katepascual")</f>
        <v>@A_katepascual</v>
      </c>
      <c r="C797" s="14" t="s">
        <v>2449</v>
      </c>
      <c r="D797" s="15" t="s">
        <v>2450</v>
      </c>
      <c r="E797" s="16" t="str">
        <f>HYPERLINK("http://twitter.com/download/android","Twitter for Android")</f>
        <v>Twitter for Android</v>
      </c>
      <c r="F797" s="12">
        <v>40245.139305555553</v>
      </c>
      <c r="G797" s="17" t="s">
        <v>2783</v>
      </c>
      <c r="H797" s="35" t="s">
        <v>521</v>
      </c>
      <c r="I797" s="18" t="s">
        <v>2451</v>
      </c>
    </row>
    <row r="798" spans="1:9" ht="45">
      <c r="A798" s="12">
        <v>43566.099791666667</v>
      </c>
      <c r="B798" s="13" t="str">
        <f>HYPERLINK("https://twitter.com/kiddolettes","@kiddolettes")</f>
        <v>@kiddolettes</v>
      </c>
      <c r="C798" s="14" t="s">
        <v>5795</v>
      </c>
      <c r="D798" s="15" t="s">
        <v>5796</v>
      </c>
      <c r="E798" s="16" t="str">
        <f>HYPERLINK("https://ifttt.com","IFTTT")</f>
        <v>IFTTT</v>
      </c>
      <c r="F798" s="12">
        <v>40194.253518518519</v>
      </c>
      <c r="G798" s="17" t="s">
        <v>2783</v>
      </c>
      <c r="H798" s="35" t="s">
        <v>521</v>
      </c>
      <c r="I798" s="18" t="s">
        <v>5797</v>
      </c>
    </row>
    <row r="799" spans="1:9" ht="45">
      <c r="A799" s="12">
        <v>43566.058749999997</v>
      </c>
      <c r="B799" s="13" t="str">
        <f>HYPERLINK("https://twitter.com/kiddolettes","@kiddolettes")</f>
        <v>@kiddolettes</v>
      </c>
      <c r="C799" s="14" t="s">
        <v>5795</v>
      </c>
      <c r="D799" s="15" t="s">
        <v>5810</v>
      </c>
      <c r="E799" s="16" t="str">
        <f>HYPERLINK("http://instagram.com","Instagram")</f>
        <v>Instagram</v>
      </c>
      <c r="F799" s="12">
        <v>40194.253518518519</v>
      </c>
      <c r="G799" s="17" t="s">
        <v>2783</v>
      </c>
      <c r="H799" s="35" t="s">
        <v>521</v>
      </c>
      <c r="I799" s="18" t="s">
        <v>5797</v>
      </c>
    </row>
    <row r="800" spans="1:9" ht="90">
      <c r="A800" s="4">
        <v>43560.323472222226</v>
      </c>
      <c r="B800" s="5" t="str">
        <f>HYPERLINK("https://twitter.com/j_sachin_j","@j_sachin_j")</f>
        <v>@j_sachin_j</v>
      </c>
      <c r="C800" s="6" t="s">
        <v>11446</v>
      </c>
      <c r="D800" s="7" t="s">
        <v>11447</v>
      </c>
      <c r="E800" s="8" t="str">
        <f>HYPERLINK("http://twitter.com/download/iphone","Twitter for iPhone")</f>
        <v>Twitter for iPhone</v>
      </c>
      <c r="F800" s="4">
        <v>41783.875416666662</v>
      </c>
      <c r="G800" s="9" t="s">
        <v>2783</v>
      </c>
      <c r="H800" s="35" t="s">
        <v>11448</v>
      </c>
      <c r="I800" s="10" t="s">
        <v>11449</v>
      </c>
    </row>
    <row r="801" spans="1:9" ht="75">
      <c r="A801" s="19">
        <v>43543.985879629632</v>
      </c>
      <c r="B801" s="20" t="str">
        <f>HYPERLINK("https://twitter.com/vishwatejrpawar","@vishwatejrpawar")</f>
        <v>@vishwatejrpawar</v>
      </c>
      <c r="C801" s="21" t="s">
        <v>9643</v>
      </c>
      <c r="D801" s="22" t="s">
        <v>9644</v>
      </c>
      <c r="E801" s="23" t="str">
        <f>HYPERLINK("http://www.facebook.com/twitter","Facebook")</f>
        <v>Facebook</v>
      </c>
      <c r="F801" s="19">
        <v>42628.066990740743</v>
      </c>
      <c r="G801" s="9" t="s">
        <v>2783</v>
      </c>
      <c r="H801" s="35" t="s">
        <v>9645</v>
      </c>
      <c r="I801" s="25" t="s">
        <v>9646</v>
      </c>
    </row>
    <row r="802" spans="1:9" ht="75">
      <c r="A802" s="4">
        <v>43562.965277777781</v>
      </c>
      <c r="B802" s="5" t="str">
        <f>HYPERLINK("https://twitter.com/apurvnagpal","@apurvnagpal")</f>
        <v>@apurvnagpal</v>
      </c>
      <c r="C802" s="6" t="s">
        <v>10526</v>
      </c>
      <c r="D802" s="7" t="s">
        <v>10527</v>
      </c>
      <c r="E802" s="8" t="str">
        <f>HYPERLINK("http://instagram.com","Instagram")</f>
        <v>Instagram</v>
      </c>
      <c r="F802" s="4">
        <v>39938.315023148149</v>
      </c>
      <c r="G802" s="9" t="s">
        <v>2783</v>
      </c>
      <c r="H802" s="35" t="s">
        <v>9645</v>
      </c>
      <c r="I802" s="10" t="s">
        <v>10528</v>
      </c>
    </row>
    <row r="803" spans="1:9" ht="75">
      <c r="A803" s="4">
        <v>43561.117361111115</v>
      </c>
      <c r="B803" s="5" t="str">
        <f>HYPERLINK("https://twitter.com/apurvnagpal","@apurvnagpal")</f>
        <v>@apurvnagpal</v>
      </c>
      <c r="C803" s="6" t="s">
        <v>10526</v>
      </c>
      <c r="D803" s="7" t="s">
        <v>11064</v>
      </c>
      <c r="E803" s="8" t="str">
        <f>HYPERLINK("http://instagram.com","Instagram")</f>
        <v>Instagram</v>
      </c>
      <c r="F803" s="4">
        <v>39938.315023148149</v>
      </c>
      <c r="G803" s="9" t="s">
        <v>2783</v>
      </c>
      <c r="H803" s="35" t="s">
        <v>9645</v>
      </c>
      <c r="I803" s="10" t="s">
        <v>10528</v>
      </c>
    </row>
    <row r="804" spans="1:9" ht="60">
      <c r="A804" s="4">
        <v>43557.174178240741</v>
      </c>
      <c r="B804" s="5" t="str">
        <f>HYPERLINK("https://twitter.com/trakin","@trakin")</f>
        <v>@trakin</v>
      </c>
      <c r="C804" s="5" t="s">
        <v>12621</v>
      </c>
      <c r="D804" s="7" t="s">
        <v>12622</v>
      </c>
      <c r="E804" s="8" t="str">
        <f>HYPERLINK("http://twitter.com","Twitter Web Client")</f>
        <v>Twitter Web Client</v>
      </c>
      <c r="F804" s="4">
        <v>39541.887233796297</v>
      </c>
      <c r="G804" s="9" t="s">
        <v>2783</v>
      </c>
      <c r="H804" s="35" t="s">
        <v>9645</v>
      </c>
      <c r="I804" s="10" t="s">
        <v>12623</v>
      </c>
    </row>
    <row r="805" spans="1:9" ht="90">
      <c r="A805" s="4">
        <v>43559.645833333328</v>
      </c>
      <c r="B805" s="5" t="str">
        <f>HYPERLINK("https://twitter.com/PeninsulaQatar","@PeninsulaQatar")</f>
        <v>@PeninsulaQatar</v>
      </c>
      <c r="C805" s="6" t="s">
        <v>11718</v>
      </c>
      <c r="D805" s="7" t="s">
        <v>11719</v>
      </c>
      <c r="E805" s="8" t="str">
        <f>HYPERLINK("https://about.twitter.com/products/tweetdeck","TweetDeck")</f>
        <v>TweetDeck</v>
      </c>
      <c r="F805" s="4">
        <v>40019.070196759261</v>
      </c>
      <c r="G805" s="9" t="s">
        <v>2783</v>
      </c>
      <c r="H805" s="35" t="s">
        <v>11720</v>
      </c>
      <c r="I805" s="10" t="s">
        <v>11721</v>
      </c>
    </row>
    <row r="806" spans="1:9" ht="105">
      <c r="A806" s="4">
        <v>43556.774930555555</v>
      </c>
      <c r="B806" s="5" t="str">
        <f>HYPERLINK("https://twitter.com/directorbuildi1","@directorbuildi1")</f>
        <v>@directorbuildi1</v>
      </c>
      <c r="C806" s="6" t="s">
        <v>12743</v>
      </c>
      <c r="D806" s="7" t="s">
        <v>12744</v>
      </c>
      <c r="E806" s="8" t="str">
        <f>HYPERLINK("https://vk.com/","VK.COM AUTH USERS")</f>
        <v>VK.COM AUTH USERS</v>
      </c>
      <c r="F806" s="4">
        <v>41938.724108796298</v>
      </c>
      <c r="G806" s="9" t="s">
        <v>2783</v>
      </c>
      <c r="H806" s="35" t="s">
        <v>12745</v>
      </c>
      <c r="I806" s="10" t="s">
        <v>12746</v>
      </c>
    </row>
    <row r="807" spans="1:9" ht="45">
      <c r="A807" s="12">
        <v>43578.680266203708</v>
      </c>
      <c r="B807" s="13" t="str">
        <f>HYPERLINK("https://twitter.com/NeeloVillar","@NeeloVillar")</f>
        <v>@NeeloVillar</v>
      </c>
      <c r="C807" s="14" t="s">
        <v>1105</v>
      </c>
      <c r="D807" s="15" t="s">
        <v>1106</v>
      </c>
      <c r="E807" s="16" t="str">
        <f>HYPERLINK("http://twitter.com/download/android","Twitter for Android")</f>
        <v>Twitter for Android</v>
      </c>
      <c r="F807" s="12">
        <v>42977.59373842593</v>
      </c>
      <c r="G807" s="17" t="s">
        <v>2783</v>
      </c>
      <c r="H807" s="35" t="s">
        <v>1107</v>
      </c>
      <c r="I807" s="18" t="s">
        <v>1108</v>
      </c>
    </row>
    <row r="808" spans="1:9" ht="45">
      <c r="A808" s="12">
        <v>43576.041608796295</v>
      </c>
      <c r="B808" s="13" t="str">
        <f>HYPERLINK("https://twitter.com/themelamateo","@themelamateo")</f>
        <v>@themelamateo</v>
      </c>
      <c r="C808" s="14" t="s">
        <v>2070</v>
      </c>
      <c r="D808" s="15" t="s">
        <v>2071</v>
      </c>
      <c r="E808" s="16" t="str">
        <f>HYPERLINK("http://twitter.com/download/android","Twitter for Android")</f>
        <v>Twitter for Android</v>
      </c>
      <c r="F808" s="12">
        <v>43575.13726851852</v>
      </c>
      <c r="G808" s="17" t="s">
        <v>2783</v>
      </c>
      <c r="H808" s="35" t="s">
        <v>1107</v>
      </c>
      <c r="I808" s="18" t="s">
        <v>2072</v>
      </c>
    </row>
    <row r="809" spans="1:9" ht="105">
      <c r="A809" s="4">
        <v>43560.724305555559</v>
      </c>
      <c r="B809" s="5" t="str">
        <f>HYPERLINK("https://twitter.com/websiteclones","@websiteclones")</f>
        <v>@websiteclones</v>
      </c>
      <c r="C809" s="6" t="s">
        <v>11211</v>
      </c>
      <c r="D809" s="7" t="s">
        <v>11212</v>
      </c>
      <c r="E809" s="8" t="str">
        <f>HYPERLINK("https://about.twitter.com/products/tweetdeck","TweetDeck")</f>
        <v>TweetDeck</v>
      </c>
      <c r="F809" s="4">
        <v>41332.145752314813</v>
      </c>
      <c r="G809" s="17" t="s">
        <v>2783</v>
      </c>
      <c r="H809" s="35" t="s">
        <v>11213</v>
      </c>
      <c r="I809" s="10" t="s">
        <v>11214</v>
      </c>
    </row>
    <row r="810" spans="1:9" ht="75">
      <c r="A810" s="12">
        <v>43573.417627314819</v>
      </c>
      <c r="B810" s="13" t="str">
        <f>HYPERLINK("https://twitter.com/TheMintTM","@TheMintTM")</f>
        <v>@TheMintTM</v>
      </c>
      <c r="C810" s="14" t="s">
        <v>2877</v>
      </c>
      <c r="D810" s="15" t="s">
        <v>2878</v>
      </c>
      <c r="E810" s="16" t="str">
        <f>HYPERLINK("https://www.hootsuite.com","Hootsuite Inc.")</f>
        <v>Hootsuite Inc.</v>
      </c>
      <c r="F810" s="12">
        <v>42764.768449074079</v>
      </c>
      <c r="G810" s="17" t="s">
        <v>2783</v>
      </c>
      <c r="H810" s="35" t="s">
        <v>2879</v>
      </c>
      <c r="I810" s="18" t="s">
        <v>2880</v>
      </c>
    </row>
    <row r="811" spans="1:9" ht="30">
      <c r="A811" s="19">
        <v>43551.795277777783</v>
      </c>
      <c r="B811" s="20" t="str">
        <f>HYPERLINK("https://twitter.com/GrimmRoy","@GrimmRoy")</f>
        <v>@GrimmRoy</v>
      </c>
      <c r="C811" s="21" t="s">
        <v>6994</v>
      </c>
      <c r="D811" s="22" t="s">
        <v>6995</v>
      </c>
      <c r="E811" s="23" t="str">
        <f>HYPERLINK("http://twitter.com","Twitter Web Client")</f>
        <v>Twitter Web Client</v>
      </c>
      <c r="F811" s="19">
        <v>41816.779803240745</v>
      </c>
      <c r="G811" s="17" t="s">
        <v>2783</v>
      </c>
      <c r="H811" s="35" t="s">
        <v>3863</v>
      </c>
      <c r="I811" s="25" t="s">
        <v>6996</v>
      </c>
    </row>
    <row r="812" spans="1:9" ht="60">
      <c r="A812" s="12">
        <v>43571.071736111116</v>
      </c>
      <c r="B812" s="13" t="str">
        <f>HYPERLINK("https://twitter.com/VeniceCondotel","@VeniceCondotel")</f>
        <v>@VeniceCondotel</v>
      </c>
      <c r="C812" s="14" t="s">
        <v>3861</v>
      </c>
      <c r="D812" s="15" t="s">
        <v>3862</v>
      </c>
      <c r="E812" s="16" t="str">
        <f>HYPERLINK("http://twitter.com/download/iphone","Twitter for iPhone")</f>
        <v>Twitter for iPhone</v>
      </c>
      <c r="F812" s="12">
        <v>43401.399317129632</v>
      </c>
      <c r="G812" s="17" t="s">
        <v>2783</v>
      </c>
      <c r="H812" s="35" t="s">
        <v>3863</v>
      </c>
      <c r="I812" s="18" t="s">
        <v>3864</v>
      </c>
    </row>
    <row r="813" spans="1:9" ht="75">
      <c r="A813" s="4">
        <v>43565.094456018516</v>
      </c>
      <c r="B813" s="5" t="str">
        <f>HYPERLINK("https://twitter.com/65WZ","@65WZ")</f>
        <v>@65WZ</v>
      </c>
      <c r="C813" s="6" t="s">
        <v>6284</v>
      </c>
      <c r="D813" s="7" t="s">
        <v>6285</v>
      </c>
      <c r="E813" s="8" t="str">
        <f>HYPERLINK("https://tapbots.com/software/tweetbot/mac","Tweetbot for Mac")</f>
        <v>Tweetbot for Mac</v>
      </c>
      <c r="F813" s="4">
        <v>39918.002500000002</v>
      </c>
      <c r="G813" s="17" t="s">
        <v>2783</v>
      </c>
      <c r="H813" s="35" t="s">
        <v>6286</v>
      </c>
      <c r="I813" s="10" t="s">
        <v>6287</v>
      </c>
    </row>
    <row r="814" spans="1:9" ht="90">
      <c r="A814" s="4">
        <v>43556.943657407406</v>
      </c>
      <c r="B814" s="5" t="str">
        <f>HYPERLINK("https://twitter.com/mytentaran","@mytentaran")</f>
        <v>@mytentaran</v>
      </c>
      <c r="C814" s="5" t="s">
        <v>12696</v>
      </c>
      <c r="D814" s="7" t="s">
        <v>12697</v>
      </c>
      <c r="E814" s="8" t="str">
        <f>HYPERLINK("http://twitter.com","Twitter Web Client")</f>
        <v>Twitter Web Client</v>
      </c>
      <c r="F814" s="4">
        <v>42554.982141203705</v>
      </c>
      <c r="G814" s="9" t="s">
        <v>2783</v>
      </c>
      <c r="H814" s="35" t="s">
        <v>12698</v>
      </c>
      <c r="I814" s="10" t="s">
        <v>12699</v>
      </c>
    </row>
    <row r="815" spans="1:9" ht="105">
      <c r="A815" s="4">
        <v>43559.819062499999</v>
      </c>
      <c r="B815" s="5" t="str">
        <f>HYPERLINK("https://twitter.com/ziggurat_re","@ziggurat_re")</f>
        <v>@ziggurat_re</v>
      </c>
      <c r="C815" s="6" t="s">
        <v>11681</v>
      </c>
      <c r="D815" s="7" t="s">
        <v>11682</v>
      </c>
      <c r="E815" s="8" t="str">
        <f>HYPERLINK("https://social.zoho.com","Zoho Social")</f>
        <v>Zoho Social</v>
      </c>
      <c r="F815" s="4">
        <v>42859.875960648147</v>
      </c>
      <c r="G815" s="9" t="s">
        <v>2783</v>
      </c>
      <c r="H815" s="35" t="s">
        <v>11683</v>
      </c>
      <c r="I815" s="10" t="s">
        <v>11684</v>
      </c>
    </row>
    <row r="816" spans="1:9" ht="60">
      <c r="A816" s="4">
        <v>43560.978877314818</v>
      </c>
      <c r="B816" s="5" t="str">
        <f>HYPERLINK("https://twitter.com/theseoulvillage","@theseoulvillage")</f>
        <v>@theseoulvillage</v>
      </c>
      <c r="C816" s="6" t="s">
        <v>11116</v>
      </c>
      <c r="D816" s="7" t="s">
        <v>11117</v>
      </c>
      <c r="E816" s="8" t="str">
        <f>HYPERLINK("http://twitter.com/download/android","Twitter for Android")</f>
        <v>Twitter for Android</v>
      </c>
      <c r="F816" s="4">
        <v>40667.785312499997</v>
      </c>
      <c r="G816" s="24" t="s">
        <v>2783</v>
      </c>
      <c r="H816" s="35" t="s">
        <v>11118</v>
      </c>
      <c r="I816" s="10" t="s">
        <v>11119</v>
      </c>
    </row>
    <row r="817" spans="1:9" ht="45">
      <c r="A817" s="19">
        <v>43547.641215277778</v>
      </c>
      <c r="B817" s="20" t="str">
        <f>HYPERLINK("https://twitter.com/JoSanKu","@JoSanKu")</f>
        <v>@JoSanKu</v>
      </c>
      <c r="C817" s="21" t="s">
        <v>8491</v>
      </c>
      <c r="D817" s="22" t="s">
        <v>8492</v>
      </c>
      <c r="E817" s="23" t="str">
        <f>HYPERLINK("http://twitter.com","Twitter Web Client")</f>
        <v>Twitter Web Client</v>
      </c>
      <c r="F817" s="19">
        <v>39221.826307870375</v>
      </c>
      <c r="G817" s="24" t="s">
        <v>2783</v>
      </c>
      <c r="H817" s="35" t="s">
        <v>8493</v>
      </c>
      <c r="I817" s="25" t="s">
        <v>8494</v>
      </c>
    </row>
    <row r="818" spans="1:9" ht="75">
      <c r="A818" s="19">
        <v>43542.795983796299</v>
      </c>
      <c r="B818" s="20" t="str">
        <f>HYPERLINK("https://twitter.com/seouleats","@seouleats")</f>
        <v>@seouleats</v>
      </c>
      <c r="C818" s="21" t="s">
        <v>10015</v>
      </c>
      <c r="D818" s="22" t="s">
        <v>10016</v>
      </c>
      <c r="E818" s="23" t="str">
        <f>HYPERLINK("http://instagram.com","Instagram")</f>
        <v>Instagram</v>
      </c>
      <c r="F818" s="19">
        <v>39914.852939814817</v>
      </c>
      <c r="G818" s="24" t="s">
        <v>2783</v>
      </c>
      <c r="H818" s="35" t="s">
        <v>10017</v>
      </c>
      <c r="I818" s="25" t="s">
        <v>10018</v>
      </c>
    </row>
    <row r="819" spans="1:9" ht="105">
      <c r="A819" s="12">
        <v>43565.887673611112</v>
      </c>
      <c r="B819" s="13" t="str">
        <f>HYPERLINK("https://twitter.com/PUDGi2015","@PUDGi2015")</f>
        <v>@PUDGi2015</v>
      </c>
      <c r="C819" s="14" t="s">
        <v>5868</v>
      </c>
      <c r="D819" s="15" t="s">
        <v>5869</v>
      </c>
      <c r="E819" s="16" t="str">
        <f>HYPERLINK("http://twitter.com/download/android","Twitter for Android")</f>
        <v>Twitter for Android</v>
      </c>
      <c r="F819" s="12">
        <v>42342.125208333338</v>
      </c>
      <c r="G819" s="24" t="s">
        <v>2783</v>
      </c>
      <c r="H819" s="35" t="s">
        <v>5870</v>
      </c>
      <c r="I819" s="18" t="s">
        <v>5871</v>
      </c>
    </row>
    <row r="820" spans="1:9" ht="90">
      <c r="A820" s="19">
        <v>43549.813252314816</v>
      </c>
      <c r="B820" s="20" t="str">
        <f>HYPERLINK("https://twitter.com/StudioBreezy","@StudioBreezy")</f>
        <v>@StudioBreezy</v>
      </c>
      <c r="C820" s="21" t="s">
        <v>3088</v>
      </c>
      <c r="D820" s="22" t="s">
        <v>7922</v>
      </c>
      <c r="E820" s="23" t="str">
        <f>HYPERLINK("http://twitter.com/download/android","Twitter for Android")</f>
        <v>Twitter for Android</v>
      </c>
      <c r="F820" s="19">
        <v>43507.918449074074</v>
      </c>
      <c r="G820" s="24" t="s">
        <v>2783</v>
      </c>
      <c r="H820" s="35" t="s">
        <v>3090</v>
      </c>
      <c r="I820" s="25" t="s">
        <v>3091</v>
      </c>
    </row>
    <row r="821" spans="1:9" ht="90">
      <c r="A821" s="12">
        <v>43572.803969907407</v>
      </c>
      <c r="B821" s="13" t="str">
        <f>HYPERLINK("https://twitter.com/StudioBreezy","@StudioBreezy")</f>
        <v>@StudioBreezy</v>
      </c>
      <c r="C821" s="14" t="s">
        <v>3088</v>
      </c>
      <c r="D821" s="15" t="s">
        <v>3089</v>
      </c>
      <c r="E821" s="16" t="str">
        <f>HYPERLINK("http://twitter.com/download/android","Twitter for Android")</f>
        <v>Twitter for Android</v>
      </c>
      <c r="F821" s="12">
        <v>43507.918449074074</v>
      </c>
      <c r="G821" s="24" t="s">
        <v>2783</v>
      </c>
      <c r="H821" s="35" t="s">
        <v>3090</v>
      </c>
      <c r="I821" s="18" t="s">
        <v>3091</v>
      </c>
    </row>
    <row r="822" spans="1:9" ht="45">
      <c r="A822" s="12">
        <v>43565.919340277775</v>
      </c>
      <c r="B822" s="13" t="str">
        <f>HYPERLINK("https://twitter.com/Edourdoo","@Edourdoo")</f>
        <v>@Edourdoo</v>
      </c>
      <c r="C822" s="14" t="s">
        <v>5856</v>
      </c>
      <c r="D822" s="15" t="s">
        <v>5857</v>
      </c>
      <c r="E822" s="16" t="str">
        <f>HYPERLINK("http://twitter.com","Twitter Web Client")</f>
        <v>Twitter Web Client</v>
      </c>
      <c r="F822" s="12">
        <v>39848.122476851851</v>
      </c>
      <c r="G822" s="17" t="s">
        <v>2783</v>
      </c>
      <c r="H822" s="35" t="s">
        <v>5858</v>
      </c>
      <c r="I822" s="18" t="s">
        <v>5859</v>
      </c>
    </row>
    <row r="823" spans="1:9" ht="75">
      <c r="A823" s="12">
        <v>43567.918923611112</v>
      </c>
      <c r="B823" s="13" t="str">
        <f>HYPERLINK("https://twitter.com/enricodeluca","@enricodeluca")</f>
        <v>@enricodeluca</v>
      </c>
      <c r="C823" s="14" t="s">
        <v>4915</v>
      </c>
      <c r="D823" s="15" t="s">
        <v>4916</v>
      </c>
      <c r="E823" s="16" t="str">
        <f>HYPERLINK("http://instagram.com","Instagram")</f>
        <v>Instagram</v>
      </c>
      <c r="F823" s="12">
        <v>39866.25105324074</v>
      </c>
      <c r="G823" s="17" t="s">
        <v>2783</v>
      </c>
      <c r="H823" s="35" t="s">
        <v>4917</v>
      </c>
      <c r="I823" s="18" t="s">
        <v>4918</v>
      </c>
    </row>
    <row r="824" spans="1:9" ht="60">
      <c r="A824" s="12">
        <v>43566.742337962962</v>
      </c>
      <c r="B824" s="13" t="str">
        <f>HYPERLINK("https://twitter.com/enricodeluca","@enricodeluca")</f>
        <v>@enricodeluca</v>
      </c>
      <c r="C824" s="14" t="s">
        <v>4915</v>
      </c>
      <c r="D824" s="15" t="s">
        <v>5363</v>
      </c>
      <c r="E824" s="16" t="str">
        <f>HYPERLINK("http://instagram.com","Instagram")</f>
        <v>Instagram</v>
      </c>
      <c r="F824" s="12">
        <v>39866.25105324074</v>
      </c>
      <c r="G824" s="17" t="s">
        <v>2783</v>
      </c>
      <c r="H824" s="35" t="s">
        <v>4917</v>
      </c>
      <c r="I824" s="18" t="s">
        <v>4918</v>
      </c>
    </row>
    <row r="825" spans="1:9" ht="105">
      <c r="A825" s="12">
        <v>43571.900729166664</v>
      </c>
      <c r="B825" s="13" t="str">
        <f>HYPERLINK("https://twitter.com/weareHiBump","@weareHiBump")</f>
        <v>@weareHiBump</v>
      </c>
      <c r="C825" s="14" t="s">
        <v>3500</v>
      </c>
      <c r="D825" s="15" t="s">
        <v>3501</v>
      </c>
      <c r="E825" s="16" t="str">
        <f>HYPERLINK("https://buffer.com","Buffer")</f>
        <v>Buffer</v>
      </c>
      <c r="F825" s="12">
        <v>43520.729525462964</v>
      </c>
      <c r="G825" s="17" t="s">
        <v>2783</v>
      </c>
      <c r="H825" s="35" t="s">
        <v>3502</v>
      </c>
      <c r="I825" s="18" t="s">
        <v>3503</v>
      </c>
    </row>
    <row r="826" spans="1:9" ht="60">
      <c r="A826" s="19">
        <v>43551.600624999999</v>
      </c>
      <c r="B826" s="20" t="str">
        <f>HYPERLINK("https://twitter.com/zareen2421","@zareen2421")</f>
        <v>@zareen2421</v>
      </c>
      <c r="C826" s="21" t="s">
        <v>7090</v>
      </c>
      <c r="D826" s="22" t="s">
        <v>7091</v>
      </c>
      <c r="E826" s="23" t="str">
        <f>HYPERLINK("http://twitter.com/download/iphone","Twitter for iPhone")</f>
        <v>Twitter for iPhone</v>
      </c>
      <c r="F826" s="19">
        <v>41469.470868055556</v>
      </c>
      <c r="G826" s="17" t="s">
        <v>2783</v>
      </c>
      <c r="H826" s="35" t="s">
        <v>7092</v>
      </c>
      <c r="I826" s="25" t="s">
        <v>7093</v>
      </c>
    </row>
    <row r="827" spans="1:9" ht="45">
      <c r="A827" s="19">
        <v>43548.800370370373</v>
      </c>
      <c r="B827" s="20" t="str">
        <f>HYPERLINK("https://twitter.com/leontechnology3","@leontechnology3")</f>
        <v>@leontechnology3</v>
      </c>
      <c r="C827" s="21" t="s">
        <v>8219</v>
      </c>
      <c r="D827" s="22" t="s">
        <v>8220</v>
      </c>
      <c r="E827" s="23" t="str">
        <f>HYPERLINK("http://twitter.com/download/android","Twitter for Android")</f>
        <v>Twitter for Android</v>
      </c>
      <c r="F827" s="19">
        <v>41413.367511574077</v>
      </c>
      <c r="G827" s="17" t="s">
        <v>2783</v>
      </c>
      <c r="H827" s="35" t="s">
        <v>441</v>
      </c>
      <c r="I827" s="25" t="s">
        <v>8221</v>
      </c>
    </row>
    <row r="828" spans="1:9" ht="75">
      <c r="A828" s="19">
        <v>43548.1</v>
      </c>
      <c r="B828" s="20" t="str">
        <f>HYPERLINK("https://twitter.com/STcom","@STcom")</f>
        <v>@STcom</v>
      </c>
      <c r="C828" s="21" t="s">
        <v>8411</v>
      </c>
      <c r="D828" s="22" t="s">
        <v>8412</v>
      </c>
      <c r="E828" s="23" t="str">
        <f>HYPERLINK("https://about.twitter.com/products/tweetdeck","TweetDeck")</f>
        <v>TweetDeck</v>
      </c>
      <c r="F828" s="19">
        <v>39937.991932870369</v>
      </c>
      <c r="G828" s="17" t="s">
        <v>2783</v>
      </c>
      <c r="H828" s="35" t="s">
        <v>441</v>
      </c>
      <c r="I828" s="25" t="s">
        <v>8413</v>
      </c>
    </row>
    <row r="829" spans="1:9" ht="30">
      <c r="A829" s="19">
        <v>43548.019363425927</v>
      </c>
      <c r="B829" s="20" t="str">
        <f>HYPERLINK("https://twitter.com/STForeignDesk","@STForeignDesk")</f>
        <v>@STForeignDesk</v>
      </c>
      <c r="C829" s="21" t="s">
        <v>8429</v>
      </c>
      <c r="D829" s="28" t="s">
        <v>8430</v>
      </c>
      <c r="E829" s="23" t="str">
        <f>HYPERLINK("https://about.twitter.com/products/tweetdeck","TweetDeck")</f>
        <v>TweetDeck</v>
      </c>
      <c r="F829" s="19">
        <v>41303.312025462961</v>
      </c>
      <c r="G829" s="17" t="s">
        <v>2783</v>
      </c>
      <c r="H829" s="35" t="s">
        <v>441</v>
      </c>
      <c r="I829" s="25" t="s">
        <v>8431</v>
      </c>
    </row>
    <row r="830" spans="1:9" ht="30">
      <c r="A830" s="19">
        <v>43543.145833333328</v>
      </c>
      <c r="B830" s="20" t="str">
        <f>HYPERLINK("https://twitter.com/nsoffe","@nsoffe")</f>
        <v>@nsoffe</v>
      </c>
      <c r="C830" s="21" t="s">
        <v>9926</v>
      </c>
      <c r="D830" s="22" t="s">
        <v>9927</v>
      </c>
      <c r="E830" s="23" t="str">
        <f>HYPERLINK("http://www.linkedin.com/","LinkedIn")</f>
        <v>LinkedIn</v>
      </c>
      <c r="F830" s="19">
        <v>39441.810717592591</v>
      </c>
      <c r="G830" s="17" t="s">
        <v>2783</v>
      </c>
      <c r="H830" s="35" t="s">
        <v>441</v>
      </c>
      <c r="I830" s="25" t="s">
        <v>9928</v>
      </c>
    </row>
    <row r="831" spans="1:9" ht="30">
      <c r="A831" s="19">
        <v>43542.965277777781</v>
      </c>
      <c r="B831" s="20" t="str">
        <f>HYPERLINK("https://twitter.com/DealStreetAsia","@DealStreetAsia")</f>
        <v>@DealStreetAsia</v>
      </c>
      <c r="C831" s="21" t="s">
        <v>9977</v>
      </c>
      <c r="D831" s="22" t="s">
        <v>9978</v>
      </c>
      <c r="E831" s="23" t="str">
        <f>HYPERLINK("https://buffer.com","Buffer")</f>
        <v>Buffer</v>
      </c>
      <c r="F831" s="19">
        <v>41721.021192129629</v>
      </c>
      <c r="G831" s="17" t="s">
        <v>2783</v>
      </c>
      <c r="H831" s="35" t="s">
        <v>441</v>
      </c>
      <c r="I831" s="25" t="s">
        <v>9979</v>
      </c>
    </row>
    <row r="832" spans="1:9" ht="30">
      <c r="A832" s="4">
        <v>43562.965694444443</v>
      </c>
      <c r="B832" s="5" t="str">
        <f>HYPERLINK("https://twitter.com/iProperty_SG","@iProperty_SG")</f>
        <v>@iProperty_SG</v>
      </c>
      <c r="C832" s="6" t="s">
        <v>10523</v>
      </c>
      <c r="D832" s="7" t="s">
        <v>10524</v>
      </c>
      <c r="E832" s="8" t="str">
        <f>HYPERLINK("https://www.hootsuite.com","Hootsuite Inc.")</f>
        <v>Hootsuite Inc.</v>
      </c>
      <c r="F832" s="4">
        <v>40310.773587962962</v>
      </c>
      <c r="G832" s="17" t="s">
        <v>2783</v>
      </c>
      <c r="H832" s="35" t="s">
        <v>441</v>
      </c>
      <c r="I832" s="10" t="s">
        <v>10525</v>
      </c>
    </row>
    <row r="833" spans="1:9" ht="30">
      <c r="A833" s="4">
        <v>43560.858182870375</v>
      </c>
      <c r="B833" s="5" t="str">
        <f>HYPERLINK("https://twitter.com/gpbalvinlim","@gpbalvinlim")</f>
        <v>@gpbalvinlim</v>
      </c>
      <c r="C833" s="6" t="s">
        <v>11143</v>
      </c>
      <c r="D833" s="7" t="s">
        <v>11144</v>
      </c>
      <c r="E833" s="8" t="str">
        <f>HYPERLINK("https://www.wechat.com","WeChat app")</f>
        <v>WeChat app</v>
      </c>
      <c r="F833" s="4">
        <v>39860.94903935185</v>
      </c>
      <c r="G833" s="17" t="s">
        <v>2783</v>
      </c>
      <c r="H833" s="35" t="s">
        <v>441</v>
      </c>
      <c r="I833" s="10" t="s">
        <v>11145</v>
      </c>
    </row>
    <row r="834" spans="1:9" ht="60">
      <c r="A834" s="4">
        <v>43560.311377314814</v>
      </c>
      <c r="B834" s="5" t="str">
        <f>HYPERLINK("https://twitter.com/sashafarina","@sashafarina")</f>
        <v>@sashafarina</v>
      </c>
      <c r="C834" s="6" t="s">
        <v>11463</v>
      </c>
      <c r="D834" s="7" t="s">
        <v>11464</v>
      </c>
      <c r="E834" s="8" t="str">
        <f>HYPERLINK("http://instagram.com","Instagram")</f>
        <v>Instagram</v>
      </c>
      <c r="F834" s="4">
        <v>39713.76971064815</v>
      </c>
      <c r="G834" s="17" t="s">
        <v>2783</v>
      </c>
      <c r="H834" s="35" t="s">
        <v>441</v>
      </c>
      <c r="I834" s="10"/>
    </row>
    <row r="835" spans="1:9" ht="75">
      <c r="A835" s="4">
        <v>43560.227164351847</v>
      </c>
      <c r="B835" s="5" t="str">
        <f>HYPERLINK("https://twitter.com/luckyboo13","@luckyboo13")</f>
        <v>@luckyboo13</v>
      </c>
      <c r="C835" s="6" t="s">
        <v>11552</v>
      </c>
      <c r="D835" s="7" t="s">
        <v>11553</v>
      </c>
      <c r="E835" s="8" t="str">
        <f>HYPERLINK("http://instagram.com","Instagram")</f>
        <v>Instagram</v>
      </c>
      <c r="F835" s="4">
        <v>40235.229999999996</v>
      </c>
      <c r="G835" s="17" t="s">
        <v>2783</v>
      </c>
      <c r="H835" s="35" t="s">
        <v>441</v>
      </c>
      <c r="I835" s="10" t="s">
        <v>11554</v>
      </c>
    </row>
    <row r="836" spans="1:9" ht="75">
      <c r="A836" s="4">
        <v>43560.225069444445</v>
      </c>
      <c r="B836" s="5" t="str">
        <f>HYPERLINK("https://twitter.com/luckyboo13","@luckyboo13")</f>
        <v>@luckyboo13</v>
      </c>
      <c r="C836" s="6" t="s">
        <v>11552</v>
      </c>
      <c r="D836" s="7" t="s">
        <v>11553</v>
      </c>
      <c r="E836" s="8" t="str">
        <f>HYPERLINK("http://instagram.com","Instagram")</f>
        <v>Instagram</v>
      </c>
      <c r="F836" s="4">
        <v>40235.229999999996</v>
      </c>
      <c r="G836" s="17" t="s">
        <v>2783</v>
      </c>
      <c r="H836" s="35" t="s">
        <v>441</v>
      </c>
      <c r="I836" s="10" t="s">
        <v>11554</v>
      </c>
    </row>
    <row r="837" spans="1:9" ht="45">
      <c r="A837" s="4">
        <v>43560.075624999998</v>
      </c>
      <c r="B837" s="5" t="str">
        <f>HYPERLINK("https://twitter.com/vinamelody","@vinamelody")</f>
        <v>@vinamelody</v>
      </c>
      <c r="C837" s="6" t="s">
        <v>11608</v>
      </c>
      <c r="D837" s="7" t="s">
        <v>11609</v>
      </c>
      <c r="E837" s="8" t="str">
        <f>HYPERLINK("http://twitter.com","Twitter Web Client")</f>
        <v>Twitter Web Client</v>
      </c>
      <c r="F837" s="4">
        <v>39751.379664351851</v>
      </c>
      <c r="G837" s="17" t="s">
        <v>2783</v>
      </c>
      <c r="H837" s="35" t="s">
        <v>441</v>
      </c>
      <c r="I837" s="10" t="s">
        <v>11610</v>
      </c>
    </row>
    <row r="838" spans="1:9" ht="45">
      <c r="A838" s="12">
        <v>43579.824479166666</v>
      </c>
      <c r="B838" s="13" t="str">
        <f>HYPERLINK("https://twitter.com/shaan1981","@shaan1981")</f>
        <v>@shaan1981</v>
      </c>
      <c r="C838" s="14" t="s">
        <v>439</v>
      </c>
      <c r="D838" s="15" t="s">
        <v>440</v>
      </c>
      <c r="E838" s="16" t="str">
        <f>HYPERLINK("http://twitter.com","Twitter Web Client")</f>
        <v>Twitter Web Client</v>
      </c>
      <c r="F838" s="12">
        <v>39884.491423611107</v>
      </c>
      <c r="G838" s="17" t="s">
        <v>2783</v>
      </c>
      <c r="H838" s="35" t="s">
        <v>441</v>
      </c>
      <c r="I838" s="18" t="s">
        <v>442</v>
      </c>
    </row>
    <row r="839" spans="1:9" ht="105">
      <c r="A839" s="12">
        <v>43579.256122685183</v>
      </c>
      <c r="B839" s="13" t="str">
        <f>HYPERLINK("https://twitter.com/Televisory_fin","@Televisory_fin")</f>
        <v>@Televisory_fin</v>
      </c>
      <c r="C839" s="14" t="s">
        <v>815</v>
      </c>
      <c r="D839" s="15" t="s">
        <v>816</v>
      </c>
      <c r="E839" s="16" t="str">
        <f>HYPERLINK("https://www.hootsuite.com","Hootsuite Inc.")</f>
        <v>Hootsuite Inc.</v>
      </c>
      <c r="F839" s="12">
        <v>42531.11</v>
      </c>
      <c r="G839" s="17" t="s">
        <v>2783</v>
      </c>
      <c r="H839" s="35" t="s">
        <v>441</v>
      </c>
      <c r="I839" s="18" t="s">
        <v>817</v>
      </c>
    </row>
    <row r="840" spans="1:9" ht="90">
      <c r="A840" s="12">
        <v>43578.030729166669</v>
      </c>
      <c r="B840" s="13" t="str">
        <f>HYPERLINK("https://twitter.com/jdouchy79","@jdouchy79")</f>
        <v>@jdouchy79</v>
      </c>
      <c r="C840" s="14" t="s">
        <v>1418</v>
      </c>
      <c r="D840" s="15" t="s">
        <v>1419</v>
      </c>
      <c r="E840" s="16" t="str">
        <f>HYPERLINK("http://twitter.com/download/iphone","Twitter for iPhone")</f>
        <v>Twitter for iPhone</v>
      </c>
      <c r="F840" s="12">
        <v>40485.580416666664</v>
      </c>
      <c r="G840" s="17" t="s">
        <v>2783</v>
      </c>
      <c r="H840" s="35" t="s">
        <v>441</v>
      </c>
      <c r="I840" s="18" t="s">
        <v>1420</v>
      </c>
    </row>
    <row r="841" spans="1:9" ht="60">
      <c r="A841" s="12">
        <v>43574.807638888888</v>
      </c>
      <c r="B841" s="13" t="str">
        <f>HYPERLINK("https://twitter.com/shwetankv","@shwetankv")</f>
        <v>@shwetankv</v>
      </c>
      <c r="C841" s="14" t="s">
        <v>2436</v>
      </c>
      <c r="D841" s="15" t="s">
        <v>405</v>
      </c>
      <c r="E841" s="16" t="str">
        <f>HYPERLINK("https://buffer.com","Buffer")</f>
        <v>Buffer</v>
      </c>
      <c r="F841" s="12">
        <v>39911.252025462964</v>
      </c>
      <c r="G841" s="17" t="s">
        <v>2783</v>
      </c>
      <c r="H841" s="35" t="s">
        <v>441</v>
      </c>
      <c r="I841" s="18" t="s">
        <v>2437</v>
      </c>
    </row>
    <row r="842" spans="1:9" ht="60">
      <c r="A842" s="12">
        <v>43566.058807870373</v>
      </c>
      <c r="B842" s="13" t="str">
        <f>HYPERLINK("https://twitter.com/a_zonneveld","@a_zonneveld")</f>
        <v>@a_zonneveld</v>
      </c>
      <c r="C842" s="14" t="s">
        <v>5807</v>
      </c>
      <c r="D842" s="15" t="s">
        <v>5808</v>
      </c>
      <c r="E842" s="16" t="str">
        <f>HYPERLINK("http://twitter.com","Twitter Web Client")</f>
        <v>Twitter Web Client</v>
      </c>
      <c r="F842" s="12">
        <v>43348.277418981481</v>
      </c>
      <c r="G842" s="17" t="s">
        <v>2783</v>
      </c>
      <c r="H842" s="35" t="s">
        <v>441</v>
      </c>
      <c r="I842" s="18" t="s">
        <v>5809</v>
      </c>
    </row>
    <row r="843" spans="1:9" ht="75">
      <c r="A843" s="12">
        <v>43574.393657407403</v>
      </c>
      <c r="B843" s="13" t="str">
        <f>HYPERLINK("https://twitter.com/kei_hayashi","@kei_hayashi")</f>
        <v>@kei_hayashi</v>
      </c>
      <c r="C843" s="14" t="s">
        <v>2563</v>
      </c>
      <c r="D843" s="15" t="s">
        <v>2564</v>
      </c>
      <c r="E843" s="16" t="str">
        <f>HYPERLINK("http://instagram.com","Instagram")</f>
        <v>Instagram</v>
      </c>
      <c r="F843" s="12">
        <v>40343.08929398148</v>
      </c>
      <c r="G843" s="17" t="s">
        <v>2783</v>
      </c>
      <c r="H843" s="35" t="s">
        <v>2565</v>
      </c>
      <c r="I843" s="18" t="s">
        <v>2566</v>
      </c>
    </row>
    <row r="844" spans="1:9" ht="75">
      <c r="A844" s="12">
        <v>43574.392384259263</v>
      </c>
      <c r="B844" s="13" t="str">
        <f>HYPERLINK("https://twitter.com/kei_hayashi","@kei_hayashi")</f>
        <v>@kei_hayashi</v>
      </c>
      <c r="C844" s="14" t="s">
        <v>2563</v>
      </c>
      <c r="D844" s="15" t="s">
        <v>2567</v>
      </c>
      <c r="E844" s="16" t="str">
        <f>HYPERLINK("http://instagram.com","Instagram")</f>
        <v>Instagram</v>
      </c>
      <c r="F844" s="12">
        <v>40343.08929398148</v>
      </c>
      <c r="G844" s="17" t="s">
        <v>2783</v>
      </c>
      <c r="H844" s="35" t="s">
        <v>2565</v>
      </c>
      <c r="I844" s="18" t="s">
        <v>2566</v>
      </c>
    </row>
    <row r="845" spans="1:9" ht="75">
      <c r="A845" s="12">
        <v>43574.387719907405</v>
      </c>
      <c r="B845" s="13" t="str">
        <f>HYPERLINK("https://twitter.com/kei_hayashi","@kei_hayashi")</f>
        <v>@kei_hayashi</v>
      </c>
      <c r="C845" s="14" t="s">
        <v>2563</v>
      </c>
      <c r="D845" s="15" t="s">
        <v>2568</v>
      </c>
      <c r="E845" s="16" t="str">
        <f>HYPERLINK("http://instagram.com","Instagram")</f>
        <v>Instagram</v>
      </c>
      <c r="F845" s="12">
        <v>40343.08929398148</v>
      </c>
      <c r="G845" s="17" t="s">
        <v>2783</v>
      </c>
      <c r="H845" s="35" t="s">
        <v>2565</v>
      </c>
      <c r="I845" s="18" t="s">
        <v>2566</v>
      </c>
    </row>
    <row r="846" spans="1:9" ht="75">
      <c r="A846" s="12">
        <v>43574.385636574079</v>
      </c>
      <c r="B846" s="13" t="str">
        <f>HYPERLINK("https://twitter.com/kei_hayashi","@kei_hayashi")</f>
        <v>@kei_hayashi</v>
      </c>
      <c r="C846" s="14" t="s">
        <v>2563</v>
      </c>
      <c r="D846" s="15" t="s">
        <v>2568</v>
      </c>
      <c r="E846" s="16" t="str">
        <f>HYPERLINK("http://instagram.com","Instagram")</f>
        <v>Instagram</v>
      </c>
      <c r="F846" s="12">
        <v>40343.08929398148</v>
      </c>
      <c r="G846" s="17" t="s">
        <v>2783</v>
      </c>
      <c r="H846" s="35" t="s">
        <v>2565</v>
      </c>
      <c r="I846" s="18" t="s">
        <v>2566</v>
      </c>
    </row>
    <row r="847" spans="1:9" ht="105">
      <c r="A847" s="19">
        <v>43544.757592592592</v>
      </c>
      <c r="B847" s="20" t="str">
        <f>HYPERLINK("https://twitter.com/withcryptomill","@withcryptomill")</f>
        <v>@withcryptomill</v>
      </c>
      <c r="C847" s="21" t="s">
        <v>9351</v>
      </c>
      <c r="D847" s="22" t="s">
        <v>9352</v>
      </c>
      <c r="E847" s="23" t="str">
        <f>HYPERLINK("http://twitter.com/download/iphone","Twitter for iPhone")</f>
        <v>Twitter for iPhone</v>
      </c>
      <c r="F847" s="19">
        <v>43142.039178240739</v>
      </c>
      <c r="G847" s="17" t="s">
        <v>2783</v>
      </c>
      <c r="H847" s="35" t="s">
        <v>9353</v>
      </c>
      <c r="I847" s="25" t="s">
        <v>9354</v>
      </c>
    </row>
    <row r="848" spans="1:9" ht="105">
      <c r="A848" s="4">
        <v>43556.877384259264</v>
      </c>
      <c r="B848" s="5" t="str">
        <f>HYPERLINK("https://twitter.com/Hansalifarmstay","@Hansalifarmstay")</f>
        <v>@Hansalifarmstay</v>
      </c>
      <c r="C848" s="6" t="s">
        <v>12713</v>
      </c>
      <c r="D848" s="7" t="s">
        <v>12714</v>
      </c>
      <c r="E848" s="8" t="str">
        <f>HYPERLINK("http://twitter.com/download/android","Twitter for Android")</f>
        <v>Twitter for Android</v>
      </c>
      <c r="F848" s="4">
        <v>43401.832905092597</v>
      </c>
      <c r="G848" s="9" t="s">
        <v>2783</v>
      </c>
      <c r="H848" s="35" t="s">
        <v>12715</v>
      </c>
      <c r="I848" s="10" t="s">
        <v>12716</v>
      </c>
    </row>
    <row r="849" spans="1:9" ht="105">
      <c r="A849" s="12">
        <v>43571.014432870375</v>
      </c>
      <c r="B849" s="13" t="str">
        <f>HYPERLINK("https://twitter.com/GuidingOnline","@GuidingOnline")</f>
        <v>@GuidingOnline</v>
      </c>
      <c r="C849" s="14" t="s">
        <v>3893</v>
      </c>
      <c r="D849" s="15" t="s">
        <v>3894</v>
      </c>
      <c r="E849" s="16" t="str">
        <f>HYPERLINK("https://mobile.twitter.com","Twitter Web App")</f>
        <v>Twitter Web App</v>
      </c>
      <c r="F849" s="12">
        <v>43251.032349537039</v>
      </c>
      <c r="G849" s="17" t="s">
        <v>2783</v>
      </c>
      <c r="H849" s="35" t="s">
        <v>3895</v>
      </c>
      <c r="I849" s="18" t="s">
        <v>3896</v>
      </c>
    </row>
    <row r="850" spans="1:9" ht="45">
      <c r="A850" s="19">
        <v>43550.239618055552</v>
      </c>
      <c r="B850" s="20" t="str">
        <f>HYPERLINK("https://twitter.com/luigene","@luigene")</f>
        <v>@luigene</v>
      </c>
      <c r="C850" s="21" t="s">
        <v>7776</v>
      </c>
      <c r="D850" s="22" t="s">
        <v>7777</v>
      </c>
      <c r="E850" s="23" t="str">
        <f>HYPERLINK("http://twitter.com/download/iphone","Twitter for iPhone")</f>
        <v>Twitter for iPhone</v>
      </c>
      <c r="F850" s="19">
        <v>39951.147557870368</v>
      </c>
      <c r="G850" s="9" t="s">
        <v>2783</v>
      </c>
      <c r="H850" s="35" t="s">
        <v>7778</v>
      </c>
      <c r="I850" s="25" t="s">
        <v>7779</v>
      </c>
    </row>
    <row r="851" spans="1:9" ht="90">
      <c r="A851" s="19">
        <v>43545.814687499995</v>
      </c>
      <c r="B851" s="20" t="str">
        <f>HYPERLINK("https://twitter.com/luigene","@luigene")</f>
        <v>@luigene</v>
      </c>
      <c r="C851" s="21" t="s">
        <v>7776</v>
      </c>
      <c r="D851" s="22" t="s">
        <v>9045</v>
      </c>
      <c r="E851" s="23" t="str">
        <f>HYPERLINK("http://twitter.com/download/iphone","Twitter for iPhone")</f>
        <v>Twitter for iPhone</v>
      </c>
      <c r="F851" s="19">
        <v>39951.147557870368</v>
      </c>
      <c r="G851" s="9" t="s">
        <v>2783</v>
      </c>
      <c r="H851" s="35" t="s">
        <v>7778</v>
      </c>
      <c r="I851" s="25" t="s">
        <v>7779</v>
      </c>
    </row>
    <row r="852" spans="1:9" ht="45">
      <c r="A852" s="4">
        <v>43562.757002314815</v>
      </c>
      <c r="B852" s="5" t="str">
        <f>HYPERLINK("https://twitter.com/goseasia","@goseasia")</f>
        <v>@goseasia</v>
      </c>
      <c r="C852" s="6" t="s">
        <v>10596</v>
      </c>
      <c r="D852" s="7" t="s">
        <v>10597</v>
      </c>
      <c r="E852" s="8" t="str">
        <f>HYPERLINK("https://www.hootsuite.com","Hootsuite Inc.")</f>
        <v>Hootsuite Inc.</v>
      </c>
      <c r="F852" s="4">
        <v>40085.061886574076</v>
      </c>
      <c r="G852" s="9" t="s">
        <v>2783</v>
      </c>
      <c r="H852" s="35" t="s">
        <v>7778</v>
      </c>
      <c r="I852" s="10" t="s">
        <v>10598</v>
      </c>
    </row>
    <row r="853" spans="1:9" ht="75">
      <c r="A853" s="19">
        <v>43550.103587962964</v>
      </c>
      <c r="B853" s="20" t="str">
        <f>HYPERLINK("https://twitter.com/villawambatu","@villawambatu")</f>
        <v>@villawambatu</v>
      </c>
      <c r="C853" s="21" t="s">
        <v>7830</v>
      </c>
      <c r="D853" s="22" t="s">
        <v>7831</v>
      </c>
      <c r="E853" s="23" t="str">
        <f>HYPERLINK("http://twitter.com","Twitter Web Client")</f>
        <v>Twitter Web Client</v>
      </c>
      <c r="F853" s="19">
        <v>43353.148298611108</v>
      </c>
      <c r="G853" s="24" t="s">
        <v>2783</v>
      </c>
      <c r="H853" s="35" t="s">
        <v>7832</v>
      </c>
      <c r="I853" s="25" t="s">
        <v>7833</v>
      </c>
    </row>
    <row r="854" spans="1:9" ht="105">
      <c r="A854" s="19">
        <v>43545.869120370371</v>
      </c>
      <c r="B854" s="20" t="str">
        <f>HYPERLINK("https://twitter.com/villawambatu","@villawambatu")</f>
        <v>@villawambatu</v>
      </c>
      <c r="C854" s="21" t="s">
        <v>7830</v>
      </c>
      <c r="D854" s="22" t="s">
        <v>9018</v>
      </c>
      <c r="E854" s="23" t="str">
        <f>HYPERLINK("http://twitter.com","Twitter Web Client")</f>
        <v>Twitter Web Client</v>
      </c>
      <c r="F854" s="19">
        <v>43353.148298611108</v>
      </c>
      <c r="G854" s="24" t="s">
        <v>2783</v>
      </c>
      <c r="H854" s="35" t="s">
        <v>7832</v>
      </c>
      <c r="I854" s="25" t="s">
        <v>7833</v>
      </c>
    </row>
    <row r="855" spans="1:9" ht="105">
      <c r="A855" s="19">
        <v>43545.047430555554</v>
      </c>
      <c r="B855" s="20" t="str">
        <f>HYPERLINK("https://twitter.com/villawambatu","@villawambatu")</f>
        <v>@villawambatu</v>
      </c>
      <c r="C855" s="21" t="s">
        <v>7830</v>
      </c>
      <c r="D855" s="22" t="s">
        <v>9290</v>
      </c>
      <c r="E855" s="23" t="str">
        <f>HYPERLINK("http://twitter.com","Twitter Web Client")</f>
        <v>Twitter Web Client</v>
      </c>
      <c r="F855" s="19">
        <v>43353.148298611108</v>
      </c>
      <c r="G855" s="24" t="s">
        <v>2783</v>
      </c>
      <c r="H855" s="35" t="s">
        <v>7832</v>
      </c>
      <c r="I855" s="25" t="s">
        <v>7833</v>
      </c>
    </row>
    <row r="856" spans="1:9" ht="75">
      <c r="A856" s="4">
        <v>43559.836886574078</v>
      </c>
      <c r="B856" s="5" t="str">
        <f>HYPERLINK("https://twitter.com/villawambatu","@villawambatu")</f>
        <v>@villawambatu</v>
      </c>
      <c r="C856" s="6" t="s">
        <v>7830</v>
      </c>
      <c r="D856" s="7" t="s">
        <v>11677</v>
      </c>
      <c r="E856" s="8" t="str">
        <f>HYPERLINK("http://twitter.com","Twitter Web Client")</f>
        <v>Twitter Web Client</v>
      </c>
      <c r="F856" s="4">
        <v>43353.148298611108</v>
      </c>
      <c r="G856" s="24" t="s">
        <v>2783</v>
      </c>
      <c r="H856" s="35" t="s">
        <v>7832</v>
      </c>
      <c r="I856" s="10" t="s">
        <v>7833</v>
      </c>
    </row>
    <row r="857" spans="1:9" ht="45">
      <c r="A857" s="19">
        <v>43549.453796296293</v>
      </c>
      <c r="B857" s="20" t="str">
        <f>HYPERLINK("https://twitter.com/Templeberg","@Templeberg")</f>
        <v>@Templeberg</v>
      </c>
      <c r="C857" s="21" t="s">
        <v>12803</v>
      </c>
      <c r="D857" s="22" t="s">
        <v>12804</v>
      </c>
      <c r="E857" s="23" t="str">
        <f>HYPERLINK("http://twitter.com/download/iphone","Twitter for iPhone")</f>
        <v>Twitter for iPhone</v>
      </c>
      <c r="F857" s="19">
        <v>41224.842824074076</v>
      </c>
      <c r="G857" s="24" t="s">
        <v>2783</v>
      </c>
      <c r="H857" s="35" t="s">
        <v>12805</v>
      </c>
      <c r="I857" s="25" t="s">
        <v>12806</v>
      </c>
    </row>
    <row r="858" spans="1:9" ht="45">
      <c r="A858" s="4">
        <v>43564.805358796293</v>
      </c>
      <c r="B858" s="5" t="str">
        <f>HYPERLINK("https://twitter.com/karenayin","@karenayin")</f>
        <v>@karenayin</v>
      </c>
      <c r="C858" s="6" t="s">
        <v>6405</v>
      </c>
      <c r="D858" s="7" t="s">
        <v>6406</v>
      </c>
      <c r="E858" s="8" t="str">
        <f>HYPERLINK("http://instagram.com","Instagram")</f>
        <v>Instagram</v>
      </c>
      <c r="F858" s="4">
        <v>40331.912847222222</v>
      </c>
      <c r="G858" s="24" t="s">
        <v>2783</v>
      </c>
      <c r="H858" s="35" t="s">
        <v>6407</v>
      </c>
      <c r="I858" s="10" t="s">
        <v>6408</v>
      </c>
    </row>
    <row r="859" spans="1:9" ht="45">
      <c r="A859" s="12">
        <v>43579.87327546296</v>
      </c>
      <c r="B859" s="13" t="str">
        <f>HYPERLINK("https://twitter.com/sleochiang","@sleochiang")</f>
        <v>@sleochiang</v>
      </c>
      <c r="C859" s="14" t="s">
        <v>419</v>
      </c>
      <c r="D859" s="15" t="s">
        <v>420</v>
      </c>
      <c r="E859" s="16" t="str">
        <f>HYPERLINK("http://instagram.com","Instagram")</f>
        <v>Instagram</v>
      </c>
      <c r="F859" s="12">
        <v>39911.405844907407</v>
      </c>
      <c r="G859" s="24" t="s">
        <v>2783</v>
      </c>
      <c r="H859" s="35" t="s">
        <v>421</v>
      </c>
      <c r="I859" s="18" t="s">
        <v>422</v>
      </c>
    </row>
    <row r="860" spans="1:9" ht="30">
      <c r="A860" s="19">
        <v>43543.42288194444</v>
      </c>
      <c r="B860" s="20" t="str">
        <f>HYPERLINK("https://twitter.com/lpa0308","@lpa0308")</f>
        <v>@lpa0308</v>
      </c>
      <c r="C860" s="21" t="s">
        <v>9813</v>
      </c>
      <c r="D860" s="22" t="s">
        <v>9814</v>
      </c>
      <c r="E860" s="23" t="str">
        <f>HYPERLINK("http://twitter.com/download/iphone","Twitter for iPhone")</f>
        <v>Twitter for iPhone</v>
      </c>
      <c r="F860" s="19">
        <v>39972.17833333333</v>
      </c>
      <c r="G860" s="24" t="s">
        <v>2783</v>
      </c>
      <c r="H860" s="35" t="s">
        <v>9815</v>
      </c>
      <c r="I860" s="25"/>
    </row>
    <row r="861" spans="1:9" ht="30">
      <c r="A861" s="4">
        <v>43565.065879629634</v>
      </c>
      <c r="B861" s="5" t="str">
        <f>HYPERLINK("https://twitter.com/PressTV","@PressTV")</f>
        <v>@PressTV</v>
      </c>
      <c r="C861" s="6" t="s">
        <v>6307</v>
      </c>
      <c r="D861" s="7" t="s">
        <v>6262</v>
      </c>
      <c r="E861" s="8" t="str">
        <f>HYPERLINK("http://twitter.com","Twitter Web Client")</f>
        <v>Twitter Web Client</v>
      </c>
      <c r="F861" s="4">
        <v>40440.271215277782</v>
      </c>
      <c r="G861" s="9" t="s">
        <v>2783</v>
      </c>
      <c r="H861" s="35" t="s">
        <v>6308</v>
      </c>
      <c r="I861" s="10" t="s">
        <v>6309</v>
      </c>
    </row>
    <row r="862" spans="1:9" ht="45">
      <c r="A862" s="4">
        <v>43564.582303240742</v>
      </c>
      <c r="B862" s="5" t="str">
        <f>HYPERLINK("https://twitter.com/ErezNeumark","@ErezNeumark")</f>
        <v>@ErezNeumark</v>
      </c>
      <c r="C862" s="6" t="s">
        <v>6537</v>
      </c>
      <c r="D862" s="7" t="s">
        <v>6538</v>
      </c>
      <c r="E862" s="8" t="str">
        <f>HYPERLINK("http://twitter.com/download/android","Twitter for Android")</f>
        <v>Twitter for Android</v>
      </c>
      <c r="F862" s="4">
        <v>42832.420567129629</v>
      </c>
      <c r="G862" s="9" t="s">
        <v>2783</v>
      </c>
      <c r="H862" s="35" t="s">
        <v>6539</v>
      </c>
      <c r="I862" s="10" t="s">
        <v>10210</v>
      </c>
    </row>
    <row r="863" spans="1:9" ht="45">
      <c r="A863" s="12">
        <v>43564.582303240742</v>
      </c>
      <c r="B863" s="13" t="str">
        <f>HYPERLINK("https://twitter.com/ErezNeumark","@ErezNeumark")</f>
        <v>@ErezNeumark</v>
      </c>
      <c r="C863" s="14" t="s">
        <v>6537</v>
      </c>
      <c r="D863" s="15" t="s">
        <v>6538</v>
      </c>
      <c r="E863" s="16" t="str">
        <f>HYPERLINK("http://twitter.com/download/android","Twitter for Android")</f>
        <v>Twitter for Android</v>
      </c>
      <c r="F863" s="12">
        <v>42832.420567129629</v>
      </c>
      <c r="G863" s="17" t="s">
        <v>2783</v>
      </c>
      <c r="H863" s="35" t="s">
        <v>6539</v>
      </c>
      <c r="I863" s="18" t="s">
        <v>6540</v>
      </c>
    </row>
    <row r="864" spans="1:9" ht="60">
      <c r="A864" s="19">
        <v>43551.842152777783</v>
      </c>
      <c r="B864" s="20" t="str">
        <f t="shared" ref="B864:B873" si="37">HYPERLINK("https://twitter.com/myillegalhotel","@myillegalhotel")</f>
        <v>@myillegalhotel</v>
      </c>
      <c r="C864" s="21" t="s">
        <v>151</v>
      </c>
      <c r="D864" s="22" t="s">
        <v>6984</v>
      </c>
      <c r="E864" s="23" t="str">
        <f>HYPERLINK("http://twitter.com/download/android","Twitter for Android")</f>
        <v>Twitter for Android</v>
      </c>
      <c r="F864" s="19">
        <v>43253.883020833338</v>
      </c>
      <c r="G864" s="24" t="s">
        <v>2783</v>
      </c>
      <c r="H864" s="35" t="s">
        <v>1047</v>
      </c>
      <c r="I864" s="25" t="s">
        <v>1048</v>
      </c>
    </row>
    <row r="865" spans="1:9" ht="90">
      <c r="A865" s="19">
        <v>43550.143935185188</v>
      </c>
      <c r="B865" s="20" t="str">
        <f t="shared" si="37"/>
        <v>@myillegalhotel</v>
      </c>
      <c r="C865" s="21" t="s">
        <v>151</v>
      </c>
      <c r="D865" s="22" t="s">
        <v>7815</v>
      </c>
      <c r="E865" s="23" t="str">
        <f>HYPERLINK("http://www.linkedin.com/","LinkedIn")</f>
        <v>LinkedIn</v>
      </c>
      <c r="F865" s="19">
        <v>43253.883020833338</v>
      </c>
      <c r="G865" s="24" t="s">
        <v>2783</v>
      </c>
      <c r="H865" s="35" t="s">
        <v>1047</v>
      </c>
      <c r="I865" s="25" t="s">
        <v>1048</v>
      </c>
    </row>
    <row r="866" spans="1:9" ht="60">
      <c r="A866" s="19">
        <v>43549.885706018518</v>
      </c>
      <c r="B866" s="20" t="str">
        <f t="shared" si="37"/>
        <v>@myillegalhotel</v>
      </c>
      <c r="C866" s="21" t="s">
        <v>151</v>
      </c>
      <c r="D866" s="22" t="s">
        <v>7888</v>
      </c>
      <c r="E866" s="23" t="str">
        <f>HYPERLINK("http://www.linkedin.com/","LinkedIn")</f>
        <v>LinkedIn</v>
      </c>
      <c r="F866" s="19">
        <v>43253.883020833338</v>
      </c>
      <c r="G866" s="24" t="s">
        <v>2783</v>
      </c>
      <c r="H866" s="35" t="s">
        <v>1047</v>
      </c>
      <c r="I866" s="25" t="s">
        <v>1048</v>
      </c>
    </row>
    <row r="867" spans="1:9" ht="75">
      <c r="A867" s="19">
        <v>43549.769525462965</v>
      </c>
      <c r="B867" s="20" t="str">
        <f t="shared" si="37"/>
        <v>@myillegalhotel</v>
      </c>
      <c r="C867" s="21" t="s">
        <v>151</v>
      </c>
      <c r="D867" s="22" t="s">
        <v>7933</v>
      </c>
      <c r="E867" s="23" t="str">
        <f>HYPERLINK("http://twitter.com","Twitter Web Client")</f>
        <v>Twitter Web Client</v>
      </c>
      <c r="F867" s="19">
        <v>43253.883020833338</v>
      </c>
      <c r="G867" s="24" t="s">
        <v>2783</v>
      </c>
      <c r="H867" s="35" t="s">
        <v>1047</v>
      </c>
      <c r="I867" s="25" t="s">
        <v>1048</v>
      </c>
    </row>
    <row r="868" spans="1:9" ht="90">
      <c r="A868" s="19">
        <v>43548.122476851851</v>
      </c>
      <c r="B868" s="20" t="str">
        <f t="shared" si="37"/>
        <v>@myillegalhotel</v>
      </c>
      <c r="C868" s="21" t="s">
        <v>151</v>
      </c>
      <c r="D868" s="22" t="s">
        <v>8405</v>
      </c>
      <c r="E868" s="23" t="str">
        <f>HYPERLINK("http://www.linkedin.com/","LinkedIn")</f>
        <v>LinkedIn</v>
      </c>
      <c r="F868" s="19">
        <v>43253.883020833338</v>
      </c>
      <c r="G868" s="24" t="s">
        <v>2783</v>
      </c>
      <c r="H868" s="35" t="s">
        <v>1047</v>
      </c>
      <c r="I868" s="25" t="s">
        <v>1048</v>
      </c>
    </row>
    <row r="869" spans="1:9" ht="105">
      <c r="A869" s="19">
        <v>43547.898842592593</v>
      </c>
      <c r="B869" s="20" t="str">
        <f t="shared" si="37"/>
        <v>@myillegalhotel</v>
      </c>
      <c r="C869" s="21" t="s">
        <v>151</v>
      </c>
      <c r="D869" s="22" t="s">
        <v>8448</v>
      </c>
      <c r="E869" s="23" t="str">
        <f>HYPERLINK("http://twitter.com","Twitter Web Client")</f>
        <v>Twitter Web Client</v>
      </c>
      <c r="F869" s="19">
        <v>43253.883020833338</v>
      </c>
      <c r="G869" s="24" t="s">
        <v>2783</v>
      </c>
      <c r="H869" s="35" t="s">
        <v>1047</v>
      </c>
      <c r="I869" s="25" t="s">
        <v>1048</v>
      </c>
    </row>
    <row r="870" spans="1:9" ht="90">
      <c r="A870" s="19">
        <v>43544.766608796301</v>
      </c>
      <c r="B870" s="20" t="str">
        <f t="shared" si="37"/>
        <v>@myillegalhotel</v>
      </c>
      <c r="C870" s="21" t="s">
        <v>151</v>
      </c>
      <c r="D870" s="22" t="s">
        <v>9345</v>
      </c>
      <c r="E870" s="23" t="str">
        <f>HYPERLINK("http://www.linkedin.com/","LinkedIn")</f>
        <v>LinkedIn</v>
      </c>
      <c r="F870" s="19">
        <v>43253.883020833338</v>
      </c>
      <c r="G870" s="24" t="s">
        <v>2783</v>
      </c>
      <c r="H870" s="35" t="s">
        <v>1047</v>
      </c>
      <c r="I870" s="25" t="s">
        <v>1048</v>
      </c>
    </row>
    <row r="871" spans="1:9" ht="90">
      <c r="A871" s="19">
        <v>43543.939930555556</v>
      </c>
      <c r="B871" s="20" t="str">
        <f t="shared" si="37"/>
        <v>@myillegalhotel</v>
      </c>
      <c r="C871" s="21" t="s">
        <v>151</v>
      </c>
      <c r="D871" s="22" t="s">
        <v>9654</v>
      </c>
      <c r="E871" s="23" t="str">
        <f>HYPERLINK("http://www.linkedin.com/","LinkedIn")</f>
        <v>LinkedIn</v>
      </c>
      <c r="F871" s="19">
        <v>43253.883020833338</v>
      </c>
      <c r="G871" s="24" t="s">
        <v>2783</v>
      </c>
      <c r="H871" s="35" t="s">
        <v>1047</v>
      </c>
      <c r="I871" s="25" t="s">
        <v>1048</v>
      </c>
    </row>
    <row r="872" spans="1:9" ht="90">
      <c r="A872" s="19">
        <v>43542.880520833336</v>
      </c>
      <c r="B872" s="20" t="str">
        <f t="shared" si="37"/>
        <v>@myillegalhotel</v>
      </c>
      <c r="C872" s="21" t="s">
        <v>151</v>
      </c>
      <c r="D872" s="22" t="s">
        <v>10000</v>
      </c>
      <c r="E872" s="23" t="str">
        <f>HYPERLINK("http://www.linkedin.com/","LinkedIn")</f>
        <v>LinkedIn</v>
      </c>
      <c r="F872" s="19">
        <v>43253.883020833338</v>
      </c>
      <c r="G872" s="24" t="s">
        <v>2783</v>
      </c>
      <c r="H872" s="35" t="s">
        <v>1047</v>
      </c>
      <c r="I872" s="25" t="s">
        <v>1048</v>
      </c>
    </row>
    <row r="873" spans="1:9" ht="90">
      <c r="A873" s="4">
        <v>43564.967581018514</v>
      </c>
      <c r="B873" s="5" t="str">
        <f t="shared" si="37"/>
        <v>@myillegalhotel</v>
      </c>
      <c r="C873" s="6" t="s">
        <v>151</v>
      </c>
      <c r="D873" s="7" t="s">
        <v>6362</v>
      </c>
      <c r="E873" s="8" t="str">
        <f>HYPERLINK("http://twitter.com","Twitter Web Client")</f>
        <v>Twitter Web Client</v>
      </c>
      <c r="F873" s="4">
        <v>43253.883020833338</v>
      </c>
      <c r="G873" s="24" t="s">
        <v>2783</v>
      </c>
      <c r="H873" s="35" t="s">
        <v>1047</v>
      </c>
      <c r="I873" s="10" t="s">
        <v>1048</v>
      </c>
    </row>
    <row r="874" spans="1:9" ht="45">
      <c r="A874" s="4">
        <v>43564.917442129634</v>
      </c>
      <c r="B874" s="5" t="str">
        <f>HYPERLINK("https://twitter.com/Jinbo13","@Jinbo13")</f>
        <v>@Jinbo13</v>
      </c>
      <c r="C874" s="6" t="s">
        <v>6382</v>
      </c>
      <c r="D874" s="7" t="s">
        <v>6383</v>
      </c>
      <c r="E874" s="8" t="str">
        <f>HYPERLINK("http://twitter.com/download/iphone","Twitter for iPhone")</f>
        <v>Twitter for iPhone</v>
      </c>
      <c r="F874" s="4">
        <v>40123.226180555554</v>
      </c>
      <c r="G874" s="24" t="s">
        <v>2783</v>
      </c>
      <c r="H874" s="35" t="s">
        <v>153</v>
      </c>
      <c r="I874" s="10" t="s">
        <v>6384</v>
      </c>
    </row>
    <row r="875" spans="1:9" ht="60">
      <c r="A875" s="4">
        <v>43564.099074074074</v>
      </c>
      <c r="B875" s="5" t="str">
        <f>HYPERLINK("https://twitter.com/myillegalhotel","@myillegalhotel")</f>
        <v>@myillegalhotel</v>
      </c>
      <c r="C875" s="6" t="s">
        <v>151</v>
      </c>
      <c r="D875" s="7" t="s">
        <v>6786</v>
      </c>
      <c r="E875" s="8" t="str">
        <f>HYPERLINK("http://twitter.com/download/android","Twitter for Android")</f>
        <v>Twitter for Android</v>
      </c>
      <c r="F875" s="4">
        <v>43253.883020833338</v>
      </c>
      <c r="G875" s="24" t="s">
        <v>2783</v>
      </c>
      <c r="H875" s="35" t="s">
        <v>1047</v>
      </c>
      <c r="I875" s="10" t="s">
        <v>1048</v>
      </c>
    </row>
    <row r="876" spans="1:9" ht="75">
      <c r="A876" s="4">
        <v>43563.870335648149</v>
      </c>
      <c r="B876" s="5" t="str">
        <f>HYPERLINK("https://twitter.com/myillegalhotel","@myillegalhotel")</f>
        <v>@myillegalhotel</v>
      </c>
      <c r="C876" s="6" t="s">
        <v>151</v>
      </c>
      <c r="D876" s="7" t="s">
        <v>6858</v>
      </c>
      <c r="E876" s="8" t="str">
        <f>HYPERLINK("http://www.linkedin.com/","LinkedIn")</f>
        <v>LinkedIn</v>
      </c>
      <c r="F876" s="4">
        <v>43253.883020833338</v>
      </c>
      <c r="G876" s="24" t="s">
        <v>2783</v>
      </c>
      <c r="H876" s="35" t="s">
        <v>1047</v>
      </c>
      <c r="I876" s="10" t="s">
        <v>1048</v>
      </c>
    </row>
    <row r="877" spans="1:9" ht="75">
      <c r="A877" s="4">
        <v>43563.812893518523</v>
      </c>
      <c r="B877" s="5" t="str">
        <f>HYPERLINK("https://twitter.com/myillegalhotel","@myillegalhotel")</f>
        <v>@myillegalhotel</v>
      </c>
      <c r="C877" s="6" t="s">
        <v>151</v>
      </c>
      <c r="D877" s="7" t="s">
        <v>6871</v>
      </c>
      <c r="E877" s="8" t="str">
        <f>HYPERLINK("http://www.linkedin.com/","LinkedIn")</f>
        <v>LinkedIn</v>
      </c>
      <c r="F877" s="4">
        <v>43253.883020833338</v>
      </c>
      <c r="G877" s="24" t="s">
        <v>2783</v>
      </c>
      <c r="H877" s="35" t="s">
        <v>1047</v>
      </c>
      <c r="I877" s="10" t="s">
        <v>1048</v>
      </c>
    </row>
    <row r="878" spans="1:9" ht="90">
      <c r="A878" s="4">
        <v>43562.948391203703</v>
      </c>
      <c r="B878" s="5" t="str">
        <f>HYPERLINK("https://twitter.com/myillegalhotel","@myillegalhotel")</f>
        <v>@myillegalhotel</v>
      </c>
      <c r="C878" s="6" t="s">
        <v>151</v>
      </c>
      <c r="D878" s="7" t="s">
        <v>10535</v>
      </c>
      <c r="E878" s="8" t="str">
        <f>HYPERLINK("http://www.linkedin.com/","LinkedIn")</f>
        <v>LinkedIn</v>
      </c>
      <c r="F878" s="4">
        <v>43253.883020833338</v>
      </c>
      <c r="G878" s="24" t="s">
        <v>2783</v>
      </c>
      <c r="H878" s="35" t="s">
        <v>1047</v>
      </c>
      <c r="I878" s="10" t="s">
        <v>1048</v>
      </c>
    </row>
    <row r="879" spans="1:9" ht="75">
      <c r="A879" s="4">
        <v>43560.824363425927</v>
      </c>
      <c r="B879" s="5" t="str">
        <f>HYPERLINK("https://twitter.com/myillegalhotel","@myillegalhotel")</f>
        <v>@myillegalhotel</v>
      </c>
      <c r="C879" s="6" t="s">
        <v>151</v>
      </c>
      <c r="D879" s="7" t="s">
        <v>11150</v>
      </c>
      <c r="E879" s="8" t="str">
        <f>HYPERLINK("http://www.linkedin.com/","LinkedIn")</f>
        <v>LinkedIn</v>
      </c>
      <c r="F879" s="4">
        <v>43253.883020833338</v>
      </c>
      <c r="G879" s="24" t="s">
        <v>2783</v>
      </c>
      <c r="H879" s="35" t="s">
        <v>1047</v>
      </c>
      <c r="I879" s="10" t="s">
        <v>1048</v>
      </c>
    </row>
    <row r="880" spans="1:9" ht="75">
      <c r="A880" s="4">
        <v>43559.173726851848</v>
      </c>
      <c r="B880" s="5" t="str">
        <f>HYPERLINK("https://twitter.com/wouarfwouarf","@wouarfwouarf")</f>
        <v>@wouarfwouarf</v>
      </c>
      <c r="C880" s="6" t="s">
        <v>11922</v>
      </c>
      <c r="D880" s="7" t="s">
        <v>11923</v>
      </c>
      <c r="E880" s="8" t="str">
        <f>HYPERLINK("http://twitter.com","Twitter Web Client")</f>
        <v>Twitter Web Client</v>
      </c>
      <c r="F880" s="4">
        <v>39912.603356481479</v>
      </c>
      <c r="G880" s="24" t="s">
        <v>2783</v>
      </c>
      <c r="H880" s="35" t="s">
        <v>153</v>
      </c>
      <c r="I880" s="10" t="s">
        <v>11924</v>
      </c>
    </row>
    <row r="881" spans="1:9" ht="90">
      <c r="A881" s="4">
        <v>43558.858900462961</v>
      </c>
      <c r="B881" s="5" t="str">
        <f t="shared" ref="B881:B898" si="38">HYPERLINK("https://twitter.com/myillegalhotel","@myillegalhotel")</f>
        <v>@myillegalhotel</v>
      </c>
      <c r="C881" s="6" t="s">
        <v>151</v>
      </c>
      <c r="D881" s="7" t="s">
        <v>12010</v>
      </c>
      <c r="E881" s="8" t="str">
        <f t="shared" ref="E881:E886" si="39">HYPERLINK("http://www.linkedin.com/","LinkedIn")</f>
        <v>LinkedIn</v>
      </c>
      <c r="F881" s="4">
        <v>43253.883020833338</v>
      </c>
      <c r="G881" s="24" t="s">
        <v>2783</v>
      </c>
      <c r="H881" s="35" t="s">
        <v>1047</v>
      </c>
      <c r="I881" s="10" t="s">
        <v>1048</v>
      </c>
    </row>
    <row r="882" spans="1:9" ht="105">
      <c r="A882" s="4">
        <v>43558.848495370374</v>
      </c>
      <c r="B882" s="5" t="str">
        <f t="shared" si="38"/>
        <v>@myillegalhotel</v>
      </c>
      <c r="C882" s="6" t="s">
        <v>151</v>
      </c>
      <c r="D882" s="7" t="s">
        <v>12014</v>
      </c>
      <c r="E882" s="8" t="str">
        <f t="shared" si="39"/>
        <v>LinkedIn</v>
      </c>
      <c r="F882" s="4">
        <v>43253.883020833338</v>
      </c>
      <c r="G882" s="24" t="s">
        <v>2783</v>
      </c>
      <c r="H882" s="35" t="s">
        <v>1047</v>
      </c>
      <c r="I882" s="10" t="s">
        <v>1048</v>
      </c>
    </row>
    <row r="883" spans="1:9" ht="90">
      <c r="A883" s="4">
        <v>43557.891469907408</v>
      </c>
      <c r="B883" s="5" t="str">
        <f t="shared" si="38"/>
        <v>@myillegalhotel</v>
      </c>
      <c r="C883" s="6" t="s">
        <v>151</v>
      </c>
      <c r="D883" s="7" t="s">
        <v>12369</v>
      </c>
      <c r="E883" s="8" t="str">
        <f t="shared" si="39"/>
        <v>LinkedIn</v>
      </c>
      <c r="F883" s="4">
        <v>43253.883020833338</v>
      </c>
      <c r="G883" s="24" t="s">
        <v>2783</v>
      </c>
      <c r="H883" s="35" t="s">
        <v>1047</v>
      </c>
      <c r="I883" s="10" t="s">
        <v>1048</v>
      </c>
    </row>
    <row r="884" spans="1:9" ht="75">
      <c r="A884" s="4">
        <v>43557.780497685184</v>
      </c>
      <c r="B884" s="5" t="str">
        <f t="shared" si="38"/>
        <v>@myillegalhotel</v>
      </c>
      <c r="C884" s="6" t="s">
        <v>151</v>
      </c>
      <c r="D884" s="7" t="s">
        <v>12390</v>
      </c>
      <c r="E884" s="8" t="str">
        <f t="shared" si="39"/>
        <v>LinkedIn</v>
      </c>
      <c r="F884" s="4">
        <v>43253.883020833338</v>
      </c>
      <c r="G884" s="24" t="s">
        <v>2783</v>
      </c>
      <c r="H884" s="35" t="s">
        <v>1047</v>
      </c>
      <c r="I884" s="10" t="s">
        <v>1048</v>
      </c>
    </row>
    <row r="885" spans="1:9" ht="90">
      <c r="A885" s="12">
        <v>43580.663344907407</v>
      </c>
      <c r="B885" s="13" t="str">
        <f t="shared" si="38"/>
        <v>@myillegalhotel</v>
      </c>
      <c r="C885" s="14" t="s">
        <v>151</v>
      </c>
      <c r="D885" s="15" t="s">
        <v>152</v>
      </c>
      <c r="E885" s="16" t="str">
        <f t="shared" si="39"/>
        <v>LinkedIn</v>
      </c>
      <c r="F885" s="12">
        <v>43254.341354166667</v>
      </c>
      <c r="G885" s="24" t="s">
        <v>2783</v>
      </c>
      <c r="H885" s="35" t="s">
        <v>153</v>
      </c>
      <c r="I885" s="18" t="s">
        <v>154</v>
      </c>
    </row>
    <row r="886" spans="1:9" ht="75">
      <c r="A886" s="12">
        <v>43579.885381944448</v>
      </c>
      <c r="B886" s="13" t="str">
        <f t="shared" si="38"/>
        <v>@myillegalhotel</v>
      </c>
      <c r="C886" s="14" t="s">
        <v>151</v>
      </c>
      <c r="D886" s="15" t="s">
        <v>415</v>
      </c>
      <c r="E886" s="16" t="str">
        <f t="shared" si="39"/>
        <v>LinkedIn</v>
      </c>
      <c r="F886" s="12">
        <v>43253.883020833338</v>
      </c>
      <c r="G886" s="24" t="s">
        <v>2783</v>
      </c>
      <c r="H886" s="35" t="s">
        <v>153</v>
      </c>
      <c r="I886" s="18" t="s">
        <v>154</v>
      </c>
    </row>
    <row r="887" spans="1:9" ht="90">
      <c r="A887" s="12">
        <v>43579.065868055557</v>
      </c>
      <c r="B887" s="13" t="str">
        <f t="shared" si="38"/>
        <v>@myillegalhotel</v>
      </c>
      <c r="C887" s="14" t="s">
        <v>151</v>
      </c>
      <c r="D887" s="15" t="s">
        <v>946</v>
      </c>
      <c r="E887" s="16" t="str">
        <f>HYPERLINK("http://twitter.com","Twitter Web Client")</f>
        <v>Twitter Web Client</v>
      </c>
      <c r="F887" s="12">
        <v>43253.883020833338</v>
      </c>
      <c r="G887" s="24" t="s">
        <v>2783</v>
      </c>
      <c r="H887" s="35" t="s">
        <v>153</v>
      </c>
      <c r="I887" s="18" t="s">
        <v>154</v>
      </c>
    </row>
    <row r="888" spans="1:9" ht="90">
      <c r="A888" s="12">
        <v>43578.759479166663</v>
      </c>
      <c r="B888" s="13" t="str">
        <f t="shared" si="38"/>
        <v>@myillegalhotel</v>
      </c>
      <c r="C888" s="14" t="s">
        <v>151</v>
      </c>
      <c r="D888" s="15" t="s">
        <v>1046</v>
      </c>
      <c r="E888" s="16" t="str">
        <f>HYPERLINK("http://twitter.com","Twitter Web Client")</f>
        <v>Twitter Web Client</v>
      </c>
      <c r="F888" s="12">
        <v>43253.883020833338</v>
      </c>
      <c r="G888" s="24" t="s">
        <v>2783</v>
      </c>
      <c r="H888" s="35" t="s">
        <v>1047</v>
      </c>
      <c r="I888" s="18" t="s">
        <v>1048</v>
      </c>
    </row>
    <row r="889" spans="1:9" ht="75">
      <c r="A889" s="12">
        <v>43577.944004629629</v>
      </c>
      <c r="B889" s="13" t="str">
        <f t="shared" si="38"/>
        <v>@myillegalhotel</v>
      </c>
      <c r="C889" s="14" t="s">
        <v>151</v>
      </c>
      <c r="D889" s="15" t="s">
        <v>1445</v>
      </c>
      <c r="E889" s="16" t="str">
        <f t="shared" ref="E889:E896" si="40">HYPERLINK("http://www.linkedin.com/","LinkedIn")</f>
        <v>LinkedIn</v>
      </c>
      <c r="F889" s="12">
        <v>43253.883020833338</v>
      </c>
      <c r="G889" s="24" t="s">
        <v>2783</v>
      </c>
      <c r="H889" s="35" t="s">
        <v>1047</v>
      </c>
      <c r="I889" s="18" t="s">
        <v>1048</v>
      </c>
    </row>
    <row r="890" spans="1:9" ht="90">
      <c r="A890" s="12">
        <v>43572.870381944449</v>
      </c>
      <c r="B890" s="13" t="str">
        <f t="shared" si="38"/>
        <v>@myillegalhotel</v>
      </c>
      <c r="C890" s="14" t="s">
        <v>151</v>
      </c>
      <c r="D890" s="15" t="s">
        <v>3074</v>
      </c>
      <c r="E890" s="16" t="str">
        <f t="shared" si="40"/>
        <v>LinkedIn</v>
      </c>
      <c r="F890" s="12">
        <v>43253.883020833338</v>
      </c>
      <c r="G890" s="24" t="s">
        <v>2783</v>
      </c>
      <c r="H890" s="35" t="s">
        <v>1047</v>
      </c>
      <c r="I890" s="18" t="s">
        <v>1048</v>
      </c>
    </row>
    <row r="891" spans="1:9" ht="90">
      <c r="A891" s="12">
        <v>43572.855891203704</v>
      </c>
      <c r="B891" s="13" t="str">
        <f t="shared" si="38"/>
        <v>@myillegalhotel</v>
      </c>
      <c r="C891" s="14" t="s">
        <v>151</v>
      </c>
      <c r="D891" s="15" t="s">
        <v>3075</v>
      </c>
      <c r="E891" s="16" t="str">
        <f t="shared" si="40"/>
        <v>LinkedIn</v>
      </c>
      <c r="F891" s="12">
        <v>43253.883020833338</v>
      </c>
      <c r="G891" s="24" t="s">
        <v>2783</v>
      </c>
      <c r="H891" s="35" t="s">
        <v>1047</v>
      </c>
      <c r="I891" s="18" t="s">
        <v>1048</v>
      </c>
    </row>
    <row r="892" spans="1:9" ht="90">
      <c r="A892" s="12">
        <v>43572.771736111114</v>
      </c>
      <c r="B892" s="13" t="str">
        <f t="shared" si="38"/>
        <v>@myillegalhotel</v>
      </c>
      <c r="C892" s="14" t="s">
        <v>151</v>
      </c>
      <c r="D892" s="15" t="s">
        <v>3092</v>
      </c>
      <c r="E892" s="16" t="str">
        <f t="shared" si="40"/>
        <v>LinkedIn</v>
      </c>
      <c r="F892" s="12">
        <v>43253.883020833338</v>
      </c>
      <c r="G892" s="24" t="s">
        <v>2783</v>
      </c>
      <c r="H892" s="35" t="s">
        <v>1047</v>
      </c>
      <c r="I892" s="18" t="s">
        <v>1048</v>
      </c>
    </row>
    <row r="893" spans="1:9" ht="90">
      <c r="A893" s="12">
        <v>43571.854201388887</v>
      </c>
      <c r="B893" s="13" t="str">
        <f t="shared" si="38"/>
        <v>@myillegalhotel</v>
      </c>
      <c r="C893" s="14" t="s">
        <v>151</v>
      </c>
      <c r="D893" s="15" t="s">
        <v>3515</v>
      </c>
      <c r="E893" s="16" t="str">
        <f t="shared" si="40"/>
        <v>LinkedIn</v>
      </c>
      <c r="F893" s="12">
        <v>43253.883020833338</v>
      </c>
      <c r="G893" s="24" t="s">
        <v>2783</v>
      </c>
      <c r="H893" s="35" t="s">
        <v>1047</v>
      </c>
      <c r="I893" s="18" t="s">
        <v>1048</v>
      </c>
    </row>
    <row r="894" spans="1:9" ht="105">
      <c r="A894" s="12">
        <v>43571.83625</v>
      </c>
      <c r="B894" s="13" t="str">
        <f t="shared" si="38"/>
        <v>@myillegalhotel</v>
      </c>
      <c r="C894" s="14" t="s">
        <v>151</v>
      </c>
      <c r="D894" s="15" t="s">
        <v>3532</v>
      </c>
      <c r="E894" s="16" t="str">
        <f t="shared" si="40"/>
        <v>LinkedIn</v>
      </c>
      <c r="F894" s="12">
        <v>43253.883020833338</v>
      </c>
      <c r="G894" s="24" t="s">
        <v>2783</v>
      </c>
      <c r="H894" s="35" t="s">
        <v>1047</v>
      </c>
      <c r="I894" s="18" t="s">
        <v>1048</v>
      </c>
    </row>
    <row r="895" spans="1:9" ht="90">
      <c r="A895" s="12">
        <v>43570.84778935185</v>
      </c>
      <c r="B895" s="13" t="str">
        <f t="shared" si="38"/>
        <v>@myillegalhotel</v>
      </c>
      <c r="C895" s="14" t="s">
        <v>151</v>
      </c>
      <c r="D895" s="15" t="s">
        <v>3959</v>
      </c>
      <c r="E895" s="16" t="str">
        <f t="shared" si="40"/>
        <v>LinkedIn</v>
      </c>
      <c r="F895" s="12">
        <v>43253.883020833338</v>
      </c>
      <c r="G895" s="24" t="s">
        <v>2783</v>
      </c>
      <c r="H895" s="35" t="s">
        <v>1047</v>
      </c>
      <c r="I895" s="18" t="s">
        <v>1048</v>
      </c>
    </row>
    <row r="896" spans="1:9" ht="75">
      <c r="A896" s="12">
        <v>43566.895902777775</v>
      </c>
      <c r="B896" s="13" t="str">
        <f t="shared" si="38"/>
        <v>@myillegalhotel</v>
      </c>
      <c r="C896" s="14" t="s">
        <v>151</v>
      </c>
      <c r="D896" s="15" t="s">
        <v>5309</v>
      </c>
      <c r="E896" s="16" t="str">
        <f t="shared" si="40"/>
        <v>LinkedIn</v>
      </c>
      <c r="F896" s="12">
        <v>43253.883020833338</v>
      </c>
      <c r="G896" s="24" t="s">
        <v>2783</v>
      </c>
      <c r="H896" s="35" t="s">
        <v>1047</v>
      </c>
      <c r="I896" s="18" t="s">
        <v>1048</v>
      </c>
    </row>
    <row r="897" spans="1:9" ht="75">
      <c r="A897" s="12">
        <v>43566.699166666665</v>
      </c>
      <c r="B897" s="13" t="str">
        <f t="shared" si="38"/>
        <v>@myillegalhotel</v>
      </c>
      <c r="C897" s="14" t="s">
        <v>151</v>
      </c>
      <c r="D897" s="15" t="s">
        <v>5372</v>
      </c>
      <c r="E897" s="16" t="str">
        <f>HYPERLINK("http://twitter.com/download/android","Twitter for Android")</f>
        <v>Twitter for Android</v>
      </c>
      <c r="F897" s="12">
        <v>43253.883020833338</v>
      </c>
      <c r="G897" s="24" t="s">
        <v>2783</v>
      </c>
      <c r="H897" s="35" t="s">
        <v>1047</v>
      </c>
      <c r="I897" s="18" t="s">
        <v>1048</v>
      </c>
    </row>
    <row r="898" spans="1:9" ht="90">
      <c r="A898" s="12">
        <v>43565.847083333334</v>
      </c>
      <c r="B898" s="13" t="str">
        <f t="shared" si="38"/>
        <v>@myillegalhotel</v>
      </c>
      <c r="C898" s="14" t="s">
        <v>151</v>
      </c>
      <c r="D898" s="15" t="s">
        <v>5878</v>
      </c>
      <c r="E898" s="16" t="str">
        <f>HYPERLINK("http://www.linkedin.com/","LinkedIn")</f>
        <v>LinkedIn</v>
      </c>
      <c r="F898" s="12">
        <v>43253.883020833338</v>
      </c>
      <c r="G898" s="24" t="s">
        <v>2783</v>
      </c>
      <c r="H898" s="35" t="s">
        <v>1047</v>
      </c>
      <c r="I898" s="18" t="s">
        <v>1048</v>
      </c>
    </row>
    <row r="899" spans="1:9" ht="45">
      <c r="A899" s="12">
        <v>43571.887337962966</v>
      </c>
      <c r="B899" s="13" t="str">
        <f>HYPERLINK("https://twitter.com/ElsterD","@ElsterD")</f>
        <v>@ElsterD</v>
      </c>
      <c r="C899" s="14" t="s">
        <v>3508</v>
      </c>
      <c r="D899" s="15" t="s">
        <v>3509</v>
      </c>
      <c r="E899" s="16" t="str">
        <f>HYPERLINK("http://twitter.com/download/android","Twitter for Android")</f>
        <v>Twitter for Android</v>
      </c>
      <c r="F899" s="12">
        <v>40788.295208333337</v>
      </c>
      <c r="G899" s="24" t="s">
        <v>2783</v>
      </c>
      <c r="H899" s="35" t="s">
        <v>3510</v>
      </c>
      <c r="I899" s="18" t="s">
        <v>3511</v>
      </c>
    </row>
    <row r="900" spans="1:9" ht="45">
      <c r="A900" s="19">
        <v>43545.822094907402</v>
      </c>
      <c r="B900" s="20" t="str">
        <f>HYPERLINK("https://twitter.com/siamwldheritage","@siamwldheritage")</f>
        <v>@siamwldheritage</v>
      </c>
      <c r="C900" s="21" t="s">
        <v>9037</v>
      </c>
      <c r="D900" s="22" t="s">
        <v>9038</v>
      </c>
      <c r="E900" s="23" t="str">
        <f>HYPERLINK("https://ifttt.com","IFTTT")</f>
        <v>IFTTT</v>
      </c>
      <c r="F900" s="19">
        <v>42924.817210648151</v>
      </c>
      <c r="G900" s="24" t="s">
        <v>2783</v>
      </c>
      <c r="H900" s="35" t="s">
        <v>9039</v>
      </c>
      <c r="I900" s="25" t="s">
        <v>9040</v>
      </c>
    </row>
    <row r="901" spans="1:9" ht="45">
      <c r="A901" s="4">
        <v>43561.419467592597</v>
      </c>
      <c r="B901" s="5" t="str">
        <f>HYPERLINK("https://twitter.com/galvardig","@galvardig")</f>
        <v>@galvardig</v>
      </c>
      <c r="C901" s="6" t="s">
        <v>10980</v>
      </c>
      <c r="D901" s="7" t="s">
        <v>10981</v>
      </c>
      <c r="E901" s="8" t="str">
        <f>HYPERLINK("http://twitter.com/download/android","Twitter for Android")</f>
        <v>Twitter for Android</v>
      </c>
      <c r="F901" s="4">
        <v>43505.695474537039</v>
      </c>
      <c r="G901" s="9" t="s">
        <v>2783</v>
      </c>
      <c r="H901" s="35" t="s">
        <v>10982</v>
      </c>
      <c r="I901" s="10" t="s">
        <v>10983</v>
      </c>
    </row>
    <row r="902" spans="1:9" ht="30">
      <c r="A902" s="4">
        <v>43560.310601851852</v>
      </c>
      <c r="B902" s="5" t="str">
        <f>HYPERLINK("https://twitter.com/rrougez","@rrougez")</f>
        <v>@rrougez</v>
      </c>
      <c r="C902" s="6" t="s">
        <v>11468</v>
      </c>
      <c r="D902" s="7" t="s">
        <v>11469</v>
      </c>
      <c r="E902" s="8" t="str">
        <f>HYPERLINK("http://twitter.com/download/iphone","Twitter for iPhone")</f>
        <v>Twitter for iPhone</v>
      </c>
      <c r="F902" s="4">
        <v>39923.140729166669</v>
      </c>
      <c r="G902" s="17" t="s">
        <v>2783</v>
      </c>
      <c r="H902" s="35" t="s">
        <v>11470</v>
      </c>
      <c r="I902" s="10" t="s">
        <v>11471</v>
      </c>
    </row>
    <row r="903" spans="1:9" ht="60">
      <c r="A903" s="12">
        <v>43568.797326388885</v>
      </c>
      <c r="B903" s="13" t="str">
        <f>HYPERLINK("https://twitter.com/ufaescape","@ufaescape")</f>
        <v>@ufaescape</v>
      </c>
      <c r="C903" s="14" t="s">
        <v>4653</v>
      </c>
      <c r="D903" s="15" t="s">
        <v>4654</v>
      </c>
      <c r="E903" s="16" t="str">
        <f>HYPERLINK("http://twitter.com/download/iphone","Twitter for iPhone")</f>
        <v>Twitter for iPhone</v>
      </c>
      <c r="F903" s="12">
        <v>43567.86917824074</v>
      </c>
      <c r="G903" s="17" t="s">
        <v>2783</v>
      </c>
      <c r="H903" s="35" t="s">
        <v>4655</v>
      </c>
      <c r="I903" s="18" t="s">
        <v>4656</v>
      </c>
    </row>
    <row r="904" spans="1:9" ht="90">
      <c r="A904" s="19">
        <v>43550.999861111108</v>
      </c>
      <c r="B904" s="20" t="str">
        <f t="shared" ref="B904:B913" si="41">HYPERLINK("https://twitter.com/HotelierME","@HotelierME")</f>
        <v>@HotelierME</v>
      </c>
      <c r="C904" s="21" t="s">
        <v>2340</v>
      </c>
      <c r="D904" s="22" t="s">
        <v>2341</v>
      </c>
      <c r="E904" s="23" t="str">
        <f t="shared" ref="E904:E913" si="42">HYPERLINK("https://www.socialreport.com","SocialReport.com")</f>
        <v>SocialReport.com</v>
      </c>
      <c r="F904" s="19">
        <v>39874.944201388891</v>
      </c>
      <c r="G904" s="17" t="s">
        <v>2783</v>
      </c>
      <c r="H904" s="35" t="s">
        <v>2342</v>
      </c>
      <c r="I904" s="25" t="s">
        <v>2343</v>
      </c>
    </row>
    <row r="905" spans="1:9" ht="90">
      <c r="A905" s="19">
        <v>43550.041180555556</v>
      </c>
      <c r="B905" s="20" t="str">
        <f t="shared" si="41"/>
        <v>@HotelierME</v>
      </c>
      <c r="C905" s="21" t="s">
        <v>2340</v>
      </c>
      <c r="D905" s="22" t="s">
        <v>2341</v>
      </c>
      <c r="E905" s="23" t="str">
        <f t="shared" si="42"/>
        <v>SocialReport.com</v>
      </c>
      <c r="F905" s="19">
        <v>39874.944201388891</v>
      </c>
      <c r="G905" s="17" t="s">
        <v>2783</v>
      </c>
      <c r="H905" s="35" t="s">
        <v>2342</v>
      </c>
      <c r="I905" s="25" t="s">
        <v>2343</v>
      </c>
    </row>
    <row r="906" spans="1:9" ht="60">
      <c r="A906" s="19">
        <v>43546.916585648149</v>
      </c>
      <c r="B906" s="20" t="str">
        <f t="shared" si="41"/>
        <v>@HotelierME</v>
      </c>
      <c r="C906" s="21" t="s">
        <v>2340</v>
      </c>
      <c r="D906" s="22" t="s">
        <v>8705</v>
      </c>
      <c r="E906" s="23" t="str">
        <f t="shared" si="42"/>
        <v>SocialReport.com</v>
      </c>
      <c r="F906" s="19">
        <v>39874.944201388891</v>
      </c>
      <c r="G906" s="17" t="s">
        <v>2783</v>
      </c>
      <c r="H906" s="35" t="s">
        <v>2342</v>
      </c>
      <c r="I906" s="25" t="s">
        <v>2343</v>
      </c>
    </row>
    <row r="907" spans="1:9" ht="60">
      <c r="A907" s="19">
        <v>43542.458391203705</v>
      </c>
      <c r="B907" s="20" t="str">
        <f t="shared" si="41"/>
        <v>@HotelierME</v>
      </c>
      <c r="C907" s="21" t="s">
        <v>2340</v>
      </c>
      <c r="D907" s="22" t="s">
        <v>10162</v>
      </c>
      <c r="E907" s="23" t="str">
        <f t="shared" si="42"/>
        <v>SocialReport.com</v>
      </c>
      <c r="F907" s="19">
        <v>39874.944201388891</v>
      </c>
      <c r="G907" s="17" t="s">
        <v>2783</v>
      </c>
      <c r="H907" s="35" t="s">
        <v>2342</v>
      </c>
      <c r="I907" s="25" t="s">
        <v>2343</v>
      </c>
    </row>
    <row r="908" spans="1:9" ht="45">
      <c r="A908" s="4">
        <v>43562.937175925923</v>
      </c>
      <c r="B908" s="5" t="str">
        <f t="shared" si="41"/>
        <v>@HotelierME</v>
      </c>
      <c r="C908" s="6" t="s">
        <v>2340</v>
      </c>
      <c r="D908" s="7" t="s">
        <v>10537</v>
      </c>
      <c r="E908" s="8" t="str">
        <f t="shared" si="42"/>
        <v>SocialReport.com</v>
      </c>
      <c r="F908" s="4">
        <v>39874.944201388891</v>
      </c>
      <c r="G908" s="17" t="s">
        <v>2783</v>
      </c>
      <c r="H908" s="35" t="s">
        <v>2342</v>
      </c>
      <c r="I908" s="10" t="s">
        <v>2343</v>
      </c>
    </row>
    <row r="909" spans="1:9" ht="90">
      <c r="A909" s="4">
        <v>43562.520868055552</v>
      </c>
      <c r="B909" s="5" t="str">
        <f t="shared" si="41"/>
        <v>@HotelierME</v>
      </c>
      <c r="C909" s="6" t="s">
        <v>2340</v>
      </c>
      <c r="D909" s="7" t="s">
        <v>2341</v>
      </c>
      <c r="E909" s="8" t="str">
        <f t="shared" si="42"/>
        <v>SocialReport.com</v>
      </c>
      <c r="F909" s="4">
        <v>39874.944201388891</v>
      </c>
      <c r="G909" s="17" t="s">
        <v>2783</v>
      </c>
      <c r="H909" s="35" t="s">
        <v>2342</v>
      </c>
      <c r="I909" s="10" t="s">
        <v>2343</v>
      </c>
    </row>
    <row r="910" spans="1:9" ht="45">
      <c r="A910" s="4">
        <v>43561.478680555556</v>
      </c>
      <c r="B910" s="5" t="str">
        <f t="shared" si="41"/>
        <v>@HotelierME</v>
      </c>
      <c r="C910" s="6" t="s">
        <v>2340</v>
      </c>
      <c r="D910" s="7" t="s">
        <v>10537</v>
      </c>
      <c r="E910" s="8" t="str">
        <f t="shared" si="42"/>
        <v>SocialReport.com</v>
      </c>
      <c r="F910" s="4">
        <v>39874.944201388891</v>
      </c>
      <c r="G910" s="17" t="s">
        <v>2783</v>
      </c>
      <c r="H910" s="35" t="s">
        <v>2342</v>
      </c>
      <c r="I910" s="10" t="s">
        <v>2343</v>
      </c>
    </row>
    <row r="911" spans="1:9" ht="45">
      <c r="A911" s="4">
        <v>43557.978831018518</v>
      </c>
      <c r="B911" s="5" t="str">
        <f t="shared" si="41"/>
        <v>@HotelierME</v>
      </c>
      <c r="C911" s="6" t="s">
        <v>2340</v>
      </c>
      <c r="D911" s="7" t="s">
        <v>10537</v>
      </c>
      <c r="E911" s="8" t="str">
        <f t="shared" si="42"/>
        <v>SocialReport.com</v>
      </c>
      <c r="F911" s="4">
        <v>39874.944201388891</v>
      </c>
      <c r="G911" s="17" t="s">
        <v>2783</v>
      </c>
      <c r="H911" s="35" t="s">
        <v>2342</v>
      </c>
      <c r="I911" s="10" t="s">
        <v>2343</v>
      </c>
    </row>
    <row r="912" spans="1:9" ht="45">
      <c r="A912" s="4">
        <v>43557.08289351852</v>
      </c>
      <c r="B912" s="5" t="str">
        <f t="shared" si="41"/>
        <v>@HotelierME</v>
      </c>
      <c r="C912" s="6" t="s">
        <v>2340</v>
      </c>
      <c r="D912" s="7" t="s">
        <v>10537</v>
      </c>
      <c r="E912" s="8" t="str">
        <f t="shared" si="42"/>
        <v>SocialReport.com</v>
      </c>
      <c r="F912" s="4">
        <v>39874.944201388891</v>
      </c>
      <c r="G912" s="17" t="s">
        <v>2783</v>
      </c>
      <c r="H912" s="35" t="s">
        <v>2342</v>
      </c>
      <c r="I912" s="10" t="s">
        <v>2343</v>
      </c>
    </row>
    <row r="913" spans="1:9" ht="90">
      <c r="A913" s="12">
        <v>43575.208009259259</v>
      </c>
      <c r="B913" s="13" t="str">
        <f t="shared" si="41"/>
        <v>@HotelierME</v>
      </c>
      <c r="C913" s="14" t="s">
        <v>2340</v>
      </c>
      <c r="D913" s="15" t="s">
        <v>2341</v>
      </c>
      <c r="E913" s="16" t="str">
        <f t="shared" si="42"/>
        <v>SocialReport.com</v>
      </c>
      <c r="F913" s="12">
        <v>39874.944201388891</v>
      </c>
      <c r="G913" s="17" t="s">
        <v>2783</v>
      </c>
      <c r="H913" s="35" t="s">
        <v>2342</v>
      </c>
      <c r="I913" s="18" t="s">
        <v>2343</v>
      </c>
    </row>
    <row r="914" spans="1:9" ht="60">
      <c r="A914" s="12">
        <v>43579.047488425931</v>
      </c>
      <c r="B914" s="13" t="str">
        <f>HYPERLINK("https://twitter.com/Letsbreathe1","@Letsbreathe1")</f>
        <v>@Letsbreathe1</v>
      </c>
      <c r="C914" s="14" t="s">
        <v>947</v>
      </c>
      <c r="D914" s="15" t="s">
        <v>948</v>
      </c>
      <c r="E914" s="16" t="str">
        <f>HYPERLINK("http://twitter.com/download/android","Twitter for Android")</f>
        <v>Twitter for Android</v>
      </c>
      <c r="F914" s="12">
        <v>43550.037268518514</v>
      </c>
      <c r="G914" s="17" t="s">
        <v>2783</v>
      </c>
      <c r="H914" s="35" t="s">
        <v>949</v>
      </c>
      <c r="I914" s="18" t="s">
        <v>950</v>
      </c>
    </row>
    <row r="915" spans="1:9" ht="45">
      <c r="A915" s="4">
        <v>43563.934062500004</v>
      </c>
      <c r="B915" s="5" t="str">
        <f>HYPERLINK("https://twitter.com/dgtl_g33k","@dgtl_g33k")</f>
        <v>@dgtl_g33k</v>
      </c>
      <c r="C915" s="6" t="s">
        <v>6847</v>
      </c>
      <c r="D915" s="7" t="s">
        <v>6848</v>
      </c>
      <c r="E915" s="8" t="str">
        <f>HYPERLINK("http://twitter.com","Twitter Web Client")</f>
        <v>Twitter Web Client</v>
      </c>
      <c r="F915" s="4">
        <v>40213.955752314811</v>
      </c>
      <c r="G915" s="17" t="s">
        <v>2783</v>
      </c>
      <c r="H915" s="35" t="s">
        <v>6849</v>
      </c>
      <c r="I915" s="10" t="s">
        <v>6850</v>
      </c>
    </row>
    <row r="916" spans="1:9" ht="15">
      <c r="A916" s="12">
        <v>43567.728067129632</v>
      </c>
      <c r="B916" s="13" t="str">
        <f>HYPERLINK("https://twitter.com/TonyWu42539628","@TonyWu42539628")</f>
        <v>@TonyWu42539628</v>
      </c>
      <c r="C916" s="14" t="s">
        <v>4980</v>
      </c>
      <c r="D916" s="15" t="s">
        <v>4981</v>
      </c>
      <c r="E916" s="16" t="str">
        <f>HYPERLINK("http://twitter.com/download/iphone","Twitter for iPhone")</f>
        <v>Twitter for iPhone</v>
      </c>
      <c r="F916" s="12">
        <v>41745.791273148148</v>
      </c>
      <c r="G916" s="17" t="s">
        <v>2783</v>
      </c>
      <c r="H916" s="35" t="s">
        <v>4982</v>
      </c>
      <c r="I916" s="18" t="s">
        <v>4983</v>
      </c>
    </row>
    <row r="917" spans="1:9" ht="90">
      <c r="A917" s="19">
        <v>43546.883090277777</v>
      </c>
      <c r="B917" s="20" t="str">
        <f>HYPERLINK("https://twitter.com/HarrysMunandar","@HarrysMunandar")</f>
        <v>@HarrysMunandar</v>
      </c>
      <c r="C917" s="21" t="s">
        <v>8710</v>
      </c>
      <c r="D917" s="22" t="s">
        <v>8711</v>
      </c>
      <c r="E917" s="23" t="str">
        <f>HYPERLINK("http://instagram.com","Instagram")</f>
        <v>Instagram</v>
      </c>
      <c r="F917" s="19">
        <v>40062.336736111109</v>
      </c>
      <c r="G917" s="24" t="s">
        <v>2783</v>
      </c>
      <c r="H917" s="35" t="s">
        <v>8712</v>
      </c>
      <c r="I917" s="25" t="s">
        <v>8713</v>
      </c>
    </row>
    <row r="918" spans="1:9" ht="90">
      <c r="A918" s="19">
        <v>43546.848321759258</v>
      </c>
      <c r="B918" s="20" t="str">
        <f>HYPERLINK("https://twitter.com/HarrysMunandar","@HarrysMunandar")</f>
        <v>@HarrysMunandar</v>
      </c>
      <c r="C918" s="21" t="s">
        <v>8710</v>
      </c>
      <c r="D918" s="22" t="s">
        <v>8711</v>
      </c>
      <c r="E918" s="23" t="str">
        <f>HYPERLINK("http://instagram.com","Instagram")</f>
        <v>Instagram</v>
      </c>
      <c r="F918" s="19">
        <v>40062.336736111109</v>
      </c>
      <c r="G918" s="24" t="s">
        <v>2783</v>
      </c>
      <c r="H918" s="35" t="s">
        <v>8712</v>
      </c>
      <c r="I918" s="25" t="s">
        <v>8713</v>
      </c>
    </row>
    <row r="919" spans="1:9" ht="150">
      <c r="A919" s="19">
        <v>43550.264849537038</v>
      </c>
      <c r="B919" s="20" t="str">
        <f>HYPERLINK("https://twitter.com/SotSideris","@SotSideris")</f>
        <v>@SotSideris</v>
      </c>
      <c r="C919" s="21" t="s">
        <v>7757</v>
      </c>
      <c r="D919" s="22" t="s">
        <v>7758</v>
      </c>
      <c r="E919" s="23" t="str">
        <f>HYPERLINK("http://twitter.com","Twitter Web Client")</f>
        <v>Twitter Web Client</v>
      </c>
      <c r="F919" s="19">
        <v>40609.112326388888</v>
      </c>
      <c r="G919" s="9" t="s">
        <v>171</v>
      </c>
      <c r="H919" s="35" t="s">
        <v>1800</v>
      </c>
      <c r="I919" s="25" t="s">
        <v>7759</v>
      </c>
    </row>
    <row r="920" spans="1:9" ht="105">
      <c r="A920" s="4">
        <v>43563.023842592593</v>
      </c>
      <c r="B920" s="5" t="str">
        <f>HYPERLINK("https://twitter.com/the_sparrow_gr","@the_sparrow_gr")</f>
        <v>@the_sparrow_gr</v>
      </c>
      <c r="C920" s="6" t="s">
        <v>1798</v>
      </c>
      <c r="D920" s="7" t="s">
        <v>10502</v>
      </c>
      <c r="E920" s="8" t="str">
        <f>HYPERLINK("http://twitter.com","Twitter Web Client")</f>
        <v>Twitter Web Client</v>
      </c>
      <c r="F920" s="4">
        <v>43382.094293981485</v>
      </c>
      <c r="G920" s="9" t="s">
        <v>171</v>
      </c>
      <c r="H920" s="35" t="s">
        <v>1800</v>
      </c>
      <c r="I920" s="10" t="s">
        <v>1801</v>
      </c>
    </row>
    <row r="921" spans="1:9" ht="105">
      <c r="A921" s="4">
        <v>43559.060104166667</v>
      </c>
      <c r="B921" s="5" t="str">
        <f>HYPERLINK("https://twitter.com/the_sparrow_gr","@the_sparrow_gr")</f>
        <v>@the_sparrow_gr</v>
      </c>
      <c r="C921" s="6" t="s">
        <v>1798</v>
      </c>
      <c r="D921" s="7" t="s">
        <v>11947</v>
      </c>
      <c r="E921" s="8" t="str">
        <f>HYPERLINK("http://twitter.com","Twitter Web Client")</f>
        <v>Twitter Web Client</v>
      </c>
      <c r="F921" s="4">
        <v>43382.094293981485</v>
      </c>
      <c r="G921" s="9" t="s">
        <v>171</v>
      </c>
      <c r="H921" s="35" t="s">
        <v>1800</v>
      </c>
      <c r="I921" s="10" t="s">
        <v>1801</v>
      </c>
    </row>
    <row r="922" spans="1:9" ht="120">
      <c r="A922" s="12">
        <v>43576.935300925921</v>
      </c>
      <c r="B922" s="13" t="str">
        <f>HYPERLINK("https://twitter.com/the_sparrow_gr","@the_sparrow_gr")</f>
        <v>@the_sparrow_gr</v>
      </c>
      <c r="C922" s="14" t="s">
        <v>1798</v>
      </c>
      <c r="D922" s="15" t="s">
        <v>1799</v>
      </c>
      <c r="E922" s="16" t="str">
        <f>HYPERLINK("http://twitter.com","Twitter Web Client")</f>
        <v>Twitter Web Client</v>
      </c>
      <c r="F922" s="12">
        <v>43382.094293981485</v>
      </c>
      <c r="G922" s="9" t="s">
        <v>171</v>
      </c>
      <c r="H922" s="35" t="s">
        <v>1800</v>
      </c>
      <c r="I922" s="18" t="s">
        <v>1801</v>
      </c>
    </row>
    <row r="923" spans="1:9" ht="105">
      <c r="A923" s="12">
        <v>43570.0315625</v>
      </c>
      <c r="B923" s="13" t="str">
        <f>HYPERLINK("https://twitter.com/the_sparrow_gr","@the_sparrow_gr")</f>
        <v>@the_sparrow_gr</v>
      </c>
      <c r="C923" s="14" t="s">
        <v>1798</v>
      </c>
      <c r="D923" s="15" t="s">
        <v>4362</v>
      </c>
      <c r="E923" s="16" t="str">
        <f>HYPERLINK("http://twitter.com","Twitter Web Client")</f>
        <v>Twitter Web Client</v>
      </c>
      <c r="F923" s="12">
        <v>43382.094293981485</v>
      </c>
      <c r="G923" s="9" t="s">
        <v>171</v>
      </c>
      <c r="H923" s="35" t="s">
        <v>1800</v>
      </c>
      <c r="I923" s="18" t="s">
        <v>1801</v>
      </c>
    </row>
    <row r="924" spans="1:9" ht="30">
      <c r="A924" s="12">
        <v>43568.241909722223</v>
      </c>
      <c r="B924" s="13" t="str">
        <f>HYPERLINK("https://twitter.com/Englishinathens","@Englishinathens")</f>
        <v>@Englishinathens</v>
      </c>
      <c r="C924" s="14" t="s">
        <v>4833</v>
      </c>
      <c r="D924" s="15" t="s">
        <v>4834</v>
      </c>
      <c r="E924" s="16" t="str">
        <f>HYPERLINK("http://twitter.com/download/android","Twitter for Android")</f>
        <v>Twitter for Android</v>
      </c>
      <c r="F924" s="12">
        <v>43473.345324074078</v>
      </c>
      <c r="G924" s="9" t="s">
        <v>171</v>
      </c>
      <c r="H924" s="35" t="s">
        <v>1800</v>
      </c>
      <c r="I924" s="18" t="s">
        <v>4835</v>
      </c>
    </row>
    <row r="925" spans="1:9" ht="120">
      <c r="A925" s="12">
        <v>43567.035370370373</v>
      </c>
      <c r="B925" s="13" t="str">
        <f>HYPERLINK("https://twitter.com/the_sparrow_gr","@the_sparrow_gr")</f>
        <v>@the_sparrow_gr</v>
      </c>
      <c r="C925" s="14" t="s">
        <v>1798</v>
      </c>
      <c r="D925" s="15" t="s">
        <v>5268</v>
      </c>
      <c r="E925" s="16" t="str">
        <f>HYPERLINK("http://twitter.com","Twitter Web Client")</f>
        <v>Twitter Web Client</v>
      </c>
      <c r="F925" s="12">
        <v>43382.094293981485</v>
      </c>
      <c r="G925" s="9" t="s">
        <v>171</v>
      </c>
      <c r="H925" s="35" t="s">
        <v>1800</v>
      </c>
      <c r="I925" s="18" t="s">
        <v>1801</v>
      </c>
    </row>
    <row r="926" spans="1:9" ht="105">
      <c r="A926" s="19">
        <v>43544.296249999999</v>
      </c>
      <c r="B926" s="20" t="str">
        <f>HYPERLINK("https://twitter.com/nerinaki","@nerinaki")</f>
        <v>@nerinaki</v>
      </c>
      <c r="C926" s="21" t="s">
        <v>9541</v>
      </c>
      <c r="D926" s="22" t="s">
        <v>9542</v>
      </c>
      <c r="E926" s="23" t="str">
        <f>HYPERLINK("http://twitter.com","Twitter Web Client")</f>
        <v>Twitter Web Client</v>
      </c>
      <c r="F926" s="19">
        <v>39898.471759259257</v>
      </c>
      <c r="G926" s="9" t="s">
        <v>171</v>
      </c>
      <c r="H926" s="35" t="s">
        <v>9543</v>
      </c>
      <c r="I926" s="25" t="s">
        <v>9544</v>
      </c>
    </row>
    <row r="927" spans="1:9" ht="30">
      <c r="A927" s="4">
        <v>43563.399664351848</v>
      </c>
      <c r="B927" s="5" t="str">
        <f>HYPERLINK("https://twitter.com/MariaParavantes","@MariaParavantes")</f>
        <v>@MariaParavantes</v>
      </c>
      <c r="C927" s="6" t="s">
        <v>362</v>
      </c>
      <c r="D927" s="7" t="s">
        <v>10313</v>
      </c>
      <c r="E927" s="8" t="str">
        <f>HYPERLINK("http://twitter.com","Twitter Web Client")</f>
        <v>Twitter Web Client</v>
      </c>
      <c r="F927" s="4">
        <v>40861.23809027778</v>
      </c>
      <c r="G927" s="9" t="s">
        <v>171</v>
      </c>
      <c r="H927" s="35" t="s">
        <v>364</v>
      </c>
      <c r="I927" s="10" t="s">
        <v>365</v>
      </c>
    </row>
    <row r="928" spans="1:9" ht="30">
      <c r="A928" s="12">
        <v>43579.987800925926</v>
      </c>
      <c r="B928" s="13" t="str">
        <f>HYPERLINK("https://twitter.com/MariaParavantes","@MariaParavantes")</f>
        <v>@MariaParavantes</v>
      </c>
      <c r="C928" s="14" t="s">
        <v>362</v>
      </c>
      <c r="D928" s="15" t="s">
        <v>363</v>
      </c>
      <c r="E928" s="16" t="str">
        <f>HYPERLINK("http://twitter.com","Twitter Web Client")</f>
        <v>Twitter Web Client</v>
      </c>
      <c r="F928" s="12">
        <v>40861.23809027778</v>
      </c>
      <c r="G928" s="9" t="s">
        <v>171</v>
      </c>
      <c r="H928" s="35" t="s">
        <v>364</v>
      </c>
      <c r="I928" s="18" t="s">
        <v>365</v>
      </c>
    </row>
    <row r="929" spans="1:9" ht="45">
      <c r="A929" s="12">
        <v>43573.227962962963</v>
      </c>
      <c r="B929" s="13" t="str">
        <f>HYPERLINK("https://twitter.com/MariaParavantes","@MariaParavantes")</f>
        <v>@MariaParavantes</v>
      </c>
      <c r="C929" s="14" t="s">
        <v>362</v>
      </c>
      <c r="D929" s="15" t="s">
        <v>2967</v>
      </c>
      <c r="E929" s="16" t="str">
        <f>HYPERLINK("http://twitter.com","Twitter Web Client")</f>
        <v>Twitter Web Client</v>
      </c>
      <c r="F929" s="12">
        <v>40861.23809027778</v>
      </c>
      <c r="G929" s="9" t="s">
        <v>171</v>
      </c>
      <c r="H929" s="35" t="s">
        <v>364</v>
      </c>
      <c r="I929" s="18" t="s">
        <v>365</v>
      </c>
    </row>
    <row r="930" spans="1:9" ht="105">
      <c r="A930" s="19">
        <v>43551.198773148149</v>
      </c>
      <c r="B930" s="20" t="str">
        <f>HYPERLINK("https://twitter.com/PropertiesFirst","@PropertiesFirst")</f>
        <v>@PropertiesFirst</v>
      </c>
      <c r="C930" s="21" t="s">
        <v>1658</v>
      </c>
      <c r="D930" s="22" t="s">
        <v>7405</v>
      </c>
      <c r="E930" s="23" t="str">
        <f>HYPERLINK("https://www.hootsuite.com","Hootsuite Inc.")</f>
        <v>Hootsuite Inc.</v>
      </c>
      <c r="F930" s="19">
        <v>43543.146122685182</v>
      </c>
      <c r="G930" s="24" t="s">
        <v>171</v>
      </c>
      <c r="H930" s="35" t="s">
        <v>1660</v>
      </c>
      <c r="I930" s="25" t="s">
        <v>1661</v>
      </c>
    </row>
    <row r="931" spans="1:9" ht="90">
      <c r="A931" s="19">
        <v>43547.006990740745</v>
      </c>
      <c r="B931" s="20" t="str">
        <f>HYPERLINK("https://twitter.com/PropertiesFirst","@PropertiesFirst")</f>
        <v>@PropertiesFirst</v>
      </c>
      <c r="C931" s="21" t="s">
        <v>1658</v>
      </c>
      <c r="D931" s="22" t="s">
        <v>8684</v>
      </c>
      <c r="E931" s="23" t="str">
        <f>HYPERLINK("https://www.hootsuite.com","Hootsuite Inc.")</f>
        <v>Hootsuite Inc.</v>
      </c>
      <c r="F931" s="19">
        <v>43543.146122685182</v>
      </c>
      <c r="G931" s="24" t="s">
        <v>171</v>
      </c>
      <c r="H931" s="35" t="s">
        <v>1660</v>
      </c>
      <c r="I931" s="25" t="s">
        <v>1661</v>
      </c>
    </row>
    <row r="932" spans="1:9" ht="105">
      <c r="A932" s="12">
        <v>43577.343900462962</v>
      </c>
      <c r="B932" s="13" t="str">
        <f>HYPERLINK("https://twitter.com/PropertiesFirst","@PropertiesFirst")</f>
        <v>@PropertiesFirst</v>
      </c>
      <c r="C932" s="14" t="s">
        <v>1658</v>
      </c>
      <c r="D932" s="15" t="s">
        <v>1659</v>
      </c>
      <c r="E932" s="16" t="str">
        <f>HYPERLINK("https://www.hootsuite.com","Hootsuite Inc.")</f>
        <v>Hootsuite Inc.</v>
      </c>
      <c r="F932" s="12">
        <v>43543.146122685182</v>
      </c>
      <c r="G932" s="24" t="s">
        <v>171</v>
      </c>
      <c r="H932" s="35" t="s">
        <v>1660</v>
      </c>
      <c r="I932" s="18" t="s">
        <v>1661</v>
      </c>
    </row>
    <row r="933" spans="1:9" ht="45">
      <c r="A933" s="4">
        <v>43558.206574074073</v>
      </c>
      <c r="B933" s="5" t="str">
        <f>HYPERLINK("https://twitter.com/n0v0id","@n0v0id")</f>
        <v>@n0v0id</v>
      </c>
      <c r="C933" s="6" t="s">
        <v>12281</v>
      </c>
      <c r="D933" s="7" t="s">
        <v>12282</v>
      </c>
      <c r="E933" s="8" t="str">
        <f>HYPERLINK("https://crossposter.masto.donte.com.br","Mastodon-Twitter Crossposter")</f>
        <v>Mastodon-Twitter Crossposter</v>
      </c>
      <c r="F933" s="4">
        <v>40064.357245370367</v>
      </c>
      <c r="G933" s="9" t="s">
        <v>171</v>
      </c>
      <c r="H933" s="35" t="s">
        <v>12283</v>
      </c>
      <c r="I933" s="10" t="s">
        <v>12284</v>
      </c>
    </row>
    <row r="934" spans="1:9" ht="60">
      <c r="A934" s="12">
        <v>43576.502974537041</v>
      </c>
      <c r="B934" s="13" t="str">
        <f>HYPERLINK("https://twitter.com/nicheapaim","@nicheapaim")</f>
        <v>@nicheapaim</v>
      </c>
      <c r="C934" s="14" t="s">
        <v>1925</v>
      </c>
      <c r="D934" s="15" t="s">
        <v>1926</v>
      </c>
      <c r="E934" s="16" t="str">
        <f>HYPERLINK("http://twitter.com/download/iphone","Twitter for iPhone")</f>
        <v>Twitter for iPhone</v>
      </c>
      <c r="F934" s="12">
        <v>40136.35355324074</v>
      </c>
      <c r="G934" s="17" t="s">
        <v>171</v>
      </c>
      <c r="H934" s="35" t="s">
        <v>1927</v>
      </c>
      <c r="I934" s="18" t="s">
        <v>1928</v>
      </c>
    </row>
    <row r="935" spans="1:9" ht="90">
      <c r="A935" s="19">
        <v>43544.556342592594</v>
      </c>
      <c r="B935" s="20" t="str">
        <f>HYPERLINK("https://twitter.com/FreeRangeChalet","@FreeRangeChalet")</f>
        <v>@FreeRangeChalet</v>
      </c>
      <c r="C935" s="21" t="s">
        <v>9413</v>
      </c>
      <c r="D935" s="22" t="s">
        <v>9414</v>
      </c>
      <c r="E935" s="23" t="str">
        <f>HYPERLINK("https://ifttt.com","IFTTT")</f>
        <v>IFTTT</v>
      </c>
      <c r="F935" s="19">
        <v>41655.254340277781</v>
      </c>
      <c r="G935" s="24" t="s">
        <v>171</v>
      </c>
      <c r="H935" s="35" t="s">
        <v>9415</v>
      </c>
      <c r="I935" s="25" t="s">
        <v>9416</v>
      </c>
    </row>
    <row r="936" spans="1:9" ht="60">
      <c r="A936" s="19">
        <v>43543.382418981477</v>
      </c>
      <c r="B936" s="20" t="str">
        <f>HYPERLINK("https://twitter.com/AdrianDanPop","@AdrianDanPop")</f>
        <v>@AdrianDanPop</v>
      </c>
      <c r="C936" s="21" t="s">
        <v>9833</v>
      </c>
      <c r="D936" s="22" t="s">
        <v>9834</v>
      </c>
      <c r="E936" s="23" t="str">
        <f>HYPERLINK("http://twitter.com","Twitter Web Client")</f>
        <v>Twitter Web Client</v>
      </c>
      <c r="F936" s="19">
        <v>39985.27716435185</v>
      </c>
      <c r="G936" s="24" t="s">
        <v>171</v>
      </c>
      <c r="H936" s="35" t="s">
        <v>9835</v>
      </c>
      <c r="I936" s="25" t="s">
        <v>9836</v>
      </c>
    </row>
    <row r="937" spans="1:9" ht="30">
      <c r="A937" s="12">
        <v>43580</v>
      </c>
      <c r="B937" s="13" t="str">
        <f>HYPERLINK("https://twitter.com/TyBeic","@TyBeic")</f>
        <v>@TyBeic</v>
      </c>
      <c r="C937" s="14" t="s">
        <v>348</v>
      </c>
      <c r="D937" s="15" t="s">
        <v>349</v>
      </c>
      <c r="E937" s="16" t="str">
        <f>HYPERLINK("https://about.twitter.com/products/tweetdeck","TweetDeck")</f>
        <v>TweetDeck</v>
      </c>
      <c r="F937" s="12">
        <v>42026.373240740737</v>
      </c>
      <c r="G937" s="17" t="s">
        <v>171</v>
      </c>
      <c r="H937" s="35" t="s">
        <v>350</v>
      </c>
      <c r="I937" s="18" t="s">
        <v>351</v>
      </c>
    </row>
    <row r="938" spans="1:9" ht="45">
      <c r="A938" s="4">
        <v>43565.541666666672</v>
      </c>
      <c r="B938" s="5" t="str">
        <f>HYPERLINK("https://twitter.com/telling_things","@telling_things")</f>
        <v>@telling_things</v>
      </c>
      <c r="C938" s="6" t="s">
        <v>4020</v>
      </c>
      <c r="D938" s="7" t="s">
        <v>4021</v>
      </c>
      <c r="E938" s="8" t="str">
        <f>HYPERLINK("https://about.twitter.com/products/tweetdeck","TweetDeck")</f>
        <v>TweetDeck</v>
      </c>
      <c r="F938" s="4">
        <v>39953.378750000003</v>
      </c>
      <c r="G938" s="9" t="s">
        <v>171</v>
      </c>
      <c r="H938" s="35" t="s">
        <v>1365</v>
      </c>
      <c r="I938" s="10" t="s">
        <v>4022</v>
      </c>
    </row>
    <row r="939" spans="1:9" ht="45">
      <c r="A939" s="4">
        <v>43564.520833333328</v>
      </c>
      <c r="B939" s="5" t="str">
        <f>HYPERLINK("https://twitter.com/telling_things","@telling_things")</f>
        <v>@telling_things</v>
      </c>
      <c r="C939" s="6" t="s">
        <v>4020</v>
      </c>
      <c r="D939" s="7" t="s">
        <v>4021</v>
      </c>
      <c r="E939" s="8" t="str">
        <f>HYPERLINK("https://about.twitter.com/products/tweetdeck","TweetDeck")</f>
        <v>TweetDeck</v>
      </c>
      <c r="F939" s="4">
        <v>39953.378750000003</v>
      </c>
      <c r="G939" s="9" t="s">
        <v>171</v>
      </c>
      <c r="H939" s="35" t="s">
        <v>1365</v>
      </c>
      <c r="I939" s="10" t="s">
        <v>4022</v>
      </c>
    </row>
    <row r="940" spans="1:9" ht="45">
      <c r="A940" s="4">
        <v>43563.5625</v>
      </c>
      <c r="B940" s="5" t="str">
        <f>HYPERLINK("https://twitter.com/telling_things","@telling_things")</f>
        <v>@telling_things</v>
      </c>
      <c r="C940" s="6" t="s">
        <v>4020</v>
      </c>
      <c r="D940" s="7" t="s">
        <v>4021</v>
      </c>
      <c r="E940" s="8" t="str">
        <f>HYPERLINK("https://about.twitter.com/products/tweetdeck","TweetDeck")</f>
        <v>TweetDeck</v>
      </c>
      <c r="F940" s="4">
        <v>39953.378750000003</v>
      </c>
      <c r="G940" s="9" t="s">
        <v>171</v>
      </c>
      <c r="H940" s="35" t="s">
        <v>1365</v>
      </c>
      <c r="I940" s="10" t="s">
        <v>4022</v>
      </c>
    </row>
    <row r="941" spans="1:9" ht="45">
      <c r="A941" s="4">
        <v>43560.53126157407</v>
      </c>
      <c r="B941" s="5" t="str">
        <f>HYPERLINK("https://twitter.com/telling_things","@telling_things")</f>
        <v>@telling_things</v>
      </c>
      <c r="C941" s="6" t="s">
        <v>4020</v>
      </c>
      <c r="D941" s="7" t="s">
        <v>4021</v>
      </c>
      <c r="E941" s="8" t="str">
        <f>HYPERLINK("https://about.twitter.com/products/tweetdeck","TweetDeck")</f>
        <v>TweetDeck</v>
      </c>
      <c r="F941" s="4">
        <v>39953.378750000003</v>
      </c>
      <c r="G941" s="9" t="s">
        <v>171</v>
      </c>
      <c r="H941" s="35" t="s">
        <v>1365</v>
      </c>
      <c r="I941" s="10" t="s">
        <v>4022</v>
      </c>
    </row>
    <row r="942" spans="1:9" ht="105">
      <c r="A942" s="12">
        <v>43580.614988425921</v>
      </c>
      <c r="B942" s="13" t="str">
        <f>HYPERLINK("https://twitter.com/bedloop","@bedloop")</f>
        <v>@bedloop</v>
      </c>
      <c r="C942" s="14" t="s">
        <v>213</v>
      </c>
      <c r="D942" s="15" t="s">
        <v>214</v>
      </c>
      <c r="E942" s="16" t="str">
        <f>HYPERLINK("http://twitter.com","Twitter Web Client")</f>
        <v>Twitter Web Client</v>
      </c>
      <c r="F942" s="12">
        <v>42982.570717592593</v>
      </c>
      <c r="G942" s="9" t="s">
        <v>171</v>
      </c>
      <c r="H942" s="35" t="s">
        <v>215</v>
      </c>
      <c r="I942" s="18" t="s">
        <v>216</v>
      </c>
    </row>
    <row r="943" spans="1:9" ht="105">
      <c r="A943" s="12">
        <v>43578.20103009259</v>
      </c>
      <c r="B943" s="13" t="str">
        <f>HYPERLINK("https://twitter.com/paxpuig","@paxpuig")</f>
        <v>@paxpuig</v>
      </c>
      <c r="C943" s="14" t="s">
        <v>1363</v>
      </c>
      <c r="D943" s="15" t="s">
        <v>1364</v>
      </c>
      <c r="E943" s="16" t="str">
        <f>HYPERLINK("https://mobile.twitter.com","Twitter Web App")</f>
        <v>Twitter Web App</v>
      </c>
      <c r="F943" s="12">
        <v>39861.294317129628</v>
      </c>
      <c r="G943" s="9" t="s">
        <v>171</v>
      </c>
      <c r="H943" s="35" t="s">
        <v>1365</v>
      </c>
      <c r="I943" s="18" t="s">
        <v>1366</v>
      </c>
    </row>
    <row r="944" spans="1:9" ht="45">
      <c r="A944" s="12">
        <v>43570.604166666672</v>
      </c>
      <c r="B944" s="13" t="str">
        <f>HYPERLINK("https://twitter.com/telling_things","@telling_things")</f>
        <v>@telling_things</v>
      </c>
      <c r="C944" s="14" t="s">
        <v>4020</v>
      </c>
      <c r="D944" s="15" t="s">
        <v>4021</v>
      </c>
      <c r="E944" s="16" t="str">
        <f>HYPERLINK("https://about.twitter.com/products/tweetdeck","TweetDeck")</f>
        <v>TweetDeck</v>
      </c>
      <c r="F944" s="12">
        <v>39953.378750000003</v>
      </c>
      <c r="G944" s="9" t="s">
        <v>171</v>
      </c>
      <c r="H944" s="35" t="s">
        <v>1365</v>
      </c>
      <c r="I944" s="18" t="s">
        <v>4022</v>
      </c>
    </row>
    <row r="945" spans="1:9" ht="45">
      <c r="A945" s="12">
        <v>43566.5625</v>
      </c>
      <c r="B945" s="13" t="str">
        <f>HYPERLINK("https://twitter.com/telling_things","@telling_things")</f>
        <v>@telling_things</v>
      </c>
      <c r="C945" s="14" t="s">
        <v>4020</v>
      </c>
      <c r="D945" s="15" t="s">
        <v>4021</v>
      </c>
      <c r="E945" s="16" t="str">
        <f>HYPERLINK("https://about.twitter.com/products/tweetdeck","TweetDeck")</f>
        <v>TweetDeck</v>
      </c>
      <c r="F945" s="12">
        <v>39953.378750000003</v>
      </c>
      <c r="G945" s="9" t="s">
        <v>171</v>
      </c>
      <c r="H945" s="35" t="s">
        <v>1365</v>
      </c>
      <c r="I945" s="18" t="s">
        <v>4022</v>
      </c>
    </row>
    <row r="946" spans="1:9" ht="45">
      <c r="A946" s="12">
        <v>43576.590451388889</v>
      </c>
      <c r="B946" s="13" t="str">
        <f>HYPERLINK("https://twitter.com/LizaAnalli","@LizaAnalli")</f>
        <v>@LizaAnalli</v>
      </c>
      <c r="C946" s="14" t="s">
        <v>1903</v>
      </c>
      <c r="D946" s="15" t="s">
        <v>1904</v>
      </c>
      <c r="E946" s="16" t="str">
        <f>HYPERLINK("http://twitter.com/download/android","Twitter for Android")</f>
        <v>Twitter for Android</v>
      </c>
      <c r="F946" s="12">
        <v>42027.160092592589</v>
      </c>
      <c r="G946" s="9" t="s">
        <v>171</v>
      </c>
      <c r="H946" s="35" t="s">
        <v>1905</v>
      </c>
      <c r="I946" s="18" t="s">
        <v>1906</v>
      </c>
    </row>
    <row r="947" spans="1:9" ht="195">
      <c r="A947" s="4">
        <v>43564.622060185182</v>
      </c>
      <c r="B947" s="5" t="str">
        <f>HYPERLINK("https://twitter.com/LeilZahra","@LeilZahra")</f>
        <v>@LeilZahra</v>
      </c>
      <c r="C947" s="6" t="s">
        <v>6492</v>
      </c>
      <c r="D947" s="7" t="s">
        <v>6493</v>
      </c>
      <c r="E947" s="8" t="str">
        <f>HYPERLINK("http://twitter.com","Twitter Web Client")</f>
        <v>Twitter Web Client</v>
      </c>
      <c r="F947" s="4">
        <v>40612.534837962965</v>
      </c>
      <c r="G947" s="9" t="s">
        <v>171</v>
      </c>
      <c r="H947" s="35" t="s">
        <v>6494</v>
      </c>
      <c r="I947" s="10" t="s">
        <v>6495</v>
      </c>
    </row>
    <row r="948" spans="1:9" ht="75">
      <c r="A948" s="19">
        <v>43546.360138888893</v>
      </c>
      <c r="B948" s="20" t="str">
        <f t="shared" ref="B948:B956" si="43">HYPERLINK("https://twitter.com/CPMICCBarcelona","@CPMICCBarcelona")</f>
        <v>@CPMICCBarcelona</v>
      </c>
      <c r="C948" s="21" t="s">
        <v>726</v>
      </c>
      <c r="D948" s="22" t="s">
        <v>8888</v>
      </c>
      <c r="E948" s="23" t="str">
        <f t="shared" ref="E948:E956" si="44">HYPERLINK("http://www.broadbean.com","Adcourier")</f>
        <v>Adcourier</v>
      </c>
      <c r="F948" s="19">
        <v>42838.113483796296</v>
      </c>
      <c r="G948" s="9" t="s">
        <v>171</v>
      </c>
      <c r="H948" s="35" t="s">
        <v>728</v>
      </c>
      <c r="I948" s="25" t="s">
        <v>729</v>
      </c>
    </row>
    <row r="949" spans="1:9" ht="60">
      <c r="A949" s="4">
        <v>43560.312349537038</v>
      </c>
      <c r="B949" s="5" t="str">
        <f t="shared" si="43"/>
        <v>@CPMICCBarcelona</v>
      </c>
      <c r="C949" s="6" t="s">
        <v>726</v>
      </c>
      <c r="D949" s="7" t="s">
        <v>11462</v>
      </c>
      <c r="E949" s="8" t="str">
        <f t="shared" si="44"/>
        <v>Adcourier</v>
      </c>
      <c r="F949" s="4">
        <v>42838.113483796296</v>
      </c>
      <c r="G949" s="9" t="s">
        <v>171</v>
      </c>
      <c r="H949" s="35" t="s">
        <v>728</v>
      </c>
      <c r="I949" s="10" t="s">
        <v>729</v>
      </c>
    </row>
    <row r="950" spans="1:9" ht="60">
      <c r="A950" s="4">
        <v>43560.305706018524</v>
      </c>
      <c r="B950" s="5" t="str">
        <f t="shared" si="43"/>
        <v>@CPMICCBarcelona</v>
      </c>
      <c r="C950" s="6" t="s">
        <v>726</v>
      </c>
      <c r="D950" s="7" t="s">
        <v>11485</v>
      </c>
      <c r="E950" s="8" t="str">
        <f t="shared" si="44"/>
        <v>Adcourier</v>
      </c>
      <c r="F950" s="4">
        <v>42838.113483796296</v>
      </c>
      <c r="G950" s="9" t="s">
        <v>171</v>
      </c>
      <c r="H950" s="35" t="s">
        <v>728</v>
      </c>
      <c r="I950" s="10" t="s">
        <v>729</v>
      </c>
    </row>
    <row r="951" spans="1:9" ht="60">
      <c r="A951" s="4">
        <v>43560.298125000001</v>
      </c>
      <c r="B951" s="5" t="str">
        <f t="shared" si="43"/>
        <v>@CPMICCBarcelona</v>
      </c>
      <c r="C951" s="6" t="s">
        <v>726</v>
      </c>
      <c r="D951" s="7" t="s">
        <v>11486</v>
      </c>
      <c r="E951" s="8" t="str">
        <f t="shared" si="44"/>
        <v>Adcourier</v>
      </c>
      <c r="F951" s="4">
        <v>42838.113483796296</v>
      </c>
      <c r="G951" s="9" t="s">
        <v>171</v>
      </c>
      <c r="H951" s="35" t="s">
        <v>728</v>
      </c>
      <c r="I951" s="10" t="s">
        <v>729</v>
      </c>
    </row>
    <row r="952" spans="1:9" ht="60">
      <c r="A952" s="4">
        <v>43558.201261574075</v>
      </c>
      <c r="B952" s="5" t="str">
        <f t="shared" si="43"/>
        <v>@CPMICCBarcelona</v>
      </c>
      <c r="C952" s="6" t="s">
        <v>726</v>
      </c>
      <c r="D952" s="7" t="s">
        <v>1417</v>
      </c>
      <c r="E952" s="8" t="str">
        <f t="shared" si="44"/>
        <v>Adcourier</v>
      </c>
      <c r="F952" s="4">
        <v>42838.113483796296</v>
      </c>
      <c r="G952" s="9" t="s">
        <v>171</v>
      </c>
      <c r="H952" s="35" t="s">
        <v>728</v>
      </c>
      <c r="I952" s="10" t="s">
        <v>729</v>
      </c>
    </row>
    <row r="953" spans="1:9" ht="60">
      <c r="A953" s="12">
        <v>43579.366516203707</v>
      </c>
      <c r="B953" s="13" t="str">
        <f t="shared" si="43"/>
        <v>@CPMICCBarcelona</v>
      </c>
      <c r="C953" s="14" t="s">
        <v>726</v>
      </c>
      <c r="D953" s="15" t="s">
        <v>727</v>
      </c>
      <c r="E953" s="16" t="str">
        <f t="shared" si="44"/>
        <v>Adcourier</v>
      </c>
      <c r="F953" s="12">
        <v>42838.113483796296</v>
      </c>
      <c r="G953" s="9" t="s">
        <v>171</v>
      </c>
      <c r="H953" s="35" t="s">
        <v>728</v>
      </c>
      <c r="I953" s="18" t="s">
        <v>729</v>
      </c>
    </row>
    <row r="954" spans="1:9" ht="60">
      <c r="A954" s="12">
        <v>43578.031446759254</v>
      </c>
      <c r="B954" s="13" t="str">
        <f t="shared" si="43"/>
        <v>@CPMICCBarcelona</v>
      </c>
      <c r="C954" s="14" t="s">
        <v>726</v>
      </c>
      <c r="D954" s="15" t="s">
        <v>1417</v>
      </c>
      <c r="E954" s="16" t="str">
        <f t="shared" si="44"/>
        <v>Adcourier</v>
      </c>
      <c r="F954" s="12">
        <v>42838.113483796296</v>
      </c>
      <c r="G954" s="9" t="s">
        <v>171</v>
      </c>
      <c r="H954" s="35" t="s">
        <v>728</v>
      </c>
      <c r="I954" s="18" t="s">
        <v>729</v>
      </c>
    </row>
    <row r="955" spans="1:9" ht="60">
      <c r="A955" s="12">
        <v>43567.280393518522</v>
      </c>
      <c r="B955" s="13" t="str">
        <f t="shared" si="43"/>
        <v>@CPMICCBarcelona</v>
      </c>
      <c r="C955" s="14" t="s">
        <v>726</v>
      </c>
      <c r="D955" s="15" t="s">
        <v>1417</v>
      </c>
      <c r="E955" s="16" t="str">
        <f t="shared" si="44"/>
        <v>Adcourier</v>
      </c>
      <c r="F955" s="12">
        <v>42838.113483796296</v>
      </c>
      <c r="G955" s="9" t="s">
        <v>171</v>
      </c>
      <c r="H955" s="35" t="s">
        <v>728</v>
      </c>
      <c r="I955" s="18" t="s">
        <v>729</v>
      </c>
    </row>
    <row r="956" spans="1:9" ht="60">
      <c r="A956" s="12">
        <v>43566.124849537038</v>
      </c>
      <c r="B956" s="13" t="str">
        <f t="shared" si="43"/>
        <v>@CPMICCBarcelona</v>
      </c>
      <c r="C956" s="14" t="s">
        <v>726</v>
      </c>
      <c r="D956" s="15" t="s">
        <v>5776</v>
      </c>
      <c r="E956" s="16" t="str">
        <f t="shared" si="44"/>
        <v>Adcourier</v>
      </c>
      <c r="F956" s="12">
        <v>42838.113483796296</v>
      </c>
      <c r="G956" s="9" t="s">
        <v>171</v>
      </c>
      <c r="H956" s="35" t="s">
        <v>728</v>
      </c>
      <c r="I956" s="18" t="s">
        <v>729</v>
      </c>
    </row>
    <row r="957" spans="1:9" ht="45">
      <c r="A957" s="4">
        <v>43557.121192129634</v>
      </c>
      <c r="B957" s="5" t="str">
        <f>HYPERLINK("https://twitter.com/PropTechCAPITAL","@PropTechCAPITAL")</f>
        <v>@PropTechCAPITAL</v>
      </c>
      <c r="C957" s="6" t="s">
        <v>3155</v>
      </c>
      <c r="D957" s="7" t="s">
        <v>12652</v>
      </c>
      <c r="E957" s="8" t="str">
        <f>HYPERLINK("http://twitter.com/download/android","Twitter for Android")</f>
        <v>Twitter for Android</v>
      </c>
      <c r="F957" s="4">
        <v>42778.490381944444</v>
      </c>
      <c r="G957" s="9" t="s">
        <v>171</v>
      </c>
      <c r="H957" s="35" t="s">
        <v>1761</v>
      </c>
      <c r="I957" s="10"/>
    </row>
    <row r="958" spans="1:9" ht="60">
      <c r="A958" s="12">
        <v>43577.067071759258</v>
      </c>
      <c r="B958" s="13" t="str">
        <f>HYPERLINK("https://twitter.com/Stay_U_nique","@Stay_U_nique")</f>
        <v>@Stay_U_nique</v>
      </c>
      <c r="C958" s="14" t="s">
        <v>1759</v>
      </c>
      <c r="D958" s="15" t="s">
        <v>1760</v>
      </c>
      <c r="E958" s="16" t="str">
        <f>HYPERLINK("http://twitter.com","Twitter Web Client")</f>
        <v>Twitter Web Client</v>
      </c>
      <c r="F958" s="12">
        <v>42157.23847222222</v>
      </c>
      <c r="G958" s="9" t="s">
        <v>171</v>
      </c>
      <c r="H958" s="35" t="s">
        <v>1761</v>
      </c>
      <c r="I958" s="18" t="s">
        <v>1762</v>
      </c>
    </row>
    <row r="959" spans="1:9" ht="45">
      <c r="A959" s="12">
        <v>43572.572245370371</v>
      </c>
      <c r="B959" s="13" t="str">
        <f>HYPERLINK("https://twitter.com/PropTechCAPITAL","@PropTechCAPITAL")</f>
        <v>@PropTechCAPITAL</v>
      </c>
      <c r="C959" s="14" t="s">
        <v>3155</v>
      </c>
      <c r="D959" s="15" t="s">
        <v>3156</v>
      </c>
      <c r="E959" s="16" t="str">
        <f>HYPERLINK("http://twitter.com/download/android","Twitter for Android")</f>
        <v>Twitter for Android</v>
      </c>
      <c r="F959" s="12">
        <v>42778.490381944444</v>
      </c>
      <c r="G959" s="9" t="s">
        <v>171</v>
      </c>
      <c r="H959" s="35" t="s">
        <v>1761</v>
      </c>
      <c r="I959" s="18"/>
    </row>
    <row r="960" spans="1:9" ht="75">
      <c r="A960" s="12">
        <v>43568.309884259259</v>
      </c>
      <c r="B960" s="13" t="str">
        <f>HYPERLINK("https://twitter.com/simlewis","@simlewis")</f>
        <v>@simlewis</v>
      </c>
      <c r="C960" s="14" t="s">
        <v>4811</v>
      </c>
      <c r="D960" s="15" t="s">
        <v>4812</v>
      </c>
      <c r="E960" s="16" t="str">
        <f>HYPERLINK("http://twitter.com/download/iphone","Twitter for iPhone")</f>
        <v>Twitter for iPhone</v>
      </c>
      <c r="F960" s="12">
        <v>39624.036562499998</v>
      </c>
      <c r="G960" s="9" t="s">
        <v>171</v>
      </c>
      <c r="H960" s="35" t="s">
        <v>1761</v>
      </c>
      <c r="I960" s="18" t="s">
        <v>4813</v>
      </c>
    </row>
    <row r="961" spans="1:9" ht="45">
      <c r="A961" s="12">
        <v>43577.40525462963</v>
      </c>
      <c r="B961" s="13" t="str">
        <f>HYPERLINK("https://twitter.com/ME_BCN","@ME_BCN")</f>
        <v>@ME_BCN</v>
      </c>
      <c r="C961" s="14" t="s">
        <v>1646</v>
      </c>
      <c r="D961" s="15" t="s">
        <v>1647</v>
      </c>
      <c r="E961" s="16" t="str">
        <f>HYPERLINK("http://twitter.com","Twitter Web Client")</f>
        <v>Twitter Web Client</v>
      </c>
      <c r="F961" s="12">
        <v>39922.975289351853</v>
      </c>
      <c r="G961" s="9" t="s">
        <v>171</v>
      </c>
      <c r="H961" s="35" t="s">
        <v>1648</v>
      </c>
      <c r="I961" s="18" t="s">
        <v>1649</v>
      </c>
    </row>
    <row r="962" spans="1:9" ht="90">
      <c r="A962" s="19">
        <v>43546.049259259264</v>
      </c>
      <c r="B962" s="20" t="str">
        <f>HYPERLINK("https://twitter.com/dickydeanshuts","@dickydeanshuts")</f>
        <v>@dickydeanshuts</v>
      </c>
      <c r="C962" s="21" t="s">
        <v>8972</v>
      </c>
      <c r="D962" s="22" t="s">
        <v>8973</v>
      </c>
      <c r="E962" s="23" t="str">
        <f>HYPERLINK("http://twitter.com/download/iphone","Twitter for iPhone")</f>
        <v>Twitter for iPhone</v>
      </c>
      <c r="F962" s="19">
        <v>42843.536168981482</v>
      </c>
      <c r="G962" s="9" t="s">
        <v>171</v>
      </c>
      <c r="H962" s="35" t="s">
        <v>8974</v>
      </c>
      <c r="I962" s="25" t="s">
        <v>8975</v>
      </c>
    </row>
    <row r="963" spans="1:9" ht="75">
      <c r="A963" s="12">
        <v>43575.276273148149</v>
      </c>
      <c r="B963" s="13" t="str">
        <f>HYPERLINK("https://twitter.com/GiorgioGissi","@GiorgioGissi")</f>
        <v>@GiorgioGissi</v>
      </c>
      <c r="C963" s="14" t="s">
        <v>2314</v>
      </c>
      <c r="D963" s="15" t="s">
        <v>2315</v>
      </c>
      <c r="E963" s="16" t="str">
        <f>HYPERLINK("http://twitter.com/download/android","Twitter for Android")</f>
        <v>Twitter for Android</v>
      </c>
      <c r="F963" s="12">
        <v>41325.034201388888</v>
      </c>
      <c r="G963" s="9" t="s">
        <v>171</v>
      </c>
      <c r="H963" s="35" t="s">
        <v>2316</v>
      </c>
      <c r="I963" s="18" t="s">
        <v>2317</v>
      </c>
    </row>
    <row r="964" spans="1:9" ht="75">
      <c r="A964" s="19">
        <v>43550.579062500001</v>
      </c>
      <c r="B964" s="20" t="str">
        <f>HYPERLINK("https://twitter.com/MrGavHinks","@MrGavHinks")</f>
        <v>@MrGavHinks</v>
      </c>
      <c r="C964" s="21" t="s">
        <v>7605</v>
      </c>
      <c r="D964" s="22" t="s">
        <v>7606</v>
      </c>
      <c r="E964" s="23" t="str">
        <f>HYPERLINK("http://twitter.com/download/iphone","Twitter for iPhone")</f>
        <v>Twitter for iPhone</v>
      </c>
      <c r="F964" s="19">
        <v>40611.209675925929</v>
      </c>
      <c r="G964" s="9" t="s">
        <v>171</v>
      </c>
      <c r="H964" s="35" t="s">
        <v>7607</v>
      </c>
      <c r="I964" s="25" t="s">
        <v>7608</v>
      </c>
    </row>
    <row r="965" spans="1:9" ht="60">
      <c r="A965" s="12">
        <v>43566.145613425921</v>
      </c>
      <c r="B965" s="13" t="str">
        <f>HYPERLINK("https://twitter.com/pmaceamuinn","@pmaceamuinn")</f>
        <v>@pmaceamuinn</v>
      </c>
      <c r="C965" s="14" t="s">
        <v>5763</v>
      </c>
      <c r="D965" s="15" t="s">
        <v>5656</v>
      </c>
      <c r="E965" s="16" t="str">
        <f>HYPERLINK("http://twitter.com","Twitter Web Client")</f>
        <v>Twitter Web Client</v>
      </c>
      <c r="F965" s="12">
        <v>41554.330150462964</v>
      </c>
      <c r="G965" s="17" t="s">
        <v>171</v>
      </c>
      <c r="H965" s="35" t="s">
        <v>5764</v>
      </c>
      <c r="I965" s="18" t="s">
        <v>5765</v>
      </c>
    </row>
    <row r="966" spans="1:9" ht="45">
      <c r="A966" s="4">
        <v>43565.519849537042</v>
      </c>
      <c r="B966" s="5" t="str">
        <f>HYPERLINK("https://twitter.com/ver7t","@ver7t")</f>
        <v>@ver7t</v>
      </c>
      <c r="C966" s="6" t="s">
        <v>6047</v>
      </c>
      <c r="D966" s="7" t="s">
        <v>6048</v>
      </c>
      <c r="E966" s="8" t="str">
        <f>HYPERLINK("https://mobile.twitter.com","Twitter Web App")</f>
        <v>Twitter Web App</v>
      </c>
      <c r="F966" s="4">
        <v>40248.057106481479</v>
      </c>
      <c r="G966" s="17" t="s">
        <v>171</v>
      </c>
      <c r="H966" s="35" t="s">
        <v>6049</v>
      </c>
      <c r="I966" s="10"/>
    </row>
    <row r="967" spans="1:9" ht="120">
      <c r="A967" s="4">
        <v>43559.055474537032</v>
      </c>
      <c r="B967" s="5" t="str">
        <f>HYPERLINK("https://twitter.com/AirreadyBath","@AirreadyBath")</f>
        <v>@AirreadyBath</v>
      </c>
      <c r="C967" s="6" t="s">
        <v>11951</v>
      </c>
      <c r="D967" s="7" t="s">
        <v>11952</v>
      </c>
      <c r="E967" s="8" t="str">
        <f>HYPERLINK("http://twitter.com/download/iphone","Twitter for iPhone")</f>
        <v>Twitter for iPhone</v>
      </c>
      <c r="F967" s="4">
        <v>42777.608032407406</v>
      </c>
      <c r="G967" s="17" t="s">
        <v>171</v>
      </c>
      <c r="H967" s="35" t="s">
        <v>11953</v>
      </c>
      <c r="I967" s="10" t="s">
        <v>11954</v>
      </c>
    </row>
    <row r="968" spans="1:9" ht="75">
      <c r="A968" s="19">
        <v>43545.904340277775</v>
      </c>
      <c r="B968" s="20" t="str">
        <f>HYPERLINK("https://twitter.com/Property_manag","@Property_manag")</f>
        <v>@Property_manag</v>
      </c>
      <c r="C968" s="21" t="s">
        <v>9008</v>
      </c>
      <c r="D968" s="22" t="s">
        <v>9009</v>
      </c>
      <c r="E968" s="23" t="str">
        <f>HYPERLINK("https://about.twitter.com/products/tweetdeck","TweetDeck")</f>
        <v>TweetDeck</v>
      </c>
      <c r="F968" s="19">
        <v>43356.184201388889</v>
      </c>
      <c r="G968" s="17" t="s">
        <v>171</v>
      </c>
      <c r="H968" s="35" t="s">
        <v>9010</v>
      </c>
      <c r="I968" s="25" t="s">
        <v>9011</v>
      </c>
    </row>
    <row r="969" spans="1:9" ht="105">
      <c r="A969" s="19">
        <v>43544.409120370372</v>
      </c>
      <c r="B969" s="20" t="str">
        <f>HYPERLINK("https://twitter.com/apartmentbath_","@apartmentbath_")</f>
        <v>@apartmentbath_</v>
      </c>
      <c r="C969" s="21" t="s">
        <v>9477</v>
      </c>
      <c r="D969" s="22" t="s">
        <v>9478</v>
      </c>
      <c r="E969" s="23" t="str">
        <f>HYPERLINK("https://mobile.twitter.com","Twitter Web App")</f>
        <v>Twitter Web App</v>
      </c>
      <c r="F969" s="19">
        <v>42990.712164351848</v>
      </c>
      <c r="G969" s="17" t="s">
        <v>171</v>
      </c>
      <c r="H969" s="35" t="s">
        <v>9010</v>
      </c>
      <c r="I969" s="25" t="s">
        <v>9479</v>
      </c>
    </row>
    <row r="970" spans="1:9" ht="105">
      <c r="A970" s="4">
        <v>43560.22483796296</v>
      </c>
      <c r="B970" s="5" t="str">
        <f>HYPERLINK("https://twitter.com/Property_manag","@Property_manag")</f>
        <v>@Property_manag</v>
      </c>
      <c r="C970" s="6" t="s">
        <v>9008</v>
      </c>
      <c r="D970" s="7" t="s">
        <v>11555</v>
      </c>
      <c r="E970" s="8" t="str">
        <f>HYPERLINK("https://about.twitter.com/products/tweetdeck","TweetDeck")</f>
        <v>TweetDeck</v>
      </c>
      <c r="F970" s="4">
        <v>43356.184201388889</v>
      </c>
      <c r="G970" s="17" t="s">
        <v>171</v>
      </c>
      <c r="H970" s="35" t="s">
        <v>9010</v>
      </c>
      <c r="I970" s="10" t="s">
        <v>9011</v>
      </c>
    </row>
    <row r="971" spans="1:9" ht="120">
      <c r="A971" s="4">
        <v>43565.058206018519</v>
      </c>
      <c r="B971" s="5" t="str">
        <f>HYPERLINK("https://twitter.com/catrionaarcher","@catrionaarcher")</f>
        <v>@catrionaarcher</v>
      </c>
      <c r="C971" s="6" t="s">
        <v>6317</v>
      </c>
      <c r="D971" s="7" t="s">
        <v>6318</v>
      </c>
      <c r="E971" s="8" t="str">
        <f>HYPERLINK("http://twitter.com/download/iphone","Twitter for iPhone")</f>
        <v>Twitter for iPhone</v>
      </c>
      <c r="F971" s="4">
        <v>41677.528379629628</v>
      </c>
      <c r="G971" s="17" t="s">
        <v>171</v>
      </c>
      <c r="H971" s="35" t="s">
        <v>6319</v>
      </c>
      <c r="I971" s="10" t="s">
        <v>6320</v>
      </c>
    </row>
    <row r="972" spans="1:9" ht="75">
      <c r="A972" s="12">
        <v>43570.155497685184</v>
      </c>
      <c r="B972" s="13" t="str">
        <f>HYPERLINK("https://twitter.com/giospanti","@giospanti")</f>
        <v>@giospanti</v>
      </c>
      <c r="C972" s="14" t="s">
        <v>4316</v>
      </c>
      <c r="D972" s="15" t="s">
        <v>4317</v>
      </c>
      <c r="E972" s="16" t="str">
        <f>HYPERLINK("http://instagram.com","Instagram")</f>
        <v>Instagram</v>
      </c>
      <c r="F972" s="12">
        <v>39996.269849537035</v>
      </c>
      <c r="G972" s="17" t="s">
        <v>171</v>
      </c>
      <c r="H972" s="35" t="s">
        <v>4318</v>
      </c>
      <c r="I972" s="18" t="s">
        <v>4319</v>
      </c>
    </row>
    <row r="973" spans="1:9" ht="30">
      <c r="A973" s="4">
        <v>43564.548587962963</v>
      </c>
      <c r="B973" s="5" t="str">
        <f>HYPERLINK("https://twitter.com/chrislove1","@chrislove1")</f>
        <v>@chrislove1</v>
      </c>
      <c r="C973" s="6" t="s">
        <v>6562</v>
      </c>
      <c r="D973" s="7" t="s">
        <v>6563</v>
      </c>
      <c r="E973" s="8" t="str">
        <f>HYPERLINK("http://twitter.com/download/iphone","Twitter for iPhone")</f>
        <v>Twitter for iPhone</v>
      </c>
      <c r="F973" s="4">
        <v>39874.477708333332</v>
      </c>
      <c r="G973" s="9" t="s">
        <v>171</v>
      </c>
      <c r="H973" s="35" t="s">
        <v>6564</v>
      </c>
      <c r="I973" s="10" t="s">
        <v>6565</v>
      </c>
    </row>
    <row r="974" spans="1:9" ht="90">
      <c r="A974" s="4">
        <v>43562.415312500001</v>
      </c>
      <c r="B974" s="5" t="str">
        <f>HYPERLINK("https://twitter.com/MichalBryxi","@MichalBryxi")</f>
        <v>@MichalBryxi</v>
      </c>
      <c r="C974" s="6" t="s">
        <v>10683</v>
      </c>
      <c r="D974" s="7" t="s">
        <v>10684</v>
      </c>
      <c r="E974" s="8" t="str">
        <f>HYPERLINK("https://buffer.com","Buffer")</f>
        <v>Buffer</v>
      </c>
      <c r="F974" s="4">
        <v>40559.915138888886</v>
      </c>
      <c r="G974" s="9" t="s">
        <v>171</v>
      </c>
      <c r="H974" s="35" t="s">
        <v>6564</v>
      </c>
      <c r="I974" s="10" t="s">
        <v>10685</v>
      </c>
    </row>
    <row r="975" spans="1:9" ht="105">
      <c r="A975" s="4">
        <v>43561.073715277773</v>
      </c>
      <c r="B975" s="5" t="str">
        <f>HYPERLINK("https://twitter.com/BelfastAirbnb","@BelfastAirbnb")</f>
        <v>@BelfastAirbnb</v>
      </c>
      <c r="C975" s="6" t="s">
        <v>11085</v>
      </c>
      <c r="D975" s="7" t="s">
        <v>11086</v>
      </c>
      <c r="E975" s="8" t="str">
        <f>HYPERLINK("http://twitter.com/download/iphone","Twitter for iPhone")</f>
        <v>Twitter for iPhone</v>
      </c>
      <c r="F975" s="4">
        <v>43074.975891203707</v>
      </c>
      <c r="G975" s="9" t="s">
        <v>171</v>
      </c>
      <c r="H975" s="35" t="s">
        <v>6564</v>
      </c>
      <c r="I975" s="10" t="s">
        <v>11087</v>
      </c>
    </row>
    <row r="976" spans="1:9" ht="90">
      <c r="A976" s="19">
        <v>43550.37498842593</v>
      </c>
      <c r="B976" s="20" t="str">
        <f>HYPERLINK("https://twitter.com/maxmanagement","@maxmanagement")</f>
        <v>@maxmanagement</v>
      </c>
      <c r="C976" s="21" t="s">
        <v>7698</v>
      </c>
      <c r="D976" s="22" t="s">
        <v>7699</v>
      </c>
      <c r="E976" s="23" t="str">
        <f>HYPERLINK("https://ifttt.com","IFTTT")</f>
        <v>IFTTT</v>
      </c>
      <c r="F976" s="19">
        <v>39295.021458333329</v>
      </c>
      <c r="G976" s="9" t="s">
        <v>171</v>
      </c>
      <c r="H976" s="35" t="s">
        <v>1440</v>
      </c>
      <c r="I976" s="25" t="s">
        <v>7700</v>
      </c>
    </row>
    <row r="977" spans="1:9" ht="60">
      <c r="A977" s="19">
        <v>43548.255000000005</v>
      </c>
      <c r="B977" s="20" t="str">
        <f>HYPERLINK("https://twitter.com/Val87_","@Val87_")</f>
        <v>@Val87_</v>
      </c>
      <c r="C977" s="21" t="s">
        <v>8368</v>
      </c>
      <c r="D977" s="22" t="s">
        <v>8369</v>
      </c>
      <c r="E977" s="23" t="str">
        <f>HYPERLINK("http://twitter.com/download/android","Twitter for Android")</f>
        <v>Twitter for Android</v>
      </c>
      <c r="F977" s="19">
        <v>40927.572245370371</v>
      </c>
      <c r="G977" s="9" t="s">
        <v>171</v>
      </c>
      <c r="H977" s="35" t="s">
        <v>1440</v>
      </c>
      <c r="I977" s="25" t="s">
        <v>8370</v>
      </c>
    </row>
    <row r="978" spans="1:9" ht="90">
      <c r="A978" s="4">
        <v>43562.384849537033</v>
      </c>
      <c r="B978" s="5" t="str">
        <f>HYPERLINK("https://twitter.com/MiekeElewaut","@MiekeElewaut")</f>
        <v>@MiekeElewaut</v>
      </c>
      <c r="C978" s="6" t="s">
        <v>10691</v>
      </c>
      <c r="D978" s="7" t="s">
        <v>10692</v>
      </c>
      <c r="E978" s="8" t="str">
        <f>HYPERLINK("http://twitter.com/download/iphone","Twitter for iPhone")</f>
        <v>Twitter for iPhone</v>
      </c>
      <c r="F978" s="4">
        <v>41652.226504629631</v>
      </c>
      <c r="G978" s="9" t="s">
        <v>171</v>
      </c>
      <c r="H978" s="35" t="s">
        <v>1440</v>
      </c>
      <c r="I978" s="10" t="s">
        <v>10693</v>
      </c>
    </row>
    <row r="979" spans="1:9" ht="45">
      <c r="A979" s="12">
        <v>43577.990914351853</v>
      </c>
      <c r="B979" s="13" t="str">
        <f>HYPERLINK("https://twitter.com/__BorT__","@__BorT__")</f>
        <v>@__BorT__</v>
      </c>
      <c r="C979" s="14" t="s">
        <v>1438</v>
      </c>
      <c r="D979" s="15" t="s">
        <v>1439</v>
      </c>
      <c r="E979" s="16" t="str">
        <f>HYPERLINK("https://ifttt.com","IFTTT")</f>
        <v>IFTTT</v>
      </c>
      <c r="F979" s="12">
        <v>43232.562245370369</v>
      </c>
      <c r="G979" s="9" t="s">
        <v>171</v>
      </c>
      <c r="H979" s="35" t="s">
        <v>1440</v>
      </c>
      <c r="I979" s="18" t="s">
        <v>1441</v>
      </c>
    </row>
    <row r="980" spans="1:9" ht="105">
      <c r="A980" s="12">
        <v>43573.023935185185</v>
      </c>
      <c r="B980" s="13" t="str">
        <f>HYPERLINK("https://twitter.com/EmreSevinc","@EmreSevinc")</f>
        <v>@EmreSevinc</v>
      </c>
      <c r="C980" s="14" t="s">
        <v>3025</v>
      </c>
      <c r="D980" s="15" t="s">
        <v>3026</v>
      </c>
      <c r="E980" s="16" t="str">
        <f>HYPERLINK("http://twitter.com","Twitter Web Client")</f>
        <v>Twitter Web Client</v>
      </c>
      <c r="F980" s="12">
        <v>40076.110891203702</v>
      </c>
      <c r="G980" s="9" t="s">
        <v>171</v>
      </c>
      <c r="H980" s="35" t="s">
        <v>1440</v>
      </c>
      <c r="I980" s="18" t="s">
        <v>3027</v>
      </c>
    </row>
    <row r="981" spans="1:9" ht="75">
      <c r="A981" s="12">
        <v>43571.930567129632</v>
      </c>
      <c r="B981" s="13" t="str">
        <f>HYPERLINK("https://twitter.com/SarcasticSari","@SarcasticSari")</f>
        <v>@SarcasticSari</v>
      </c>
      <c r="C981" s="14" t="s">
        <v>3494</v>
      </c>
      <c r="D981" s="15" t="s">
        <v>3495</v>
      </c>
      <c r="E981" s="16" t="str">
        <f>HYPERLINK("http://twitter.com/download/iphone","Twitter for iPhone")</f>
        <v>Twitter for iPhone</v>
      </c>
      <c r="F981" s="12">
        <v>40026.012673611112</v>
      </c>
      <c r="G981" s="9" t="s">
        <v>171</v>
      </c>
      <c r="H981" s="35" t="s">
        <v>3496</v>
      </c>
      <c r="I981" s="18" t="s">
        <v>3497</v>
      </c>
    </row>
    <row r="982" spans="1:9" ht="75">
      <c r="A982" s="4">
        <v>43564.554340277777</v>
      </c>
      <c r="B982" s="5" t="str">
        <f>HYPERLINK("https://twitter.com/dreamhostel_bgd","@dreamhostel_bgd")</f>
        <v>@dreamhostel_bgd</v>
      </c>
      <c r="C982" s="6" t="s">
        <v>6558</v>
      </c>
      <c r="D982" s="7" t="s">
        <v>6559</v>
      </c>
      <c r="E982" s="8" t="str">
        <f>HYPERLINK("http://instagram.com","Instagram")</f>
        <v>Instagram</v>
      </c>
      <c r="F982" s="4">
        <v>41355.541990740741</v>
      </c>
      <c r="G982" s="9" t="s">
        <v>171</v>
      </c>
      <c r="H982" s="35" t="s">
        <v>6560</v>
      </c>
      <c r="I982" s="10" t="s">
        <v>6561</v>
      </c>
    </row>
    <row r="983" spans="1:9" ht="75">
      <c r="A983" s="4">
        <v>43564.5543287037</v>
      </c>
      <c r="B983" s="5" t="str">
        <f>HYPERLINK("https://twitter.com/dreamhostel_bgd","@dreamhostel_bgd")</f>
        <v>@dreamhostel_bgd</v>
      </c>
      <c r="C983" s="6" t="s">
        <v>6558</v>
      </c>
      <c r="D983" s="7" t="s">
        <v>6559</v>
      </c>
      <c r="E983" s="8" t="str">
        <f>HYPERLINK("http://instagram.com","Instagram")</f>
        <v>Instagram</v>
      </c>
      <c r="F983" s="4">
        <v>41355.541990740741</v>
      </c>
      <c r="G983" s="9" t="s">
        <v>171</v>
      </c>
      <c r="H983" s="35" t="s">
        <v>6560</v>
      </c>
      <c r="I983" s="10" t="s">
        <v>6561</v>
      </c>
    </row>
    <row r="984" spans="1:9" ht="90">
      <c r="A984" s="12">
        <v>43579.234849537039</v>
      </c>
      <c r="B984" s="13" t="str">
        <f>HYPERLINK("https://twitter.com/HeadBelper","@HeadBelper")</f>
        <v>@HeadBelper</v>
      </c>
      <c r="C984" s="14" t="s">
        <v>832</v>
      </c>
      <c r="D984" s="15" t="s">
        <v>833</v>
      </c>
      <c r="E984" s="16" t="str">
        <f>HYPERLINK("https://mobile.twitter.com","Twitter Web App")</f>
        <v>Twitter Web App</v>
      </c>
      <c r="F984" s="12">
        <v>43550.161759259259</v>
      </c>
      <c r="G984" s="17" t="s">
        <v>171</v>
      </c>
      <c r="H984" s="35" t="s">
        <v>834</v>
      </c>
      <c r="I984" s="18" t="s">
        <v>835</v>
      </c>
    </row>
    <row r="985" spans="1:9" ht="60">
      <c r="A985" s="12">
        <v>43573.281099537038</v>
      </c>
      <c r="B985" s="13" t="str">
        <f>HYPERLINK("https://twitter.com/HeadBelper","@HeadBelper")</f>
        <v>@HeadBelper</v>
      </c>
      <c r="C985" s="14" t="s">
        <v>832</v>
      </c>
      <c r="D985" s="15" t="s">
        <v>2946</v>
      </c>
      <c r="E985" s="16" t="str">
        <f>HYPERLINK("http://twitter.com","Twitter Web Client")</f>
        <v>Twitter Web Client</v>
      </c>
      <c r="F985" s="12">
        <v>43550.161759259259</v>
      </c>
      <c r="G985" s="17" t="s">
        <v>171</v>
      </c>
      <c r="H985" s="35" t="s">
        <v>834</v>
      </c>
      <c r="I985" s="18" t="s">
        <v>835</v>
      </c>
    </row>
    <row r="986" spans="1:9" ht="30">
      <c r="A986" s="4">
        <v>43563.317766203705</v>
      </c>
      <c r="B986" s="5" t="str">
        <f>HYPERLINK("https://twitter.com/VladiVostok07","@VladiVostok07")</f>
        <v>@VladiVostok07</v>
      </c>
      <c r="C986" s="6" t="s">
        <v>10376</v>
      </c>
      <c r="D986" s="7" t="s">
        <v>10377</v>
      </c>
      <c r="E986" s="8" t="str">
        <f>HYPERLINK("https://mobile.twitter.com","Twitter Web App")</f>
        <v>Twitter Web App</v>
      </c>
      <c r="F986" s="4">
        <v>42660.249328703707</v>
      </c>
      <c r="G986" s="9" t="s">
        <v>171</v>
      </c>
      <c r="H986" s="35" t="s">
        <v>10378</v>
      </c>
      <c r="I986" s="10" t="s">
        <v>10379</v>
      </c>
    </row>
    <row r="987" spans="1:9" ht="75">
      <c r="A987" s="19">
        <v>43542.541828703703</v>
      </c>
      <c r="B987" s="20" t="str">
        <f>HYPERLINK("https://twitter.com/littledarsy","@littledarsy")</f>
        <v>@littledarsy</v>
      </c>
      <c r="C987" s="21" t="s">
        <v>5648</v>
      </c>
      <c r="D987" s="22" t="s">
        <v>10117</v>
      </c>
      <c r="E987" s="23" t="str">
        <f>HYPERLINK("https://buffer.com","Buffer")</f>
        <v>Buffer</v>
      </c>
      <c r="F987" s="19">
        <v>42868.532129629632</v>
      </c>
      <c r="G987" s="9" t="s">
        <v>171</v>
      </c>
      <c r="H987" s="35" t="s">
        <v>5650</v>
      </c>
      <c r="I987" s="25" t="s">
        <v>5651</v>
      </c>
    </row>
    <row r="988" spans="1:9" ht="60">
      <c r="A988" s="12">
        <v>43566.333958333329</v>
      </c>
      <c r="B988" s="13" t="str">
        <f>HYPERLINK("https://twitter.com/littledarsy","@littledarsy")</f>
        <v>@littledarsy</v>
      </c>
      <c r="C988" s="14" t="s">
        <v>5648</v>
      </c>
      <c r="D988" s="15" t="s">
        <v>5649</v>
      </c>
      <c r="E988" s="16" t="str">
        <f>HYPERLINK("https://buffer.com","Buffer")</f>
        <v>Buffer</v>
      </c>
      <c r="F988" s="12">
        <v>42868.532129629632</v>
      </c>
      <c r="G988" s="9" t="s">
        <v>171</v>
      </c>
      <c r="H988" s="35" t="s">
        <v>5650</v>
      </c>
      <c r="I988" s="18" t="s">
        <v>5651</v>
      </c>
    </row>
    <row r="989" spans="1:9" ht="60">
      <c r="A989" s="12">
        <v>43579.94908564815</v>
      </c>
      <c r="B989" s="13" t="str">
        <f>HYPERLINK("https://twitter.com/PeteMoring","@PeteMoring")</f>
        <v>@PeteMoring</v>
      </c>
      <c r="C989" s="14" t="s">
        <v>383</v>
      </c>
      <c r="D989" s="15" t="s">
        <v>384</v>
      </c>
      <c r="E989" s="16" t="str">
        <f>HYPERLINK("http://twitter.com/download/android","Twitter for Android")</f>
        <v>Twitter for Android</v>
      </c>
      <c r="F989" s="12">
        <v>39201.145115740743</v>
      </c>
      <c r="G989" s="17" t="s">
        <v>171</v>
      </c>
      <c r="H989" s="35" t="s">
        <v>385</v>
      </c>
      <c r="I989" s="18" t="s">
        <v>386</v>
      </c>
    </row>
    <row r="990" spans="1:9" ht="120">
      <c r="A990" s="12">
        <v>43580.03601851852</v>
      </c>
      <c r="B990" s="13" t="str">
        <f>HYPERLINK("https://twitter.com/DavidWinsper","@DavidWinsper")</f>
        <v>@DavidWinsper</v>
      </c>
      <c r="C990" s="14" t="s">
        <v>317</v>
      </c>
      <c r="D990" s="15" t="s">
        <v>318</v>
      </c>
      <c r="E990" s="16" t="str">
        <f>HYPERLINK("http://twitter.com/download/android","Twitter for Android")</f>
        <v>Twitter for Android</v>
      </c>
      <c r="F990" s="12">
        <v>40891.515451388885</v>
      </c>
      <c r="G990" s="17" t="s">
        <v>171</v>
      </c>
      <c r="H990" s="35" t="s">
        <v>319</v>
      </c>
      <c r="I990" s="18" t="s">
        <v>320</v>
      </c>
    </row>
    <row r="991" spans="1:9" ht="60">
      <c r="A991" s="19">
        <v>43549.411655092597</v>
      </c>
      <c r="B991" s="20" t="str">
        <f>HYPERLINK("https://twitter.com/ErikaFerrando2","@ErikaFerrando2")</f>
        <v>@ErikaFerrando2</v>
      </c>
      <c r="C991" s="21" t="s">
        <v>8044</v>
      </c>
      <c r="D991" s="22" t="s">
        <v>8045</v>
      </c>
      <c r="E991" s="23" t="str">
        <f>HYPERLINK("http://twitter.com/download/iphone","Twitter for iPhone")</f>
        <v>Twitter for iPhone</v>
      </c>
      <c r="F991" s="19">
        <v>40941.078831018516</v>
      </c>
      <c r="G991" s="24" t="s">
        <v>171</v>
      </c>
      <c r="H991" s="35" t="s">
        <v>6074</v>
      </c>
      <c r="I991" s="25" t="s">
        <v>8046</v>
      </c>
    </row>
    <row r="992" spans="1:9" ht="60">
      <c r="A992" s="19">
        <v>43546.088900462964</v>
      </c>
      <c r="B992" s="20" t="str">
        <f>HYPERLINK("https://twitter.com/hotellerie_de","@hotellerie_de")</f>
        <v>@hotellerie_de</v>
      </c>
      <c r="C992" s="21" t="s">
        <v>8963</v>
      </c>
      <c r="D992" s="22" t="s">
        <v>8964</v>
      </c>
      <c r="E992" s="23" t="str">
        <f>HYPERLINK("http://twitter.com","Twitter Web Client")</f>
        <v>Twitter Web Client</v>
      </c>
      <c r="F992" s="19">
        <v>40701.319594907407</v>
      </c>
      <c r="G992" s="24" t="s">
        <v>171</v>
      </c>
      <c r="H992" s="35" t="s">
        <v>8965</v>
      </c>
      <c r="I992" s="25" t="s">
        <v>8966</v>
      </c>
    </row>
    <row r="993" spans="1:9" ht="60">
      <c r="A993" s="19">
        <v>43544.58085648148</v>
      </c>
      <c r="B993" s="20" t="str">
        <f>HYPERLINK("https://twitter.com/ErikaFerrando2","@ErikaFerrando2")</f>
        <v>@ErikaFerrando2</v>
      </c>
      <c r="C993" s="21" t="s">
        <v>8044</v>
      </c>
      <c r="D993" s="22" t="s">
        <v>9408</v>
      </c>
      <c r="E993" s="23" t="str">
        <f>HYPERLINK("http://twitter.com/download/iphone","Twitter for iPhone")</f>
        <v>Twitter for iPhone</v>
      </c>
      <c r="F993" s="19">
        <v>40941.078831018516</v>
      </c>
      <c r="G993" s="24" t="s">
        <v>171</v>
      </c>
      <c r="H993" s="35" t="s">
        <v>6074</v>
      </c>
      <c r="I993" s="25" t="s">
        <v>8046</v>
      </c>
    </row>
    <row r="994" spans="1:9" ht="105">
      <c r="A994" s="4">
        <v>43565.458993055552</v>
      </c>
      <c r="B994" s="5" t="str">
        <f>HYPERLINK("https://twitter.com/sunami495","@sunami495")</f>
        <v>@sunami495</v>
      </c>
      <c r="C994" s="6" t="s">
        <v>6072</v>
      </c>
      <c r="D994" s="7" t="s">
        <v>6073</v>
      </c>
      <c r="E994" s="8" t="str">
        <f>HYPERLINK("http://twitter.com","Twitter Web Client")</f>
        <v>Twitter Web Client</v>
      </c>
      <c r="F994" s="4">
        <v>40581.563634259262</v>
      </c>
      <c r="G994" s="24" t="s">
        <v>171</v>
      </c>
      <c r="H994" s="35" t="s">
        <v>6074</v>
      </c>
      <c r="I994" s="10" t="s">
        <v>6075</v>
      </c>
    </row>
    <row r="995" spans="1:9" ht="30">
      <c r="A995" s="4">
        <v>43561.622291666667</v>
      </c>
      <c r="B995" s="5" t="str">
        <f>HYPERLINK("https://twitter.com/thorlindberger","@thorlindberger")</f>
        <v>@thorlindberger</v>
      </c>
      <c r="C995" s="6" t="s">
        <v>10902</v>
      </c>
      <c r="D995" s="7" t="s">
        <v>10903</v>
      </c>
      <c r="E995" s="8" t="str">
        <f>HYPERLINK("http://www.lindberger.de","Lindberger")</f>
        <v>Lindberger</v>
      </c>
      <c r="F995" s="4">
        <v>42133.289953703701</v>
      </c>
      <c r="G995" s="24" t="s">
        <v>171</v>
      </c>
      <c r="H995" s="35" t="s">
        <v>8965</v>
      </c>
      <c r="I995" s="26" t="s">
        <v>10904</v>
      </c>
    </row>
    <row r="996" spans="1:9" ht="90">
      <c r="A996" s="19">
        <v>43551.136562500003</v>
      </c>
      <c r="B996" s="20" t="str">
        <f>HYPERLINK("https://twitter.com/tobiasheyer","@tobiasheyer")</f>
        <v>@tobiasheyer</v>
      </c>
      <c r="C996" s="21" t="s">
        <v>3767</v>
      </c>
      <c r="D996" s="22" t="s">
        <v>7424</v>
      </c>
      <c r="E996" s="23" t="str">
        <f>HYPERLINK("https://mobile.twitter.com","Twitter Web App")</f>
        <v>Twitter Web App</v>
      </c>
      <c r="F996" s="19">
        <v>41170.579722222225</v>
      </c>
      <c r="G996" s="24" t="s">
        <v>171</v>
      </c>
      <c r="H996" s="35" t="s">
        <v>2063</v>
      </c>
      <c r="I996" s="25" t="s">
        <v>3769</v>
      </c>
    </row>
    <row r="997" spans="1:9" ht="120">
      <c r="A997" s="4">
        <v>43564.458761574075</v>
      </c>
      <c r="B997" s="5" t="str">
        <f>HYPERLINK("https://twitter.com/LatelyShow","@LatelyShow")</f>
        <v>@LatelyShow</v>
      </c>
      <c r="C997" s="6" t="s">
        <v>6598</v>
      </c>
      <c r="D997" s="7" t="s">
        <v>6599</v>
      </c>
      <c r="E997" s="8" t="str">
        <f>HYPERLINK("http://twitter.com","Twitter Web Client")</f>
        <v>Twitter Web Client</v>
      </c>
      <c r="F997" s="4">
        <v>41360.231504629628</v>
      </c>
      <c r="G997" s="24" t="s">
        <v>171</v>
      </c>
      <c r="H997" s="35" t="s">
        <v>2063</v>
      </c>
      <c r="I997" s="10" t="s">
        <v>6600</v>
      </c>
    </row>
    <row r="998" spans="1:9" ht="45">
      <c r="A998" s="4">
        <v>43559.085659722223</v>
      </c>
      <c r="B998" s="5" t="str">
        <f>HYPERLINK("https://twitter.com/tobiasheyer","@tobiasheyer")</f>
        <v>@tobiasheyer</v>
      </c>
      <c r="C998" s="6" t="s">
        <v>3767</v>
      </c>
      <c r="D998" s="7" t="s">
        <v>11945</v>
      </c>
      <c r="E998" s="8" t="str">
        <f>HYPERLINK("http://twitter.com","Twitter Web Client")</f>
        <v>Twitter Web Client</v>
      </c>
      <c r="F998" s="4">
        <v>41170.579722222225</v>
      </c>
      <c r="G998" s="24" t="s">
        <v>171</v>
      </c>
      <c r="H998" s="35" t="s">
        <v>2063</v>
      </c>
      <c r="I998" s="10" t="s">
        <v>3769</v>
      </c>
    </row>
    <row r="999" spans="1:9" ht="45">
      <c r="A999" s="4">
        <v>43557.421076388884</v>
      </c>
      <c r="B999" s="5" t="str">
        <f>HYPERLINK("https://twitter.com/cryptonator1337","@cryptonator1337")</f>
        <v>@cryptonator1337</v>
      </c>
      <c r="C999" s="6" t="s">
        <v>12519</v>
      </c>
      <c r="D999" s="7" t="s">
        <v>12520</v>
      </c>
      <c r="E999" s="8" t="str">
        <f>HYPERLINK("https://mobile.twitter.com","Twitter Web App")</f>
        <v>Twitter Web App</v>
      </c>
      <c r="F999" s="4">
        <v>42864.14130787037</v>
      </c>
      <c r="G999" s="24" t="s">
        <v>171</v>
      </c>
      <c r="H999" s="35" t="s">
        <v>2063</v>
      </c>
      <c r="I999" s="10" t="s">
        <v>12521</v>
      </c>
    </row>
    <row r="1000" spans="1:9" ht="105">
      <c r="A1000" s="12">
        <v>43576.071203703701</v>
      </c>
      <c r="B1000" s="13" t="str">
        <f>HYPERLINK("https://twitter.com/klee_adrian","@klee_adrian")</f>
        <v>@klee_adrian</v>
      </c>
      <c r="C1000" s="14" t="s">
        <v>2061</v>
      </c>
      <c r="D1000" s="15" t="s">
        <v>2062</v>
      </c>
      <c r="E1000" s="16" t="str">
        <f>HYPERLINK("http://twitter.com/download/iphone","Twitter for iPhone")</f>
        <v>Twitter for iPhone</v>
      </c>
      <c r="F1000" s="12">
        <v>42640.160138888888</v>
      </c>
      <c r="G1000" s="24" t="s">
        <v>171</v>
      </c>
      <c r="H1000" s="35" t="s">
        <v>2063</v>
      </c>
      <c r="I1000" s="18" t="s">
        <v>2064</v>
      </c>
    </row>
    <row r="1001" spans="1:9" ht="30">
      <c r="A1001" s="12">
        <v>43571.264282407406</v>
      </c>
      <c r="B1001" s="13" t="str">
        <f>HYPERLINK("https://twitter.com/tobiasheyer","@tobiasheyer")</f>
        <v>@tobiasheyer</v>
      </c>
      <c r="C1001" s="14" t="s">
        <v>3767</v>
      </c>
      <c r="D1001" s="15" t="s">
        <v>3768</v>
      </c>
      <c r="E1001" s="16" t="str">
        <f>HYPERLINK("http://twitter.com","Twitter Web Client")</f>
        <v>Twitter Web Client</v>
      </c>
      <c r="F1001" s="12">
        <v>41170.579722222225</v>
      </c>
      <c r="G1001" s="24" t="s">
        <v>171</v>
      </c>
      <c r="H1001" s="35" t="s">
        <v>2063</v>
      </c>
      <c r="I1001" s="18" t="s">
        <v>3769</v>
      </c>
    </row>
    <row r="1002" spans="1:9" ht="105">
      <c r="A1002" s="19">
        <v>43550.989664351851</v>
      </c>
      <c r="B1002" s="20" t="str">
        <f>HYPERLINK("https://twitter.com/VladimirBeroun","@VladimirBeroun")</f>
        <v>@VladimirBeroun</v>
      </c>
      <c r="C1002" s="21" t="s">
        <v>7465</v>
      </c>
      <c r="D1002" s="22" t="s">
        <v>7466</v>
      </c>
      <c r="E1002" s="23" t="str">
        <f>HYPERLINK("http://twitter.com","Twitter Web Client")</f>
        <v>Twitter Web Client</v>
      </c>
      <c r="F1002" s="19">
        <v>40202.064409722225</v>
      </c>
      <c r="G1002" s="24" t="s">
        <v>171</v>
      </c>
      <c r="H1002" s="35" t="s">
        <v>167</v>
      </c>
      <c r="I1002" s="25" t="s">
        <v>7467</v>
      </c>
    </row>
    <row r="1003" spans="1:9" ht="60">
      <c r="A1003" s="19">
        <v>43549.136122685188</v>
      </c>
      <c r="B1003" s="20" t="str">
        <f>HYPERLINK("https://twitter.com/jobtensor","@jobtensor")</f>
        <v>@jobtensor</v>
      </c>
      <c r="C1003" s="20" t="s">
        <v>8151</v>
      </c>
      <c r="D1003" s="28" t="s">
        <v>8152</v>
      </c>
      <c r="E1003" s="23" t="str">
        <f>HYPERLINK("https://buffer.com","Buffer")</f>
        <v>Buffer</v>
      </c>
      <c r="F1003" s="19">
        <v>41302.544629629629</v>
      </c>
      <c r="G1003" s="24" t="s">
        <v>171</v>
      </c>
      <c r="H1003" s="35" t="s">
        <v>167</v>
      </c>
      <c r="I1003" s="25" t="s">
        <v>8153</v>
      </c>
    </row>
    <row r="1004" spans="1:9" ht="105">
      <c r="A1004" s="19">
        <v>43543.053379629629</v>
      </c>
      <c r="B1004" s="20" t="str">
        <f>HYPERLINK("https://twitter.com/VladimirBeroun","@VladimirBeroun")</f>
        <v>@VladimirBeroun</v>
      </c>
      <c r="C1004" s="21" t="s">
        <v>7465</v>
      </c>
      <c r="D1004" s="22" t="s">
        <v>9954</v>
      </c>
      <c r="E1004" s="23" t="str">
        <f>HYPERLINK("http://twitter.com","Twitter Web Client")</f>
        <v>Twitter Web Client</v>
      </c>
      <c r="F1004" s="19">
        <v>40202.064409722225</v>
      </c>
      <c r="G1004" s="24" t="s">
        <v>171</v>
      </c>
      <c r="H1004" s="35" t="s">
        <v>167</v>
      </c>
      <c r="I1004" s="25" t="s">
        <v>7467</v>
      </c>
    </row>
    <row r="1005" spans="1:9" ht="90">
      <c r="A1005" s="4">
        <v>43565.150624999995</v>
      </c>
      <c r="B1005" s="5" t="str">
        <f>HYPERLINK("https://twitter.com/Martin_Lejeune","@Martin_Lejeune")</f>
        <v>@Martin_Lejeune</v>
      </c>
      <c r="C1005" s="6" t="s">
        <v>6266</v>
      </c>
      <c r="D1005" s="7" t="s">
        <v>6267</v>
      </c>
      <c r="E1005" s="8" t="str">
        <f>HYPERLINK("http://twitter.com","Twitter Web Client")</f>
        <v>Twitter Web Client</v>
      </c>
      <c r="F1005" s="4">
        <v>40551.387071759258</v>
      </c>
      <c r="G1005" s="24" t="s">
        <v>171</v>
      </c>
      <c r="H1005" s="35" t="s">
        <v>167</v>
      </c>
      <c r="I1005" s="10" t="s">
        <v>6268</v>
      </c>
    </row>
    <row r="1006" spans="1:9" ht="45">
      <c r="A1006" s="4">
        <v>43564.504837962959</v>
      </c>
      <c r="B1006" s="5" t="str">
        <f>HYPERLINK("https://twitter.com/TimKlaws","@TimKlaws")</f>
        <v>@TimKlaws</v>
      </c>
      <c r="C1006" s="6" t="s">
        <v>6568</v>
      </c>
      <c r="D1006" s="7" t="s">
        <v>6569</v>
      </c>
      <c r="E1006" s="8" t="str">
        <f>HYPERLINK("http://twitter.com/download/iphone","Twitter for iPhone")</f>
        <v>Twitter for iPhone</v>
      </c>
      <c r="F1006" s="4">
        <v>40541.507835648146</v>
      </c>
      <c r="G1006" s="24" t="s">
        <v>171</v>
      </c>
      <c r="H1006" s="35" t="s">
        <v>167</v>
      </c>
      <c r="I1006" s="10" t="s">
        <v>6570</v>
      </c>
    </row>
    <row r="1007" spans="1:9" ht="45">
      <c r="A1007" s="4">
        <v>43563.338900462964</v>
      </c>
      <c r="B1007" s="5" t="str">
        <f>HYPERLINK("https://twitter.com/CreativeConstr","@CreativeConstr")</f>
        <v>@CreativeConstr</v>
      </c>
      <c r="C1007" s="6" t="s">
        <v>10355</v>
      </c>
      <c r="D1007" s="7" t="s">
        <v>10356</v>
      </c>
      <c r="E1007" s="8" t="str">
        <f>HYPERLINK("https://buffer.com","Buffer")</f>
        <v>Buffer</v>
      </c>
      <c r="F1007" s="4">
        <v>40665.38857638889</v>
      </c>
      <c r="G1007" s="24" t="s">
        <v>171</v>
      </c>
      <c r="H1007" s="35" t="s">
        <v>167</v>
      </c>
      <c r="I1007" s="10" t="s">
        <v>10357</v>
      </c>
    </row>
    <row r="1008" spans="1:9" ht="90">
      <c r="A1008" s="4">
        <v>43562.138923611114</v>
      </c>
      <c r="B1008" s="5" t="str">
        <f>HYPERLINK("https://twitter.com/VladimirBeroun","@VladimirBeroun")</f>
        <v>@VladimirBeroun</v>
      </c>
      <c r="C1008" s="6" t="s">
        <v>7465</v>
      </c>
      <c r="D1008" s="7" t="s">
        <v>10739</v>
      </c>
      <c r="E1008" s="8" t="str">
        <f>HYPERLINK("http://twitter.com","Twitter Web Client")</f>
        <v>Twitter Web Client</v>
      </c>
      <c r="F1008" s="4">
        <v>40202.064409722225</v>
      </c>
      <c r="G1008" s="24" t="s">
        <v>171</v>
      </c>
      <c r="H1008" s="35" t="s">
        <v>167</v>
      </c>
      <c r="I1008" s="10" t="s">
        <v>7467</v>
      </c>
    </row>
    <row r="1009" spans="1:9" ht="105">
      <c r="A1009" s="4">
        <v>43559.221388888887</v>
      </c>
      <c r="B1009" s="5" t="str">
        <f>HYPERLINK("https://twitter.com/VladimirBeroun","@VladimirBeroun")</f>
        <v>@VladimirBeroun</v>
      </c>
      <c r="C1009" s="6" t="s">
        <v>7465</v>
      </c>
      <c r="D1009" s="7" t="s">
        <v>11908</v>
      </c>
      <c r="E1009" s="8" t="str">
        <f>HYPERLINK("http://twitter.com","Twitter Web Client")</f>
        <v>Twitter Web Client</v>
      </c>
      <c r="F1009" s="4">
        <v>40202.064409722225</v>
      </c>
      <c r="G1009" s="24" t="s">
        <v>171</v>
      </c>
      <c r="H1009" s="35" t="s">
        <v>167</v>
      </c>
      <c r="I1009" s="10" t="s">
        <v>7467</v>
      </c>
    </row>
    <row r="1010" spans="1:9" ht="90">
      <c r="A1010" s="4">
        <v>43557.646620370375</v>
      </c>
      <c r="B1010" s="5" t="str">
        <f>HYPERLINK("https://twitter.com/VladimirBeroun","@VladimirBeroun")</f>
        <v>@VladimirBeroun</v>
      </c>
      <c r="C1010" s="6" t="s">
        <v>7465</v>
      </c>
      <c r="D1010" s="7" t="s">
        <v>12428</v>
      </c>
      <c r="E1010" s="8" t="str">
        <f>HYPERLINK("http://twitter.com","Twitter Web Client")</f>
        <v>Twitter Web Client</v>
      </c>
      <c r="F1010" s="4">
        <v>40202.064409722225</v>
      </c>
      <c r="G1010" s="24" t="s">
        <v>171</v>
      </c>
      <c r="H1010" s="35" t="s">
        <v>167</v>
      </c>
      <c r="I1010" s="10" t="s">
        <v>7467</v>
      </c>
    </row>
    <row r="1011" spans="1:9" ht="45">
      <c r="A1011" s="4">
        <v>43557.251423611116</v>
      </c>
      <c r="B1011" s="5" t="str">
        <f>HYPERLINK("https://twitter.com/CreativeConstr","@CreativeConstr")</f>
        <v>@CreativeConstr</v>
      </c>
      <c r="C1011" s="6" t="s">
        <v>10355</v>
      </c>
      <c r="D1011" s="7" t="s">
        <v>12603</v>
      </c>
      <c r="E1011" s="8" t="str">
        <f>HYPERLINK("https://buffer.com","Buffer")</f>
        <v>Buffer</v>
      </c>
      <c r="F1011" s="4">
        <v>40665.38857638889</v>
      </c>
      <c r="G1011" s="24" t="s">
        <v>171</v>
      </c>
      <c r="H1011" s="35" t="s">
        <v>167</v>
      </c>
      <c r="I1011" s="10" t="s">
        <v>10357</v>
      </c>
    </row>
    <row r="1012" spans="1:9" ht="90">
      <c r="A1012" s="12">
        <v>43580.65016203704</v>
      </c>
      <c r="B1012" s="13" t="str">
        <f>HYPERLINK("https://twitter.com/ErikinTransit","@ErikinTransit")</f>
        <v>@ErikinTransit</v>
      </c>
      <c r="C1012" s="14" t="s">
        <v>165</v>
      </c>
      <c r="D1012" s="15" t="s">
        <v>166</v>
      </c>
      <c r="E1012" s="16" t="str">
        <f>HYPERLINK("http://twitter.com","Twitter Web Client")</f>
        <v>Twitter Web Client</v>
      </c>
      <c r="F1012" s="12">
        <v>40984.914305555554</v>
      </c>
      <c r="G1012" s="24" t="s">
        <v>171</v>
      </c>
      <c r="H1012" s="35" t="s">
        <v>167</v>
      </c>
      <c r="I1012" s="18" t="s">
        <v>168</v>
      </c>
    </row>
    <row r="1013" spans="1:9" ht="45">
      <c r="A1013" s="12">
        <v>43572.138159722221</v>
      </c>
      <c r="B1013" s="13" t="str">
        <f>HYPERLINK("https://twitter.com/brybrybug","@brybrybug")</f>
        <v>@brybrybug</v>
      </c>
      <c r="C1013" s="14" t="s">
        <v>3410</v>
      </c>
      <c r="D1013" s="15" t="s">
        <v>3411</v>
      </c>
      <c r="E1013" s="16" t="str">
        <f>HYPERLINK("http://twitter.com/download/iphone","Twitter for iPhone")</f>
        <v>Twitter for iPhone</v>
      </c>
      <c r="F1013" s="12">
        <v>43450.410625000004</v>
      </c>
      <c r="G1013" s="24" t="s">
        <v>171</v>
      </c>
      <c r="H1013" s="35" t="s">
        <v>167</v>
      </c>
      <c r="I1013" s="18" t="s">
        <v>3412</v>
      </c>
    </row>
    <row r="1014" spans="1:9" ht="45">
      <c r="A1014" s="12">
        <v>43569.445243055554</v>
      </c>
      <c r="B1014" s="13" t="str">
        <f>HYPERLINK("https://twitter.com/marcelo_dotta","@marcelo_dotta")</f>
        <v>@marcelo_dotta</v>
      </c>
      <c r="C1014" s="14" t="s">
        <v>4511</v>
      </c>
      <c r="D1014" s="15" t="s">
        <v>4512</v>
      </c>
      <c r="E1014" s="16" t="str">
        <f>HYPERLINK("http://twitter.com/download/android","Twitter for Android")</f>
        <v>Twitter for Android</v>
      </c>
      <c r="F1014" s="12">
        <v>42814.661238425921</v>
      </c>
      <c r="G1014" s="24" t="s">
        <v>171</v>
      </c>
      <c r="H1014" s="35" t="s">
        <v>167</v>
      </c>
      <c r="I1014" s="18" t="s">
        <v>4513</v>
      </c>
    </row>
    <row r="1015" spans="1:9" ht="90">
      <c r="A1015" s="19">
        <v>43545.332743055551</v>
      </c>
      <c r="B1015" s="20" t="str">
        <f>HYPERLINK("https://twitter.com/nomad_notes","@nomad_notes")</f>
        <v>@nomad_notes</v>
      </c>
      <c r="C1015" s="21" t="s">
        <v>9202</v>
      </c>
      <c r="D1015" s="22" t="s">
        <v>9203</v>
      </c>
      <c r="E1015" s="23" t="str">
        <f>HYPERLINK("http://twitter.com","Twitter Web Client")</f>
        <v>Twitter Web Client</v>
      </c>
      <c r="F1015" s="19">
        <v>43354.120833333334</v>
      </c>
      <c r="G1015" s="24" t="s">
        <v>171</v>
      </c>
      <c r="H1015" s="35" t="s">
        <v>9204</v>
      </c>
      <c r="I1015" s="25" t="s">
        <v>9205</v>
      </c>
    </row>
    <row r="1016" spans="1:9" ht="75">
      <c r="A1016" s="4">
        <v>43560.042592592596</v>
      </c>
      <c r="B1016" s="5" t="str">
        <f>HYPERLINK("https://twitter.com/asitanelioglu","@asitanelioglu")</f>
        <v>@asitanelioglu</v>
      </c>
      <c r="C1016" s="6" t="s">
        <v>11630</v>
      </c>
      <c r="D1016" s="7" t="s">
        <v>11631</v>
      </c>
      <c r="E1016" s="8" t="str">
        <f>HYPERLINK("http://twitter.com","Twitter Web Client")</f>
        <v>Twitter Web Client</v>
      </c>
      <c r="F1016" s="4">
        <v>40968.404537037037</v>
      </c>
      <c r="G1016" s="9" t="s">
        <v>171</v>
      </c>
      <c r="H1016" s="35" t="s">
        <v>11632</v>
      </c>
      <c r="I1016" s="10" t="s">
        <v>11633</v>
      </c>
    </row>
    <row r="1017" spans="1:9" ht="45">
      <c r="A1017" s="12">
        <v>43568.071377314816</v>
      </c>
      <c r="B1017" s="13" t="str">
        <f>HYPERLINK("https://twitter.com/maeggor","@maeggor")</f>
        <v>@maeggor</v>
      </c>
      <c r="C1017" s="14" t="s">
        <v>4882</v>
      </c>
      <c r="D1017" s="15" t="s">
        <v>4883</v>
      </c>
      <c r="E1017" s="16" t="str">
        <f>HYPERLINK("https://ifttt.com","IFTTT")</f>
        <v>IFTTT</v>
      </c>
      <c r="F1017" s="12">
        <v>39973.641828703701</v>
      </c>
      <c r="G1017" s="17" t="s">
        <v>171</v>
      </c>
      <c r="H1017" s="35" t="s">
        <v>4884</v>
      </c>
      <c r="I1017" s="18" t="s">
        <v>4885</v>
      </c>
    </row>
    <row r="1018" spans="1:9" ht="105">
      <c r="A1018" s="19">
        <v>43551.830555555556</v>
      </c>
      <c r="B1018" s="20" t="str">
        <f t="shared" ref="B1018:B1049" si="45">HYPERLINK("https://twitter.com/igaberry1","@igaberry1")</f>
        <v>@igaberry1</v>
      </c>
      <c r="C1018" s="21" t="s">
        <v>6989</v>
      </c>
      <c r="D1018" s="22" t="s">
        <v>6990</v>
      </c>
      <c r="E1018" s="23" t="str">
        <f t="shared" ref="E1018:E1049" si="46">HYPERLINK("https://about.twitter.com/products/tweetdeck","TweetDeck")</f>
        <v>TweetDeck</v>
      </c>
      <c r="F1018" s="19">
        <v>41985.199641203704</v>
      </c>
      <c r="G1018" s="24" t="s">
        <v>171</v>
      </c>
      <c r="H1018" s="35" t="s">
        <v>6991</v>
      </c>
      <c r="I1018" s="25" t="s">
        <v>6992</v>
      </c>
    </row>
    <row r="1019" spans="1:9" ht="105">
      <c r="A1019" s="19">
        <v>43551.484722222223</v>
      </c>
      <c r="B1019" s="20" t="str">
        <f t="shared" si="45"/>
        <v>@igaberry1</v>
      </c>
      <c r="C1019" s="21" t="s">
        <v>6989</v>
      </c>
      <c r="D1019" s="22" t="s">
        <v>7163</v>
      </c>
      <c r="E1019" s="23" t="str">
        <f t="shared" si="46"/>
        <v>TweetDeck</v>
      </c>
      <c r="F1019" s="19">
        <v>41985.199641203704</v>
      </c>
      <c r="G1019" s="24" t="s">
        <v>171</v>
      </c>
      <c r="H1019" s="35" t="s">
        <v>6991</v>
      </c>
      <c r="I1019" s="25" t="s">
        <v>6992</v>
      </c>
    </row>
    <row r="1020" spans="1:9" ht="105">
      <c r="A1020" s="19">
        <v>43551.356944444444</v>
      </c>
      <c r="B1020" s="20" t="str">
        <f t="shared" si="45"/>
        <v>@igaberry1</v>
      </c>
      <c r="C1020" s="21" t="s">
        <v>6989</v>
      </c>
      <c r="D1020" s="22" t="s">
        <v>7163</v>
      </c>
      <c r="E1020" s="23" t="str">
        <f t="shared" si="46"/>
        <v>TweetDeck</v>
      </c>
      <c r="F1020" s="19">
        <v>41985.199641203704</v>
      </c>
      <c r="G1020" s="24" t="s">
        <v>171</v>
      </c>
      <c r="H1020" s="35" t="s">
        <v>6991</v>
      </c>
      <c r="I1020" s="25" t="s">
        <v>6992</v>
      </c>
    </row>
    <row r="1021" spans="1:9" ht="105">
      <c r="A1021" s="19">
        <v>43551.328472222223</v>
      </c>
      <c r="B1021" s="20" t="str">
        <f t="shared" si="45"/>
        <v>@igaberry1</v>
      </c>
      <c r="C1021" s="21" t="s">
        <v>6989</v>
      </c>
      <c r="D1021" s="22" t="s">
        <v>6990</v>
      </c>
      <c r="E1021" s="23" t="str">
        <f t="shared" si="46"/>
        <v>TweetDeck</v>
      </c>
      <c r="F1021" s="19">
        <v>41985.199641203704</v>
      </c>
      <c r="G1021" s="24" t="s">
        <v>171</v>
      </c>
      <c r="H1021" s="35" t="s">
        <v>6991</v>
      </c>
      <c r="I1021" s="25" t="s">
        <v>6992</v>
      </c>
    </row>
    <row r="1022" spans="1:9" ht="75">
      <c r="A1022" s="19">
        <v>43550.990277777775</v>
      </c>
      <c r="B1022" s="20" t="str">
        <f t="shared" si="45"/>
        <v>@igaberry1</v>
      </c>
      <c r="C1022" s="21" t="s">
        <v>6989</v>
      </c>
      <c r="D1022" s="22" t="s">
        <v>7460</v>
      </c>
      <c r="E1022" s="23" t="str">
        <f t="shared" si="46"/>
        <v>TweetDeck</v>
      </c>
      <c r="F1022" s="19">
        <v>41985.199641203704</v>
      </c>
      <c r="G1022" s="24" t="s">
        <v>171</v>
      </c>
      <c r="H1022" s="35" t="s">
        <v>6991</v>
      </c>
      <c r="I1022" s="25" t="s">
        <v>6992</v>
      </c>
    </row>
    <row r="1023" spans="1:9" ht="105">
      <c r="A1023" s="19">
        <v>43550.830555555556</v>
      </c>
      <c r="B1023" s="20" t="str">
        <f t="shared" si="45"/>
        <v>@igaberry1</v>
      </c>
      <c r="C1023" s="21" t="s">
        <v>6989</v>
      </c>
      <c r="D1023" s="22" t="s">
        <v>6990</v>
      </c>
      <c r="E1023" s="23" t="str">
        <f t="shared" si="46"/>
        <v>TweetDeck</v>
      </c>
      <c r="F1023" s="19">
        <v>41985.199641203704</v>
      </c>
      <c r="G1023" s="24" t="s">
        <v>171</v>
      </c>
      <c r="H1023" s="35" t="s">
        <v>6991</v>
      </c>
      <c r="I1023" s="25" t="s">
        <v>6992</v>
      </c>
    </row>
    <row r="1024" spans="1:9" ht="105">
      <c r="A1024" s="19">
        <v>43550.484722222223</v>
      </c>
      <c r="B1024" s="20" t="str">
        <f t="shared" si="45"/>
        <v>@igaberry1</v>
      </c>
      <c r="C1024" s="21" t="s">
        <v>6989</v>
      </c>
      <c r="D1024" s="22" t="s">
        <v>7163</v>
      </c>
      <c r="E1024" s="23" t="str">
        <f t="shared" si="46"/>
        <v>TweetDeck</v>
      </c>
      <c r="F1024" s="19">
        <v>41985.199641203704</v>
      </c>
      <c r="G1024" s="24" t="s">
        <v>171</v>
      </c>
      <c r="H1024" s="35" t="s">
        <v>6991</v>
      </c>
      <c r="I1024" s="25" t="s">
        <v>6992</v>
      </c>
    </row>
    <row r="1025" spans="1:9" ht="105">
      <c r="A1025" s="19">
        <v>43550.356944444444</v>
      </c>
      <c r="B1025" s="20" t="str">
        <f t="shared" si="45"/>
        <v>@igaberry1</v>
      </c>
      <c r="C1025" s="21" t="s">
        <v>6989</v>
      </c>
      <c r="D1025" s="22" t="s">
        <v>7163</v>
      </c>
      <c r="E1025" s="23" t="str">
        <f t="shared" si="46"/>
        <v>TweetDeck</v>
      </c>
      <c r="F1025" s="19">
        <v>41985.199641203704</v>
      </c>
      <c r="G1025" s="24" t="s">
        <v>171</v>
      </c>
      <c r="H1025" s="35" t="s">
        <v>6991</v>
      </c>
      <c r="I1025" s="25" t="s">
        <v>6992</v>
      </c>
    </row>
    <row r="1026" spans="1:9" ht="105">
      <c r="A1026" s="19">
        <v>43550.327777777777</v>
      </c>
      <c r="B1026" s="20" t="str">
        <f t="shared" si="45"/>
        <v>@igaberry1</v>
      </c>
      <c r="C1026" s="21" t="s">
        <v>6989</v>
      </c>
      <c r="D1026" s="22" t="s">
        <v>6990</v>
      </c>
      <c r="E1026" s="23" t="str">
        <f t="shared" si="46"/>
        <v>TweetDeck</v>
      </c>
      <c r="F1026" s="19">
        <v>41985.199641203704</v>
      </c>
      <c r="G1026" s="24" t="s">
        <v>171</v>
      </c>
      <c r="H1026" s="35" t="s">
        <v>6991</v>
      </c>
      <c r="I1026" s="25" t="s">
        <v>6992</v>
      </c>
    </row>
    <row r="1027" spans="1:9" ht="75">
      <c r="A1027" s="19">
        <v>43549.990277777775</v>
      </c>
      <c r="B1027" s="20" t="str">
        <f t="shared" si="45"/>
        <v>@igaberry1</v>
      </c>
      <c r="C1027" s="21" t="s">
        <v>6989</v>
      </c>
      <c r="D1027" s="22" t="s">
        <v>7460</v>
      </c>
      <c r="E1027" s="23" t="str">
        <f t="shared" si="46"/>
        <v>TweetDeck</v>
      </c>
      <c r="F1027" s="19">
        <v>41985.199641203704</v>
      </c>
      <c r="G1027" s="24" t="s">
        <v>171</v>
      </c>
      <c r="H1027" s="35" t="s">
        <v>6991</v>
      </c>
      <c r="I1027" s="25" t="s">
        <v>6992</v>
      </c>
    </row>
    <row r="1028" spans="1:9" ht="105">
      <c r="A1028" s="19">
        <v>43549.830555555556</v>
      </c>
      <c r="B1028" s="20" t="str">
        <f t="shared" si="45"/>
        <v>@igaberry1</v>
      </c>
      <c r="C1028" s="21" t="s">
        <v>6989</v>
      </c>
      <c r="D1028" s="22" t="s">
        <v>6990</v>
      </c>
      <c r="E1028" s="23" t="str">
        <f t="shared" si="46"/>
        <v>TweetDeck</v>
      </c>
      <c r="F1028" s="19">
        <v>41985.199641203704</v>
      </c>
      <c r="G1028" s="24" t="s">
        <v>171</v>
      </c>
      <c r="H1028" s="35" t="s">
        <v>6991</v>
      </c>
      <c r="I1028" s="25" t="s">
        <v>6992</v>
      </c>
    </row>
    <row r="1029" spans="1:9" ht="105">
      <c r="A1029" s="19">
        <v>43549.484722222223</v>
      </c>
      <c r="B1029" s="20" t="str">
        <f t="shared" si="45"/>
        <v>@igaberry1</v>
      </c>
      <c r="C1029" s="21" t="s">
        <v>6989</v>
      </c>
      <c r="D1029" s="22" t="s">
        <v>7163</v>
      </c>
      <c r="E1029" s="23" t="str">
        <f t="shared" si="46"/>
        <v>TweetDeck</v>
      </c>
      <c r="F1029" s="19">
        <v>41985.199641203704</v>
      </c>
      <c r="G1029" s="24" t="s">
        <v>171</v>
      </c>
      <c r="H1029" s="35" t="s">
        <v>6991</v>
      </c>
      <c r="I1029" s="25" t="s">
        <v>6992</v>
      </c>
    </row>
    <row r="1030" spans="1:9" ht="105">
      <c r="A1030" s="19">
        <v>43549.356944444444</v>
      </c>
      <c r="B1030" s="20" t="str">
        <f t="shared" si="45"/>
        <v>@igaberry1</v>
      </c>
      <c r="C1030" s="21" t="s">
        <v>6989</v>
      </c>
      <c r="D1030" s="22" t="s">
        <v>7163</v>
      </c>
      <c r="E1030" s="23" t="str">
        <f t="shared" si="46"/>
        <v>TweetDeck</v>
      </c>
      <c r="F1030" s="19">
        <v>41985.199641203704</v>
      </c>
      <c r="G1030" s="24" t="s">
        <v>171</v>
      </c>
      <c r="H1030" s="35" t="s">
        <v>6991</v>
      </c>
      <c r="I1030" s="25" t="s">
        <v>6992</v>
      </c>
    </row>
    <row r="1031" spans="1:9" ht="105">
      <c r="A1031" s="19">
        <v>43549.327777777777</v>
      </c>
      <c r="B1031" s="20" t="str">
        <f t="shared" si="45"/>
        <v>@igaberry1</v>
      </c>
      <c r="C1031" s="21" t="s">
        <v>6989</v>
      </c>
      <c r="D1031" s="22" t="s">
        <v>6990</v>
      </c>
      <c r="E1031" s="23" t="str">
        <f t="shared" si="46"/>
        <v>TweetDeck</v>
      </c>
      <c r="F1031" s="19">
        <v>41985.199641203704</v>
      </c>
      <c r="G1031" s="24" t="s">
        <v>171</v>
      </c>
      <c r="H1031" s="35" t="s">
        <v>6991</v>
      </c>
      <c r="I1031" s="25" t="s">
        <v>6992</v>
      </c>
    </row>
    <row r="1032" spans="1:9" ht="75">
      <c r="A1032" s="19">
        <v>43548.989583333328</v>
      </c>
      <c r="B1032" s="20" t="str">
        <f t="shared" si="45"/>
        <v>@igaberry1</v>
      </c>
      <c r="C1032" s="21" t="s">
        <v>6989</v>
      </c>
      <c r="D1032" s="22" t="s">
        <v>7460</v>
      </c>
      <c r="E1032" s="23" t="str">
        <f t="shared" si="46"/>
        <v>TweetDeck</v>
      </c>
      <c r="F1032" s="19">
        <v>41985.199641203704</v>
      </c>
      <c r="G1032" s="24" t="s">
        <v>171</v>
      </c>
      <c r="H1032" s="35" t="s">
        <v>6991</v>
      </c>
      <c r="I1032" s="25" t="s">
        <v>6992</v>
      </c>
    </row>
    <row r="1033" spans="1:9" ht="105">
      <c r="A1033" s="19">
        <v>43548.830555555556</v>
      </c>
      <c r="B1033" s="20" t="str">
        <f t="shared" si="45"/>
        <v>@igaberry1</v>
      </c>
      <c r="C1033" s="21" t="s">
        <v>6989</v>
      </c>
      <c r="D1033" s="22" t="s">
        <v>6990</v>
      </c>
      <c r="E1033" s="23" t="str">
        <f t="shared" si="46"/>
        <v>TweetDeck</v>
      </c>
      <c r="F1033" s="19">
        <v>41985.199641203704</v>
      </c>
      <c r="G1033" s="24" t="s">
        <v>171</v>
      </c>
      <c r="H1033" s="35" t="s">
        <v>6991</v>
      </c>
      <c r="I1033" s="25" t="s">
        <v>6992</v>
      </c>
    </row>
    <row r="1034" spans="1:9" ht="105">
      <c r="A1034" s="19">
        <v>43548.4847337963</v>
      </c>
      <c r="B1034" s="20" t="str">
        <f t="shared" si="45"/>
        <v>@igaberry1</v>
      </c>
      <c r="C1034" s="21" t="s">
        <v>6989</v>
      </c>
      <c r="D1034" s="22" t="s">
        <v>7163</v>
      </c>
      <c r="E1034" s="23" t="str">
        <f t="shared" si="46"/>
        <v>TweetDeck</v>
      </c>
      <c r="F1034" s="19">
        <v>41985.199641203704</v>
      </c>
      <c r="G1034" s="24" t="s">
        <v>171</v>
      </c>
      <c r="H1034" s="35" t="s">
        <v>6991</v>
      </c>
      <c r="I1034" s="25" t="s">
        <v>6992</v>
      </c>
    </row>
    <row r="1035" spans="1:9" ht="105">
      <c r="A1035" s="19">
        <v>43548.356944444444</v>
      </c>
      <c r="B1035" s="20" t="str">
        <f t="shared" si="45"/>
        <v>@igaberry1</v>
      </c>
      <c r="C1035" s="21" t="s">
        <v>6989</v>
      </c>
      <c r="D1035" s="22" t="s">
        <v>7163</v>
      </c>
      <c r="E1035" s="23" t="str">
        <f t="shared" si="46"/>
        <v>TweetDeck</v>
      </c>
      <c r="F1035" s="19">
        <v>41985.199641203704</v>
      </c>
      <c r="G1035" s="24" t="s">
        <v>171</v>
      </c>
      <c r="H1035" s="35" t="s">
        <v>6991</v>
      </c>
      <c r="I1035" s="25" t="s">
        <v>6992</v>
      </c>
    </row>
    <row r="1036" spans="1:9" ht="105">
      <c r="A1036" s="19">
        <v>43548.327777777777</v>
      </c>
      <c r="B1036" s="20" t="str">
        <f t="shared" si="45"/>
        <v>@igaberry1</v>
      </c>
      <c r="C1036" s="21" t="s">
        <v>6989</v>
      </c>
      <c r="D1036" s="22" t="s">
        <v>6990</v>
      </c>
      <c r="E1036" s="23" t="str">
        <f t="shared" si="46"/>
        <v>TweetDeck</v>
      </c>
      <c r="F1036" s="19">
        <v>41985.199641203704</v>
      </c>
      <c r="G1036" s="24" t="s">
        <v>171</v>
      </c>
      <c r="H1036" s="35" t="s">
        <v>6991</v>
      </c>
      <c r="I1036" s="25" t="s">
        <v>6992</v>
      </c>
    </row>
    <row r="1037" spans="1:9" ht="75">
      <c r="A1037" s="19">
        <v>43547.989583333328</v>
      </c>
      <c r="B1037" s="20" t="str">
        <f t="shared" si="45"/>
        <v>@igaberry1</v>
      </c>
      <c r="C1037" s="21" t="s">
        <v>6989</v>
      </c>
      <c r="D1037" s="22" t="s">
        <v>7460</v>
      </c>
      <c r="E1037" s="23" t="str">
        <f t="shared" si="46"/>
        <v>TweetDeck</v>
      </c>
      <c r="F1037" s="19">
        <v>41985.199641203704</v>
      </c>
      <c r="G1037" s="24" t="s">
        <v>171</v>
      </c>
      <c r="H1037" s="35" t="s">
        <v>6991</v>
      </c>
      <c r="I1037" s="25" t="s">
        <v>6992</v>
      </c>
    </row>
    <row r="1038" spans="1:9" ht="105">
      <c r="A1038" s="19">
        <v>43547.830555555556</v>
      </c>
      <c r="B1038" s="20" t="str">
        <f t="shared" si="45"/>
        <v>@igaberry1</v>
      </c>
      <c r="C1038" s="21" t="s">
        <v>6989</v>
      </c>
      <c r="D1038" s="22" t="s">
        <v>6990</v>
      </c>
      <c r="E1038" s="23" t="str">
        <f t="shared" si="46"/>
        <v>TweetDeck</v>
      </c>
      <c r="F1038" s="19">
        <v>41985.199641203704</v>
      </c>
      <c r="G1038" s="24" t="s">
        <v>171</v>
      </c>
      <c r="H1038" s="35" t="s">
        <v>6991</v>
      </c>
      <c r="I1038" s="25" t="s">
        <v>6992</v>
      </c>
    </row>
    <row r="1039" spans="1:9" ht="105">
      <c r="A1039" s="19">
        <v>43547.484722222223</v>
      </c>
      <c r="B1039" s="20" t="str">
        <f t="shared" si="45"/>
        <v>@igaberry1</v>
      </c>
      <c r="C1039" s="21" t="s">
        <v>6989</v>
      </c>
      <c r="D1039" s="22" t="s">
        <v>7163</v>
      </c>
      <c r="E1039" s="23" t="str">
        <f t="shared" si="46"/>
        <v>TweetDeck</v>
      </c>
      <c r="F1039" s="19">
        <v>41985.199641203704</v>
      </c>
      <c r="G1039" s="24" t="s">
        <v>171</v>
      </c>
      <c r="H1039" s="35" t="s">
        <v>6991</v>
      </c>
      <c r="I1039" s="25" t="s">
        <v>6992</v>
      </c>
    </row>
    <row r="1040" spans="1:9" ht="105">
      <c r="A1040" s="19">
        <v>43547.356249999997</v>
      </c>
      <c r="B1040" s="20" t="str">
        <f t="shared" si="45"/>
        <v>@igaberry1</v>
      </c>
      <c r="C1040" s="21" t="s">
        <v>6989</v>
      </c>
      <c r="D1040" s="22" t="s">
        <v>7163</v>
      </c>
      <c r="E1040" s="23" t="str">
        <f t="shared" si="46"/>
        <v>TweetDeck</v>
      </c>
      <c r="F1040" s="19">
        <v>41985.199641203704</v>
      </c>
      <c r="G1040" s="24" t="s">
        <v>171</v>
      </c>
      <c r="H1040" s="35" t="s">
        <v>6991</v>
      </c>
      <c r="I1040" s="25" t="s">
        <v>6992</v>
      </c>
    </row>
    <row r="1041" spans="1:9" ht="105">
      <c r="A1041" s="19">
        <v>43547.327777777777</v>
      </c>
      <c r="B1041" s="20" t="str">
        <f t="shared" si="45"/>
        <v>@igaberry1</v>
      </c>
      <c r="C1041" s="21" t="s">
        <v>6989</v>
      </c>
      <c r="D1041" s="22" t="s">
        <v>6990</v>
      </c>
      <c r="E1041" s="23" t="str">
        <f t="shared" si="46"/>
        <v>TweetDeck</v>
      </c>
      <c r="F1041" s="19">
        <v>41985.199641203704</v>
      </c>
      <c r="G1041" s="24" t="s">
        <v>171</v>
      </c>
      <c r="H1041" s="35" t="s">
        <v>6991</v>
      </c>
      <c r="I1041" s="25" t="s">
        <v>6992</v>
      </c>
    </row>
    <row r="1042" spans="1:9" ht="75">
      <c r="A1042" s="19">
        <v>43546.989583333328</v>
      </c>
      <c r="B1042" s="20" t="str">
        <f t="shared" si="45"/>
        <v>@igaberry1</v>
      </c>
      <c r="C1042" s="21" t="s">
        <v>6989</v>
      </c>
      <c r="D1042" s="22" t="s">
        <v>7460</v>
      </c>
      <c r="E1042" s="23" t="str">
        <f t="shared" si="46"/>
        <v>TweetDeck</v>
      </c>
      <c r="F1042" s="19">
        <v>41985.199641203704</v>
      </c>
      <c r="G1042" s="24" t="s">
        <v>171</v>
      </c>
      <c r="H1042" s="35" t="s">
        <v>6991</v>
      </c>
      <c r="I1042" s="25" t="s">
        <v>6992</v>
      </c>
    </row>
    <row r="1043" spans="1:9" ht="105">
      <c r="A1043" s="19">
        <v>43546.829861111109</v>
      </c>
      <c r="B1043" s="20" t="str">
        <f t="shared" si="45"/>
        <v>@igaberry1</v>
      </c>
      <c r="C1043" s="21" t="s">
        <v>6989</v>
      </c>
      <c r="D1043" s="22" t="s">
        <v>6990</v>
      </c>
      <c r="E1043" s="23" t="str">
        <f t="shared" si="46"/>
        <v>TweetDeck</v>
      </c>
      <c r="F1043" s="19">
        <v>41985.199641203704</v>
      </c>
      <c r="G1043" s="24" t="s">
        <v>171</v>
      </c>
      <c r="H1043" s="35" t="s">
        <v>6991</v>
      </c>
      <c r="I1043" s="25" t="s">
        <v>6992</v>
      </c>
    </row>
    <row r="1044" spans="1:9" ht="105">
      <c r="A1044" s="19">
        <v>43546.484722222223</v>
      </c>
      <c r="B1044" s="20" t="str">
        <f t="shared" si="45"/>
        <v>@igaberry1</v>
      </c>
      <c r="C1044" s="21" t="s">
        <v>6989</v>
      </c>
      <c r="D1044" s="22" t="s">
        <v>7163</v>
      </c>
      <c r="E1044" s="23" t="str">
        <f t="shared" si="46"/>
        <v>TweetDeck</v>
      </c>
      <c r="F1044" s="19">
        <v>41985.199641203704</v>
      </c>
      <c r="G1044" s="24" t="s">
        <v>171</v>
      </c>
      <c r="H1044" s="35" t="s">
        <v>6991</v>
      </c>
      <c r="I1044" s="25" t="s">
        <v>6992</v>
      </c>
    </row>
    <row r="1045" spans="1:9" ht="105">
      <c r="A1045" s="19">
        <v>43546.356249999997</v>
      </c>
      <c r="B1045" s="20" t="str">
        <f t="shared" si="45"/>
        <v>@igaberry1</v>
      </c>
      <c r="C1045" s="21" t="s">
        <v>6989</v>
      </c>
      <c r="D1045" s="22" t="s">
        <v>7163</v>
      </c>
      <c r="E1045" s="23" t="str">
        <f t="shared" si="46"/>
        <v>TweetDeck</v>
      </c>
      <c r="F1045" s="19">
        <v>41985.199641203704</v>
      </c>
      <c r="G1045" s="24" t="s">
        <v>171</v>
      </c>
      <c r="H1045" s="35" t="s">
        <v>6991</v>
      </c>
      <c r="I1045" s="25" t="s">
        <v>6992</v>
      </c>
    </row>
    <row r="1046" spans="1:9" ht="105">
      <c r="A1046" s="19">
        <v>43546.327777777777</v>
      </c>
      <c r="B1046" s="20" t="str">
        <f t="shared" si="45"/>
        <v>@igaberry1</v>
      </c>
      <c r="C1046" s="21" t="s">
        <v>6989</v>
      </c>
      <c r="D1046" s="22" t="s">
        <v>6990</v>
      </c>
      <c r="E1046" s="23" t="str">
        <f t="shared" si="46"/>
        <v>TweetDeck</v>
      </c>
      <c r="F1046" s="19">
        <v>41985.199641203704</v>
      </c>
      <c r="G1046" s="24" t="s">
        <v>171</v>
      </c>
      <c r="H1046" s="35" t="s">
        <v>6991</v>
      </c>
      <c r="I1046" s="25" t="s">
        <v>6992</v>
      </c>
    </row>
    <row r="1047" spans="1:9" ht="75">
      <c r="A1047" s="19">
        <v>43545.989583333328</v>
      </c>
      <c r="B1047" s="20" t="str">
        <f t="shared" si="45"/>
        <v>@igaberry1</v>
      </c>
      <c r="C1047" s="21" t="s">
        <v>6989</v>
      </c>
      <c r="D1047" s="22" t="s">
        <v>7460</v>
      </c>
      <c r="E1047" s="23" t="str">
        <f t="shared" si="46"/>
        <v>TweetDeck</v>
      </c>
      <c r="F1047" s="19">
        <v>41985.199641203704</v>
      </c>
      <c r="G1047" s="24" t="s">
        <v>171</v>
      </c>
      <c r="H1047" s="35" t="s">
        <v>6991</v>
      </c>
      <c r="I1047" s="25" t="s">
        <v>6992</v>
      </c>
    </row>
    <row r="1048" spans="1:9" ht="105">
      <c r="A1048" s="19">
        <v>43545.829861111109</v>
      </c>
      <c r="B1048" s="20" t="str">
        <f t="shared" si="45"/>
        <v>@igaberry1</v>
      </c>
      <c r="C1048" s="21" t="s">
        <v>6989</v>
      </c>
      <c r="D1048" s="22" t="s">
        <v>6990</v>
      </c>
      <c r="E1048" s="23" t="str">
        <f t="shared" si="46"/>
        <v>TweetDeck</v>
      </c>
      <c r="F1048" s="19">
        <v>41985.199641203704</v>
      </c>
      <c r="G1048" s="24" t="s">
        <v>171</v>
      </c>
      <c r="H1048" s="35" t="s">
        <v>6991</v>
      </c>
      <c r="I1048" s="25" t="s">
        <v>6992</v>
      </c>
    </row>
    <row r="1049" spans="1:9" ht="105">
      <c r="A1049" s="19">
        <v>43545.484722222223</v>
      </c>
      <c r="B1049" s="20" t="str">
        <f t="shared" si="45"/>
        <v>@igaberry1</v>
      </c>
      <c r="C1049" s="21" t="s">
        <v>6989</v>
      </c>
      <c r="D1049" s="22" t="s">
        <v>7163</v>
      </c>
      <c r="E1049" s="23" t="str">
        <f t="shared" si="46"/>
        <v>TweetDeck</v>
      </c>
      <c r="F1049" s="19">
        <v>41985.199641203704</v>
      </c>
      <c r="G1049" s="24" t="s">
        <v>171</v>
      </c>
      <c r="H1049" s="35" t="s">
        <v>6991</v>
      </c>
      <c r="I1049" s="25" t="s">
        <v>6992</v>
      </c>
    </row>
    <row r="1050" spans="1:9" ht="105">
      <c r="A1050" s="19">
        <v>43545.356261574074</v>
      </c>
      <c r="B1050" s="20" t="str">
        <f t="shared" ref="B1050:B1081" si="47">HYPERLINK("https://twitter.com/igaberry1","@igaberry1")</f>
        <v>@igaberry1</v>
      </c>
      <c r="C1050" s="21" t="s">
        <v>6989</v>
      </c>
      <c r="D1050" s="22" t="s">
        <v>7163</v>
      </c>
      <c r="E1050" s="23" t="str">
        <f t="shared" ref="E1050:E1081" si="48">HYPERLINK("https://about.twitter.com/products/tweetdeck","TweetDeck")</f>
        <v>TweetDeck</v>
      </c>
      <c r="F1050" s="19">
        <v>41985.199641203704</v>
      </c>
      <c r="G1050" s="24" t="s">
        <v>171</v>
      </c>
      <c r="H1050" s="35" t="s">
        <v>6991</v>
      </c>
      <c r="I1050" s="25" t="s">
        <v>6992</v>
      </c>
    </row>
    <row r="1051" spans="1:9" ht="105">
      <c r="A1051" s="19">
        <v>43545.327083333337</v>
      </c>
      <c r="B1051" s="20" t="str">
        <f t="shared" si="47"/>
        <v>@igaberry1</v>
      </c>
      <c r="C1051" s="21" t="s">
        <v>6989</v>
      </c>
      <c r="D1051" s="22" t="s">
        <v>6990</v>
      </c>
      <c r="E1051" s="23" t="str">
        <f t="shared" si="48"/>
        <v>TweetDeck</v>
      </c>
      <c r="F1051" s="19">
        <v>41985.199641203704</v>
      </c>
      <c r="G1051" s="24" t="s">
        <v>171</v>
      </c>
      <c r="H1051" s="35" t="s">
        <v>6991</v>
      </c>
      <c r="I1051" s="25" t="s">
        <v>6992</v>
      </c>
    </row>
    <row r="1052" spans="1:9" ht="75">
      <c r="A1052" s="19">
        <v>43544.989583333328</v>
      </c>
      <c r="B1052" s="20" t="str">
        <f t="shared" si="47"/>
        <v>@igaberry1</v>
      </c>
      <c r="C1052" s="21" t="s">
        <v>6989</v>
      </c>
      <c r="D1052" s="22" t="s">
        <v>7460</v>
      </c>
      <c r="E1052" s="23" t="str">
        <f t="shared" si="48"/>
        <v>TweetDeck</v>
      </c>
      <c r="F1052" s="19">
        <v>41985.199641203704</v>
      </c>
      <c r="G1052" s="24" t="s">
        <v>171</v>
      </c>
      <c r="H1052" s="35" t="s">
        <v>6991</v>
      </c>
      <c r="I1052" s="25" t="s">
        <v>6992</v>
      </c>
    </row>
    <row r="1053" spans="1:9" ht="105">
      <c r="A1053" s="19">
        <v>43544.829861111109</v>
      </c>
      <c r="B1053" s="20" t="str">
        <f t="shared" si="47"/>
        <v>@igaberry1</v>
      </c>
      <c r="C1053" s="21" t="s">
        <v>6989</v>
      </c>
      <c r="D1053" s="22" t="s">
        <v>6990</v>
      </c>
      <c r="E1053" s="23" t="str">
        <f t="shared" si="48"/>
        <v>TweetDeck</v>
      </c>
      <c r="F1053" s="19">
        <v>41985.199641203704</v>
      </c>
      <c r="G1053" s="24" t="s">
        <v>171</v>
      </c>
      <c r="H1053" s="35" t="s">
        <v>6991</v>
      </c>
      <c r="I1053" s="25" t="s">
        <v>6992</v>
      </c>
    </row>
    <row r="1054" spans="1:9" ht="105">
      <c r="A1054" s="19">
        <v>43544.484027777777</v>
      </c>
      <c r="B1054" s="20" t="str">
        <f t="shared" si="47"/>
        <v>@igaberry1</v>
      </c>
      <c r="C1054" s="21" t="s">
        <v>6989</v>
      </c>
      <c r="D1054" s="22" t="s">
        <v>7163</v>
      </c>
      <c r="E1054" s="23" t="str">
        <f t="shared" si="48"/>
        <v>TweetDeck</v>
      </c>
      <c r="F1054" s="19">
        <v>41985.199641203704</v>
      </c>
      <c r="G1054" s="24" t="s">
        <v>171</v>
      </c>
      <c r="H1054" s="35" t="s">
        <v>6991</v>
      </c>
      <c r="I1054" s="25" t="s">
        <v>6992</v>
      </c>
    </row>
    <row r="1055" spans="1:9" ht="105">
      <c r="A1055" s="19">
        <v>43544.356249999997</v>
      </c>
      <c r="B1055" s="20" t="str">
        <f t="shared" si="47"/>
        <v>@igaberry1</v>
      </c>
      <c r="C1055" s="21" t="s">
        <v>6989</v>
      </c>
      <c r="D1055" s="22" t="s">
        <v>7163</v>
      </c>
      <c r="E1055" s="23" t="str">
        <f t="shared" si="48"/>
        <v>TweetDeck</v>
      </c>
      <c r="F1055" s="19">
        <v>41985.199641203704</v>
      </c>
      <c r="G1055" s="24" t="s">
        <v>171</v>
      </c>
      <c r="H1055" s="35" t="s">
        <v>6991</v>
      </c>
      <c r="I1055" s="25" t="s">
        <v>6992</v>
      </c>
    </row>
    <row r="1056" spans="1:9" ht="105">
      <c r="A1056" s="19">
        <v>43544.327083333337</v>
      </c>
      <c r="B1056" s="20" t="str">
        <f t="shared" si="47"/>
        <v>@igaberry1</v>
      </c>
      <c r="C1056" s="21" t="s">
        <v>6989</v>
      </c>
      <c r="D1056" s="22" t="s">
        <v>6990</v>
      </c>
      <c r="E1056" s="23" t="str">
        <f t="shared" si="48"/>
        <v>TweetDeck</v>
      </c>
      <c r="F1056" s="19">
        <v>41985.199641203704</v>
      </c>
      <c r="G1056" s="24" t="s">
        <v>171</v>
      </c>
      <c r="H1056" s="35" t="s">
        <v>6991</v>
      </c>
      <c r="I1056" s="25" t="s">
        <v>6992</v>
      </c>
    </row>
    <row r="1057" spans="1:9" ht="75">
      <c r="A1057" s="19">
        <v>43543.989583333328</v>
      </c>
      <c r="B1057" s="20" t="str">
        <f t="shared" si="47"/>
        <v>@igaberry1</v>
      </c>
      <c r="C1057" s="21" t="s">
        <v>6989</v>
      </c>
      <c r="D1057" s="22" t="s">
        <v>7460</v>
      </c>
      <c r="E1057" s="23" t="str">
        <f t="shared" si="48"/>
        <v>TweetDeck</v>
      </c>
      <c r="F1057" s="19">
        <v>41985.199641203704</v>
      </c>
      <c r="G1057" s="24" t="s">
        <v>171</v>
      </c>
      <c r="H1057" s="35" t="s">
        <v>6991</v>
      </c>
      <c r="I1057" s="25" t="s">
        <v>6992</v>
      </c>
    </row>
    <row r="1058" spans="1:9" ht="105">
      <c r="A1058" s="19">
        <v>43543.829861111109</v>
      </c>
      <c r="B1058" s="20" t="str">
        <f t="shared" si="47"/>
        <v>@igaberry1</v>
      </c>
      <c r="C1058" s="21" t="s">
        <v>6989</v>
      </c>
      <c r="D1058" s="22" t="s">
        <v>6990</v>
      </c>
      <c r="E1058" s="23" t="str">
        <f t="shared" si="48"/>
        <v>TweetDeck</v>
      </c>
      <c r="F1058" s="19">
        <v>41985.199641203704</v>
      </c>
      <c r="G1058" s="24" t="s">
        <v>171</v>
      </c>
      <c r="H1058" s="35" t="s">
        <v>6991</v>
      </c>
      <c r="I1058" s="25" t="s">
        <v>6992</v>
      </c>
    </row>
    <row r="1059" spans="1:9" ht="105">
      <c r="A1059" s="19">
        <v>43543.484027777777</v>
      </c>
      <c r="B1059" s="20" t="str">
        <f t="shared" si="47"/>
        <v>@igaberry1</v>
      </c>
      <c r="C1059" s="21" t="s">
        <v>6989</v>
      </c>
      <c r="D1059" s="22" t="s">
        <v>7163</v>
      </c>
      <c r="E1059" s="23" t="str">
        <f t="shared" si="48"/>
        <v>TweetDeck</v>
      </c>
      <c r="F1059" s="19">
        <v>41985.199641203704</v>
      </c>
      <c r="G1059" s="24" t="s">
        <v>171</v>
      </c>
      <c r="H1059" s="35" t="s">
        <v>6991</v>
      </c>
      <c r="I1059" s="25" t="s">
        <v>6992</v>
      </c>
    </row>
    <row r="1060" spans="1:9" ht="105">
      <c r="A1060" s="19">
        <v>43543.356249999997</v>
      </c>
      <c r="B1060" s="20" t="str">
        <f t="shared" si="47"/>
        <v>@igaberry1</v>
      </c>
      <c r="C1060" s="21" t="s">
        <v>6989</v>
      </c>
      <c r="D1060" s="22" t="s">
        <v>7163</v>
      </c>
      <c r="E1060" s="23" t="str">
        <f t="shared" si="48"/>
        <v>TweetDeck</v>
      </c>
      <c r="F1060" s="19">
        <v>41985.199641203704</v>
      </c>
      <c r="G1060" s="24" t="s">
        <v>171</v>
      </c>
      <c r="H1060" s="35" t="s">
        <v>6991</v>
      </c>
      <c r="I1060" s="25" t="s">
        <v>6992</v>
      </c>
    </row>
    <row r="1061" spans="1:9" ht="105">
      <c r="A1061" s="19">
        <v>43543.327083333337</v>
      </c>
      <c r="B1061" s="20" t="str">
        <f t="shared" si="47"/>
        <v>@igaberry1</v>
      </c>
      <c r="C1061" s="21" t="s">
        <v>6989</v>
      </c>
      <c r="D1061" s="22" t="s">
        <v>6990</v>
      </c>
      <c r="E1061" s="23" t="str">
        <f t="shared" si="48"/>
        <v>TweetDeck</v>
      </c>
      <c r="F1061" s="19">
        <v>41985.199641203704</v>
      </c>
      <c r="G1061" s="24" t="s">
        <v>171</v>
      </c>
      <c r="H1061" s="35" t="s">
        <v>6991</v>
      </c>
      <c r="I1061" s="25" t="s">
        <v>6992</v>
      </c>
    </row>
    <row r="1062" spans="1:9" ht="75">
      <c r="A1062" s="19">
        <v>43542.989583333328</v>
      </c>
      <c r="B1062" s="20" t="str">
        <f t="shared" si="47"/>
        <v>@igaberry1</v>
      </c>
      <c r="C1062" s="21" t="s">
        <v>6989</v>
      </c>
      <c r="D1062" s="22" t="s">
        <v>7460</v>
      </c>
      <c r="E1062" s="23" t="str">
        <f t="shared" si="48"/>
        <v>TweetDeck</v>
      </c>
      <c r="F1062" s="19">
        <v>41985.199641203704</v>
      </c>
      <c r="G1062" s="24" t="s">
        <v>171</v>
      </c>
      <c r="H1062" s="35" t="s">
        <v>6991</v>
      </c>
      <c r="I1062" s="25" t="s">
        <v>6992</v>
      </c>
    </row>
    <row r="1063" spans="1:9" ht="105">
      <c r="A1063" s="19">
        <v>43542.829861111109</v>
      </c>
      <c r="B1063" s="20" t="str">
        <f t="shared" si="47"/>
        <v>@igaberry1</v>
      </c>
      <c r="C1063" s="21" t="s">
        <v>6989</v>
      </c>
      <c r="D1063" s="22" t="s">
        <v>6990</v>
      </c>
      <c r="E1063" s="23" t="str">
        <f t="shared" si="48"/>
        <v>TweetDeck</v>
      </c>
      <c r="F1063" s="19">
        <v>41985.199641203704</v>
      </c>
      <c r="G1063" s="24" t="s">
        <v>171</v>
      </c>
      <c r="H1063" s="35" t="s">
        <v>6991</v>
      </c>
      <c r="I1063" s="25" t="s">
        <v>6992</v>
      </c>
    </row>
    <row r="1064" spans="1:9" ht="105">
      <c r="A1064" s="19">
        <v>43542.484027777777</v>
      </c>
      <c r="B1064" s="20" t="str">
        <f t="shared" si="47"/>
        <v>@igaberry1</v>
      </c>
      <c r="C1064" s="21" t="s">
        <v>6989</v>
      </c>
      <c r="D1064" s="22" t="s">
        <v>7163</v>
      </c>
      <c r="E1064" s="23" t="str">
        <f t="shared" si="48"/>
        <v>TweetDeck</v>
      </c>
      <c r="F1064" s="19">
        <v>41985.199641203704</v>
      </c>
      <c r="G1064" s="24" t="s">
        <v>171</v>
      </c>
      <c r="H1064" s="35" t="s">
        <v>6991</v>
      </c>
      <c r="I1064" s="25" t="s">
        <v>6992</v>
      </c>
    </row>
    <row r="1065" spans="1:9" ht="105">
      <c r="A1065" s="4">
        <v>43561.444444444445</v>
      </c>
      <c r="B1065" s="5" t="str">
        <f t="shared" si="47"/>
        <v>@igaberry1</v>
      </c>
      <c r="C1065" s="6" t="s">
        <v>6989</v>
      </c>
      <c r="D1065" s="7" t="s">
        <v>7163</v>
      </c>
      <c r="E1065" s="8" t="str">
        <f t="shared" si="48"/>
        <v>TweetDeck</v>
      </c>
      <c r="F1065" s="4">
        <v>41985.199641203704</v>
      </c>
      <c r="G1065" s="24" t="s">
        <v>171</v>
      </c>
      <c r="H1065" s="35" t="s">
        <v>6991</v>
      </c>
      <c r="I1065" s="10" t="s">
        <v>6992</v>
      </c>
    </row>
    <row r="1066" spans="1:9" ht="105">
      <c r="A1066" s="4">
        <v>43561.316666666666</v>
      </c>
      <c r="B1066" s="5" t="str">
        <f t="shared" si="47"/>
        <v>@igaberry1</v>
      </c>
      <c r="C1066" s="6" t="s">
        <v>6989</v>
      </c>
      <c r="D1066" s="7" t="s">
        <v>7163</v>
      </c>
      <c r="E1066" s="8" t="str">
        <f t="shared" si="48"/>
        <v>TweetDeck</v>
      </c>
      <c r="F1066" s="4">
        <v>41985.199641203704</v>
      </c>
      <c r="G1066" s="24" t="s">
        <v>171</v>
      </c>
      <c r="H1066" s="35" t="s">
        <v>6991</v>
      </c>
      <c r="I1066" s="10" t="s">
        <v>6992</v>
      </c>
    </row>
    <row r="1067" spans="1:9" ht="105">
      <c r="A1067" s="4">
        <v>43561.287499999999</v>
      </c>
      <c r="B1067" s="5" t="str">
        <f t="shared" si="47"/>
        <v>@igaberry1</v>
      </c>
      <c r="C1067" s="6" t="s">
        <v>6989</v>
      </c>
      <c r="D1067" s="7" t="s">
        <v>6990</v>
      </c>
      <c r="E1067" s="8" t="str">
        <f t="shared" si="48"/>
        <v>TweetDeck</v>
      </c>
      <c r="F1067" s="4">
        <v>41985.199641203704</v>
      </c>
      <c r="G1067" s="24" t="s">
        <v>171</v>
      </c>
      <c r="H1067" s="35" t="s">
        <v>6991</v>
      </c>
      <c r="I1067" s="10" t="s">
        <v>6992</v>
      </c>
    </row>
    <row r="1068" spans="1:9" ht="75">
      <c r="A1068" s="4">
        <v>43560.94930555555</v>
      </c>
      <c r="B1068" s="5" t="str">
        <f t="shared" si="47"/>
        <v>@igaberry1</v>
      </c>
      <c r="C1068" s="6" t="s">
        <v>6989</v>
      </c>
      <c r="D1068" s="7" t="s">
        <v>7460</v>
      </c>
      <c r="E1068" s="8" t="str">
        <f t="shared" si="48"/>
        <v>TweetDeck</v>
      </c>
      <c r="F1068" s="4">
        <v>41985.199641203704</v>
      </c>
      <c r="G1068" s="24" t="s">
        <v>171</v>
      </c>
      <c r="H1068" s="35" t="s">
        <v>6991</v>
      </c>
      <c r="I1068" s="10" t="s">
        <v>6992</v>
      </c>
    </row>
    <row r="1069" spans="1:9" ht="105">
      <c r="A1069" s="4">
        <v>43560.790277777778</v>
      </c>
      <c r="B1069" s="5" t="str">
        <f t="shared" si="47"/>
        <v>@igaberry1</v>
      </c>
      <c r="C1069" s="6" t="s">
        <v>6989</v>
      </c>
      <c r="D1069" s="7" t="s">
        <v>6990</v>
      </c>
      <c r="E1069" s="8" t="str">
        <f t="shared" si="48"/>
        <v>TweetDeck</v>
      </c>
      <c r="F1069" s="4">
        <v>41985.199641203704</v>
      </c>
      <c r="G1069" s="24" t="s">
        <v>171</v>
      </c>
      <c r="H1069" s="35" t="s">
        <v>6991</v>
      </c>
      <c r="I1069" s="10" t="s">
        <v>6992</v>
      </c>
    </row>
    <row r="1070" spans="1:9" ht="105">
      <c r="A1070" s="4">
        <v>43560.444444444445</v>
      </c>
      <c r="B1070" s="5" t="str">
        <f t="shared" si="47"/>
        <v>@igaberry1</v>
      </c>
      <c r="C1070" s="6" t="s">
        <v>6989</v>
      </c>
      <c r="D1070" s="7" t="s">
        <v>7163</v>
      </c>
      <c r="E1070" s="8" t="str">
        <f t="shared" si="48"/>
        <v>TweetDeck</v>
      </c>
      <c r="F1070" s="4">
        <v>41985.199641203704</v>
      </c>
      <c r="G1070" s="24" t="s">
        <v>171</v>
      </c>
      <c r="H1070" s="35" t="s">
        <v>6991</v>
      </c>
      <c r="I1070" s="10" t="s">
        <v>6992</v>
      </c>
    </row>
    <row r="1071" spans="1:9" ht="105">
      <c r="A1071" s="4">
        <v>43560.315972222219</v>
      </c>
      <c r="B1071" s="5" t="str">
        <f t="shared" si="47"/>
        <v>@igaberry1</v>
      </c>
      <c r="C1071" s="6" t="s">
        <v>6989</v>
      </c>
      <c r="D1071" s="7" t="s">
        <v>7163</v>
      </c>
      <c r="E1071" s="8" t="str">
        <f t="shared" si="48"/>
        <v>TweetDeck</v>
      </c>
      <c r="F1071" s="4">
        <v>41985.199641203704</v>
      </c>
      <c r="G1071" s="24" t="s">
        <v>171</v>
      </c>
      <c r="H1071" s="35" t="s">
        <v>6991</v>
      </c>
      <c r="I1071" s="10" t="s">
        <v>6992</v>
      </c>
    </row>
    <row r="1072" spans="1:9" ht="105">
      <c r="A1072" s="4">
        <v>43560.287499999999</v>
      </c>
      <c r="B1072" s="5" t="str">
        <f t="shared" si="47"/>
        <v>@igaberry1</v>
      </c>
      <c r="C1072" s="6" t="s">
        <v>6989</v>
      </c>
      <c r="D1072" s="7" t="s">
        <v>6990</v>
      </c>
      <c r="E1072" s="8" t="str">
        <f t="shared" si="48"/>
        <v>TweetDeck</v>
      </c>
      <c r="F1072" s="4">
        <v>41985.199641203704</v>
      </c>
      <c r="G1072" s="24" t="s">
        <v>171</v>
      </c>
      <c r="H1072" s="35" t="s">
        <v>6991</v>
      </c>
      <c r="I1072" s="10" t="s">
        <v>6992</v>
      </c>
    </row>
    <row r="1073" spans="1:9" ht="75">
      <c r="A1073" s="4">
        <v>43559.94930555555</v>
      </c>
      <c r="B1073" s="5" t="str">
        <f t="shared" si="47"/>
        <v>@igaberry1</v>
      </c>
      <c r="C1073" s="6" t="s">
        <v>6989</v>
      </c>
      <c r="D1073" s="7" t="s">
        <v>7460</v>
      </c>
      <c r="E1073" s="8" t="str">
        <f t="shared" si="48"/>
        <v>TweetDeck</v>
      </c>
      <c r="F1073" s="4">
        <v>41985.199641203704</v>
      </c>
      <c r="G1073" s="24" t="s">
        <v>171</v>
      </c>
      <c r="H1073" s="35" t="s">
        <v>6991</v>
      </c>
      <c r="I1073" s="10" t="s">
        <v>6992</v>
      </c>
    </row>
    <row r="1074" spans="1:9" ht="105">
      <c r="A1074" s="4">
        <v>43559.789583333331</v>
      </c>
      <c r="B1074" s="5" t="str">
        <f t="shared" si="47"/>
        <v>@igaberry1</v>
      </c>
      <c r="C1074" s="6" t="s">
        <v>6989</v>
      </c>
      <c r="D1074" s="7" t="s">
        <v>6990</v>
      </c>
      <c r="E1074" s="8" t="str">
        <f t="shared" si="48"/>
        <v>TweetDeck</v>
      </c>
      <c r="F1074" s="4">
        <v>41985.199641203704</v>
      </c>
      <c r="G1074" s="24" t="s">
        <v>171</v>
      </c>
      <c r="H1074" s="35" t="s">
        <v>6991</v>
      </c>
      <c r="I1074" s="10" t="s">
        <v>6992</v>
      </c>
    </row>
    <row r="1075" spans="1:9" ht="105">
      <c r="A1075" s="4">
        <v>43559.444444444445</v>
      </c>
      <c r="B1075" s="5" t="str">
        <f t="shared" si="47"/>
        <v>@igaberry1</v>
      </c>
      <c r="C1075" s="6" t="s">
        <v>6989</v>
      </c>
      <c r="D1075" s="7" t="s">
        <v>7163</v>
      </c>
      <c r="E1075" s="8" t="str">
        <f t="shared" si="48"/>
        <v>TweetDeck</v>
      </c>
      <c r="F1075" s="4">
        <v>41985.199641203704</v>
      </c>
      <c r="G1075" s="24" t="s">
        <v>171</v>
      </c>
      <c r="H1075" s="35" t="s">
        <v>6991</v>
      </c>
      <c r="I1075" s="10" t="s">
        <v>6992</v>
      </c>
    </row>
    <row r="1076" spans="1:9" ht="105">
      <c r="A1076" s="4">
        <v>43559.315972222219</v>
      </c>
      <c r="B1076" s="5" t="str">
        <f t="shared" si="47"/>
        <v>@igaberry1</v>
      </c>
      <c r="C1076" s="6" t="s">
        <v>6989</v>
      </c>
      <c r="D1076" s="7" t="s">
        <v>7163</v>
      </c>
      <c r="E1076" s="8" t="str">
        <f t="shared" si="48"/>
        <v>TweetDeck</v>
      </c>
      <c r="F1076" s="4">
        <v>41985.199641203704</v>
      </c>
      <c r="G1076" s="24" t="s">
        <v>171</v>
      </c>
      <c r="H1076" s="35" t="s">
        <v>6991</v>
      </c>
      <c r="I1076" s="10" t="s">
        <v>6992</v>
      </c>
    </row>
    <row r="1077" spans="1:9" ht="105">
      <c r="A1077" s="4">
        <v>43559.287499999999</v>
      </c>
      <c r="B1077" s="5" t="str">
        <f t="shared" si="47"/>
        <v>@igaberry1</v>
      </c>
      <c r="C1077" s="6" t="s">
        <v>6989</v>
      </c>
      <c r="D1077" s="7" t="s">
        <v>6990</v>
      </c>
      <c r="E1077" s="8" t="str">
        <f t="shared" si="48"/>
        <v>TweetDeck</v>
      </c>
      <c r="F1077" s="4">
        <v>41985.199641203704</v>
      </c>
      <c r="G1077" s="24" t="s">
        <v>171</v>
      </c>
      <c r="H1077" s="35" t="s">
        <v>6991</v>
      </c>
      <c r="I1077" s="10" t="s">
        <v>6992</v>
      </c>
    </row>
    <row r="1078" spans="1:9" ht="75">
      <c r="A1078" s="4">
        <v>43558.94930555555</v>
      </c>
      <c r="B1078" s="5" t="str">
        <f t="shared" si="47"/>
        <v>@igaberry1</v>
      </c>
      <c r="C1078" s="6" t="s">
        <v>6989</v>
      </c>
      <c r="D1078" s="7" t="s">
        <v>7460</v>
      </c>
      <c r="E1078" s="8" t="str">
        <f t="shared" si="48"/>
        <v>TweetDeck</v>
      </c>
      <c r="F1078" s="4">
        <v>41985.199641203704</v>
      </c>
      <c r="G1078" s="24" t="s">
        <v>171</v>
      </c>
      <c r="H1078" s="35" t="s">
        <v>6991</v>
      </c>
      <c r="I1078" s="10" t="s">
        <v>6992</v>
      </c>
    </row>
    <row r="1079" spans="1:9" ht="105">
      <c r="A1079" s="4">
        <v>43558.789583333331</v>
      </c>
      <c r="B1079" s="5" t="str">
        <f t="shared" si="47"/>
        <v>@igaberry1</v>
      </c>
      <c r="C1079" s="6" t="s">
        <v>6989</v>
      </c>
      <c r="D1079" s="7" t="s">
        <v>6990</v>
      </c>
      <c r="E1079" s="8" t="str">
        <f t="shared" si="48"/>
        <v>TweetDeck</v>
      </c>
      <c r="F1079" s="4">
        <v>41985.199641203704</v>
      </c>
      <c r="G1079" s="24" t="s">
        <v>171</v>
      </c>
      <c r="H1079" s="35" t="s">
        <v>6991</v>
      </c>
      <c r="I1079" s="10" t="s">
        <v>6992</v>
      </c>
    </row>
    <row r="1080" spans="1:9" ht="105">
      <c r="A1080" s="4">
        <v>43558.443749999999</v>
      </c>
      <c r="B1080" s="5" t="str">
        <f t="shared" si="47"/>
        <v>@igaberry1</v>
      </c>
      <c r="C1080" s="6" t="s">
        <v>6989</v>
      </c>
      <c r="D1080" s="7" t="s">
        <v>7163</v>
      </c>
      <c r="E1080" s="8" t="str">
        <f t="shared" si="48"/>
        <v>TweetDeck</v>
      </c>
      <c r="F1080" s="4">
        <v>41985.199641203704</v>
      </c>
      <c r="G1080" s="24" t="s">
        <v>171</v>
      </c>
      <c r="H1080" s="35" t="s">
        <v>6991</v>
      </c>
      <c r="I1080" s="10" t="s">
        <v>6992</v>
      </c>
    </row>
    <row r="1081" spans="1:9" ht="105">
      <c r="A1081" s="4">
        <v>43558.315972222219</v>
      </c>
      <c r="B1081" s="5" t="str">
        <f t="shared" si="47"/>
        <v>@igaberry1</v>
      </c>
      <c r="C1081" s="6" t="s">
        <v>6989</v>
      </c>
      <c r="D1081" s="7" t="s">
        <v>7163</v>
      </c>
      <c r="E1081" s="8" t="str">
        <f t="shared" si="48"/>
        <v>TweetDeck</v>
      </c>
      <c r="F1081" s="4">
        <v>41985.199641203704</v>
      </c>
      <c r="G1081" s="24" t="s">
        <v>171</v>
      </c>
      <c r="H1081" s="35" t="s">
        <v>6991</v>
      </c>
      <c r="I1081" s="10" t="s">
        <v>6992</v>
      </c>
    </row>
    <row r="1082" spans="1:9" ht="105">
      <c r="A1082" s="4">
        <v>43558.287499999999</v>
      </c>
      <c r="B1082" s="5" t="str">
        <f t="shared" ref="B1082:B1089" si="49">HYPERLINK("https://twitter.com/igaberry1","@igaberry1")</f>
        <v>@igaberry1</v>
      </c>
      <c r="C1082" s="6" t="s">
        <v>6989</v>
      </c>
      <c r="D1082" s="7" t="s">
        <v>6990</v>
      </c>
      <c r="E1082" s="8" t="str">
        <f t="shared" ref="E1082:E1089" si="50">HYPERLINK("https://about.twitter.com/products/tweetdeck","TweetDeck")</f>
        <v>TweetDeck</v>
      </c>
      <c r="F1082" s="4">
        <v>41985.199641203704</v>
      </c>
      <c r="G1082" s="24" t="s">
        <v>171</v>
      </c>
      <c r="H1082" s="35" t="s">
        <v>6991</v>
      </c>
      <c r="I1082" s="10" t="s">
        <v>6992</v>
      </c>
    </row>
    <row r="1083" spans="1:9" ht="75">
      <c r="A1083" s="4">
        <v>43557.94930555555</v>
      </c>
      <c r="B1083" s="5" t="str">
        <f t="shared" si="49"/>
        <v>@igaberry1</v>
      </c>
      <c r="C1083" s="6" t="s">
        <v>6989</v>
      </c>
      <c r="D1083" s="7" t="s">
        <v>7460</v>
      </c>
      <c r="E1083" s="8" t="str">
        <f t="shared" si="50"/>
        <v>TweetDeck</v>
      </c>
      <c r="F1083" s="4">
        <v>41985.199641203704</v>
      </c>
      <c r="G1083" s="24" t="s">
        <v>171</v>
      </c>
      <c r="H1083" s="35" t="s">
        <v>6991</v>
      </c>
      <c r="I1083" s="10" t="s">
        <v>6992</v>
      </c>
    </row>
    <row r="1084" spans="1:9" ht="105">
      <c r="A1084" s="4">
        <v>43557.789583333331</v>
      </c>
      <c r="B1084" s="5" t="str">
        <f t="shared" si="49"/>
        <v>@igaberry1</v>
      </c>
      <c r="C1084" s="6" t="s">
        <v>6989</v>
      </c>
      <c r="D1084" s="7" t="s">
        <v>6990</v>
      </c>
      <c r="E1084" s="8" t="str">
        <f t="shared" si="50"/>
        <v>TweetDeck</v>
      </c>
      <c r="F1084" s="4">
        <v>41985.199641203704</v>
      </c>
      <c r="G1084" s="24" t="s">
        <v>171</v>
      </c>
      <c r="H1084" s="35" t="s">
        <v>6991</v>
      </c>
      <c r="I1084" s="10" t="s">
        <v>6992</v>
      </c>
    </row>
    <row r="1085" spans="1:9" ht="105">
      <c r="A1085" s="4">
        <v>43557.443749999999</v>
      </c>
      <c r="B1085" s="5" t="str">
        <f t="shared" si="49"/>
        <v>@igaberry1</v>
      </c>
      <c r="C1085" s="6" t="s">
        <v>6989</v>
      </c>
      <c r="D1085" s="7" t="s">
        <v>7163</v>
      </c>
      <c r="E1085" s="8" t="str">
        <f t="shared" si="50"/>
        <v>TweetDeck</v>
      </c>
      <c r="F1085" s="4">
        <v>41985.199641203704</v>
      </c>
      <c r="G1085" s="24" t="s">
        <v>171</v>
      </c>
      <c r="H1085" s="35" t="s">
        <v>6991</v>
      </c>
      <c r="I1085" s="10" t="s">
        <v>6992</v>
      </c>
    </row>
    <row r="1086" spans="1:9" ht="105">
      <c r="A1086" s="4">
        <v>43557.315972222219</v>
      </c>
      <c r="B1086" s="5" t="str">
        <f t="shared" si="49"/>
        <v>@igaberry1</v>
      </c>
      <c r="C1086" s="6" t="s">
        <v>6989</v>
      </c>
      <c r="D1086" s="7" t="s">
        <v>7163</v>
      </c>
      <c r="E1086" s="8" t="str">
        <f t="shared" si="50"/>
        <v>TweetDeck</v>
      </c>
      <c r="F1086" s="4">
        <v>41985.199641203704</v>
      </c>
      <c r="G1086" s="24" t="s">
        <v>171</v>
      </c>
      <c r="H1086" s="35" t="s">
        <v>6991</v>
      </c>
      <c r="I1086" s="10" t="s">
        <v>6992</v>
      </c>
    </row>
    <row r="1087" spans="1:9" ht="105">
      <c r="A1087" s="4">
        <v>43557.286805555559</v>
      </c>
      <c r="B1087" s="5" t="str">
        <f t="shared" si="49"/>
        <v>@igaberry1</v>
      </c>
      <c r="C1087" s="6" t="s">
        <v>6989</v>
      </c>
      <c r="D1087" s="7" t="s">
        <v>6990</v>
      </c>
      <c r="E1087" s="8" t="str">
        <f t="shared" si="50"/>
        <v>TweetDeck</v>
      </c>
      <c r="F1087" s="4">
        <v>41985.199641203704</v>
      </c>
      <c r="G1087" s="24" t="s">
        <v>171</v>
      </c>
      <c r="H1087" s="35" t="s">
        <v>6991</v>
      </c>
      <c r="I1087" s="10" t="s">
        <v>6992</v>
      </c>
    </row>
    <row r="1088" spans="1:9" ht="75">
      <c r="A1088" s="4">
        <v>43556.94930555555</v>
      </c>
      <c r="B1088" s="5" t="str">
        <f t="shared" si="49"/>
        <v>@igaberry1</v>
      </c>
      <c r="C1088" s="6" t="s">
        <v>6989</v>
      </c>
      <c r="D1088" s="7" t="s">
        <v>7460</v>
      </c>
      <c r="E1088" s="8" t="str">
        <f t="shared" si="50"/>
        <v>TweetDeck</v>
      </c>
      <c r="F1088" s="4">
        <v>41985.199641203704</v>
      </c>
      <c r="G1088" s="24" t="s">
        <v>171</v>
      </c>
      <c r="H1088" s="35" t="s">
        <v>6991</v>
      </c>
      <c r="I1088" s="10" t="s">
        <v>6992</v>
      </c>
    </row>
    <row r="1089" spans="1:9" ht="105">
      <c r="A1089" s="4">
        <v>43556.789583333331</v>
      </c>
      <c r="B1089" s="5" t="str">
        <f t="shared" si="49"/>
        <v>@igaberry1</v>
      </c>
      <c r="C1089" s="6" t="s">
        <v>6989</v>
      </c>
      <c r="D1089" s="7" t="s">
        <v>6990</v>
      </c>
      <c r="E1089" s="8" t="str">
        <f t="shared" si="50"/>
        <v>TweetDeck</v>
      </c>
      <c r="F1089" s="4">
        <v>41985.199641203704</v>
      </c>
      <c r="G1089" s="24" t="s">
        <v>171</v>
      </c>
      <c r="H1089" s="35" t="s">
        <v>6991</v>
      </c>
      <c r="I1089" s="10" t="s">
        <v>6992</v>
      </c>
    </row>
    <row r="1090" spans="1:9" ht="105">
      <c r="A1090" s="19">
        <v>43548.583125000005</v>
      </c>
      <c r="B1090" s="20" t="str">
        <f>HYPERLINK("https://twitter.com/pristineclear_","@pristineclear_")</f>
        <v>@pristineclear_</v>
      </c>
      <c r="C1090" s="21" t="s">
        <v>8270</v>
      </c>
      <c r="D1090" s="22" t="s">
        <v>8271</v>
      </c>
      <c r="E1090" s="23" t="str">
        <f>HYPERLINK("http://twitter.com/download/iphone","Twitter for iPhone")</f>
        <v>Twitter for iPhone</v>
      </c>
      <c r="F1090" s="19">
        <v>43437.394456018519</v>
      </c>
      <c r="G1090" s="24" t="s">
        <v>171</v>
      </c>
      <c r="H1090" s="35" t="s">
        <v>8272</v>
      </c>
      <c r="I1090" s="25" t="s">
        <v>8273</v>
      </c>
    </row>
    <row r="1091" spans="1:9" ht="195">
      <c r="A1091" s="12">
        <v>43570.324467592596</v>
      </c>
      <c r="B1091" s="13" t="str">
        <f>HYPERLINK("https://twitter.com/jocktober","@jocktober")</f>
        <v>@jocktober</v>
      </c>
      <c r="C1091" s="14" t="s">
        <v>4230</v>
      </c>
      <c r="D1091" s="15" t="s">
        <v>4231</v>
      </c>
      <c r="E1091" s="16" t="str">
        <f>HYPERLINK("http://twitter.com","Twitter Web Client")</f>
        <v>Twitter Web Client</v>
      </c>
      <c r="F1091" s="12">
        <v>40747.487847222219</v>
      </c>
      <c r="G1091" s="17" t="s">
        <v>171</v>
      </c>
      <c r="H1091" s="35" t="s">
        <v>4232</v>
      </c>
      <c r="I1091" s="18" t="s">
        <v>4233</v>
      </c>
    </row>
    <row r="1092" spans="1:9" ht="45">
      <c r="A1092" s="4">
        <v>43565.182094907403</v>
      </c>
      <c r="B1092" s="5" t="str">
        <f>HYPERLINK("https://twitter.com/Loiterpin","@Loiterpin")</f>
        <v>@Loiterpin</v>
      </c>
      <c r="C1092" s="6" t="s">
        <v>6251</v>
      </c>
      <c r="D1092" s="7" t="s">
        <v>6252</v>
      </c>
      <c r="E1092" s="8" t="str">
        <f>HYPERLINK("http://twitter.com/#!/download/ipad","Twitter for iPad")</f>
        <v>Twitter for iPad</v>
      </c>
      <c r="F1092" s="4">
        <v>42577.290925925925</v>
      </c>
      <c r="G1092" s="17" t="s">
        <v>171</v>
      </c>
      <c r="H1092" s="35" t="s">
        <v>6253</v>
      </c>
      <c r="I1092" s="10" t="s">
        <v>6254</v>
      </c>
    </row>
    <row r="1093" spans="1:9" ht="90">
      <c r="A1093" s="12">
        <v>43576.398310185185</v>
      </c>
      <c r="B1093" s="13" t="str">
        <f>HYPERLINK("https://twitter.com/InvestGrup","@InvestGrup")</f>
        <v>@InvestGrup</v>
      </c>
      <c r="C1093" s="14" t="s">
        <v>1959</v>
      </c>
      <c r="D1093" s="15" t="s">
        <v>1960</v>
      </c>
      <c r="E1093" s="16" t="str">
        <f>HYPERLINK("http://twitter.com","Twitter Web Client")</f>
        <v>Twitter Web Client</v>
      </c>
      <c r="F1093" s="12">
        <v>40523.093206018515</v>
      </c>
      <c r="G1093" s="17" t="s">
        <v>171</v>
      </c>
      <c r="H1093" s="35" t="s">
        <v>1961</v>
      </c>
      <c r="I1093" s="18" t="s">
        <v>1962</v>
      </c>
    </row>
    <row r="1094" spans="1:9" ht="105">
      <c r="A1094" s="4">
        <v>43558.072731481487</v>
      </c>
      <c r="B1094" s="5" t="str">
        <f>HYPERLINK("https://twitter.com/Italy_Gourmet","@Italy_Gourmet")</f>
        <v>@Italy_Gourmet</v>
      </c>
      <c r="C1094" s="6" t="s">
        <v>12331</v>
      </c>
      <c r="D1094" s="7" t="s">
        <v>12332</v>
      </c>
      <c r="E1094" s="8" t="str">
        <f>HYPERLINK("https://ifttt.com","IFTTT")</f>
        <v>IFTTT</v>
      </c>
      <c r="F1094" s="4">
        <v>42334.280590277776</v>
      </c>
      <c r="G1094" s="9" t="s">
        <v>171</v>
      </c>
      <c r="H1094" s="35" t="s">
        <v>12333</v>
      </c>
      <c r="I1094" s="10" t="s">
        <v>12334</v>
      </c>
    </row>
    <row r="1095" spans="1:9" ht="45">
      <c r="A1095" s="19">
        <v>43550.059039351851</v>
      </c>
      <c r="B1095" s="20" t="str">
        <f t="shared" ref="B1095:B1127" si="51">HYPERLINK("https://twitter.com/schofields","@schofields")</f>
        <v>@schofields</v>
      </c>
      <c r="C1095" s="21" t="s">
        <v>872</v>
      </c>
      <c r="D1095" s="22" t="s">
        <v>873</v>
      </c>
      <c r="E1095" s="23" t="str">
        <f t="shared" ref="E1095:E1127" si="52">HYPERLINK("https://buffer.com","Buffer")</f>
        <v>Buffer</v>
      </c>
      <c r="F1095" s="19">
        <v>39742.315729166665</v>
      </c>
      <c r="G1095" s="17" t="s">
        <v>171</v>
      </c>
      <c r="H1095" s="35" t="s">
        <v>874</v>
      </c>
      <c r="I1095" s="25" t="s">
        <v>875</v>
      </c>
    </row>
    <row r="1096" spans="1:9" ht="45">
      <c r="A1096" s="19">
        <v>43549.446539351848</v>
      </c>
      <c r="B1096" s="20" t="str">
        <f t="shared" si="51"/>
        <v>@schofields</v>
      </c>
      <c r="C1096" s="21" t="s">
        <v>872</v>
      </c>
      <c r="D1096" s="22" t="s">
        <v>1436</v>
      </c>
      <c r="E1096" s="23" t="str">
        <f t="shared" si="52"/>
        <v>Buffer</v>
      </c>
      <c r="F1096" s="19">
        <v>39742.315729166665</v>
      </c>
      <c r="G1096" s="17" t="s">
        <v>171</v>
      </c>
      <c r="H1096" s="35" t="s">
        <v>874</v>
      </c>
      <c r="I1096" s="25" t="s">
        <v>875</v>
      </c>
    </row>
    <row r="1097" spans="1:9" ht="60">
      <c r="A1097" s="19">
        <v>43547.446550925924</v>
      </c>
      <c r="B1097" s="20" t="str">
        <f t="shared" si="51"/>
        <v>@schofields</v>
      </c>
      <c r="C1097" s="21" t="s">
        <v>872</v>
      </c>
      <c r="D1097" s="22" t="s">
        <v>4174</v>
      </c>
      <c r="E1097" s="23" t="str">
        <f t="shared" si="52"/>
        <v>Buffer</v>
      </c>
      <c r="F1097" s="19">
        <v>39742.315729166665</v>
      </c>
      <c r="G1097" s="17" t="s">
        <v>171</v>
      </c>
      <c r="H1097" s="35" t="s">
        <v>874</v>
      </c>
      <c r="I1097" s="25" t="s">
        <v>875</v>
      </c>
    </row>
    <row r="1098" spans="1:9" ht="75">
      <c r="A1098" s="19">
        <v>43547.303495370375</v>
      </c>
      <c r="B1098" s="20" t="str">
        <f t="shared" si="51"/>
        <v>@schofields</v>
      </c>
      <c r="C1098" s="21" t="s">
        <v>872</v>
      </c>
      <c r="D1098" s="22" t="s">
        <v>2348</v>
      </c>
      <c r="E1098" s="23" t="str">
        <f t="shared" si="52"/>
        <v>Buffer</v>
      </c>
      <c r="F1098" s="19">
        <v>39742.315729166665</v>
      </c>
      <c r="G1098" s="17" t="s">
        <v>171</v>
      </c>
      <c r="H1098" s="35" t="s">
        <v>874</v>
      </c>
      <c r="I1098" s="25" t="s">
        <v>875</v>
      </c>
    </row>
    <row r="1099" spans="1:9" ht="60">
      <c r="A1099" s="19">
        <v>43547.097939814819</v>
      </c>
      <c r="B1099" s="20" t="str">
        <f t="shared" si="51"/>
        <v>@schofields</v>
      </c>
      <c r="C1099" s="21" t="s">
        <v>872</v>
      </c>
      <c r="D1099" s="22" t="s">
        <v>8650</v>
      </c>
      <c r="E1099" s="23" t="str">
        <f t="shared" si="52"/>
        <v>Buffer</v>
      </c>
      <c r="F1099" s="19">
        <v>39742.315729166665</v>
      </c>
      <c r="G1099" s="17" t="s">
        <v>171</v>
      </c>
      <c r="H1099" s="35" t="s">
        <v>874</v>
      </c>
      <c r="I1099" s="25" t="s">
        <v>875</v>
      </c>
    </row>
    <row r="1100" spans="1:9" ht="60">
      <c r="A1100" s="4">
        <v>43565.017384259263</v>
      </c>
      <c r="B1100" s="5" t="str">
        <f t="shared" si="51"/>
        <v>@schofields</v>
      </c>
      <c r="C1100" s="6" t="s">
        <v>872</v>
      </c>
      <c r="D1100" s="7" t="s">
        <v>4174</v>
      </c>
      <c r="E1100" s="8" t="str">
        <f t="shared" si="52"/>
        <v>Buffer</v>
      </c>
      <c r="F1100" s="4">
        <v>39742.315729166665</v>
      </c>
      <c r="G1100" s="17" t="s">
        <v>171</v>
      </c>
      <c r="H1100" s="35" t="s">
        <v>874</v>
      </c>
      <c r="I1100" s="10" t="s">
        <v>875</v>
      </c>
    </row>
    <row r="1101" spans="1:9" ht="60">
      <c r="A1101" s="4">
        <v>43564.10628472222</v>
      </c>
      <c r="B1101" s="5" t="str">
        <f t="shared" si="51"/>
        <v>@schofields</v>
      </c>
      <c r="C1101" s="6" t="s">
        <v>872</v>
      </c>
      <c r="D1101" s="7" t="s">
        <v>2380</v>
      </c>
      <c r="E1101" s="8" t="str">
        <f t="shared" si="52"/>
        <v>Buffer</v>
      </c>
      <c r="F1101" s="4">
        <v>39742.315729166665</v>
      </c>
      <c r="G1101" s="17" t="s">
        <v>171</v>
      </c>
      <c r="H1101" s="35" t="s">
        <v>874</v>
      </c>
      <c r="I1101" s="10" t="s">
        <v>875</v>
      </c>
    </row>
    <row r="1102" spans="1:9" ht="75">
      <c r="A1102" s="4">
        <v>43564.006979166668</v>
      </c>
      <c r="B1102" s="5" t="str">
        <f t="shared" si="51"/>
        <v>@schofields</v>
      </c>
      <c r="C1102" s="6" t="s">
        <v>872</v>
      </c>
      <c r="D1102" s="7" t="s">
        <v>2348</v>
      </c>
      <c r="E1102" s="8" t="str">
        <f t="shared" si="52"/>
        <v>Buffer</v>
      </c>
      <c r="F1102" s="4">
        <v>39742.315729166665</v>
      </c>
      <c r="G1102" s="17" t="s">
        <v>171</v>
      </c>
      <c r="H1102" s="35" t="s">
        <v>874</v>
      </c>
      <c r="I1102" s="10" t="s">
        <v>875</v>
      </c>
    </row>
    <row r="1103" spans="1:9" ht="60">
      <c r="A1103" s="4">
        <v>43562.213206018518</v>
      </c>
      <c r="B1103" s="5" t="str">
        <f t="shared" si="51"/>
        <v>@schofields</v>
      </c>
      <c r="C1103" s="6" t="s">
        <v>872</v>
      </c>
      <c r="D1103" s="7" t="s">
        <v>10724</v>
      </c>
      <c r="E1103" s="8" t="str">
        <f t="shared" si="52"/>
        <v>Buffer</v>
      </c>
      <c r="F1103" s="4">
        <v>39742.315729166665</v>
      </c>
      <c r="G1103" s="17" t="s">
        <v>171</v>
      </c>
      <c r="H1103" s="35" t="s">
        <v>874</v>
      </c>
      <c r="I1103" s="10" t="s">
        <v>875</v>
      </c>
    </row>
    <row r="1104" spans="1:9" ht="45">
      <c r="A1104" s="4">
        <v>43560.404872685191</v>
      </c>
      <c r="B1104" s="5" t="str">
        <f t="shared" si="51"/>
        <v>@schofields</v>
      </c>
      <c r="C1104" s="6" t="s">
        <v>872</v>
      </c>
      <c r="D1104" s="7" t="s">
        <v>1436</v>
      </c>
      <c r="E1104" s="8" t="str">
        <f t="shared" si="52"/>
        <v>Buffer</v>
      </c>
      <c r="F1104" s="4">
        <v>39742.315729166665</v>
      </c>
      <c r="G1104" s="17" t="s">
        <v>171</v>
      </c>
      <c r="H1104" s="35" t="s">
        <v>874</v>
      </c>
      <c r="I1104" s="10" t="s">
        <v>875</v>
      </c>
    </row>
    <row r="1105" spans="1:9" ht="45">
      <c r="A1105" s="4">
        <v>43560.367372685185</v>
      </c>
      <c r="B1105" s="5" t="str">
        <f t="shared" si="51"/>
        <v>@schofields</v>
      </c>
      <c r="C1105" s="6" t="s">
        <v>872</v>
      </c>
      <c r="D1105" s="7" t="s">
        <v>873</v>
      </c>
      <c r="E1105" s="8" t="str">
        <f t="shared" si="52"/>
        <v>Buffer</v>
      </c>
      <c r="F1105" s="4">
        <v>39742.315729166665</v>
      </c>
      <c r="G1105" s="17" t="s">
        <v>171</v>
      </c>
      <c r="H1105" s="35" t="s">
        <v>874</v>
      </c>
      <c r="I1105" s="10" t="s">
        <v>875</v>
      </c>
    </row>
    <row r="1106" spans="1:9" ht="45">
      <c r="A1106" s="4">
        <v>43559.261817129634</v>
      </c>
      <c r="B1106" s="5" t="str">
        <f t="shared" si="51"/>
        <v>@schofields</v>
      </c>
      <c r="C1106" s="6" t="s">
        <v>872</v>
      </c>
      <c r="D1106" s="7" t="s">
        <v>11898</v>
      </c>
      <c r="E1106" s="8" t="str">
        <f t="shared" si="52"/>
        <v>Buffer</v>
      </c>
      <c r="F1106" s="4">
        <v>39742.315729166665</v>
      </c>
      <c r="G1106" s="17" t="s">
        <v>171</v>
      </c>
      <c r="H1106" s="35" t="s">
        <v>874</v>
      </c>
      <c r="I1106" s="10" t="s">
        <v>875</v>
      </c>
    </row>
    <row r="1107" spans="1:9" ht="60">
      <c r="A1107" s="4">
        <v>43559.106273148151</v>
      </c>
      <c r="B1107" s="5" t="str">
        <f t="shared" si="51"/>
        <v>@schofields</v>
      </c>
      <c r="C1107" s="6" t="s">
        <v>872</v>
      </c>
      <c r="D1107" s="7" t="s">
        <v>5098</v>
      </c>
      <c r="E1107" s="8" t="str">
        <f t="shared" si="52"/>
        <v>Buffer</v>
      </c>
      <c r="F1107" s="4">
        <v>39742.315729166665</v>
      </c>
      <c r="G1107" s="17" t="s">
        <v>171</v>
      </c>
      <c r="H1107" s="35" t="s">
        <v>874</v>
      </c>
      <c r="I1107" s="10" t="s">
        <v>875</v>
      </c>
    </row>
    <row r="1108" spans="1:9" ht="45">
      <c r="A1108" s="4">
        <v>43557.017372685186</v>
      </c>
      <c r="B1108" s="5" t="str">
        <f t="shared" si="51"/>
        <v>@schofields</v>
      </c>
      <c r="C1108" s="6" t="s">
        <v>872</v>
      </c>
      <c r="D1108" s="7" t="s">
        <v>1436</v>
      </c>
      <c r="E1108" s="8" t="str">
        <f t="shared" si="52"/>
        <v>Buffer</v>
      </c>
      <c r="F1108" s="4">
        <v>39742.315729166665</v>
      </c>
      <c r="G1108" s="17" t="s">
        <v>171</v>
      </c>
      <c r="H1108" s="35" t="s">
        <v>874</v>
      </c>
      <c r="I1108" s="10" t="s">
        <v>875</v>
      </c>
    </row>
    <row r="1109" spans="1:9" ht="45">
      <c r="A1109" s="12">
        <v>43579.190289351856</v>
      </c>
      <c r="B1109" s="13" t="str">
        <f t="shared" si="51"/>
        <v>@schofields</v>
      </c>
      <c r="C1109" s="14" t="s">
        <v>872</v>
      </c>
      <c r="D1109" s="15" t="s">
        <v>873</v>
      </c>
      <c r="E1109" s="16" t="str">
        <f t="shared" si="52"/>
        <v>Buffer</v>
      </c>
      <c r="F1109" s="12">
        <v>39742.315729166665</v>
      </c>
      <c r="G1109" s="17" t="s">
        <v>171</v>
      </c>
      <c r="H1109" s="35" t="s">
        <v>874</v>
      </c>
      <c r="I1109" s="18" t="s">
        <v>875</v>
      </c>
    </row>
    <row r="1110" spans="1:9" ht="45">
      <c r="A1110" s="12">
        <v>43578.006944444445</v>
      </c>
      <c r="B1110" s="13" t="str">
        <f t="shared" si="51"/>
        <v>@schofields</v>
      </c>
      <c r="C1110" s="14" t="s">
        <v>872</v>
      </c>
      <c r="D1110" s="15" t="s">
        <v>1436</v>
      </c>
      <c r="E1110" s="16" t="str">
        <f t="shared" si="52"/>
        <v>Buffer</v>
      </c>
      <c r="F1110" s="12">
        <v>39742.315729166665</v>
      </c>
      <c r="G1110" s="17" t="s">
        <v>171</v>
      </c>
      <c r="H1110" s="35" t="s">
        <v>874</v>
      </c>
      <c r="I1110" s="18" t="s">
        <v>875</v>
      </c>
    </row>
    <row r="1111" spans="1:9" ht="90">
      <c r="A1111" s="12">
        <v>43577.213206018518</v>
      </c>
      <c r="B1111" s="13" t="str">
        <f t="shared" si="51"/>
        <v>@schofields</v>
      </c>
      <c r="C1111" s="14" t="s">
        <v>872</v>
      </c>
      <c r="D1111" s="15" t="s">
        <v>1703</v>
      </c>
      <c r="E1111" s="16" t="str">
        <f t="shared" si="52"/>
        <v>Buffer</v>
      </c>
      <c r="F1111" s="12">
        <v>39742.315729166665</v>
      </c>
      <c r="G1111" s="17" t="s">
        <v>171</v>
      </c>
      <c r="H1111" s="35" t="s">
        <v>874</v>
      </c>
      <c r="I1111" s="18" t="s">
        <v>875</v>
      </c>
    </row>
    <row r="1112" spans="1:9" ht="90">
      <c r="A1112" s="12">
        <v>43577.100358796291</v>
      </c>
      <c r="B1112" s="13" t="str">
        <f t="shared" si="51"/>
        <v>@schofields</v>
      </c>
      <c r="C1112" s="14" t="s">
        <v>872</v>
      </c>
      <c r="D1112" s="15" t="s">
        <v>1758</v>
      </c>
      <c r="E1112" s="16" t="str">
        <f t="shared" si="52"/>
        <v>Buffer</v>
      </c>
      <c r="F1112" s="12">
        <v>39742.315729166665</v>
      </c>
      <c r="G1112" s="17" t="s">
        <v>171</v>
      </c>
      <c r="H1112" s="35" t="s">
        <v>874</v>
      </c>
      <c r="I1112" s="18" t="s">
        <v>875</v>
      </c>
    </row>
    <row r="1113" spans="1:9" ht="75">
      <c r="A1113" s="12">
        <v>43575.190289351856</v>
      </c>
      <c r="B1113" s="13" t="str">
        <f t="shared" si="51"/>
        <v>@schofields</v>
      </c>
      <c r="C1113" s="14" t="s">
        <v>872</v>
      </c>
      <c r="D1113" s="15" t="s">
        <v>2348</v>
      </c>
      <c r="E1113" s="16" t="str">
        <f t="shared" si="52"/>
        <v>Buffer</v>
      </c>
      <c r="F1113" s="12">
        <v>39742.315729166665</v>
      </c>
      <c r="G1113" s="17" t="s">
        <v>171</v>
      </c>
      <c r="H1113" s="35" t="s">
        <v>874</v>
      </c>
      <c r="I1113" s="18" t="s">
        <v>875</v>
      </c>
    </row>
    <row r="1114" spans="1:9" ht="60">
      <c r="A1114" s="12">
        <v>43575.056261574078</v>
      </c>
      <c r="B1114" s="13" t="str">
        <f t="shared" si="51"/>
        <v>@schofields</v>
      </c>
      <c r="C1114" s="14" t="s">
        <v>872</v>
      </c>
      <c r="D1114" s="15" t="s">
        <v>2380</v>
      </c>
      <c r="E1114" s="16" t="str">
        <f t="shared" si="52"/>
        <v>Buffer</v>
      </c>
      <c r="F1114" s="12">
        <v>39742.315729166665</v>
      </c>
      <c r="G1114" s="17" t="s">
        <v>171</v>
      </c>
      <c r="H1114" s="35" t="s">
        <v>874</v>
      </c>
      <c r="I1114" s="18" t="s">
        <v>875</v>
      </c>
    </row>
    <row r="1115" spans="1:9" ht="90">
      <c r="A1115" s="12">
        <v>43574.213206018518</v>
      </c>
      <c r="B1115" s="13" t="str">
        <f t="shared" si="51"/>
        <v>@schofields</v>
      </c>
      <c r="C1115" s="14" t="s">
        <v>872</v>
      </c>
      <c r="D1115" s="15" t="s">
        <v>2652</v>
      </c>
      <c r="E1115" s="16" t="str">
        <f t="shared" si="52"/>
        <v>Buffer</v>
      </c>
      <c r="F1115" s="12">
        <v>39742.315729166665</v>
      </c>
      <c r="G1115" s="17" t="s">
        <v>171</v>
      </c>
      <c r="H1115" s="35" t="s">
        <v>874</v>
      </c>
      <c r="I1115" s="18" t="s">
        <v>875</v>
      </c>
    </row>
    <row r="1116" spans="1:9" ht="45">
      <c r="A1116" s="12">
        <v>43573.213206018518</v>
      </c>
      <c r="B1116" s="13" t="str">
        <f t="shared" si="51"/>
        <v>@schofields</v>
      </c>
      <c r="C1116" s="14" t="s">
        <v>872</v>
      </c>
      <c r="D1116" s="15" t="s">
        <v>1436</v>
      </c>
      <c r="E1116" s="16" t="str">
        <f t="shared" si="52"/>
        <v>Buffer</v>
      </c>
      <c r="F1116" s="12">
        <v>39742.315729166665</v>
      </c>
      <c r="G1116" s="17" t="s">
        <v>171</v>
      </c>
      <c r="H1116" s="35" t="s">
        <v>874</v>
      </c>
      <c r="I1116" s="18" t="s">
        <v>875</v>
      </c>
    </row>
    <row r="1117" spans="1:9" ht="45">
      <c r="A1117" s="12">
        <v>43573.190289351856</v>
      </c>
      <c r="B1117" s="13" t="str">
        <f t="shared" si="51"/>
        <v>@schofields</v>
      </c>
      <c r="C1117" s="14" t="s">
        <v>872</v>
      </c>
      <c r="D1117" s="15" t="s">
        <v>873</v>
      </c>
      <c r="E1117" s="16" t="str">
        <f t="shared" si="52"/>
        <v>Buffer</v>
      </c>
      <c r="F1117" s="12">
        <v>39742.315729166665</v>
      </c>
      <c r="G1117" s="17" t="s">
        <v>171</v>
      </c>
      <c r="H1117" s="35" t="s">
        <v>874</v>
      </c>
      <c r="I1117" s="18" t="s">
        <v>875</v>
      </c>
    </row>
    <row r="1118" spans="1:9" ht="75">
      <c r="A1118" s="12">
        <v>43573.106261574074</v>
      </c>
      <c r="B1118" s="13" t="str">
        <f t="shared" si="51"/>
        <v>@schofields</v>
      </c>
      <c r="C1118" s="14" t="s">
        <v>872</v>
      </c>
      <c r="D1118" s="15" t="s">
        <v>3005</v>
      </c>
      <c r="E1118" s="16" t="str">
        <f t="shared" si="52"/>
        <v>Buffer</v>
      </c>
      <c r="F1118" s="12">
        <v>39742.315729166665</v>
      </c>
      <c r="G1118" s="17" t="s">
        <v>171</v>
      </c>
      <c r="H1118" s="35" t="s">
        <v>874</v>
      </c>
      <c r="I1118" s="18" t="s">
        <v>875</v>
      </c>
    </row>
    <row r="1119" spans="1:9" ht="75">
      <c r="A1119" s="12">
        <v>43572.113217592589</v>
      </c>
      <c r="B1119" s="13" t="str">
        <f t="shared" si="51"/>
        <v>@schofields</v>
      </c>
      <c r="C1119" s="14" t="s">
        <v>872</v>
      </c>
      <c r="D1119" s="15" t="s">
        <v>3425</v>
      </c>
      <c r="E1119" s="16" t="str">
        <f t="shared" si="52"/>
        <v>Buffer</v>
      </c>
      <c r="F1119" s="12">
        <v>39742.315729166665</v>
      </c>
      <c r="G1119" s="17" t="s">
        <v>171</v>
      </c>
      <c r="H1119" s="35" t="s">
        <v>874</v>
      </c>
      <c r="I1119" s="18" t="s">
        <v>875</v>
      </c>
    </row>
    <row r="1120" spans="1:9" ht="60">
      <c r="A1120" s="12">
        <v>43570.40489583333</v>
      </c>
      <c r="B1120" s="13" t="str">
        <f t="shared" si="51"/>
        <v>@schofields</v>
      </c>
      <c r="C1120" s="14" t="s">
        <v>872</v>
      </c>
      <c r="D1120" s="15" t="s">
        <v>4174</v>
      </c>
      <c r="E1120" s="16" t="str">
        <f t="shared" si="52"/>
        <v>Buffer</v>
      </c>
      <c r="F1120" s="12">
        <v>39742.315729166665</v>
      </c>
      <c r="G1120" s="17" t="s">
        <v>171</v>
      </c>
      <c r="H1120" s="35" t="s">
        <v>874</v>
      </c>
      <c r="I1120" s="18" t="s">
        <v>875</v>
      </c>
    </row>
    <row r="1121" spans="1:9" ht="75">
      <c r="A1121" s="12">
        <v>43570.367384259254</v>
      </c>
      <c r="B1121" s="13" t="str">
        <f t="shared" si="51"/>
        <v>@schofields</v>
      </c>
      <c r="C1121" s="14" t="s">
        <v>872</v>
      </c>
      <c r="D1121" s="15" t="s">
        <v>2348</v>
      </c>
      <c r="E1121" s="16" t="str">
        <f t="shared" si="52"/>
        <v>Buffer</v>
      </c>
      <c r="F1121" s="12">
        <v>39742.315729166665</v>
      </c>
      <c r="G1121" s="17" t="s">
        <v>171</v>
      </c>
      <c r="H1121" s="35" t="s">
        <v>874</v>
      </c>
      <c r="I1121" s="18" t="s">
        <v>875</v>
      </c>
    </row>
    <row r="1122" spans="1:9" ht="45">
      <c r="A1122" s="12">
        <v>43570.190300925926</v>
      </c>
      <c r="B1122" s="13" t="str">
        <f t="shared" si="51"/>
        <v>@schofields</v>
      </c>
      <c r="C1122" s="14" t="s">
        <v>872</v>
      </c>
      <c r="D1122" s="15" t="s">
        <v>4301</v>
      </c>
      <c r="E1122" s="16" t="str">
        <f t="shared" si="52"/>
        <v>Buffer</v>
      </c>
      <c r="F1122" s="12">
        <v>39742.315729166665</v>
      </c>
      <c r="G1122" s="17" t="s">
        <v>171</v>
      </c>
      <c r="H1122" s="35" t="s">
        <v>874</v>
      </c>
      <c r="I1122" s="18" t="s">
        <v>875</v>
      </c>
    </row>
    <row r="1123" spans="1:9" ht="45">
      <c r="A1123" s="12">
        <v>43569.190300925926</v>
      </c>
      <c r="B1123" s="13" t="str">
        <f t="shared" si="51"/>
        <v>@schofields</v>
      </c>
      <c r="C1123" s="14" t="s">
        <v>872</v>
      </c>
      <c r="D1123" s="15" t="s">
        <v>1436</v>
      </c>
      <c r="E1123" s="16" t="str">
        <f t="shared" si="52"/>
        <v>Buffer</v>
      </c>
      <c r="F1123" s="12">
        <v>39742.315729166665</v>
      </c>
      <c r="G1123" s="17" t="s">
        <v>171</v>
      </c>
      <c r="H1123" s="35" t="s">
        <v>874</v>
      </c>
      <c r="I1123" s="18" t="s">
        <v>875</v>
      </c>
    </row>
    <row r="1124" spans="1:9" ht="45">
      <c r="A1124" s="12">
        <v>43569.017372685186</v>
      </c>
      <c r="B1124" s="13" t="str">
        <f t="shared" si="51"/>
        <v>@schofields</v>
      </c>
      <c r="C1124" s="14" t="s">
        <v>872</v>
      </c>
      <c r="D1124" s="15" t="s">
        <v>873</v>
      </c>
      <c r="E1124" s="16" t="str">
        <f t="shared" si="52"/>
        <v>Buffer</v>
      </c>
      <c r="F1124" s="12">
        <v>39742.315729166665</v>
      </c>
      <c r="G1124" s="17" t="s">
        <v>171</v>
      </c>
      <c r="H1124" s="35" t="s">
        <v>874</v>
      </c>
      <c r="I1124" s="18" t="s">
        <v>875</v>
      </c>
    </row>
    <row r="1125" spans="1:9" ht="60">
      <c r="A1125" s="12">
        <v>43567.481261574074</v>
      </c>
      <c r="B1125" s="13" t="str">
        <f t="shared" si="51"/>
        <v>@schofields</v>
      </c>
      <c r="C1125" s="14" t="s">
        <v>872</v>
      </c>
      <c r="D1125" s="15" t="s">
        <v>5098</v>
      </c>
      <c r="E1125" s="16" t="str">
        <f t="shared" si="52"/>
        <v>Buffer</v>
      </c>
      <c r="F1125" s="12">
        <v>39742.315729166665</v>
      </c>
      <c r="G1125" s="17" t="s">
        <v>171</v>
      </c>
      <c r="H1125" s="35" t="s">
        <v>874</v>
      </c>
      <c r="I1125" s="18" t="s">
        <v>875</v>
      </c>
    </row>
    <row r="1126" spans="1:9" ht="45">
      <c r="A1126" s="12">
        <v>43566.367384259254</v>
      </c>
      <c r="B1126" s="13" t="str">
        <f t="shared" si="51"/>
        <v>@schofields</v>
      </c>
      <c r="C1126" s="14" t="s">
        <v>872</v>
      </c>
      <c r="D1126" s="15" t="s">
        <v>873</v>
      </c>
      <c r="E1126" s="16" t="str">
        <f t="shared" si="52"/>
        <v>Buffer</v>
      </c>
      <c r="F1126" s="12">
        <v>39742.315729166665</v>
      </c>
      <c r="G1126" s="17" t="s">
        <v>171</v>
      </c>
      <c r="H1126" s="35" t="s">
        <v>874</v>
      </c>
      <c r="I1126" s="18" t="s">
        <v>875</v>
      </c>
    </row>
    <row r="1127" spans="1:9" ht="45">
      <c r="A1127" s="12">
        <v>43566.261817129634</v>
      </c>
      <c r="B1127" s="13" t="str">
        <f t="shared" si="51"/>
        <v>@schofields</v>
      </c>
      <c r="C1127" s="14" t="s">
        <v>872</v>
      </c>
      <c r="D1127" s="15" t="s">
        <v>1436</v>
      </c>
      <c r="E1127" s="16" t="str">
        <f t="shared" si="52"/>
        <v>Buffer</v>
      </c>
      <c r="F1127" s="12">
        <v>39742.315729166665</v>
      </c>
      <c r="G1127" s="17" t="s">
        <v>171</v>
      </c>
      <c r="H1127" s="35" t="s">
        <v>874</v>
      </c>
      <c r="I1127" s="18" t="s">
        <v>875</v>
      </c>
    </row>
    <row r="1128" spans="1:9" ht="90">
      <c r="A1128" s="19">
        <v>43551.07644675926</v>
      </c>
      <c r="B1128" s="20" t="str">
        <f>HYPERLINK("https://twitter.com/trailstained","@trailstained")</f>
        <v>@trailstained</v>
      </c>
      <c r="C1128" s="21" t="s">
        <v>7445</v>
      </c>
      <c r="D1128" s="22" t="s">
        <v>7446</v>
      </c>
      <c r="E1128" s="23" t="str">
        <f>HYPERLINK("http://twitter.com","Twitter Web Client")</f>
        <v>Twitter Web Client</v>
      </c>
      <c r="F1128" s="19">
        <v>40195.996099537035</v>
      </c>
      <c r="G1128" s="24" t="s">
        <v>171</v>
      </c>
      <c r="H1128" s="35" t="s">
        <v>7447</v>
      </c>
      <c r="I1128" s="25" t="s">
        <v>7448</v>
      </c>
    </row>
    <row r="1129" spans="1:9" ht="75">
      <c r="A1129" s="12">
        <v>43579.438599537039</v>
      </c>
      <c r="B1129" s="13" t="str">
        <f>HYPERLINK("https://twitter.com/BordeauxKitchen","@BordeauxKitchen")</f>
        <v>@BordeauxKitchen</v>
      </c>
      <c r="C1129" s="14" t="s">
        <v>666</v>
      </c>
      <c r="D1129" s="15" t="s">
        <v>667</v>
      </c>
      <c r="E1129" s="16" t="str">
        <f>HYPERLINK("http://instagram.com","Instagram")</f>
        <v>Instagram</v>
      </c>
      <c r="F1129" s="12">
        <v>40302.427928240737</v>
      </c>
      <c r="G1129" s="17" t="s">
        <v>171</v>
      </c>
      <c r="H1129" s="35" t="s">
        <v>668</v>
      </c>
      <c r="I1129" s="18" t="s">
        <v>669</v>
      </c>
    </row>
    <row r="1130" spans="1:9" ht="75">
      <c r="A1130" s="19">
        <v>43550.299745370372</v>
      </c>
      <c r="B1130" s="20" t="str">
        <f>HYPERLINK("https://twitter.com/IgorBeuker","@IgorBeuker")</f>
        <v>@IgorBeuker</v>
      </c>
      <c r="C1130" s="21" t="s">
        <v>7735</v>
      </c>
      <c r="D1130" s="22" t="s">
        <v>7736</v>
      </c>
      <c r="E1130" s="23" t="str">
        <f>HYPERLINK("http://twitter.com/download/iphone","Twitter for iPhone")</f>
        <v>Twitter for iPhone</v>
      </c>
      <c r="F1130" s="19">
        <v>39613.144976851851</v>
      </c>
      <c r="G1130" s="17" t="s">
        <v>171</v>
      </c>
      <c r="H1130" s="35" t="s">
        <v>7737</v>
      </c>
      <c r="I1130" s="25" t="s">
        <v>7738</v>
      </c>
    </row>
    <row r="1131" spans="1:9" ht="75">
      <c r="A1131" s="12">
        <v>43566.134895833333</v>
      </c>
      <c r="B1131" s="13" t="str">
        <f>HYPERLINK("https://twitter.com/Elmtreefarm","@Elmtreefarm")</f>
        <v>@Elmtreefarm</v>
      </c>
      <c r="C1131" s="14" t="s">
        <v>5771</v>
      </c>
      <c r="D1131" s="15" t="s">
        <v>5772</v>
      </c>
      <c r="E1131" s="16" t="str">
        <f>HYPERLINK("http://instagram.com","Instagram")</f>
        <v>Instagram</v>
      </c>
      <c r="F1131" s="12">
        <v>40881.10319444444</v>
      </c>
      <c r="G1131" s="17" t="s">
        <v>171</v>
      </c>
      <c r="H1131" s="35" t="s">
        <v>5773</v>
      </c>
      <c r="I1131" s="18" t="s">
        <v>5774</v>
      </c>
    </row>
    <row r="1132" spans="1:9" ht="45">
      <c r="A1132" s="19">
        <v>43545.259745370371</v>
      </c>
      <c r="B1132" s="20" t="str">
        <f>HYPERLINK("https://twitter.com/ProximaXp","@ProximaXp")</f>
        <v>@ProximaXp</v>
      </c>
      <c r="C1132" s="21" t="s">
        <v>9230</v>
      </c>
      <c r="D1132" s="22" t="s">
        <v>9231</v>
      </c>
      <c r="E1132" s="23" t="str">
        <f>HYPERLINK("https://buffer.com","Buffer")</f>
        <v>Buffer</v>
      </c>
      <c r="F1132" s="19">
        <v>41539.710486111115</v>
      </c>
      <c r="G1132" s="24" t="s">
        <v>171</v>
      </c>
      <c r="H1132" s="35" t="s">
        <v>9232</v>
      </c>
      <c r="I1132" s="25" t="s">
        <v>9233</v>
      </c>
    </row>
    <row r="1133" spans="1:9" ht="45">
      <c r="A1133" s="12">
        <v>43568.042766203704</v>
      </c>
      <c r="B1133" s="13" t="str">
        <f>HYPERLINK("https://twitter.com/HolidayinBrecon","@HolidayinBrecon")</f>
        <v>@HolidayinBrecon</v>
      </c>
      <c r="C1133" s="14" t="s">
        <v>4890</v>
      </c>
      <c r="D1133" s="15" t="s">
        <v>4891</v>
      </c>
      <c r="E1133" s="16" t="str">
        <f>HYPERLINK("http://twitter.com/download/iphone","Twitter for iPhone")</f>
        <v>Twitter for iPhone</v>
      </c>
      <c r="F1133" s="12">
        <v>41022.007349537038</v>
      </c>
      <c r="G1133" s="24" t="s">
        <v>171</v>
      </c>
      <c r="H1133" s="35" t="s">
        <v>4892</v>
      </c>
      <c r="I1133" s="18" t="s">
        <v>4893</v>
      </c>
    </row>
    <row r="1134" spans="1:9" ht="45">
      <c r="A1134" s="12">
        <v>43578.118576388893</v>
      </c>
      <c r="B1134" s="13" t="str">
        <f>HYPERLINK("https://twitter.com/theacornhut","@theacornhut")</f>
        <v>@theacornhut</v>
      </c>
      <c r="C1134" s="14" t="s">
        <v>1390</v>
      </c>
      <c r="D1134" s="15" t="s">
        <v>1391</v>
      </c>
      <c r="E1134" s="16" t="str">
        <f>HYPERLINK("http://twitter.com/download/iphone","Twitter for iPhone")</f>
        <v>Twitter for iPhone</v>
      </c>
      <c r="F1134" s="12">
        <v>43067.485324074078</v>
      </c>
      <c r="G1134" s="24" t="s">
        <v>171</v>
      </c>
      <c r="H1134" s="35" t="s">
        <v>1392</v>
      </c>
      <c r="I1134" s="18" t="s">
        <v>1393</v>
      </c>
    </row>
    <row r="1135" spans="1:9" ht="45">
      <c r="A1135" s="12">
        <v>43566.094259259262</v>
      </c>
      <c r="B1135" s="13" t="str">
        <f>HYPERLINK("https://twitter.com/MoolenaarR","@MoolenaarR")</f>
        <v>@MoolenaarR</v>
      </c>
      <c r="C1135" s="14" t="s">
        <v>5799</v>
      </c>
      <c r="D1135" s="15" t="s">
        <v>5800</v>
      </c>
      <c r="E1135" s="16" t="str">
        <f>HYPERLINK("http://twitter.com","Twitter Web Client")</f>
        <v>Twitter Web Client</v>
      </c>
      <c r="F1135" s="12">
        <v>40914.279374999998</v>
      </c>
      <c r="G1135" s="24" t="s">
        <v>171</v>
      </c>
      <c r="H1135" s="35" t="s">
        <v>5801</v>
      </c>
      <c r="I1135" s="18" t="s">
        <v>5802</v>
      </c>
    </row>
    <row r="1136" spans="1:9" ht="60">
      <c r="A1136" s="19">
        <v>43548.450428240743</v>
      </c>
      <c r="B1136" s="20" t="str">
        <f>HYPERLINK("https://twitter.com/LittlebridgeFA","@LittlebridgeFA")</f>
        <v>@LittlebridgeFA</v>
      </c>
      <c r="C1136" s="21" t="s">
        <v>4740</v>
      </c>
      <c r="D1136" s="22" t="s">
        <v>8315</v>
      </c>
      <c r="E1136" s="23" t="str">
        <f>HYPERLINK("http://twitter.com/download/iphone","Twitter for iPhone")</f>
        <v>Twitter for iPhone</v>
      </c>
      <c r="F1136" s="19">
        <v>43206.456296296295</v>
      </c>
      <c r="G1136" s="24" t="s">
        <v>171</v>
      </c>
      <c r="H1136" s="35" t="s">
        <v>4742</v>
      </c>
      <c r="I1136" s="25" t="s">
        <v>4743</v>
      </c>
    </row>
    <row r="1137" spans="1:9" ht="60">
      <c r="A1137" s="19">
        <v>43547.461145833338</v>
      </c>
      <c r="B1137" s="20" t="str">
        <f>HYPERLINK("https://twitter.com/LittlebridgeFA","@LittlebridgeFA")</f>
        <v>@LittlebridgeFA</v>
      </c>
      <c r="C1137" s="21" t="s">
        <v>4740</v>
      </c>
      <c r="D1137" s="22" t="s">
        <v>8537</v>
      </c>
      <c r="E1137" s="23" t="str">
        <f>HYPERLINK("http://twitter.com/#!/download/ipad","Twitter for iPad")</f>
        <v>Twitter for iPad</v>
      </c>
      <c r="F1137" s="19">
        <v>43206.456296296295</v>
      </c>
      <c r="G1137" s="24" t="s">
        <v>171</v>
      </c>
      <c r="H1137" s="35" t="s">
        <v>4742</v>
      </c>
      <c r="I1137" s="25" t="s">
        <v>4743</v>
      </c>
    </row>
    <row r="1138" spans="1:9" ht="75">
      <c r="A1138" s="12">
        <v>43568.479120370372</v>
      </c>
      <c r="B1138" s="13" t="str">
        <f>HYPERLINK("https://twitter.com/LittlebridgeFA","@LittlebridgeFA")</f>
        <v>@LittlebridgeFA</v>
      </c>
      <c r="C1138" s="14" t="s">
        <v>4740</v>
      </c>
      <c r="D1138" s="15" t="s">
        <v>4741</v>
      </c>
      <c r="E1138" s="16" t="str">
        <f>HYPERLINK("http://twitter.com/#!/download/ipad","Twitter for iPad")</f>
        <v>Twitter for iPad</v>
      </c>
      <c r="F1138" s="12">
        <v>43206.456296296295</v>
      </c>
      <c r="G1138" s="24" t="s">
        <v>171</v>
      </c>
      <c r="H1138" s="35" t="s">
        <v>4742</v>
      </c>
      <c r="I1138" s="18" t="s">
        <v>4743</v>
      </c>
    </row>
    <row r="1139" spans="1:9" ht="90">
      <c r="A1139" s="12">
        <v>43578.916851851856</v>
      </c>
      <c r="B1139" s="13" t="str">
        <f>HYPERLINK("https://twitter.com/Platform_Group","@Platform_Group")</f>
        <v>@Platform_Group</v>
      </c>
      <c r="C1139" s="14" t="s">
        <v>997</v>
      </c>
      <c r="D1139" s="15" t="s">
        <v>998</v>
      </c>
      <c r="E1139" s="16" t="str">
        <f>HYPERLINK("https://www.hootsuite.com","Hootsuite Inc.")</f>
        <v>Hootsuite Inc.</v>
      </c>
      <c r="F1139" s="12">
        <v>40843.330914351856</v>
      </c>
      <c r="G1139" s="17" t="s">
        <v>171</v>
      </c>
      <c r="H1139" s="35" t="s">
        <v>999</v>
      </c>
      <c r="I1139" s="18" t="s">
        <v>1000</v>
      </c>
    </row>
    <row r="1140" spans="1:9" ht="45">
      <c r="A1140" s="4">
        <v>43563.012777777782</v>
      </c>
      <c r="B1140" s="5" t="str">
        <f>HYPERLINK("https://twitter.com/julian2tweet","@julian2tweet")</f>
        <v>@julian2tweet</v>
      </c>
      <c r="C1140" s="6" t="s">
        <v>10507</v>
      </c>
      <c r="D1140" s="7" t="s">
        <v>10508</v>
      </c>
      <c r="E1140" s="8" t="str">
        <f>HYPERLINK("http://twitter.com/download/android","Twitter for Android")</f>
        <v>Twitter for Android</v>
      </c>
      <c r="F1140" s="4">
        <v>42296.478865740741</v>
      </c>
      <c r="G1140" s="17" t="s">
        <v>171</v>
      </c>
      <c r="H1140" s="35" t="s">
        <v>10509</v>
      </c>
      <c r="I1140" s="10" t="s">
        <v>10510</v>
      </c>
    </row>
    <row r="1141" spans="1:9" ht="75">
      <c r="A1141" s="4">
        <v>43561.055613425924</v>
      </c>
      <c r="B1141" s="5" t="str">
        <f>HYPERLINK("https://twitter.com/Hove_nutrition","@Hove_nutrition")</f>
        <v>@Hove_nutrition</v>
      </c>
      <c r="C1141" s="6" t="s">
        <v>11099</v>
      </c>
      <c r="D1141" s="7" t="s">
        <v>11100</v>
      </c>
      <c r="E1141" s="8" t="str">
        <f>HYPERLINK("https://www.hootsuite.com","Hootsuite Inc.")</f>
        <v>Hootsuite Inc.</v>
      </c>
      <c r="F1141" s="4">
        <v>40762.432569444441</v>
      </c>
      <c r="G1141" s="17" t="s">
        <v>171</v>
      </c>
      <c r="H1141" s="35" t="s">
        <v>11101</v>
      </c>
      <c r="I1141" s="10" t="s">
        <v>11102</v>
      </c>
    </row>
    <row r="1142" spans="1:9" ht="75">
      <c r="A1142" s="4">
        <v>43560.138981481483</v>
      </c>
      <c r="B1142" s="5" t="str">
        <f>HYPERLINK("https://twitter.com/Hove_nutrition","@Hove_nutrition")</f>
        <v>@Hove_nutrition</v>
      </c>
      <c r="C1142" s="6" t="s">
        <v>11099</v>
      </c>
      <c r="D1142" s="7" t="s">
        <v>11602</v>
      </c>
      <c r="E1142" s="8" t="str">
        <f>HYPERLINK("https://www.hootsuite.com","Hootsuite Inc.")</f>
        <v>Hootsuite Inc.</v>
      </c>
      <c r="F1142" s="4">
        <v>40762.432569444441</v>
      </c>
      <c r="G1142" s="17" t="s">
        <v>171</v>
      </c>
      <c r="H1142" s="35" t="s">
        <v>11101</v>
      </c>
      <c r="I1142" s="10" t="s">
        <v>11102</v>
      </c>
    </row>
    <row r="1143" spans="1:9" ht="90">
      <c r="A1143" s="4">
        <v>43559.559097222227</v>
      </c>
      <c r="B1143" s="5" t="str">
        <f>HYPERLINK("https://twitter.com/Hove_nutrition","@Hove_nutrition")</f>
        <v>@Hove_nutrition</v>
      </c>
      <c r="C1143" s="6" t="s">
        <v>11099</v>
      </c>
      <c r="D1143" s="7" t="s">
        <v>11766</v>
      </c>
      <c r="E1143" s="8" t="str">
        <f>HYPERLINK("https://www.hootsuite.com","Hootsuite Inc.")</f>
        <v>Hootsuite Inc.</v>
      </c>
      <c r="F1143" s="4">
        <v>40762.432569444441</v>
      </c>
      <c r="G1143" s="17" t="s">
        <v>171</v>
      </c>
      <c r="H1143" s="35" t="s">
        <v>11101</v>
      </c>
      <c r="I1143" s="10" t="s">
        <v>11102</v>
      </c>
    </row>
    <row r="1144" spans="1:9" ht="105">
      <c r="A1144" s="4">
        <v>43563.347210648149</v>
      </c>
      <c r="B1144" s="5" t="str">
        <f>HYPERLINK("https://twitter.com/COTinyFestival","@COTinyFestival")</f>
        <v>@COTinyFestival</v>
      </c>
      <c r="C1144" s="6" t="s">
        <v>10351</v>
      </c>
      <c r="D1144" s="7" t="s">
        <v>10352</v>
      </c>
      <c r="E1144" s="8" t="str">
        <f>HYPERLINK("https://ifttt.com","IFTTT")</f>
        <v>IFTTT</v>
      </c>
      <c r="F1144" s="4">
        <v>42928.762766203705</v>
      </c>
      <c r="G1144" s="17" t="s">
        <v>171</v>
      </c>
      <c r="H1144" s="35" t="s">
        <v>10353</v>
      </c>
      <c r="I1144" s="10" t="s">
        <v>10354</v>
      </c>
    </row>
    <row r="1145" spans="1:9" ht="75">
      <c r="A1145" s="4">
        <v>43563.308321759258</v>
      </c>
      <c r="B1145" s="5" t="str">
        <f>HYPERLINK("https://twitter.com/COTinyFestival","@COTinyFestival")</f>
        <v>@COTinyFestival</v>
      </c>
      <c r="C1145" s="6" t="s">
        <v>10351</v>
      </c>
      <c r="D1145" s="7" t="s">
        <v>10387</v>
      </c>
      <c r="E1145" s="8" t="str">
        <f>HYPERLINK("http://instagram.com","Instagram")</f>
        <v>Instagram</v>
      </c>
      <c r="F1145" s="4">
        <v>42928.762766203705</v>
      </c>
      <c r="G1145" s="17" t="s">
        <v>171</v>
      </c>
      <c r="H1145" s="35" t="s">
        <v>10353</v>
      </c>
      <c r="I1145" s="10" t="s">
        <v>10354</v>
      </c>
    </row>
    <row r="1146" spans="1:9" ht="45">
      <c r="A1146" s="12">
        <v>43567.699513888889</v>
      </c>
      <c r="B1146" s="13" t="str">
        <f>HYPERLINK("https://twitter.com/Ashton378","@Ashton378")</f>
        <v>@Ashton378</v>
      </c>
      <c r="C1146" s="14" t="s">
        <v>4993</v>
      </c>
      <c r="D1146" s="15" t="s">
        <v>4994</v>
      </c>
      <c r="E1146" s="16" t="str">
        <f>HYPERLINK("http://twitter.com/download/android","Twitter for Android")</f>
        <v>Twitter for Android</v>
      </c>
      <c r="F1146" s="12">
        <v>40994.642175925925</v>
      </c>
      <c r="G1146" s="17" t="s">
        <v>171</v>
      </c>
      <c r="H1146" s="35" t="s">
        <v>4995</v>
      </c>
      <c r="I1146" s="18" t="s">
        <v>4996</v>
      </c>
    </row>
    <row r="1147" spans="1:9" ht="105">
      <c r="A1147" s="4">
        <v>43564.229166666672</v>
      </c>
      <c r="B1147" s="5" t="str">
        <f>HYPERLINK("https://twitter.com/regstud","@regstud")</f>
        <v>@regstud</v>
      </c>
      <c r="C1147" s="6" t="s">
        <v>3883</v>
      </c>
      <c r="D1147" s="7" t="s">
        <v>3884</v>
      </c>
      <c r="E1147" s="8" t="str">
        <f>HYPERLINK("https://about.twitter.com/products/tweetdeck","TweetDeck")</f>
        <v>TweetDeck</v>
      </c>
      <c r="F1147" s="4">
        <v>40016.10774305556</v>
      </c>
      <c r="G1147" s="17" t="s">
        <v>171</v>
      </c>
      <c r="H1147" s="35" t="s">
        <v>3885</v>
      </c>
      <c r="I1147" s="10" t="s">
        <v>3886</v>
      </c>
    </row>
    <row r="1148" spans="1:9" ht="90">
      <c r="A1148" s="4">
        <v>43562.289479166662</v>
      </c>
      <c r="B1148" s="5" t="str">
        <f>HYPERLINK("https://twitter.com/ConsultantOwen","@ConsultantOwen")</f>
        <v>@ConsultantOwen</v>
      </c>
      <c r="C1148" s="6" t="s">
        <v>10712</v>
      </c>
      <c r="D1148" s="7" t="s">
        <v>10713</v>
      </c>
      <c r="E1148" s="8" t="str">
        <f>HYPERLINK("http://twitter.com/download/android","Twitter for Android")</f>
        <v>Twitter for Android</v>
      </c>
      <c r="F1148" s="4">
        <v>43335.187048611115</v>
      </c>
      <c r="G1148" s="17" t="s">
        <v>171</v>
      </c>
      <c r="H1148" s="35" t="s">
        <v>3885</v>
      </c>
      <c r="I1148" s="30" t="s">
        <v>10714</v>
      </c>
    </row>
    <row r="1149" spans="1:9" ht="105">
      <c r="A1149" s="4">
        <v>43560.296111111107</v>
      </c>
      <c r="B1149" s="5" t="str">
        <f>HYPERLINK("https://twitter.com/regstud","@regstud")</f>
        <v>@regstud</v>
      </c>
      <c r="C1149" s="6" t="s">
        <v>3883</v>
      </c>
      <c r="D1149" s="7" t="s">
        <v>11487</v>
      </c>
      <c r="E1149" s="8" t="str">
        <f>HYPERLINK("http://twitter.com","Twitter Web Client")</f>
        <v>Twitter Web Client</v>
      </c>
      <c r="F1149" s="4">
        <v>40016.10774305556</v>
      </c>
      <c r="G1149" s="17" t="s">
        <v>171</v>
      </c>
      <c r="H1149" s="35" t="s">
        <v>3885</v>
      </c>
      <c r="I1149" s="10" t="s">
        <v>3886</v>
      </c>
    </row>
    <row r="1150" spans="1:9" ht="90">
      <c r="A1150" s="4">
        <v>43559.437743055554</v>
      </c>
      <c r="B1150" s="5" t="str">
        <f>HYPERLINK("https://twitter.com/NiceEtoile","@NiceEtoile")</f>
        <v>@NiceEtoile</v>
      </c>
      <c r="C1150" s="6" t="s">
        <v>11839</v>
      </c>
      <c r="D1150" s="7" t="s">
        <v>11840</v>
      </c>
      <c r="E1150" s="8" t="str">
        <f>HYPERLINK("http://twitter.com","Twitter Web Client")</f>
        <v>Twitter Web Client</v>
      </c>
      <c r="F1150" s="4">
        <v>40465.062754629631</v>
      </c>
      <c r="G1150" s="17" t="s">
        <v>171</v>
      </c>
      <c r="H1150" s="35" t="s">
        <v>3885</v>
      </c>
      <c r="I1150" s="10" t="s">
        <v>11841</v>
      </c>
    </row>
    <row r="1151" spans="1:9" ht="105">
      <c r="A1151" s="4">
        <v>43559.333645833336</v>
      </c>
      <c r="B1151" s="5" t="str">
        <f>HYPERLINK("https://twitter.com/WeAreTEN2","@WeAreTEN2")</f>
        <v>@WeAreTEN2</v>
      </c>
      <c r="C1151" s="6" t="s">
        <v>11882</v>
      </c>
      <c r="D1151" s="7" t="s">
        <v>11883</v>
      </c>
      <c r="E1151" s="8" t="str">
        <f>HYPERLINK("https://www.hootsuite.com","Hootsuite Inc.")</f>
        <v>Hootsuite Inc.</v>
      </c>
      <c r="F1151" s="4">
        <v>43404.136307870373</v>
      </c>
      <c r="G1151" s="17" t="s">
        <v>171</v>
      </c>
      <c r="H1151" s="35" t="s">
        <v>3885</v>
      </c>
      <c r="I1151" s="10" t="s">
        <v>11884</v>
      </c>
    </row>
    <row r="1152" spans="1:9" ht="30">
      <c r="A1152" s="4">
        <v>43557.384467592594</v>
      </c>
      <c r="B1152" s="5" t="str">
        <f>HYPERLINK("https://twitter.com/unfortunatalie","@unfortunatalie")</f>
        <v>@unfortunatalie</v>
      </c>
      <c r="C1152" s="6" t="s">
        <v>12531</v>
      </c>
      <c r="D1152" s="7" t="s">
        <v>12532</v>
      </c>
      <c r="E1152" s="8" t="str">
        <f>HYPERLINK("http://twitter.com","Twitter Web Client")</f>
        <v>Twitter Web Client</v>
      </c>
      <c r="F1152" s="4">
        <v>39835.683449074073</v>
      </c>
      <c r="G1152" s="17" t="s">
        <v>171</v>
      </c>
      <c r="H1152" s="35" t="s">
        <v>3885</v>
      </c>
      <c r="I1152" s="26" t="s">
        <v>12533</v>
      </c>
    </row>
    <row r="1153" spans="1:9" ht="105">
      <c r="A1153" s="12">
        <v>43571.045138888891</v>
      </c>
      <c r="B1153" s="13" t="str">
        <f>HYPERLINK("https://twitter.com/regstud","@regstud")</f>
        <v>@regstud</v>
      </c>
      <c r="C1153" s="14" t="s">
        <v>3883</v>
      </c>
      <c r="D1153" s="15" t="s">
        <v>3884</v>
      </c>
      <c r="E1153" s="16" t="str">
        <f>HYPERLINK("https://about.twitter.com/products/tweetdeck","TweetDeck")</f>
        <v>TweetDeck</v>
      </c>
      <c r="F1153" s="12">
        <v>40016.10774305556</v>
      </c>
      <c r="G1153" s="17" t="s">
        <v>171</v>
      </c>
      <c r="H1153" s="35" t="s">
        <v>3885</v>
      </c>
      <c r="I1153" s="18" t="s">
        <v>3886</v>
      </c>
    </row>
    <row r="1154" spans="1:9" ht="45">
      <c r="A1154" s="12">
        <v>43566.387453703705</v>
      </c>
      <c r="B1154" s="13" t="str">
        <f>HYPERLINK("https://twitter.com/airhostforyou","@airhostforyou")</f>
        <v>@airhostforyou</v>
      </c>
      <c r="C1154" s="14" t="s">
        <v>5570</v>
      </c>
      <c r="D1154" s="15" t="s">
        <v>5571</v>
      </c>
      <c r="E1154" s="16" t="str">
        <f>HYPERLINK("http://twitter.com","Twitter Web Client")</f>
        <v>Twitter Web Client</v>
      </c>
      <c r="F1154" s="12">
        <v>42205.223287037035</v>
      </c>
      <c r="G1154" s="17" t="s">
        <v>171</v>
      </c>
      <c r="H1154" s="35" t="s">
        <v>3885</v>
      </c>
      <c r="I1154" s="18" t="s">
        <v>5572</v>
      </c>
    </row>
    <row r="1155" spans="1:9" ht="105">
      <c r="A1155" s="12">
        <v>43570.958101851851</v>
      </c>
      <c r="B1155" s="13" t="str">
        <f>HYPERLINK("https://twitter.com/jhardy1986","@jhardy1986")</f>
        <v>@jhardy1986</v>
      </c>
      <c r="C1155" s="14" t="s">
        <v>3915</v>
      </c>
      <c r="D1155" s="15" t="s">
        <v>3916</v>
      </c>
      <c r="E1155" s="16" t="str">
        <f>HYPERLINK("http://twitter.com/download/android","Twitter for Android")</f>
        <v>Twitter for Android</v>
      </c>
      <c r="F1155" s="12">
        <v>41285.309618055559</v>
      </c>
      <c r="G1155" s="17" t="s">
        <v>171</v>
      </c>
      <c r="H1155" s="35" t="s">
        <v>3917</v>
      </c>
      <c r="I1155" s="18" t="s">
        <v>3918</v>
      </c>
    </row>
    <row r="1156" spans="1:9" ht="45">
      <c r="A1156" s="19">
        <v>43546.402245370366</v>
      </c>
      <c r="B1156" s="20" t="str">
        <f>HYPERLINK("https://twitter.com/airthreesixty","@airthreesixty")</f>
        <v>@airthreesixty</v>
      </c>
      <c r="C1156" s="21" t="s">
        <v>689</v>
      </c>
      <c r="D1156" s="22" t="s">
        <v>8875</v>
      </c>
      <c r="E1156" s="23" t="str">
        <f>HYPERLINK("http://twitter.com","Twitter Web Client")</f>
        <v>Twitter Web Client</v>
      </c>
      <c r="F1156" s="19">
        <v>42564.104664351849</v>
      </c>
      <c r="G1156" s="17" t="s">
        <v>171</v>
      </c>
      <c r="H1156" s="35" t="s">
        <v>691</v>
      </c>
      <c r="I1156" s="25" t="s">
        <v>692</v>
      </c>
    </row>
    <row r="1157" spans="1:9" ht="75">
      <c r="A1157" s="19">
        <v>43544.547222222223</v>
      </c>
      <c r="B1157" s="20" t="str">
        <f>HYPERLINK("https://twitter.com/KayleighToyra","@KayleighToyra")</f>
        <v>@KayleighToyra</v>
      </c>
      <c r="C1157" s="21" t="s">
        <v>9417</v>
      </c>
      <c r="D1157" s="22" t="s">
        <v>9418</v>
      </c>
      <c r="E1157" s="23" t="str">
        <f>HYPERLINK("https://ifttt.com","IFTTT")</f>
        <v>IFTTT</v>
      </c>
      <c r="F1157" s="19">
        <v>41701.266180555554</v>
      </c>
      <c r="G1157" s="17" t="s">
        <v>171</v>
      </c>
      <c r="H1157" s="35" t="s">
        <v>691</v>
      </c>
      <c r="I1157" s="25" t="s">
        <v>9419</v>
      </c>
    </row>
    <row r="1158" spans="1:9" ht="45">
      <c r="A1158" s="4">
        <v>43563.052604166667</v>
      </c>
      <c r="B1158" s="5" t="str">
        <f>HYPERLINK("https://twitter.com/Profess63670242","@Profess63670242")</f>
        <v>@Profess63670242</v>
      </c>
      <c r="C1158" s="6" t="s">
        <v>10483</v>
      </c>
      <c r="D1158" s="7" t="s">
        <v>10484</v>
      </c>
      <c r="E1158" s="8" t="str">
        <f>HYPERLINK("http://twitter.com/download/android","Twitter for Android")</f>
        <v>Twitter for Android</v>
      </c>
      <c r="F1158" s="4">
        <v>43131.506203703699</v>
      </c>
      <c r="G1158" s="17" t="s">
        <v>171</v>
      </c>
      <c r="H1158" s="35" t="s">
        <v>691</v>
      </c>
      <c r="I1158" s="10" t="s">
        <v>10485</v>
      </c>
    </row>
    <row r="1159" spans="1:9" ht="60">
      <c r="A1159" s="4">
        <v>43557.221863425926</v>
      </c>
      <c r="B1159" s="5" t="str">
        <f>HYPERLINK("https://twitter.com/airthreesixty","@airthreesixty")</f>
        <v>@airthreesixty</v>
      </c>
      <c r="C1159" s="6" t="s">
        <v>689</v>
      </c>
      <c r="D1159" s="7" t="s">
        <v>12615</v>
      </c>
      <c r="E1159" s="8" t="str">
        <f>HYPERLINK("http://twitter.com","Twitter Web Client")</f>
        <v>Twitter Web Client</v>
      </c>
      <c r="F1159" s="4">
        <v>42564.104664351849</v>
      </c>
      <c r="G1159" s="17" t="s">
        <v>171</v>
      </c>
      <c r="H1159" s="35" t="s">
        <v>691</v>
      </c>
      <c r="I1159" s="10" t="s">
        <v>692</v>
      </c>
    </row>
    <row r="1160" spans="1:9" ht="45">
      <c r="A1160" s="12">
        <v>43579.4065625</v>
      </c>
      <c r="B1160" s="13" t="str">
        <f>HYPERLINK("https://twitter.com/airthreesixty","@airthreesixty")</f>
        <v>@airthreesixty</v>
      </c>
      <c r="C1160" s="14" t="s">
        <v>689</v>
      </c>
      <c r="D1160" s="15" t="s">
        <v>690</v>
      </c>
      <c r="E1160" s="16" t="str">
        <f>HYPERLINK("https://mobile.twitter.com","Twitter Web App")</f>
        <v>Twitter Web App</v>
      </c>
      <c r="F1160" s="12">
        <v>42564.104664351849</v>
      </c>
      <c r="G1160" s="17" t="s">
        <v>171</v>
      </c>
      <c r="H1160" s="35" t="s">
        <v>691</v>
      </c>
      <c r="I1160" s="18" t="s">
        <v>692</v>
      </c>
    </row>
    <row r="1161" spans="1:9" ht="60">
      <c r="A1161" s="12">
        <v>43578.393055555556</v>
      </c>
      <c r="B1161" s="13" t="str">
        <f>HYPERLINK("https://twitter.com/airthreesixty","@airthreesixty")</f>
        <v>@airthreesixty</v>
      </c>
      <c r="C1161" s="14" t="s">
        <v>689</v>
      </c>
      <c r="D1161" s="15" t="s">
        <v>1234</v>
      </c>
      <c r="E1161" s="16" t="str">
        <f>HYPERLINK("http://twitter.com","Twitter Web Client")</f>
        <v>Twitter Web Client</v>
      </c>
      <c r="F1161" s="12">
        <v>42564.104664351849</v>
      </c>
      <c r="G1161" s="17" t="s">
        <v>171</v>
      </c>
      <c r="H1161" s="35" t="s">
        <v>691</v>
      </c>
      <c r="I1161" s="18" t="s">
        <v>692</v>
      </c>
    </row>
    <row r="1162" spans="1:9" ht="75">
      <c r="A1162" s="19">
        <v>43545.201423611114</v>
      </c>
      <c r="B1162" s="20" t="str">
        <f>HYPERLINK("https://twitter.com/itijonline","@itijonline")</f>
        <v>@itijonline</v>
      </c>
      <c r="C1162" s="21" t="s">
        <v>9257</v>
      </c>
      <c r="D1162" s="22" t="s">
        <v>9258</v>
      </c>
      <c r="E1162" s="23" t="str">
        <f>HYPERLINK("https://www.hootsuite.com","Hootsuite Inc.")</f>
        <v>Hootsuite Inc.</v>
      </c>
      <c r="F1162" s="19">
        <v>40324.266643518517</v>
      </c>
      <c r="G1162" s="17" t="s">
        <v>171</v>
      </c>
      <c r="H1162" s="35" t="s">
        <v>1780</v>
      </c>
      <c r="I1162" s="25" t="s">
        <v>9259</v>
      </c>
    </row>
    <row r="1163" spans="1:9" ht="210">
      <c r="A1163" s="12">
        <v>43577.0231712963</v>
      </c>
      <c r="B1163" s="13" t="str">
        <f>HYPERLINK("https://twitter.com/LifeinBiteSize","@LifeinBiteSize")</f>
        <v>@LifeinBiteSize</v>
      </c>
      <c r="C1163" s="14" t="s">
        <v>1778</v>
      </c>
      <c r="D1163" s="15" t="s">
        <v>1779</v>
      </c>
      <c r="E1163" s="16" t="str">
        <f>HYPERLINK("http://twitter.com/download/iphone","Twitter for iPhone")</f>
        <v>Twitter for iPhone</v>
      </c>
      <c r="F1163" s="12">
        <v>40198.607800925922</v>
      </c>
      <c r="G1163" s="17" t="s">
        <v>171</v>
      </c>
      <c r="H1163" s="35" t="s">
        <v>1780</v>
      </c>
      <c r="I1163" s="18" t="s">
        <v>1781</v>
      </c>
    </row>
    <row r="1164" spans="1:9" ht="90">
      <c r="A1164" s="12">
        <v>43572.456643518519</v>
      </c>
      <c r="B1164" s="13" t="str">
        <f>HYPERLINK("https://twitter.com/Littlegreenshed","@Littlegreenshed")</f>
        <v>@Littlegreenshed</v>
      </c>
      <c r="C1164" s="14" t="s">
        <v>3231</v>
      </c>
      <c r="D1164" s="15" t="s">
        <v>3232</v>
      </c>
      <c r="E1164" s="16" t="str">
        <f>HYPERLINK("https://ifttt.com","IFTTT")</f>
        <v>IFTTT</v>
      </c>
      <c r="F1164" s="12">
        <v>40098.324432870373</v>
      </c>
      <c r="G1164" s="17" t="s">
        <v>171</v>
      </c>
      <c r="H1164" s="35" t="s">
        <v>1780</v>
      </c>
      <c r="I1164" s="18" t="s">
        <v>3233</v>
      </c>
    </row>
    <row r="1165" spans="1:9" ht="75">
      <c r="A1165" s="12">
        <v>43572.084155092598</v>
      </c>
      <c r="B1165" s="13" t="str">
        <f>HYPERLINK("https://twitter.com/Channel_View","@Channel_View")</f>
        <v>@Channel_View</v>
      </c>
      <c r="C1165" s="14" t="s">
        <v>3442</v>
      </c>
      <c r="D1165" s="15" t="s">
        <v>3443</v>
      </c>
      <c r="E1165" s="16" t="str">
        <f>HYPERLINK("https://www.hootsuite.com","Hootsuite Inc.")</f>
        <v>Hootsuite Inc.</v>
      </c>
      <c r="F1165" s="12">
        <v>39948.303611111114</v>
      </c>
      <c r="G1165" s="17" t="s">
        <v>171</v>
      </c>
      <c r="H1165" s="35" t="s">
        <v>1780</v>
      </c>
      <c r="I1165" s="18" t="s">
        <v>3444</v>
      </c>
    </row>
    <row r="1166" spans="1:9" ht="75">
      <c r="A1166" s="12">
        <v>43571.328032407408</v>
      </c>
      <c r="B1166" s="13" t="str">
        <f>HYPERLINK("https://twitter.com/guardiansysltd","@guardiansysltd")</f>
        <v>@guardiansysltd</v>
      </c>
      <c r="C1166" s="14" t="s">
        <v>3728</v>
      </c>
      <c r="D1166" s="15" t="s">
        <v>3729</v>
      </c>
      <c r="E1166" s="16" t="str">
        <f>HYPERLINK("http://instagram.com","Instagram")</f>
        <v>Instagram</v>
      </c>
      <c r="F1166" s="12">
        <v>40682.119085648148</v>
      </c>
      <c r="G1166" s="17" t="s">
        <v>171</v>
      </c>
      <c r="H1166" s="35" t="s">
        <v>1780</v>
      </c>
      <c r="I1166" s="18" t="s">
        <v>3730</v>
      </c>
    </row>
    <row r="1167" spans="1:9" ht="120">
      <c r="A1167" s="4">
        <v>43557.579189814816</v>
      </c>
      <c r="B1167" s="5" t="str">
        <f>HYPERLINK("https://twitter.com/Saltys20","@Saltys20")</f>
        <v>@Saltys20</v>
      </c>
      <c r="C1167" s="6" t="s">
        <v>12461</v>
      </c>
      <c r="D1167" s="7" t="s">
        <v>12462</v>
      </c>
      <c r="E1167" s="8" t="str">
        <f>HYPERLINK("http://twitter.com/download/iphone","Twitter for iPhone")</f>
        <v>Twitter for iPhone</v>
      </c>
      <c r="F1167" s="4">
        <v>43449.704085648147</v>
      </c>
      <c r="G1167" s="17" t="s">
        <v>171</v>
      </c>
      <c r="H1167" s="35" t="s">
        <v>12463</v>
      </c>
      <c r="I1167" s="10" t="s">
        <v>12464</v>
      </c>
    </row>
    <row r="1168" spans="1:9" ht="75">
      <c r="A1168" s="4">
        <v>43558.443900462968</v>
      </c>
      <c r="B1168" s="5" t="str">
        <f>HYPERLINK("https://twitter.com/voidwarbler","@voidwarbler")</f>
        <v>@voidwarbler</v>
      </c>
      <c r="C1168" s="6" t="s">
        <v>12184</v>
      </c>
      <c r="D1168" s="7" t="s">
        <v>12185</v>
      </c>
      <c r="E1168" s="8" t="str">
        <f>HYPERLINK("http://twitter.com/download/android","Twitter for Android")</f>
        <v>Twitter for Android</v>
      </c>
      <c r="F1168" s="4">
        <v>42775.146157407406</v>
      </c>
      <c r="G1168" s="17" t="s">
        <v>171</v>
      </c>
      <c r="H1168" s="35" t="s">
        <v>12186</v>
      </c>
      <c r="I1168" s="10" t="s">
        <v>12187</v>
      </c>
    </row>
    <row r="1169" spans="1:9" ht="90">
      <c r="A1169" s="19">
        <v>43546.126342592594</v>
      </c>
      <c r="B1169" s="20" t="str">
        <f>HYPERLINK("https://twitter.com/CullenInt","@CullenInt")</f>
        <v>@CullenInt</v>
      </c>
      <c r="C1169" s="21" t="s">
        <v>8951</v>
      </c>
      <c r="D1169" s="22" t="s">
        <v>8952</v>
      </c>
      <c r="E1169" s="23" t="str">
        <f>HYPERLINK("https://www.oktopost.com","Oktopost")</f>
        <v>Oktopost</v>
      </c>
      <c r="F1169" s="19">
        <v>40942.214479166665</v>
      </c>
      <c r="G1169" s="24" t="s">
        <v>171</v>
      </c>
      <c r="H1169" s="35" t="s">
        <v>3246</v>
      </c>
      <c r="I1169" s="25" t="s">
        <v>8953</v>
      </c>
    </row>
    <row r="1170" spans="1:9" ht="135">
      <c r="A1170" s="12">
        <v>43572.43850694444</v>
      </c>
      <c r="B1170" s="13" t="str">
        <f>HYPERLINK("https://twitter.com/seb_tarnowski","@seb_tarnowski")</f>
        <v>@seb_tarnowski</v>
      </c>
      <c r="C1170" s="14" t="s">
        <v>3244</v>
      </c>
      <c r="D1170" s="15" t="s">
        <v>3245</v>
      </c>
      <c r="E1170" s="16" t="str">
        <f>HYPERLINK("http://twitter.com","Twitter Web Client")</f>
        <v>Twitter Web Client</v>
      </c>
      <c r="F1170" s="12">
        <v>43206.130185185189</v>
      </c>
      <c r="G1170" s="17" t="s">
        <v>171</v>
      </c>
      <c r="H1170" s="35" t="s">
        <v>3246</v>
      </c>
      <c r="I1170" s="18" t="s">
        <v>3247</v>
      </c>
    </row>
    <row r="1171" spans="1:9" ht="105">
      <c r="A1171" s="12">
        <v>43566.266469907408</v>
      </c>
      <c r="B1171" s="13" t="str">
        <f>HYPERLINK("https://twitter.com/olivierhoedeman","@olivierhoedeman")</f>
        <v>@olivierhoedeman</v>
      </c>
      <c r="C1171" s="14" t="s">
        <v>5701</v>
      </c>
      <c r="D1171" s="15" t="s">
        <v>5702</v>
      </c>
      <c r="E1171" s="16" t="str">
        <f>HYPERLINK("http://twitter.com","Twitter Web Client")</f>
        <v>Twitter Web Client</v>
      </c>
      <c r="F1171" s="12">
        <v>39927.443414351852</v>
      </c>
      <c r="G1171" s="17" t="s">
        <v>171</v>
      </c>
      <c r="H1171" s="35" t="s">
        <v>3246</v>
      </c>
      <c r="I1171" s="18" t="s">
        <v>5703</v>
      </c>
    </row>
    <row r="1172" spans="1:9" ht="75">
      <c r="A1172" s="19">
        <v>43544.159756944442</v>
      </c>
      <c r="B1172" s="20" t="str">
        <f>HYPERLINK("https://twitter.com/pregiotek","@pregiotek")</f>
        <v>@pregiotek</v>
      </c>
      <c r="C1172" s="21" t="s">
        <v>9594</v>
      </c>
      <c r="D1172" s="22" t="s">
        <v>9595</v>
      </c>
      <c r="E1172" s="23" t="str">
        <f>HYPERLINK("https://buffer.com","Buffer")</f>
        <v>Buffer</v>
      </c>
      <c r="F1172" s="19">
        <v>42395.294293981482</v>
      </c>
      <c r="G1172" s="17" t="s">
        <v>171</v>
      </c>
      <c r="H1172" s="35" t="s">
        <v>5693</v>
      </c>
      <c r="I1172" s="25" t="s">
        <v>9596</v>
      </c>
    </row>
    <row r="1173" spans="1:9" ht="180">
      <c r="A1173" s="4">
        <v>43565.303668981476</v>
      </c>
      <c r="B1173" s="5" t="str">
        <f>HYPERLINK("https://twitter.com/ClaudiaTapardel","@ClaudiaTapardel")</f>
        <v>@ClaudiaTapardel</v>
      </c>
      <c r="C1173" s="6" t="s">
        <v>6189</v>
      </c>
      <c r="D1173" s="7" t="s">
        <v>6190</v>
      </c>
      <c r="E1173" s="8" t="str">
        <f>HYPERLINK("http://twitter.com","Twitter Web Client")</f>
        <v>Twitter Web Client</v>
      </c>
      <c r="F1173" s="4">
        <v>41807.999618055554</v>
      </c>
      <c r="G1173" s="17" t="s">
        <v>171</v>
      </c>
      <c r="H1173" s="35" t="s">
        <v>5693</v>
      </c>
      <c r="I1173" s="10" t="s">
        <v>6191</v>
      </c>
    </row>
    <row r="1174" spans="1:9" ht="45">
      <c r="A1174" s="4">
        <v>43562.400636574079</v>
      </c>
      <c r="B1174" s="5" t="str">
        <f>HYPERLINK("https://twitter.com/chaudoir","@chaudoir")</f>
        <v>@chaudoir</v>
      </c>
      <c r="C1174" s="6" t="s">
        <v>10688</v>
      </c>
      <c r="D1174" s="7" t="s">
        <v>10689</v>
      </c>
      <c r="E1174" s="8" t="str">
        <f>HYPERLINK("http://twitter.com","Twitter Web Client")</f>
        <v>Twitter Web Client</v>
      </c>
      <c r="F1174" s="4">
        <v>39468.126180555555</v>
      </c>
      <c r="G1174" s="17" t="s">
        <v>171</v>
      </c>
      <c r="H1174" s="35" t="s">
        <v>5693</v>
      </c>
      <c r="I1174" s="10" t="s">
        <v>10690</v>
      </c>
    </row>
    <row r="1175" spans="1:9" ht="45">
      <c r="A1175" s="12">
        <v>43566.277453703704</v>
      </c>
      <c r="B1175" s="13" t="str">
        <f>HYPERLINK("https://twitter.com/DarioMazzella","@DarioMazzella")</f>
        <v>@DarioMazzella</v>
      </c>
      <c r="C1175" s="14" t="s">
        <v>5691</v>
      </c>
      <c r="D1175" s="15" t="s">
        <v>5692</v>
      </c>
      <c r="E1175" s="16" t="str">
        <f>HYPERLINK("http://twitter.com/download/android","Twitter for Android")</f>
        <v>Twitter for Android</v>
      </c>
      <c r="F1175" s="12">
        <v>40801.533043981479</v>
      </c>
      <c r="G1175" s="17" t="s">
        <v>171</v>
      </c>
      <c r="H1175" s="35" t="s">
        <v>5693</v>
      </c>
      <c r="I1175" s="18" t="s">
        <v>5694</v>
      </c>
    </row>
    <row r="1176" spans="1:9" ht="45">
      <c r="A1176" s="12">
        <v>43566.13989583333</v>
      </c>
      <c r="B1176" s="13" t="str">
        <f>HYPERLINK("https://twitter.com/cmercuriadi","@cmercuriadi")</f>
        <v>@cmercuriadi</v>
      </c>
      <c r="C1176" s="14" t="s">
        <v>5766</v>
      </c>
      <c r="D1176" s="15" t="s">
        <v>5767</v>
      </c>
      <c r="E1176" s="16" t="str">
        <f>HYPERLINK("http://twitter.com/download/iphone","Twitter for iPhone")</f>
        <v>Twitter for iPhone</v>
      </c>
      <c r="F1176" s="12">
        <v>42256.500567129631</v>
      </c>
      <c r="G1176" s="17" t="s">
        <v>171</v>
      </c>
      <c r="H1176" s="35" t="s">
        <v>5693</v>
      </c>
      <c r="I1176" s="18" t="s">
        <v>5768</v>
      </c>
    </row>
    <row r="1177" spans="1:9" ht="45">
      <c r="A1177" s="4">
        <v>43562.916886574079</v>
      </c>
      <c r="B1177" s="5" t="str">
        <f>HYPERLINK("https://twitter.com/EmilieLessire","@EmilieLessire")</f>
        <v>@EmilieLessire</v>
      </c>
      <c r="C1177" s="6" t="s">
        <v>10545</v>
      </c>
      <c r="D1177" s="7" t="s">
        <v>10546</v>
      </c>
      <c r="E1177" s="8" t="str">
        <f>HYPERLINK("https://www.amazingcontent.io","AmazingContent")</f>
        <v>AmazingContent</v>
      </c>
      <c r="F1177" s="4">
        <v>41019.065127314811</v>
      </c>
      <c r="G1177" s="17" t="s">
        <v>171</v>
      </c>
      <c r="H1177" s="35" t="s">
        <v>10547</v>
      </c>
      <c r="I1177" s="10" t="s">
        <v>10548</v>
      </c>
    </row>
    <row r="1178" spans="1:9" ht="45">
      <c r="A1178" s="12">
        <v>43566.106435185182</v>
      </c>
      <c r="B1178" s="13" t="str">
        <f>HYPERLINK("https://twitter.com/NantMelyn_cotta","@NantMelyn_cotta")</f>
        <v>@NantMelyn_cotta</v>
      </c>
      <c r="C1178" s="14" t="s">
        <v>5788</v>
      </c>
      <c r="D1178" s="15" t="s">
        <v>5789</v>
      </c>
      <c r="E1178" s="16" t="str">
        <f>HYPERLINK("http://twitter.com","Twitter Web Client")</f>
        <v>Twitter Web Client</v>
      </c>
      <c r="F1178" s="12">
        <v>41935.20758101852</v>
      </c>
      <c r="G1178" s="17" t="s">
        <v>171</v>
      </c>
      <c r="H1178" s="35" t="s">
        <v>5790</v>
      </c>
      <c r="I1178" s="18" t="s">
        <v>5791</v>
      </c>
    </row>
    <row r="1179" spans="1:9" ht="45">
      <c r="A1179" s="4">
        <v>43563.091273148151</v>
      </c>
      <c r="B1179" s="5" t="str">
        <f>HYPERLINK("https://twitter.com/CyberGhost_EN","@CyberGhost_EN")</f>
        <v>@CyberGhost_EN</v>
      </c>
      <c r="C1179" s="6" t="s">
        <v>10466</v>
      </c>
      <c r="D1179" s="7" t="s">
        <v>10467</v>
      </c>
      <c r="E1179" s="8" t="str">
        <f>HYPERLINK("http://twitter.com","Twitter Web Client")</f>
        <v>Twitter Web Client</v>
      </c>
      <c r="F1179" s="4">
        <v>40757.220937500002</v>
      </c>
      <c r="G1179" s="9" t="s">
        <v>171</v>
      </c>
      <c r="H1179" s="35" t="s">
        <v>10468</v>
      </c>
      <c r="I1179" s="10" t="s">
        <v>10469</v>
      </c>
    </row>
    <row r="1180" spans="1:9" ht="30">
      <c r="A1180" s="12">
        <v>43566.452349537038</v>
      </c>
      <c r="B1180" s="13" t="str">
        <f>HYPERLINK("https://twitter.com/Wharfemeister","@Wharfemeister")</f>
        <v>@Wharfemeister</v>
      </c>
      <c r="C1180" s="14" t="s">
        <v>5516</v>
      </c>
      <c r="D1180" s="15" t="s">
        <v>5517</v>
      </c>
      <c r="E1180" s="16" t="str">
        <f>HYPERLINK("http://twitter.com/download/android","Twitter for Android")</f>
        <v>Twitter for Android</v>
      </c>
      <c r="F1180" s="12">
        <v>39981.419074074074</v>
      </c>
      <c r="G1180" s="9" t="s">
        <v>171</v>
      </c>
      <c r="H1180" s="35" t="s">
        <v>5518</v>
      </c>
      <c r="I1180" s="18" t="s">
        <v>5519</v>
      </c>
    </row>
    <row r="1181" spans="1:9" ht="105">
      <c r="A1181" s="12">
        <v>43571.308946759258</v>
      </c>
      <c r="B1181" s="13" t="str">
        <f>HYPERLINK("https://twitter.com/starssuite","@starssuite")</f>
        <v>@starssuite</v>
      </c>
      <c r="C1181" s="14" t="s">
        <v>3745</v>
      </c>
      <c r="D1181" s="15" t="s">
        <v>3746</v>
      </c>
      <c r="E1181" s="16" t="str">
        <f>HYPERLINK("http://twitter.com","Twitter Web Client")</f>
        <v>Twitter Web Client</v>
      </c>
      <c r="F1181" s="12">
        <v>42012.326932870375</v>
      </c>
      <c r="G1181" s="9" t="s">
        <v>171</v>
      </c>
      <c r="H1181" s="35" t="s">
        <v>3747</v>
      </c>
      <c r="I1181" s="18" t="s">
        <v>3748</v>
      </c>
    </row>
    <row r="1182" spans="1:9" ht="45">
      <c r="A1182" s="19">
        <v>43546.625081018516</v>
      </c>
      <c r="B1182" s="20" t="str">
        <f>HYPERLINK("https://twitter.com/MediToursHun","@MediToursHun")</f>
        <v>@MediToursHun</v>
      </c>
      <c r="C1182" s="21" t="s">
        <v>8786</v>
      </c>
      <c r="D1182" s="22" t="s">
        <v>8787</v>
      </c>
      <c r="E1182" s="23" t="str">
        <f>HYPERLINK("https://buffer.com","Buffer")</f>
        <v>Buffer</v>
      </c>
      <c r="F1182" s="19">
        <v>42555.449212962965</v>
      </c>
      <c r="G1182" s="9" t="s">
        <v>171</v>
      </c>
      <c r="H1182" s="35" t="s">
        <v>3820</v>
      </c>
      <c r="I1182" s="25" t="s">
        <v>8788</v>
      </c>
    </row>
    <row r="1183" spans="1:9" ht="75">
      <c r="A1183" s="12">
        <v>43571.169664351852</v>
      </c>
      <c r="B1183" s="13" t="str">
        <f>HYPERLINK("https://twitter.com/seon_tech","@seon_tech")</f>
        <v>@seon_tech</v>
      </c>
      <c r="C1183" s="14" t="s">
        <v>3818</v>
      </c>
      <c r="D1183" s="15" t="s">
        <v>3819</v>
      </c>
      <c r="E1183" s="16" t="str">
        <f>HYPERLINK("https://about.twitter.com/products/tweetdeck","TweetDeck")</f>
        <v>TweetDeck</v>
      </c>
      <c r="F1183" s="12">
        <v>42282.302118055552</v>
      </c>
      <c r="G1183" s="9" t="s">
        <v>171</v>
      </c>
      <c r="H1183" s="35" t="s">
        <v>3820</v>
      </c>
      <c r="I1183" s="18" t="s">
        <v>3821</v>
      </c>
    </row>
    <row r="1184" spans="1:9" ht="45">
      <c r="A1184" s="4">
        <v>43557.911886574075</v>
      </c>
      <c r="B1184" s="5" t="str">
        <f>HYPERLINK("https://twitter.com/casa_eleonora","@casa_eleonora")</f>
        <v>@casa_eleonora</v>
      </c>
      <c r="C1184" s="6" t="s">
        <v>12365</v>
      </c>
      <c r="D1184" s="7" t="s">
        <v>12366</v>
      </c>
      <c r="E1184" s="8" t="str">
        <f>HYPERLINK("https://ifttt.com","IFTTT")</f>
        <v>IFTTT</v>
      </c>
      <c r="F1184" s="4">
        <v>42464.623437499999</v>
      </c>
      <c r="G1184" s="9" t="s">
        <v>171</v>
      </c>
      <c r="H1184" s="35" t="s">
        <v>12367</v>
      </c>
      <c r="I1184" s="10" t="s">
        <v>12368</v>
      </c>
    </row>
    <row r="1185" spans="1:9" ht="45">
      <c r="A1185" s="4">
        <v>43557.494733796295</v>
      </c>
      <c r="B1185" s="5" t="str">
        <f>HYPERLINK("https://twitter.com/casa_eleonora","@casa_eleonora")</f>
        <v>@casa_eleonora</v>
      </c>
      <c r="C1185" s="6" t="s">
        <v>12365</v>
      </c>
      <c r="D1185" s="7" t="s">
        <v>12500</v>
      </c>
      <c r="E1185" s="8" t="str">
        <f>HYPERLINK("https://ifttt.com","IFTTT")</f>
        <v>IFTTT</v>
      </c>
      <c r="F1185" s="4">
        <v>42464.623437499999</v>
      </c>
      <c r="G1185" s="9" t="s">
        <v>171</v>
      </c>
      <c r="H1185" s="35" t="s">
        <v>12367</v>
      </c>
      <c r="I1185" s="10" t="s">
        <v>12368</v>
      </c>
    </row>
    <row r="1186" spans="1:9" ht="60">
      <c r="A1186" s="4">
        <v>43564.125</v>
      </c>
      <c r="B1186" s="5" t="str">
        <f>HYPERLINK("https://twitter.com/AVMaterial","@AVMaterial")</f>
        <v>@AVMaterial</v>
      </c>
      <c r="C1186" s="6" t="s">
        <v>6772</v>
      </c>
      <c r="D1186" s="7" t="s">
        <v>6773</v>
      </c>
      <c r="E1186" s="8" t="str">
        <f>HYPERLINK("https://eclincher.com","eClincher")</f>
        <v>eClincher</v>
      </c>
      <c r="F1186" s="4">
        <v>41100.289571759262</v>
      </c>
      <c r="G1186" s="9" t="s">
        <v>171</v>
      </c>
      <c r="H1186" s="35" t="s">
        <v>6774</v>
      </c>
      <c r="I1186" s="10" t="s">
        <v>6775</v>
      </c>
    </row>
    <row r="1187" spans="1:9" ht="15">
      <c r="A1187" s="4">
        <v>43564.60974537037</v>
      </c>
      <c r="B1187" s="5" t="str">
        <f>HYPERLINK("https://twitter.com/adamgreene27","@adamgreene27")</f>
        <v>@adamgreene27</v>
      </c>
      <c r="C1187" s="6" t="s">
        <v>1268</v>
      </c>
      <c r="D1187" s="7" t="s">
        <v>6509</v>
      </c>
      <c r="E1187" s="8" t="str">
        <f>HYPERLINK("http://twitter.com/download/iphone","Twitter for iPhone")</f>
        <v>Twitter for iPhone</v>
      </c>
      <c r="F1187" s="4">
        <v>39846.229490740741</v>
      </c>
      <c r="G1187" s="24" t="s">
        <v>171</v>
      </c>
      <c r="H1187" s="35" t="s">
        <v>6510</v>
      </c>
      <c r="I1187" s="10" t="s">
        <v>6511</v>
      </c>
    </row>
    <row r="1188" spans="1:9" ht="75">
      <c r="A1188" s="19">
        <v>43548.437638888892</v>
      </c>
      <c r="B1188" s="20" t="str">
        <f>HYPERLINK("https://twitter.com/sookio","@sookio")</f>
        <v>@sookio</v>
      </c>
      <c r="C1188" s="21" t="s">
        <v>8319</v>
      </c>
      <c r="D1188" s="22" t="s">
        <v>8320</v>
      </c>
      <c r="E1188" s="23" t="str">
        <f>HYPERLINK("https://buffer.com","Buffer")</f>
        <v>Buffer</v>
      </c>
      <c r="F1188" s="19">
        <v>39680.52983796296</v>
      </c>
      <c r="G1188" s="24" t="s">
        <v>171</v>
      </c>
      <c r="H1188" s="35" t="s">
        <v>1358</v>
      </c>
      <c r="I1188" s="25" t="s">
        <v>8321</v>
      </c>
    </row>
    <row r="1189" spans="1:9" ht="75">
      <c r="A1189" s="19">
        <v>43548.414907407408</v>
      </c>
      <c r="B1189" s="20" t="str">
        <f>HYPERLINK("https://twitter.com/JamesMProp","@JamesMProp")</f>
        <v>@JamesMProp</v>
      </c>
      <c r="C1189" s="21" t="s">
        <v>8328</v>
      </c>
      <c r="D1189" s="22" t="s">
        <v>8329</v>
      </c>
      <c r="E1189" s="23" t="str">
        <f>HYPERLINK("http://instagram.com","Instagram")</f>
        <v>Instagram</v>
      </c>
      <c r="F1189" s="19">
        <v>41357.268391203703</v>
      </c>
      <c r="G1189" s="24" t="s">
        <v>171</v>
      </c>
      <c r="H1189" s="35" t="s">
        <v>1358</v>
      </c>
      <c r="I1189" s="25" t="s">
        <v>8330</v>
      </c>
    </row>
    <row r="1190" spans="1:9" ht="60">
      <c r="A1190" s="12">
        <v>43578.210011574076</v>
      </c>
      <c r="B1190" s="13" t="str">
        <f>HYPERLINK("https://twitter.com/PhotoCambridge","@PhotoCambridge")</f>
        <v>@PhotoCambridge</v>
      </c>
      <c r="C1190" s="14" t="s">
        <v>1356</v>
      </c>
      <c r="D1190" s="15" t="s">
        <v>1357</v>
      </c>
      <c r="E1190" s="16" t="str">
        <f>HYPERLINK("http://twitter.com/download/iphone","Twitter for iPhone")</f>
        <v>Twitter for iPhone</v>
      </c>
      <c r="F1190" s="12">
        <v>43578.181446759263</v>
      </c>
      <c r="G1190" s="24" t="s">
        <v>171</v>
      </c>
      <c r="H1190" s="35" t="s">
        <v>1358</v>
      </c>
      <c r="I1190" s="18" t="s">
        <v>1359</v>
      </c>
    </row>
    <row r="1191" spans="1:9" ht="150">
      <c r="A1191" s="12">
        <v>43578.23946759259</v>
      </c>
      <c r="B1191" s="13" t="str">
        <f>HYPERLINK("https://twitter.com/DannyBeales","@DannyBeales")</f>
        <v>@DannyBeales</v>
      </c>
      <c r="C1191" s="14" t="s">
        <v>1350</v>
      </c>
      <c r="D1191" s="15" t="s">
        <v>1351</v>
      </c>
      <c r="E1191" s="16" t="str">
        <f>HYPERLINK("http://twitter.com/download/iphone","Twitter for iPhone")</f>
        <v>Twitter for iPhone</v>
      </c>
      <c r="F1191" s="12">
        <v>40841.399004629631</v>
      </c>
      <c r="G1191" s="17" t="s">
        <v>171</v>
      </c>
      <c r="H1191" s="35" t="s">
        <v>1352</v>
      </c>
      <c r="I1191" s="18" t="s">
        <v>1353</v>
      </c>
    </row>
    <row r="1192" spans="1:9" ht="105">
      <c r="A1192" s="4">
        <v>43565.60628472222</v>
      </c>
      <c r="B1192" s="5" t="str">
        <f>HYPERLINK("https://twitter.com/bdnews24","@bdnews24")</f>
        <v>@bdnews24</v>
      </c>
      <c r="C1192" s="6" t="s">
        <v>10173</v>
      </c>
      <c r="D1192" s="7" t="s">
        <v>10174</v>
      </c>
      <c r="E1192" s="8" t="str">
        <f>HYPERLINK("https://dlvrit.com/","dlvr.it")</f>
        <v>dlvr.it</v>
      </c>
      <c r="F1192" s="4">
        <v>39844.468043981484</v>
      </c>
      <c r="G1192" s="9" t="s">
        <v>171</v>
      </c>
      <c r="H1192" s="35" t="s">
        <v>6530</v>
      </c>
      <c r="I1192" s="10" t="s">
        <v>10175</v>
      </c>
    </row>
    <row r="1193" spans="1:9" ht="105">
      <c r="A1193" s="4">
        <v>43564.749710648146</v>
      </c>
      <c r="B1193" s="5" t="str">
        <f>HYPERLINK("https://twitter.com/bdnews24","@bdnews24")</f>
        <v>@bdnews24</v>
      </c>
      <c r="C1193" s="6" t="s">
        <v>10173</v>
      </c>
      <c r="D1193" s="7" t="s">
        <v>10198</v>
      </c>
      <c r="E1193" s="8" t="str">
        <f>HYPERLINK("https://dlvrit.com/","dlvr.it")</f>
        <v>dlvr.it</v>
      </c>
      <c r="F1193" s="4">
        <v>39844.468043981484</v>
      </c>
      <c r="G1193" s="9" t="s">
        <v>171</v>
      </c>
      <c r="H1193" s="35" t="s">
        <v>6530</v>
      </c>
      <c r="I1193" s="10" t="s">
        <v>10175</v>
      </c>
    </row>
    <row r="1194" spans="1:9" ht="60">
      <c r="A1194" s="4">
        <v>43564.586099537039</v>
      </c>
      <c r="B1194" s="5" t="str">
        <f>HYPERLINK("https://twitter.com/NewswithRachel","@NewswithRachel")</f>
        <v>@NewswithRachel</v>
      </c>
      <c r="C1194" s="6" t="s">
        <v>6528</v>
      </c>
      <c r="D1194" s="7" t="s">
        <v>6529</v>
      </c>
      <c r="E1194" s="8" t="str">
        <f>HYPERLINK("http://twitter.com","Twitter Web Client")</f>
        <v>Twitter Web Client</v>
      </c>
      <c r="F1194" s="4">
        <v>42227.758645833332</v>
      </c>
      <c r="G1194" s="9" t="s">
        <v>171</v>
      </c>
      <c r="H1194" s="35" t="s">
        <v>6530</v>
      </c>
      <c r="I1194" s="10" t="s">
        <v>6531</v>
      </c>
    </row>
    <row r="1195" spans="1:9" ht="60">
      <c r="A1195" s="19">
        <v>43546.4299537037</v>
      </c>
      <c r="B1195" s="20" t="str">
        <f>HYPERLINK("https://twitter.com/jasondoddphoto","@jasondoddphoto")</f>
        <v>@jasondoddphoto</v>
      </c>
      <c r="C1195" s="21" t="s">
        <v>8853</v>
      </c>
      <c r="D1195" s="22" t="s">
        <v>8854</v>
      </c>
      <c r="E1195" s="23" t="str">
        <f>HYPERLINK("http://twitter.com","Twitter Web Client")</f>
        <v>Twitter Web Client</v>
      </c>
      <c r="F1195" s="19">
        <v>41041.027673611112</v>
      </c>
      <c r="G1195" s="24" t="s">
        <v>171</v>
      </c>
      <c r="H1195" s="35" t="s">
        <v>8855</v>
      </c>
      <c r="I1195" s="25" t="s">
        <v>8856</v>
      </c>
    </row>
    <row r="1196" spans="1:9" ht="60">
      <c r="A1196" s="4">
        <v>43564.030347222222</v>
      </c>
      <c r="B1196" s="5" t="str">
        <f>HYPERLINK("https://twitter.com/QuaiBellevue","@QuaiBellevue")</f>
        <v>@QuaiBellevue</v>
      </c>
      <c r="C1196" s="6" t="s">
        <v>6823</v>
      </c>
      <c r="D1196" s="7" t="s">
        <v>6824</v>
      </c>
      <c r="E1196" s="8" t="str">
        <f>HYPERLINK("http://twitter.com","Twitter Web Client")</f>
        <v>Twitter Web Client</v>
      </c>
      <c r="F1196" s="4">
        <v>43044.318935185191</v>
      </c>
      <c r="G1196" s="9" t="s">
        <v>171</v>
      </c>
      <c r="H1196" s="35" t="s">
        <v>6825</v>
      </c>
      <c r="I1196" s="10" t="s">
        <v>6826</v>
      </c>
    </row>
    <row r="1197" spans="1:9" ht="135">
      <c r="A1197" s="12">
        <v>43580.14025462963</v>
      </c>
      <c r="B1197" s="13" t="str">
        <f>HYPERLINK("https://twitter.com/2lsnop","@2lsnop")</f>
        <v>@2lsnop</v>
      </c>
      <c r="C1197" s="14" t="s">
        <v>238</v>
      </c>
      <c r="D1197" s="15" t="s">
        <v>239</v>
      </c>
      <c r="E1197" s="16" t="str">
        <f>HYPERLINK("http://twitter.com","Twitter Web Client")</f>
        <v>Twitter Web Client</v>
      </c>
      <c r="F1197" s="12">
        <v>39952.741400462961</v>
      </c>
      <c r="G1197" s="17" t="s">
        <v>171</v>
      </c>
      <c r="H1197" s="35" t="s">
        <v>240</v>
      </c>
      <c r="I1197" s="18" t="s">
        <v>241</v>
      </c>
    </row>
    <row r="1198" spans="1:9" ht="45">
      <c r="A1198" s="4">
        <v>43564.994525462964</v>
      </c>
      <c r="B1198" s="5" t="str">
        <f>HYPERLINK("https://twitter.com/ApolloPM","@ApolloPM")</f>
        <v>@ApolloPM</v>
      </c>
      <c r="C1198" s="6" t="s">
        <v>6347</v>
      </c>
      <c r="D1198" s="7" t="s">
        <v>6348</v>
      </c>
      <c r="E1198" s="8" t="str">
        <f>HYPERLINK("http://twitter.com/download/iphone","Twitter for iPhone")</f>
        <v>Twitter for iPhone</v>
      </c>
      <c r="F1198" s="4">
        <v>41898.44803240741</v>
      </c>
      <c r="G1198" s="9" t="s">
        <v>171</v>
      </c>
      <c r="H1198" s="35" t="s">
        <v>6349</v>
      </c>
      <c r="I1198" s="10" t="s">
        <v>6350</v>
      </c>
    </row>
    <row r="1199" spans="1:9" ht="60">
      <c r="A1199" s="19">
        <v>43549.160231481481</v>
      </c>
      <c r="B1199" s="20" t="str">
        <f>HYPERLINK("https://twitter.com/AirbnbCardiff","@AirbnbCardiff")</f>
        <v>@AirbnbCardiff</v>
      </c>
      <c r="C1199" s="21" t="s">
        <v>8144</v>
      </c>
      <c r="D1199" s="22" t="s">
        <v>8145</v>
      </c>
      <c r="E1199" s="23" t="str">
        <f>HYPERLINK("http://twitter.com/download/android","Twitter for Android")</f>
        <v>Twitter for Android</v>
      </c>
      <c r="F1199" s="19">
        <v>43528.987951388888</v>
      </c>
      <c r="G1199" s="9" t="s">
        <v>171</v>
      </c>
      <c r="H1199" s="35" t="s">
        <v>8146</v>
      </c>
      <c r="I1199" s="25" t="s">
        <v>8147</v>
      </c>
    </row>
    <row r="1200" spans="1:9" ht="75">
      <c r="A1200" s="19">
        <v>43547.712789351848</v>
      </c>
      <c r="B1200" s="20" t="str">
        <f>HYPERLINK("https://twitter.com/AirbnbCardiff","@AirbnbCardiff")</f>
        <v>@AirbnbCardiff</v>
      </c>
      <c r="C1200" s="21" t="s">
        <v>8144</v>
      </c>
      <c r="D1200" s="22" t="s">
        <v>8480</v>
      </c>
      <c r="E1200" s="23" t="str">
        <f>HYPERLINK("http://twitter.com/download/android","Twitter for Android")</f>
        <v>Twitter for Android</v>
      </c>
      <c r="F1200" s="19">
        <v>43528.987951388888</v>
      </c>
      <c r="G1200" s="9" t="s">
        <v>171</v>
      </c>
      <c r="H1200" s="35" t="s">
        <v>8146</v>
      </c>
      <c r="I1200" s="25" t="s">
        <v>8147</v>
      </c>
    </row>
    <row r="1201" spans="1:9" ht="105">
      <c r="A1201" s="19">
        <v>43551.58084490741</v>
      </c>
      <c r="B1201" s="20" t="str">
        <f>HYPERLINK("https://twitter.com/JessyFergi","@JessyFergi")</f>
        <v>@JessyFergi</v>
      </c>
      <c r="C1201" s="21" t="s">
        <v>7103</v>
      </c>
      <c r="D1201" s="22" t="s">
        <v>7104</v>
      </c>
      <c r="E1201" s="23" t="str">
        <f>HYPERLINK("http://twitter.com","Twitter Web Client")</f>
        <v>Twitter Web Client</v>
      </c>
      <c r="F1201" s="19">
        <v>40926.488391203704</v>
      </c>
      <c r="G1201" s="9" t="s">
        <v>171</v>
      </c>
      <c r="H1201" s="35" t="s">
        <v>7105</v>
      </c>
      <c r="I1201" s="25" t="s">
        <v>7106</v>
      </c>
    </row>
    <row r="1202" spans="1:9" ht="90">
      <c r="A1202" s="19">
        <v>43549.539351851854</v>
      </c>
      <c r="B1202" s="20" t="str">
        <f>HYPERLINK("https://twitter.com/JessyFergi","@JessyFergi")</f>
        <v>@JessyFergi</v>
      </c>
      <c r="C1202" s="21" t="s">
        <v>7103</v>
      </c>
      <c r="D1202" s="22" t="s">
        <v>7992</v>
      </c>
      <c r="E1202" s="23" t="str">
        <f>HYPERLINK("http://twitter.com","Twitter Web Client")</f>
        <v>Twitter Web Client</v>
      </c>
      <c r="F1202" s="19">
        <v>40926.488391203704</v>
      </c>
      <c r="G1202" s="9" t="s">
        <v>171</v>
      </c>
      <c r="H1202" s="35" t="s">
        <v>7105</v>
      </c>
      <c r="I1202" s="25" t="s">
        <v>7106</v>
      </c>
    </row>
    <row r="1203" spans="1:9" ht="90">
      <c r="A1203" s="19">
        <v>43551.648680555554</v>
      </c>
      <c r="B1203" s="20" t="str">
        <f t="shared" ref="B1203:B1234" si="53">HYPERLINK("https://twitter.com/JoyceGooding3","@JoyceGooding3")</f>
        <v>@JoyceGooding3</v>
      </c>
      <c r="C1203" s="21" t="s">
        <v>370</v>
      </c>
      <c r="D1203" s="22" t="s">
        <v>7075</v>
      </c>
      <c r="E1203" s="23" t="str">
        <f t="shared" ref="E1203:E1234" si="54">HYPERLINK("http://twitter.com/download/android","Twitter for Android")</f>
        <v>Twitter for Android</v>
      </c>
      <c r="F1203" s="19">
        <v>42795.278923611113</v>
      </c>
      <c r="G1203" s="24" t="s">
        <v>171</v>
      </c>
      <c r="H1203" s="35" t="s">
        <v>372</v>
      </c>
      <c r="I1203" s="25" t="s">
        <v>373</v>
      </c>
    </row>
    <row r="1204" spans="1:9" ht="75">
      <c r="A1204" s="19">
        <v>43551.457326388889</v>
      </c>
      <c r="B1204" s="20" t="str">
        <f t="shared" si="53"/>
        <v>@JoyceGooding3</v>
      </c>
      <c r="C1204" s="21" t="s">
        <v>370</v>
      </c>
      <c r="D1204" s="22" t="s">
        <v>7190</v>
      </c>
      <c r="E1204" s="23" t="str">
        <f t="shared" si="54"/>
        <v>Twitter for Android</v>
      </c>
      <c r="F1204" s="19">
        <v>42795.278923611113</v>
      </c>
      <c r="G1204" s="24" t="s">
        <v>171</v>
      </c>
      <c r="H1204" s="35" t="s">
        <v>372</v>
      </c>
      <c r="I1204" s="25" t="s">
        <v>373</v>
      </c>
    </row>
    <row r="1205" spans="1:9" ht="90">
      <c r="A1205" s="19">
        <v>43551.068541666667</v>
      </c>
      <c r="B1205" s="20" t="str">
        <f t="shared" si="53"/>
        <v>@JoyceGooding3</v>
      </c>
      <c r="C1205" s="21" t="s">
        <v>370</v>
      </c>
      <c r="D1205" s="22" t="s">
        <v>7449</v>
      </c>
      <c r="E1205" s="23" t="str">
        <f t="shared" si="54"/>
        <v>Twitter for Android</v>
      </c>
      <c r="F1205" s="19">
        <v>42795.278923611113</v>
      </c>
      <c r="G1205" s="24" t="s">
        <v>171</v>
      </c>
      <c r="H1205" s="35" t="s">
        <v>372</v>
      </c>
      <c r="I1205" s="25" t="s">
        <v>373</v>
      </c>
    </row>
    <row r="1206" spans="1:9" ht="150">
      <c r="A1206" s="19">
        <v>43550.136574074073</v>
      </c>
      <c r="B1206" s="20" t="str">
        <f t="shared" si="53"/>
        <v>@JoyceGooding3</v>
      </c>
      <c r="C1206" s="21" t="s">
        <v>370</v>
      </c>
      <c r="D1206" s="22" t="s">
        <v>7822</v>
      </c>
      <c r="E1206" s="23" t="str">
        <f t="shared" si="54"/>
        <v>Twitter for Android</v>
      </c>
      <c r="F1206" s="19">
        <v>42795.278923611113</v>
      </c>
      <c r="G1206" s="24" t="s">
        <v>171</v>
      </c>
      <c r="H1206" s="35" t="s">
        <v>372</v>
      </c>
      <c r="I1206" s="25" t="s">
        <v>373</v>
      </c>
    </row>
    <row r="1207" spans="1:9" ht="195">
      <c r="A1207" s="19">
        <v>43550.034236111111</v>
      </c>
      <c r="B1207" s="20" t="str">
        <f t="shared" si="53"/>
        <v>@JoyceGooding3</v>
      </c>
      <c r="C1207" s="21" t="s">
        <v>370</v>
      </c>
      <c r="D1207" s="22" t="s">
        <v>7855</v>
      </c>
      <c r="E1207" s="23" t="str">
        <f t="shared" si="54"/>
        <v>Twitter for Android</v>
      </c>
      <c r="F1207" s="19">
        <v>42795.278923611113</v>
      </c>
      <c r="G1207" s="24" t="s">
        <v>171</v>
      </c>
      <c r="H1207" s="35" t="s">
        <v>372</v>
      </c>
      <c r="I1207" s="25" t="s">
        <v>373</v>
      </c>
    </row>
    <row r="1208" spans="1:9" ht="165">
      <c r="A1208" s="19">
        <v>43549.13685185185</v>
      </c>
      <c r="B1208" s="20" t="str">
        <f t="shared" si="53"/>
        <v>@JoyceGooding3</v>
      </c>
      <c r="C1208" s="21" t="s">
        <v>370</v>
      </c>
      <c r="D1208" s="22" t="s">
        <v>8149</v>
      </c>
      <c r="E1208" s="23" t="str">
        <f t="shared" si="54"/>
        <v>Twitter for Android</v>
      </c>
      <c r="F1208" s="19">
        <v>42795.278923611113</v>
      </c>
      <c r="G1208" s="24" t="s">
        <v>171</v>
      </c>
      <c r="H1208" s="35" t="s">
        <v>372</v>
      </c>
      <c r="I1208" s="25" t="s">
        <v>373</v>
      </c>
    </row>
    <row r="1209" spans="1:9" ht="150">
      <c r="A1209" s="19">
        <v>43548.689143518517</v>
      </c>
      <c r="B1209" s="20" t="str">
        <f t="shared" si="53"/>
        <v>@JoyceGooding3</v>
      </c>
      <c r="C1209" s="21" t="s">
        <v>370</v>
      </c>
      <c r="D1209" s="22" t="s">
        <v>8246</v>
      </c>
      <c r="E1209" s="23" t="str">
        <f t="shared" si="54"/>
        <v>Twitter for Android</v>
      </c>
      <c r="F1209" s="19">
        <v>42795.278923611113</v>
      </c>
      <c r="G1209" s="24" t="s">
        <v>171</v>
      </c>
      <c r="H1209" s="35" t="s">
        <v>372</v>
      </c>
      <c r="I1209" s="25" t="s">
        <v>373</v>
      </c>
    </row>
    <row r="1210" spans="1:9" ht="75">
      <c r="A1210" s="19">
        <v>43548.422685185185</v>
      </c>
      <c r="B1210" s="20" t="str">
        <f t="shared" si="53"/>
        <v>@JoyceGooding3</v>
      </c>
      <c r="C1210" s="21" t="s">
        <v>370</v>
      </c>
      <c r="D1210" s="22" t="s">
        <v>8326</v>
      </c>
      <c r="E1210" s="23" t="str">
        <f t="shared" si="54"/>
        <v>Twitter for Android</v>
      </c>
      <c r="F1210" s="19">
        <v>42795.278923611113</v>
      </c>
      <c r="G1210" s="24" t="s">
        <v>171</v>
      </c>
      <c r="H1210" s="35" t="s">
        <v>372</v>
      </c>
      <c r="I1210" s="25" t="s">
        <v>373</v>
      </c>
    </row>
    <row r="1211" spans="1:9" ht="90">
      <c r="A1211" s="19">
        <v>43546.642835648148</v>
      </c>
      <c r="B1211" s="20" t="str">
        <f t="shared" si="53"/>
        <v>@JoyceGooding3</v>
      </c>
      <c r="C1211" s="21" t="s">
        <v>370</v>
      </c>
      <c r="D1211" s="22" t="s">
        <v>8784</v>
      </c>
      <c r="E1211" s="23" t="str">
        <f t="shared" si="54"/>
        <v>Twitter for Android</v>
      </c>
      <c r="F1211" s="19">
        <v>42795.278923611113</v>
      </c>
      <c r="G1211" s="24" t="s">
        <v>171</v>
      </c>
      <c r="H1211" s="35" t="s">
        <v>372</v>
      </c>
      <c r="I1211" s="25" t="s">
        <v>373</v>
      </c>
    </row>
    <row r="1212" spans="1:9" ht="90">
      <c r="A1212" s="19">
        <v>43546.401932870373</v>
      </c>
      <c r="B1212" s="20" t="str">
        <f t="shared" si="53"/>
        <v>@JoyceGooding3</v>
      </c>
      <c r="C1212" s="21" t="s">
        <v>370</v>
      </c>
      <c r="D1212" s="22" t="s">
        <v>8876</v>
      </c>
      <c r="E1212" s="23" t="str">
        <f t="shared" si="54"/>
        <v>Twitter for Android</v>
      </c>
      <c r="F1212" s="19">
        <v>42795.278923611113</v>
      </c>
      <c r="G1212" s="24" t="s">
        <v>171</v>
      </c>
      <c r="H1212" s="35" t="s">
        <v>372</v>
      </c>
      <c r="I1212" s="25" t="s">
        <v>373</v>
      </c>
    </row>
    <row r="1213" spans="1:9" ht="90">
      <c r="A1213" s="19">
        <v>43545.354143518518</v>
      </c>
      <c r="B1213" s="20" t="str">
        <f t="shared" si="53"/>
        <v>@JoyceGooding3</v>
      </c>
      <c r="C1213" s="21" t="s">
        <v>370</v>
      </c>
      <c r="D1213" s="22" t="s">
        <v>9177</v>
      </c>
      <c r="E1213" s="23" t="str">
        <f t="shared" si="54"/>
        <v>Twitter for Android</v>
      </c>
      <c r="F1213" s="19">
        <v>42795.278923611113</v>
      </c>
      <c r="G1213" s="24" t="s">
        <v>171</v>
      </c>
      <c r="H1213" s="35" t="s">
        <v>372</v>
      </c>
      <c r="I1213" s="25" t="s">
        <v>373</v>
      </c>
    </row>
    <row r="1214" spans="1:9" ht="105">
      <c r="A1214" s="19">
        <v>43544.937245370369</v>
      </c>
      <c r="B1214" s="20" t="str">
        <f t="shared" si="53"/>
        <v>@JoyceGooding3</v>
      </c>
      <c r="C1214" s="21" t="s">
        <v>370</v>
      </c>
      <c r="D1214" s="22" t="s">
        <v>9317</v>
      </c>
      <c r="E1214" s="23" t="str">
        <f t="shared" si="54"/>
        <v>Twitter for Android</v>
      </c>
      <c r="F1214" s="19">
        <v>42795.278923611113</v>
      </c>
      <c r="G1214" s="24" t="s">
        <v>171</v>
      </c>
      <c r="H1214" s="35" t="s">
        <v>372</v>
      </c>
      <c r="I1214" s="25" t="s">
        <v>373</v>
      </c>
    </row>
    <row r="1215" spans="1:9" ht="180">
      <c r="A1215" s="19">
        <v>43544.613506944443</v>
      </c>
      <c r="B1215" s="20" t="str">
        <f t="shared" si="53"/>
        <v>@JoyceGooding3</v>
      </c>
      <c r="C1215" s="21" t="s">
        <v>370</v>
      </c>
      <c r="D1215" s="22" t="s">
        <v>9399</v>
      </c>
      <c r="E1215" s="23" t="str">
        <f t="shared" si="54"/>
        <v>Twitter for Android</v>
      </c>
      <c r="F1215" s="19">
        <v>42795.278923611113</v>
      </c>
      <c r="G1215" s="24" t="s">
        <v>171</v>
      </c>
      <c r="H1215" s="35" t="s">
        <v>372</v>
      </c>
      <c r="I1215" s="25" t="s">
        <v>373</v>
      </c>
    </row>
    <row r="1216" spans="1:9" ht="195">
      <c r="A1216" s="19">
        <v>43544.014479166668</v>
      </c>
      <c r="B1216" s="20" t="str">
        <f t="shared" si="53"/>
        <v>@JoyceGooding3</v>
      </c>
      <c r="C1216" s="21" t="s">
        <v>370</v>
      </c>
      <c r="D1216" s="22" t="s">
        <v>9638</v>
      </c>
      <c r="E1216" s="23" t="str">
        <f t="shared" si="54"/>
        <v>Twitter for Android</v>
      </c>
      <c r="F1216" s="19">
        <v>42795.278923611113</v>
      </c>
      <c r="G1216" s="24" t="s">
        <v>171</v>
      </c>
      <c r="H1216" s="35" t="s">
        <v>372</v>
      </c>
      <c r="I1216" s="25" t="s">
        <v>373</v>
      </c>
    </row>
    <row r="1217" spans="1:9" ht="105">
      <c r="A1217" s="19">
        <v>43544.013865740737</v>
      </c>
      <c r="B1217" s="20" t="str">
        <f t="shared" si="53"/>
        <v>@JoyceGooding3</v>
      </c>
      <c r="C1217" s="21" t="s">
        <v>370</v>
      </c>
      <c r="D1217" s="22" t="s">
        <v>9639</v>
      </c>
      <c r="E1217" s="23" t="str">
        <f t="shared" si="54"/>
        <v>Twitter for Android</v>
      </c>
      <c r="F1217" s="19">
        <v>42795.278923611113</v>
      </c>
      <c r="G1217" s="24" t="s">
        <v>171</v>
      </c>
      <c r="H1217" s="35" t="s">
        <v>372</v>
      </c>
      <c r="I1217" s="25" t="s">
        <v>373</v>
      </c>
    </row>
    <row r="1218" spans="1:9" ht="135">
      <c r="A1218" s="19">
        <v>43543.271145833336</v>
      </c>
      <c r="B1218" s="20" t="str">
        <f t="shared" si="53"/>
        <v>@JoyceGooding3</v>
      </c>
      <c r="C1218" s="21" t="s">
        <v>370</v>
      </c>
      <c r="D1218" s="22" t="s">
        <v>9880</v>
      </c>
      <c r="E1218" s="23" t="str">
        <f t="shared" si="54"/>
        <v>Twitter for Android</v>
      </c>
      <c r="F1218" s="19">
        <v>42795.278923611113</v>
      </c>
      <c r="G1218" s="24" t="s">
        <v>171</v>
      </c>
      <c r="H1218" s="35" t="s">
        <v>372</v>
      </c>
      <c r="I1218" s="25" t="s">
        <v>373</v>
      </c>
    </row>
    <row r="1219" spans="1:9" ht="135">
      <c r="A1219" s="19">
        <v>43543.037870370375</v>
      </c>
      <c r="B1219" s="20" t="str">
        <f t="shared" si="53"/>
        <v>@JoyceGooding3</v>
      </c>
      <c r="C1219" s="21" t="s">
        <v>370</v>
      </c>
      <c r="D1219" s="22" t="s">
        <v>9958</v>
      </c>
      <c r="E1219" s="23" t="str">
        <f t="shared" si="54"/>
        <v>Twitter for Android</v>
      </c>
      <c r="F1219" s="19">
        <v>42795.278923611113</v>
      </c>
      <c r="G1219" s="24" t="s">
        <v>171</v>
      </c>
      <c r="H1219" s="35" t="s">
        <v>372</v>
      </c>
      <c r="I1219" s="25" t="s">
        <v>373</v>
      </c>
    </row>
    <row r="1220" spans="1:9" ht="165">
      <c r="A1220" s="19">
        <v>43543.035902777774</v>
      </c>
      <c r="B1220" s="20" t="str">
        <f t="shared" si="53"/>
        <v>@JoyceGooding3</v>
      </c>
      <c r="C1220" s="21" t="s">
        <v>370</v>
      </c>
      <c r="D1220" s="22" t="s">
        <v>9959</v>
      </c>
      <c r="E1220" s="23" t="str">
        <f t="shared" si="54"/>
        <v>Twitter for Android</v>
      </c>
      <c r="F1220" s="19">
        <v>42795.278923611113</v>
      </c>
      <c r="G1220" s="24" t="s">
        <v>171</v>
      </c>
      <c r="H1220" s="35" t="s">
        <v>372</v>
      </c>
      <c r="I1220" s="25" t="s">
        <v>373</v>
      </c>
    </row>
    <row r="1221" spans="1:9" ht="135">
      <c r="A1221" s="19">
        <v>43542.641192129631</v>
      </c>
      <c r="B1221" s="20" t="str">
        <f t="shared" si="53"/>
        <v>@JoyceGooding3</v>
      </c>
      <c r="C1221" s="21" t="s">
        <v>370</v>
      </c>
      <c r="D1221" s="22" t="s">
        <v>10054</v>
      </c>
      <c r="E1221" s="23" t="str">
        <f t="shared" si="54"/>
        <v>Twitter for Android</v>
      </c>
      <c r="F1221" s="19">
        <v>42795.278923611113</v>
      </c>
      <c r="G1221" s="24" t="s">
        <v>171</v>
      </c>
      <c r="H1221" s="35" t="s">
        <v>372</v>
      </c>
      <c r="I1221" s="25" t="s">
        <v>373</v>
      </c>
    </row>
    <row r="1222" spans="1:9" ht="75">
      <c r="A1222" s="4">
        <v>43565.82094907407</v>
      </c>
      <c r="B1222" s="5" t="str">
        <f t="shared" si="53"/>
        <v>@JoyceGooding3</v>
      </c>
      <c r="C1222" s="6" t="s">
        <v>370</v>
      </c>
      <c r="D1222" s="7" t="s">
        <v>5888</v>
      </c>
      <c r="E1222" s="8" t="str">
        <f t="shared" si="54"/>
        <v>Twitter for Android</v>
      </c>
      <c r="F1222" s="4">
        <v>42795.278923611113</v>
      </c>
      <c r="G1222" s="24" t="s">
        <v>171</v>
      </c>
      <c r="H1222" s="35" t="s">
        <v>372</v>
      </c>
      <c r="I1222" s="10" t="s">
        <v>373</v>
      </c>
    </row>
    <row r="1223" spans="1:9" ht="180">
      <c r="A1223" s="4">
        <v>43565.478460648148</v>
      </c>
      <c r="B1223" s="5" t="str">
        <f t="shared" si="53"/>
        <v>@JoyceGooding3</v>
      </c>
      <c r="C1223" s="6" t="s">
        <v>370</v>
      </c>
      <c r="D1223" s="7" t="s">
        <v>6065</v>
      </c>
      <c r="E1223" s="8" t="str">
        <f t="shared" si="54"/>
        <v>Twitter for Android</v>
      </c>
      <c r="F1223" s="4">
        <v>42795.278923611113</v>
      </c>
      <c r="G1223" s="24" t="s">
        <v>171</v>
      </c>
      <c r="H1223" s="35" t="s">
        <v>372</v>
      </c>
      <c r="I1223" s="10" t="s">
        <v>373</v>
      </c>
    </row>
    <row r="1224" spans="1:9" ht="150">
      <c r="A1224" s="4">
        <v>43564.481840277775</v>
      </c>
      <c r="B1224" s="5" t="str">
        <f t="shared" si="53"/>
        <v>@JoyceGooding3</v>
      </c>
      <c r="C1224" s="6" t="s">
        <v>370</v>
      </c>
      <c r="D1224" s="7" t="s">
        <v>6586</v>
      </c>
      <c r="E1224" s="8" t="str">
        <f t="shared" si="54"/>
        <v>Twitter for Android</v>
      </c>
      <c r="F1224" s="4">
        <v>42795.278923611113</v>
      </c>
      <c r="G1224" s="24" t="s">
        <v>171</v>
      </c>
      <c r="H1224" s="35" t="s">
        <v>372</v>
      </c>
      <c r="I1224" s="10" t="s">
        <v>373</v>
      </c>
    </row>
    <row r="1225" spans="1:9" ht="105">
      <c r="A1225" s="4">
        <v>43563.50099537037</v>
      </c>
      <c r="B1225" s="5" t="str">
        <f t="shared" si="53"/>
        <v>@JoyceGooding3</v>
      </c>
      <c r="C1225" s="6" t="s">
        <v>370</v>
      </c>
      <c r="D1225" s="7" t="s">
        <v>10258</v>
      </c>
      <c r="E1225" s="8" t="str">
        <f t="shared" si="54"/>
        <v>Twitter for Android</v>
      </c>
      <c r="F1225" s="4">
        <v>42795.278923611113</v>
      </c>
      <c r="G1225" s="24" t="s">
        <v>171</v>
      </c>
      <c r="H1225" s="35" t="s">
        <v>372</v>
      </c>
      <c r="I1225" s="10" t="s">
        <v>373</v>
      </c>
    </row>
    <row r="1226" spans="1:9" ht="105">
      <c r="A1226" s="4">
        <v>43562.788356481484</v>
      </c>
      <c r="B1226" s="5" t="str">
        <f t="shared" si="53"/>
        <v>@JoyceGooding3</v>
      </c>
      <c r="C1226" s="6" t="s">
        <v>370</v>
      </c>
      <c r="D1226" s="7" t="s">
        <v>10584</v>
      </c>
      <c r="E1226" s="8" t="str">
        <f t="shared" si="54"/>
        <v>Twitter for Android</v>
      </c>
      <c r="F1226" s="4">
        <v>42795.278923611113</v>
      </c>
      <c r="G1226" s="24" t="s">
        <v>171</v>
      </c>
      <c r="H1226" s="35" t="s">
        <v>372</v>
      </c>
      <c r="I1226" s="10" t="s">
        <v>373</v>
      </c>
    </row>
    <row r="1227" spans="1:9" ht="135">
      <c r="A1227" s="4">
        <v>43562.786377314813</v>
      </c>
      <c r="B1227" s="5" t="str">
        <f t="shared" si="53"/>
        <v>@JoyceGooding3</v>
      </c>
      <c r="C1227" s="6" t="s">
        <v>370</v>
      </c>
      <c r="D1227" s="7" t="s">
        <v>10586</v>
      </c>
      <c r="E1227" s="8" t="str">
        <f t="shared" si="54"/>
        <v>Twitter for Android</v>
      </c>
      <c r="F1227" s="4">
        <v>42795.278923611113</v>
      </c>
      <c r="G1227" s="24" t="s">
        <v>171</v>
      </c>
      <c r="H1227" s="35" t="s">
        <v>372</v>
      </c>
      <c r="I1227" s="10" t="s">
        <v>373</v>
      </c>
    </row>
    <row r="1228" spans="1:9" ht="135">
      <c r="A1228" s="4">
        <v>43562.06826388889</v>
      </c>
      <c r="B1228" s="5" t="str">
        <f t="shared" si="53"/>
        <v>@JoyceGooding3</v>
      </c>
      <c r="C1228" s="6" t="s">
        <v>370</v>
      </c>
      <c r="D1228" s="7" t="s">
        <v>10760</v>
      </c>
      <c r="E1228" s="8" t="str">
        <f t="shared" si="54"/>
        <v>Twitter for Android</v>
      </c>
      <c r="F1228" s="4">
        <v>42795.278923611113</v>
      </c>
      <c r="G1228" s="24" t="s">
        <v>171</v>
      </c>
      <c r="H1228" s="35" t="s">
        <v>372</v>
      </c>
      <c r="I1228" s="10" t="s">
        <v>373</v>
      </c>
    </row>
    <row r="1229" spans="1:9" ht="105">
      <c r="A1229" s="4">
        <v>43562.067199074074</v>
      </c>
      <c r="B1229" s="5" t="str">
        <f t="shared" si="53"/>
        <v>@JoyceGooding3</v>
      </c>
      <c r="C1229" s="6" t="s">
        <v>370</v>
      </c>
      <c r="D1229" s="7" t="s">
        <v>10761</v>
      </c>
      <c r="E1229" s="8" t="str">
        <f t="shared" si="54"/>
        <v>Twitter for Android</v>
      </c>
      <c r="F1229" s="4">
        <v>42795.278923611113</v>
      </c>
      <c r="G1229" s="24" t="s">
        <v>171</v>
      </c>
      <c r="H1229" s="35" t="s">
        <v>372</v>
      </c>
      <c r="I1229" s="10" t="s">
        <v>373</v>
      </c>
    </row>
    <row r="1230" spans="1:9" ht="180">
      <c r="A1230" s="4">
        <v>43562.066724537042</v>
      </c>
      <c r="B1230" s="5" t="str">
        <f t="shared" si="53"/>
        <v>@JoyceGooding3</v>
      </c>
      <c r="C1230" s="6" t="s">
        <v>370</v>
      </c>
      <c r="D1230" s="7" t="s">
        <v>10762</v>
      </c>
      <c r="E1230" s="8" t="str">
        <f t="shared" si="54"/>
        <v>Twitter for Android</v>
      </c>
      <c r="F1230" s="4">
        <v>42795.278923611113</v>
      </c>
      <c r="G1230" s="24" t="s">
        <v>171</v>
      </c>
      <c r="H1230" s="35" t="s">
        <v>372</v>
      </c>
      <c r="I1230" s="10" t="s">
        <v>373</v>
      </c>
    </row>
    <row r="1231" spans="1:9" ht="90">
      <c r="A1231" s="4">
        <v>43561.384351851855</v>
      </c>
      <c r="B1231" s="5" t="str">
        <f t="shared" si="53"/>
        <v>@JoyceGooding3</v>
      </c>
      <c r="C1231" s="6" t="s">
        <v>370</v>
      </c>
      <c r="D1231" s="7" t="s">
        <v>10992</v>
      </c>
      <c r="E1231" s="8" t="str">
        <f t="shared" si="54"/>
        <v>Twitter for Android</v>
      </c>
      <c r="F1231" s="4">
        <v>42795.278923611113</v>
      </c>
      <c r="G1231" s="24" t="s">
        <v>171</v>
      </c>
      <c r="H1231" s="35" t="s">
        <v>372</v>
      </c>
      <c r="I1231" s="10" t="s">
        <v>373</v>
      </c>
    </row>
    <row r="1232" spans="1:9" ht="90">
      <c r="A1232" s="4">
        <v>43561.034490740742</v>
      </c>
      <c r="B1232" s="5" t="str">
        <f t="shared" si="53"/>
        <v>@JoyceGooding3</v>
      </c>
      <c r="C1232" s="6" t="s">
        <v>370</v>
      </c>
      <c r="D1232" s="7" t="s">
        <v>11109</v>
      </c>
      <c r="E1232" s="8" t="str">
        <f t="shared" si="54"/>
        <v>Twitter for Android</v>
      </c>
      <c r="F1232" s="4">
        <v>42795.278923611113</v>
      </c>
      <c r="G1232" s="24" t="s">
        <v>171</v>
      </c>
      <c r="H1232" s="35" t="s">
        <v>372</v>
      </c>
      <c r="I1232" s="10" t="s">
        <v>373</v>
      </c>
    </row>
    <row r="1233" spans="1:9" ht="75">
      <c r="A1233" s="4">
        <v>43560.972974537042</v>
      </c>
      <c r="B1233" s="5" t="str">
        <f t="shared" si="53"/>
        <v>@JoyceGooding3</v>
      </c>
      <c r="C1233" s="6" t="s">
        <v>370</v>
      </c>
      <c r="D1233" s="7" t="s">
        <v>11120</v>
      </c>
      <c r="E1233" s="8" t="str">
        <f t="shared" si="54"/>
        <v>Twitter for Android</v>
      </c>
      <c r="F1233" s="4">
        <v>42795.278923611113</v>
      </c>
      <c r="G1233" s="24" t="s">
        <v>171</v>
      </c>
      <c r="H1233" s="35" t="s">
        <v>372</v>
      </c>
      <c r="I1233" s="10" t="s">
        <v>373</v>
      </c>
    </row>
    <row r="1234" spans="1:9" ht="90">
      <c r="A1234" s="4">
        <v>43560.41407407407</v>
      </c>
      <c r="B1234" s="5" t="str">
        <f t="shared" si="53"/>
        <v>@JoyceGooding3</v>
      </c>
      <c r="C1234" s="6" t="s">
        <v>370</v>
      </c>
      <c r="D1234" s="7" t="s">
        <v>11401</v>
      </c>
      <c r="E1234" s="8" t="str">
        <f t="shared" si="54"/>
        <v>Twitter for Android</v>
      </c>
      <c r="F1234" s="4">
        <v>42795.278923611113</v>
      </c>
      <c r="G1234" s="24" t="s">
        <v>171</v>
      </c>
      <c r="H1234" s="35" t="s">
        <v>372</v>
      </c>
      <c r="I1234" s="10" t="s">
        <v>373</v>
      </c>
    </row>
    <row r="1235" spans="1:9" ht="105">
      <c r="A1235" s="4">
        <v>43560.165358796294</v>
      </c>
      <c r="B1235" s="5" t="str">
        <f t="shared" ref="B1235:B1266" si="55">HYPERLINK("https://twitter.com/JoyceGooding3","@JoyceGooding3")</f>
        <v>@JoyceGooding3</v>
      </c>
      <c r="C1235" s="6" t="s">
        <v>370</v>
      </c>
      <c r="D1235" s="7" t="s">
        <v>11583</v>
      </c>
      <c r="E1235" s="8" t="str">
        <f t="shared" ref="E1235:E1266" si="56">HYPERLINK("http://twitter.com/download/android","Twitter for Android")</f>
        <v>Twitter for Android</v>
      </c>
      <c r="F1235" s="4">
        <v>42795.278923611113</v>
      </c>
      <c r="G1235" s="24" t="s">
        <v>171</v>
      </c>
      <c r="H1235" s="35" t="s">
        <v>372</v>
      </c>
      <c r="I1235" s="10" t="s">
        <v>373</v>
      </c>
    </row>
    <row r="1236" spans="1:9" ht="180">
      <c r="A1236" s="4">
        <v>43560.035937499997</v>
      </c>
      <c r="B1236" s="5" t="str">
        <f t="shared" si="55"/>
        <v>@JoyceGooding3</v>
      </c>
      <c r="C1236" s="6" t="s">
        <v>370</v>
      </c>
      <c r="D1236" s="7" t="s">
        <v>11634</v>
      </c>
      <c r="E1236" s="8" t="str">
        <f t="shared" si="56"/>
        <v>Twitter for Android</v>
      </c>
      <c r="F1236" s="4">
        <v>42795.278923611113</v>
      </c>
      <c r="G1236" s="24" t="s">
        <v>171</v>
      </c>
      <c r="H1236" s="35" t="s">
        <v>372</v>
      </c>
      <c r="I1236" s="10" t="s">
        <v>373</v>
      </c>
    </row>
    <row r="1237" spans="1:9" ht="120">
      <c r="A1237" s="4">
        <v>43558.24695601852</v>
      </c>
      <c r="B1237" s="5" t="str">
        <f t="shared" si="55"/>
        <v>@JoyceGooding3</v>
      </c>
      <c r="C1237" s="6" t="s">
        <v>370</v>
      </c>
      <c r="D1237" s="7" t="s">
        <v>12269</v>
      </c>
      <c r="E1237" s="8" t="str">
        <f t="shared" si="56"/>
        <v>Twitter for Android</v>
      </c>
      <c r="F1237" s="4">
        <v>42795.278923611113</v>
      </c>
      <c r="G1237" s="24" t="s">
        <v>171</v>
      </c>
      <c r="H1237" s="35" t="s">
        <v>372</v>
      </c>
      <c r="I1237" s="10" t="s">
        <v>373</v>
      </c>
    </row>
    <row r="1238" spans="1:9" ht="75">
      <c r="A1238" s="4">
        <v>43558.040914351848</v>
      </c>
      <c r="B1238" s="5" t="str">
        <f t="shared" si="55"/>
        <v>@JoyceGooding3</v>
      </c>
      <c r="C1238" s="6" t="s">
        <v>370</v>
      </c>
      <c r="D1238" s="7" t="s">
        <v>12340</v>
      </c>
      <c r="E1238" s="8" t="str">
        <f t="shared" si="56"/>
        <v>Twitter for Android</v>
      </c>
      <c r="F1238" s="4">
        <v>42795.278923611113</v>
      </c>
      <c r="G1238" s="24" t="s">
        <v>171</v>
      </c>
      <c r="H1238" s="35" t="s">
        <v>372</v>
      </c>
      <c r="I1238" s="10" t="s">
        <v>373</v>
      </c>
    </row>
    <row r="1239" spans="1:9" ht="60">
      <c r="A1239" s="4">
        <v>43557.928252314814</v>
      </c>
      <c r="B1239" s="5" t="str">
        <f t="shared" si="55"/>
        <v>@JoyceGooding3</v>
      </c>
      <c r="C1239" s="6" t="s">
        <v>370</v>
      </c>
      <c r="D1239" s="7" t="s">
        <v>12362</v>
      </c>
      <c r="E1239" s="8" t="str">
        <f t="shared" si="56"/>
        <v>Twitter for Android</v>
      </c>
      <c r="F1239" s="4">
        <v>42795.278923611113</v>
      </c>
      <c r="G1239" s="24" t="s">
        <v>171</v>
      </c>
      <c r="H1239" s="35" t="s">
        <v>372</v>
      </c>
      <c r="I1239" s="10" t="s">
        <v>373</v>
      </c>
    </row>
    <row r="1240" spans="1:9" ht="120">
      <c r="A1240" s="4">
        <v>43557.91810185185</v>
      </c>
      <c r="B1240" s="5" t="str">
        <f t="shared" si="55"/>
        <v>@JoyceGooding3</v>
      </c>
      <c r="C1240" s="6" t="s">
        <v>370</v>
      </c>
      <c r="D1240" s="7" t="s">
        <v>12363</v>
      </c>
      <c r="E1240" s="8" t="str">
        <f t="shared" si="56"/>
        <v>Twitter for Android</v>
      </c>
      <c r="F1240" s="4">
        <v>42795.278923611113</v>
      </c>
      <c r="G1240" s="24" t="s">
        <v>171</v>
      </c>
      <c r="H1240" s="35" t="s">
        <v>372</v>
      </c>
      <c r="I1240" s="10" t="s">
        <v>373</v>
      </c>
    </row>
    <row r="1241" spans="1:9" ht="105">
      <c r="A1241" s="4">
        <v>43557.913275462968</v>
      </c>
      <c r="B1241" s="5" t="str">
        <f t="shared" si="55"/>
        <v>@JoyceGooding3</v>
      </c>
      <c r="C1241" s="6" t="s">
        <v>370</v>
      </c>
      <c r="D1241" s="7" t="s">
        <v>12364</v>
      </c>
      <c r="E1241" s="8" t="str">
        <f t="shared" si="56"/>
        <v>Twitter for Android</v>
      </c>
      <c r="F1241" s="4">
        <v>42795.278923611113</v>
      </c>
      <c r="G1241" s="24" t="s">
        <v>171</v>
      </c>
      <c r="H1241" s="35" t="s">
        <v>372</v>
      </c>
      <c r="I1241" s="10" t="s">
        <v>373</v>
      </c>
    </row>
    <row r="1242" spans="1:9" ht="165">
      <c r="A1242" s="4">
        <v>43557.318148148144</v>
      </c>
      <c r="B1242" s="5" t="str">
        <f t="shared" si="55"/>
        <v>@JoyceGooding3</v>
      </c>
      <c r="C1242" s="6" t="s">
        <v>370</v>
      </c>
      <c r="D1242" s="7" t="s">
        <v>12563</v>
      </c>
      <c r="E1242" s="8" t="str">
        <f t="shared" si="56"/>
        <v>Twitter for Android</v>
      </c>
      <c r="F1242" s="4">
        <v>42795.278923611113</v>
      </c>
      <c r="G1242" s="24" t="s">
        <v>171</v>
      </c>
      <c r="H1242" s="35" t="s">
        <v>372</v>
      </c>
      <c r="I1242" s="10" t="s">
        <v>373</v>
      </c>
    </row>
    <row r="1243" spans="1:9" ht="105">
      <c r="A1243" s="4">
        <v>43557.159351851849</v>
      </c>
      <c r="B1243" s="5" t="str">
        <f t="shared" si="55"/>
        <v>@JoyceGooding3</v>
      </c>
      <c r="C1243" s="6" t="s">
        <v>370</v>
      </c>
      <c r="D1243" s="7" t="s">
        <v>12636</v>
      </c>
      <c r="E1243" s="8" t="str">
        <f t="shared" si="56"/>
        <v>Twitter for Android</v>
      </c>
      <c r="F1243" s="4">
        <v>42795.278923611113</v>
      </c>
      <c r="G1243" s="24" t="s">
        <v>171</v>
      </c>
      <c r="H1243" s="35" t="s">
        <v>372</v>
      </c>
      <c r="I1243" s="10" t="s">
        <v>373</v>
      </c>
    </row>
    <row r="1244" spans="1:9" ht="90">
      <c r="A1244" s="4">
        <v>43557.034432870365</v>
      </c>
      <c r="B1244" s="5" t="str">
        <f t="shared" si="55"/>
        <v>@JoyceGooding3</v>
      </c>
      <c r="C1244" s="6" t="s">
        <v>370</v>
      </c>
      <c r="D1244" s="7" t="s">
        <v>12674</v>
      </c>
      <c r="E1244" s="8" t="str">
        <f t="shared" si="56"/>
        <v>Twitter for Android</v>
      </c>
      <c r="F1244" s="4">
        <v>42795.278923611113</v>
      </c>
      <c r="G1244" s="24" t="s">
        <v>171</v>
      </c>
      <c r="H1244" s="35" t="s">
        <v>372</v>
      </c>
      <c r="I1244" s="10" t="s">
        <v>373</v>
      </c>
    </row>
    <row r="1245" spans="1:9" ht="120">
      <c r="A1245" s="4">
        <v>43556.917164351849</v>
      </c>
      <c r="B1245" s="5" t="str">
        <f t="shared" si="55"/>
        <v>@JoyceGooding3</v>
      </c>
      <c r="C1245" s="6" t="s">
        <v>370</v>
      </c>
      <c r="D1245" s="7" t="s">
        <v>12706</v>
      </c>
      <c r="E1245" s="8" t="str">
        <f t="shared" si="56"/>
        <v>Twitter for Android</v>
      </c>
      <c r="F1245" s="4">
        <v>42795.278923611113</v>
      </c>
      <c r="G1245" s="24" t="s">
        <v>171</v>
      </c>
      <c r="H1245" s="35" t="s">
        <v>372</v>
      </c>
      <c r="I1245" s="10" t="s">
        <v>373</v>
      </c>
    </row>
    <row r="1246" spans="1:9" ht="150">
      <c r="A1246" s="12">
        <v>43579.976770833338</v>
      </c>
      <c r="B1246" s="13" t="str">
        <f t="shared" si="55"/>
        <v>@JoyceGooding3</v>
      </c>
      <c r="C1246" s="14" t="s">
        <v>370</v>
      </c>
      <c r="D1246" s="15" t="s">
        <v>371</v>
      </c>
      <c r="E1246" s="16" t="str">
        <f t="shared" si="56"/>
        <v>Twitter for Android</v>
      </c>
      <c r="F1246" s="12">
        <v>42795.278923611113</v>
      </c>
      <c r="G1246" s="24" t="s">
        <v>171</v>
      </c>
      <c r="H1246" s="35" t="s">
        <v>372</v>
      </c>
      <c r="I1246" s="18" t="s">
        <v>373</v>
      </c>
    </row>
    <row r="1247" spans="1:9" ht="135">
      <c r="A1247" s="12">
        <v>43579.376886574071</v>
      </c>
      <c r="B1247" s="13" t="str">
        <f t="shared" si="55"/>
        <v>@JoyceGooding3</v>
      </c>
      <c r="C1247" s="14" t="s">
        <v>370</v>
      </c>
      <c r="D1247" s="15" t="s">
        <v>717</v>
      </c>
      <c r="E1247" s="16" t="str">
        <f t="shared" si="56"/>
        <v>Twitter for Android</v>
      </c>
      <c r="F1247" s="12">
        <v>42795.278923611113</v>
      </c>
      <c r="G1247" s="24" t="s">
        <v>171</v>
      </c>
      <c r="H1247" s="35" t="s">
        <v>372</v>
      </c>
      <c r="I1247" s="18" t="s">
        <v>373</v>
      </c>
    </row>
    <row r="1248" spans="1:9" ht="165">
      <c r="A1248" s="12">
        <v>43578.538877314815</v>
      </c>
      <c r="B1248" s="13" t="str">
        <f t="shared" si="55"/>
        <v>@JoyceGooding3</v>
      </c>
      <c r="C1248" s="14" t="s">
        <v>370</v>
      </c>
      <c r="D1248" s="15" t="s">
        <v>1155</v>
      </c>
      <c r="E1248" s="16" t="str">
        <f t="shared" si="56"/>
        <v>Twitter for Android</v>
      </c>
      <c r="F1248" s="12">
        <v>42795.278923611113</v>
      </c>
      <c r="G1248" s="24" t="s">
        <v>171</v>
      </c>
      <c r="H1248" s="35" t="s">
        <v>372</v>
      </c>
      <c r="I1248" s="18" t="s">
        <v>373</v>
      </c>
    </row>
    <row r="1249" spans="1:9" ht="150">
      <c r="A1249" s="12">
        <v>43577.69630787037</v>
      </c>
      <c r="B1249" s="13" t="str">
        <f t="shared" si="55"/>
        <v>@JoyceGooding3</v>
      </c>
      <c r="C1249" s="14" t="s">
        <v>370</v>
      </c>
      <c r="D1249" s="15" t="s">
        <v>1519</v>
      </c>
      <c r="E1249" s="16" t="str">
        <f t="shared" si="56"/>
        <v>Twitter for Android</v>
      </c>
      <c r="F1249" s="12">
        <v>42795.278923611113</v>
      </c>
      <c r="G1249" s="24" t="s">
        <v>171</v>
      </c>
      <c r="H1249" s="35" t="s">
        <v>372</v>
      </c>
      <c r="I1249" s="18" t="s">
        <v>373</v>
      </c>
    </row>
    <row r="1250" spans="1:9" ht="180">
      <c r="A1250" s="12">
        <v>43577.230879629627</v>
      </c>
      <c r="B1250" s="13" t="str">
        <f t="shared" si="55"/>
        <v>@JoyceGooding3</v>
      </c>
      <c r="C1250" s="14" t="s">
        <v>370</v>
      </c>
      <c r="D1250" s="15" t="s">
        <v>1698</v>
      </c>
      <c r="E1250" s="16" t="str">
        <f t="shared" si="56"/>
        <v>Twitter for Android</v>
      </c>
      <c r="F1250" s="12">
        <v>42795.278923611113</v>
      </c>
      <c r="G1250" s="24" t="s">
        <v>171</v>
      </c>
      <c r="H1250" s="35" t="s">
        <v>372</v>
      </c>
      <c r="I1250" s="18" t="s">
        <v>373</v>
      </c>
    </row>
    <row r="1251" spans="1:9" ht="120">
      <c r="A1251" s="12">
        <v>43576.987118055556</v>
      </c>
      <c r="B1251" s="13" t="str">
        <f t="shared" si="55"/>
        <v>@JoyceGooding3</v>
      </c>
      <c r="C1251" s="14" t="s">
        <v>370</v>
      </c>
      <c r="D1251" s="15" t="s">
        <v>1787</v>
      </c>
      <c r="E1251" s="16" t="str">
        <f t="shared" si="56"/>
        <v>Twitter for Android</v>
      </c>
      <c r="F1251" s="12">
        <v>42795.278923611113</v>
      </c>
      <c r="G1251" s="24" t="s">
        <v>171</v>
      </c>
      <c r="H1251" s="35" t="s">
        <v>372</v>
      </c>
      <c r="I1251" s="18" t="s">
        <v>373</v>
      </c>
    </row>
    <row r="1252" spans="1:9" ht="165">
      <c r="A1252" s="12">
        <v>43576.468182870369</v>
      </c>
      <c r="B1252" s="13" t="str">
        <f t="shared" si="55"/>
        <v>@JoyceGooding3</v>
      </c>
      <c r="C1252" s="14" t="s">
        <v>370</v>
      </c>
      <c r="D1252" s="15" t="s">
        <v>1935</v>
      </c>
      <c r="E1252" s="16" t="str">
        <f t="shared" si="56"/>
        <v>Twitter for Android</v>
      </c>
      <c r="F1252" s="12">
        <v>42795.278923611113</v>
      </c>
      <c r="G1252" s="24" t="s">
        <v>171</v>
      </c>
      <c r="H1252" s="35" t="s">
        <v>372</v>
      </c>
      <c r="I1252" s="18" t="s">
        <v>373</v>
      </c>
    </row>
    <row r="1253" spans="1:9" ht="165">
      <c r="A1253" s="12">
        <v>43575.520543981482</v>
      </c>
      <c r="B1253" s="13" t="str">
        <f t="shared" si="55"/>
        <v>@JoyceGooding3</v>
      </c>
      <c r="C1253" s="14" t="s">
        <v>370</v>
      </c>
      <c r="D1253" s="15" t="s">
        <v>2172</v>
      </c>
      <c r="E1253" s="16" t="str">
        <f t="shared" si="56"/>
        <v>Twitter for Android</v>
      </c>
      <c r="F1253" s="12">
        <v>42795.278923611113</v>
      </c>
      <c r="G1253" s="24" t="s">
        <v>171</v>
      </c>
      <c r="H1253" s="35" t="s">
        <v>372</v>
      </c>
      <c r="I1253" s="18" t="s">
        <v>373</v>
      </c>
    </row>
    <row r="1254" spans="1:9" ht="180">
      <c r="A1254" s="12">
        <v>43575.517453703702</v>
      </c>
      <c r="B1254" s="13" t="str">
        <f t="shared" si="55"/>
        <v>@JoyceGooding3</v>
      </c>
      <c r="C1254" s="14" t="s">
        <v>370</v>
      </c>
      <c r="D1254" s="15" t="s">
        <v>2173</v>
      </c>
      <c r="E1254" s="16" t="str">
        <f t="shared" si="56"/>
        <v>Twitter for Android</v>
      </c>
      <c r="F1254" s="12">
        <v>42795.278923611113</v>
      </c>
      <c r="G1254" s="24" t="s">
        <v>171</v>
      </c>
      <c r="H1254" s="35" t="s">
        <v>372</v>
      </c>
      <c r="I1254" s="18" t="s">
        <v>373</v>
      </c>
    </row>
    <row r="1255" spans="1:9" ht="105">
      <c r="A1255" s="12">
        <v>43574.719502314816</v>
      </c>
      <c r="B1255" s="13" t="str">
        <f t="shared" si="55"/>
        <v>@JoyceGooding3</v>
      </c>
      <c r="C1255" s="14" t="s">
        <v>370</v>
      </c>
      <c r="D1255" s="15" t="s">
        <v>2473</v>
      </c>
      <c r="E1255" s="16" t="str">
        <f t="shared" si="56"/>
        <v>Twitter for Android</v>
      </c>
      <c r="F1255" s="12">
        <v>42795.278923611113</v>
      </c>
      <c r="G1255" s="24" t="s">
        <v>171</v>
      </c>
      <c r="H1255" s="35" t="s">
        <v>372</v>
      </c>
      <c r="I1255" s="18" t="s">
        <v>373</v>
      </c>
    </row>
    <row r="1256" spans="1:9" ht="75">
      <c r="A1256" s="12">
        <v>43573.975856481484</v>
      </c>
      <c r="B1256" s="13" t="str">
        <f t="shared" si="55"/>
        <v>@JoyceGooding3</v>
      </c>
      <c r="C1256" s="14" t="s">
        <v>370</v>
      </c>
      <c r="D1256" s="15" t="s">
        <v>2698</v>
      </c>
      <c r="E1256" s="16" t="str">
        <f t="shared" si="56"/>
        <v>Twitter for Android</v>
      </c>
      <c r="F1256" s="12">
        <v>42795.278923611113</v>
      </c>
      <c r="G1256" s="24" t="s">
        <v>171</v>
      </c>
      <c r="H1256" s="35" t="s">
        <v>372</v>
      </c>
      <c r="I1256" s="18" t="s">
        <v>373</v>
      </c>
    </row>
    <row r="1257" spans="1:9" ht="90">
      <c r="A1257" s="12">
        <v>43573.616701388892</v>
      </c>
      <c r="B1257" s="13" t="str">
        <f t="shared" si="55"/>
        <v>@JoyceGooding3</v>
      </c>
      <c r="C1257" s="14" t="s">
        <v>370</v>
      </c>
      <c r="D1257" s="15" t="s">
        <v>2808</v>
      </c>
      <c r="E1257" s="16" t="str">
        <f t="shared" si="56"/>
        <v>Twitter for Android</v>
      </c>
      <c r="F1257" s="12">
        <v>42795.278923611113</v>
      </c>
      <c r="G1257" s="24" t="s">
        <v>171</v>
      </c>
      <c r="H1257" s="35" t="s">
        <v>372</v>
      </c>
      <c r="I1257" s="18" t="s">
        <v>373</v>
      </c>
    </row>
    <row r="1258" spans="1:9" ht="105">
      <c r="A1258" s="12">
        <v>43572.39875</v>
      </c>
      <c r="B1258" s="13" t="str">
        <f t="shared" si="55"/>
        <v>@JoyceGooding3</v>
      </c>
      <c r="C1258" s="14" t="s">
        <v>370</v>
      </c>
      <c r="D1258" s="15" t="s">
        <v>3269</v>
      </c>
      <c r="E1258" s="16" t="str">
        <f t="shared" si="56"/>
        <v>Twitter for Android</v>
      </c>
      <c r="F1258" s="12">
        <v>42795.278923611113</v>
      </c>
      <c r="G1258" s="24" t="s">
        <v>171</v>
      </c>
      <c r="H1258" s="35" t="s">
        <v>372</v>
      </c>
      <c r="I1258" s="18" t="s">
        <v>373</v>
      </c>
    </row>
    <row r="1259" spans="1:9" ht="90">
      <c r="A1259" s="12">
        <v>43572.197916666672</v>
      </c>
      <c r="B1259" s="13" t="str">
        <f t="shared" si="55"/>
        <v>@JoyceGooding3</v>
      </c>
      <c r="C1259" s="14" t="s">
        <v>370</v>
      </c>
      <c r="D1259" s="15" t="s">
        <v>3378</v>
      </c>
      <c r="E1259" s="16" t="str">
        <f t="shared" si="56"/>
        <v>Twitter for Android</v>
      </c>
      <c r="F1259" s="12">
        <v>42795.278923611113</v>
      </c>
      <c r="G1259" s="24" t="s">
        <v>171</v>
      </c>
      <c r="H1259" s="35" t="s">
        <v>372</v>
      </c>
      <c r="I1259" s="18" t="s">
        <v>373</v>
      </c>
    </row>
    <row r="1260" spans="1:9" ht="75">
      <c r="A1260" s="12">
        <v>43571.760624999995</v>
      </c>
      <c r="B1260" s="13" t="str">
        <f t="shared" si="55"/>
        <v>@JoyceGooding3</v>
      </c>
      <c r="C1260" s="14" t="s">
        <v>370</v>
      </c>
      <c r="D1260" s="15" t="s">
        <v>3558</v>
      </c>
      <c r="E1260" s="16" t="str">
        <f t="shared" si="56"/>
        <v>Twitter for Android</v>
      </c>
      <c r="F1260" s="12">
        <v>42795.278923611113</v>
      </c>
      <c r="G1260" s="24" t="s">
        <v>171</v>
      </c>
      <c r="H1260" s="35" t="s">
        <v>372</v>
      </c>
      <c r="I1260" s="18" t="s">
        <v>373</v>
      </c>
    </row>
    <row r="1261" spans="1:9" ht="120">
      <c r="A1261" s="12">
        <v>43571.398043981477</v>
      </c>
      <c r="B1261" s="13" t="str">
        <f t="shared" si="55"/>
        <v>@JoyceGooding3</v>
      </c>
      <c r="C1261" s="14" t="s">
        <v>370</v>
      </c>
      <c r="D1261" s="15" t="s">
        <v>3686</v>
      </c>
      <c r="E1261" s="16" t="str">
        <f t="shared" si="56"/>
        <v>Twitter for Android</v>
      </c>
      <c r="F1261" s="12">
        <v>42795.278923611113</v>
      </c>
      <c r="G1261" s="24" t="s">
        <v>171</v>
      </c>
      <c r="H1261" s="35" t="s">
        <v>372</v>
      </c>
      <c r="I1261" s="18" t="s">
        <v>373</v>
      </c>
    </row>
    <row r="1262" spans="1:9" ht="75">
      <c r="A1262" s="12">
        <v>43571.120046296295</v>
      </c>
      <c r="B1262" s="13" t="str">
        <f t="shared" si="55"/>
        <v>@JoyceGooding3</v>
      </c>
      <c r="C1262" s="14" t="s">
        <v>370</v>
      </c>
      <c r="D1262" s="15" t="s">
        <v>3843</v>
      </c>
      <c r="E1262" s="16" t="str">
        <f t="shared" si="56"/>
        <v>Twitter for Android</v>
      </c>
      <c r="F1262" s="12">
        <v>42795.278923611113</v>
      </c>
      <c r="G1262" s="24" t="s">
        <v>171</v>
      </c>
      <c r="H1262" s="35" t="s">
        <v>372</v>
      </c>
      <c r="I1262" s="18" t="s">
        <v>373</v>
      </c>
    </row>
    <row r="1263" spans="1:9" ht="195">
      <c r="A1263" s="12">
        <v>43570.980266203704</v>
      </c>
      <c r="B1263" s="13" t="str">
        <f t="shared" si="55"/>
        <v>@JoyceGooding3</v>
      </c>
      <c r="C1263" s="14" t="s">
        <v>370</v>
      </c>
      <c r="D1263" s="15" t="s">
        <v>3911</v>
      </c>
      <c r="E1263" s="16" t="str">
        <f t="shared" si="56"/>
        <v>Twitter for Android</v>
      </c>
      <c r="F1263" s="12">
        <v>42795.278923611113</v>
      </c>
      <c r="G1263" s="24" t="s">
        <v>171</v>
      </c>
      <c r="H1263" s="35" t="s">
        <v>372</v>
      </c>
      <c r="I1263" s="18" t="s">
        <v>373</v>
      </c>
    </row>
    <row r="1264" spans="1:9" ht="150">
      <c r="A1264" s="12">
        <v>43570.782187500001</v>
      </c>
      <c r="B1264" s="13" t="str">
        <f t="shared" si="55"/>
        <v>@JoyceGooding3</v>
      </c>
      <c r="C1264" s="14" t="s">
        <v>370</v>
      </c>
      <c r="D1264" s="15" t="s">
        <v>3978</v>
      </c>
      <c r="E1264" s="16" t="str">
        <f t="shared" si="56"/>
        <v>Twitter for Android</v>
      </c>
      <c r="F1264" s="12">
        <v>42795.278923611113</v>
      </c>
      <c r="G1264" s="24" t="s">
        <v>171</v>
      </c>
      <c r="H1264" s="35" t="s">
        <v>372</v>
      </c>
      <c r="I1264" s="18" t="s">
        <v>373</v>
      </c>
    </row>
    <row r="1265" spans="1:9" ht="150">
      <c r="A1265" s="12">
        <v>43570.409699074073</v>
      </c>
      <c r="B1265" s="13" t="str">
        <f t="shared" si="55"/>
        <v>@JoyceGooding3</v>
      </c>
      <c r="C1265" s="14" t="s">
        <v>370</v>
      </c>
      <c r="D1265" s="15" t="s">
        <v>4173</v>
      </c>
      <c r="E1265" s="16" t="str">
        <f t="shared" si="56"/>
        <v>Twitter for Android</v>
      </c>
      <c r="F1265" s="12">
        <v>42795.278923611113</v>
      </c>
      <c r="G1265" s="24" t="s">
        <v>171</v>
      </c>
      <c r="H1265" s="35" t="s">
        <v>372</v>
      </c>
      <c r="I1265" s="18" t="s">
        <v>373</v>
      </c>
    </row>
    <row r="1266" spans="1:9" ht="165">
      <c r="A1266" s="12">
        <v>43569.730740740742</v>
      </c>
      <c r="B1266" s="13" t="str">
        <f t="shared" si="55"/>
        <v>@JoyceGooding3</v>
      </c>
      <c r="C1266" s="14" t="s">
        <v>370</v>
      </c>
      <c r="D1266" s="15" t="s">
        <v>4422</v>
      </c>
      <c r="E1266" s="16" t="str">
        <f t="shared" si="56"/>
        <v>Twitter for Android</v>
      </c>
      <c r="F1266" s="12">
        <v>42795.278923611113</v>
      </c>
      <c r="G1266" s="24" t="s">
        <v>171</v>
      </c>
      <c r="H1266" s="35" t="s">
        <v>372</v>
      </c>
      <c r="I1266" s="18" t="s">
        <v>373</v>
      </c>
    </row>
    <row r="1267" spans="1:9" ht="120">
      <c r="A1267" s="12">
        <v>43568.034050925926</v>
      </c>
      <c r="B1267" s="13" t="str">
        <f t="shared" ref="B1267:B1274" si="57">HYPERLINK("https://twitter.com/JoyceGooding3","@JoyceGooding3")</f>
        <v>@JoyceGooding3</v>
      </c>
      <c r="C1267" s="14" t="s">
        <v>370</v>
      </c>
      <c r="D1267" s="15" t="s">
        <v>4894</v>
      </c>
      <c r="E1267" s="16" t="str">
        <f t="shared" ref="E1267:E1274" si="58">HYPERLINK("http://twitter.com/download/android","Twitter for Android")</f>
        <v>Twitter for Android</v>
      </c>
      <c r="F1267" s="12">
        <v>42795.278923611113</v>
      </c>
      <c r="G1267" s="24" t="s">
        <v>171</v>
      </c>
      <c r="H1267" s="35" t="s">
        <v>372</v>
      </c>
      <c r="I1267" s="18" t="s">
        <v>373</v>
      </c>
    </row>
    <row r="1268" spans="1:9" ht="150">
      <c r="A1268" s="12">
        <v>43568.016851851848</v>
      </c>
      <c r="B1268" s="13" t="str">
        <f t="shared" si="57"/>
        <v>@JoyceGooding3</v>
      </c>
      <c r="C1268" s="14" t="s">
        <v>370</v>
      </c>
      <c r="D1268" s="15" t="s">
        <v>4899</v>
      </c>
      <c r="E1268" s="16" t="str">
        <f t="shared" si="58"/>
        <v>Twitter for Android</v>
      </c>
      <c r="F1268" s="12">
        <v>42795.278923611113</v>
      </c>
      <c r="G1268" s="24" t="s">
        <v>171</v>
      </c>
      <c r="H1268" s="35" t="s">
        <v>372</v>
      </c>
      <c r="I1268" s="18" t="s">
        <v>373</v>
      </c>
    </row>
    <row r="1269" spans="1:9" ht="75">
      <c r="A1269" s="12">
        <v>43568.015300925923</v>
      </c>
      <c r="B1269" s="13" t="str">
        <f t="shared" si="57"/>
        <v>@JoyceGooding3</v>
      </c>
      <c r="C1269" s="14" t="s">
        <v>370</v>
      </c>
      <c r="D1269" s="15" t="s">
        <v>4900</v>
      </c>
      <c r="E1269" s="16" t="str">
        <f t="shared" si="58"/>
        <v>Twitter for Android</v>
      </c>
      <c r="F1269" s="12">
        <v>42795.278923611113</v>
      </c>
      <c r="G1269" s="24" t="s">
        <v>171</v>
      </c>
      <c r="H1269" s="35" t="s">
        <v>372</v>
      </c>
      <c r="I1269" s="18" t="s">
        <v>373</v>
      </c>
    </row>
    <row r="1270" spans="1:9" ht="120">
      <c r="A1270" s="12">
        <v>43566.810115740736</v>
      </c>
      <c r="B1270" s="13" t="str">
        <f t="shared" si="57"/>
        <v>@JoyceGooding3</v>
      </c>
      <c r="C1270" s="14" t="s">
        <v>370</v>
      </c>
      <c r="D1270" s="15" t="s">
        <v>5338</v>
      </c>
      <c r="E1270" s="16" t="str">
        <f t="shared" si="58"/>
        <v>Twitter for Android</v>
      </c>
      <c r="F1270" s="12">
        <v>42795.278923611113</v>
      </c>
      <c r="G1270" s="24" t="s">
        <v>171</v>
      </c>
      <c r="H1270" s="35" t="s">
        <v>372</v>
      </c>
      <c r="I1270" s="18" t="s">
        <v>373</v>
      </c>
    </row>
    <row r="1271" spans="1:9" ht="60">
      <c r="A1271" s="12">
        <v>43566.808530092589</v>
      </c>
      <c r="B1271" s="13" t="str">
        <f t="shared" si="57"/>
        <v>@JoyceGooding3</v>
      </c>
      <c r="C1271" s="14" t="s">
        <v>370</v>
      </c>
      <c r="D1271" s="15" t="s">
        <v>5339</v>
      </c>
      <c r="E1271" s="16" t="str">
        <f t="shared" si="58"/>
        <v>Twitter for Android</v>
      </c>
      <c r="F1271" s="12">
        <v>42795.278923611113</v>
      </c>
      <c r="G1271" s="24" t="s">
        <v>171</v>
      </c>
      <c r="H1271" s="35" t="s">
        <v>372</v>
      </c>
      <c r="I1271" s="18" t="s">
        <v>373</v>
      </c>
    </row>
    <row r="1272" spans="1:9" ht="105">
      <c r="A1272" s="12">
        <v>43566.620162037041</v>
      </c>
      <c r="B1272" s="13" t="str">
        <f t="shared" si="57"/>
        <v>@JoyceGooding3</v>
      </c>
      <c r="C1272" s="14" t="s">
        <v>370</v>
      </c>
      <c r="D1272" s="15" t="s">
        <v>5395</v>
      </c>
      <c r="E1272" s="16" t="str">
        <f t="shared" si="58"/>
        <v>Twitter for Android</v>
      </c>
      <c r="F1272" s="12">
        <v>42795.278923611113</v>
      </c>
      <c r="G1272" s="24" t="s">
        <v>171</v>
      </c>
      <c r="H1272" s="35" t="s">
        <v>372</v>
      </c>
      <c r="I1272" s="18" t="s">
        <v>373</v>
      </c>
    </row>
    <row r="1273" spans="1:9" ht="105">
      <c r="A1273" s="12">
        <v>43566.030659722222</v>
      </c>
      <c r="B1273" s="13" t="str">
        <f t="shared" si="57"/>
        <v>@JoyceGooding3</v>
      </c>
      <c r="C1273" s="14" t="s">
        <v>370</v>
      </c>
      <c r="D1273" s="15" t="s">
        <v>5814</v>
      </c>
      <c r="E1273" s="16" t="str">
        <f t="shared" si="58"/>
        <v>Twitter for Android</v>
      </c>
      <c r="F1273" s="12">
        <v>42795.278923611113</v>
      </c>
      <c r="G1273" s="24" t="s">
        <v>171</v>
      </c>
      <c r="H1273" s="35" t="s">
        <v>372</v>
      </c>
      <c r="I1273" s="18" t="s">
        <v>373</v>
      </c>
    </row>
    <row r="1274" spans="1:9" ht="90">
      <c r="A1274" s="12">
        <v>43565.850983796292</v>
      </c>
      <c r="B1274" s="13" t="str">
        <f t="shared" si="57"/>
        <v>@JoyceGooding3</v>
      </c>
      <c r="C1274" s="14" t="s">
        <v>370</v>
      </c>
      <c r="D1274" s="15" t="s">
        <v>5876</v>
      </c>
      <c r="E1274" s="16" t="str">
        <f t="shared" si="58"/>
        <v>Twitter for Android</v>
      </c>
      <c r="F1274" s="12">
        <v>42795.278923611113</v>
      </c>
      <c r="G1274" s="24" t="s">
        <v>171</v>
      </c>
      <c r="H1274" s="35" t="s">
        <v>372</v>
      </c>
      <c r="I1274" s="18" t="s">
        <v>373</v>
      </c>
    </row>
    <row r="1275" spans="1:9" ht="75">
      <c r="A1275" s="4">
        <v>43563.427951388891</v>
      </c>
      <c r="B1275" s="5" t="str">
        <f t="shared" ref="B1275:B1280" si="59">HYPERLINK("https://twitter.com/OldRollerShed","@OldRollerShed")</f>
        <v>@OldRollerShed</v>
      </c>
      <c r="C1275" s="6" t="s">
        <v>5254</v>
      </c>
      <c r="D1275" s="7" t="s">
        <v>10292</v>
      </c>
      <c r="E1275" s="8" t="str">
        <f>HYPERLINK("http://instagram.com","Instagram")</f>
        <v>Instagram</v>
      </c>
      <c r="F1275" s="4">
        <v>42310.39775462963</v>
      </c>
      <c r="G1275" s="9" t="s">
        <v>171</v>
      </c>
      <c r="H1275" s="35" t="s">
        <v>5256</v>
      </c>
      <c r="I1275" s="10" t="s">
        <v>5257</v>
      </c>
    </row>
    <row r="1276" spans="1:9" ht="75">
      <c r="A1276" s="4">
        <v>43563.024201388893</v>
      </c>
      <c r="B1276" s="5" t="str">
        <f t="shared" si="59"/>
        <v>@OldRollerShed</v>
      </c>
      <c r="C1276" s="6" t="s">
        <v>5254</v>
      </c>
      <c r="D1276" s="7" t="s">
        <v>10501</v>
      </c>
      <c r="E1276" s="8" t="str">
        <f>HYPERLINK("http://twitter.com/download/iphone","Twitter for iPhone")</f>
        <v>Twitter for iPhone</v>
      </c>
      <c r="F1276" s="4">
        <v>42310.39775462963</v>
      </c>
      <c r="G1276" s="9" t="s">
        <v>171</v>
      </c>
      <c r="H1276" s="35" t="s">
        <v>5256</v>
      </c>
      <c r="I1276" s="10" t="s">
        <v>5257</v>
      </c>
    </row>
    <row r="1277" spans="1:9" ht="60">
      <c r="A1277" s="4">
        <v>43559.502199074079</v>
      </c>
      <c r="B1277" s="5" t="str">
        <f t="shared" si="59"/>
        <v>@OldRollerShed</v>
      </c>
      <c r="C1277" s="6" t="s">
        <v>5254</v>
      </c>
      <c r="D1277" s="7" t="s">
        <v>11788</v>
      </c>
      <c r="E1277" s="8" t="str">
        <f>HYPERLINK("http://instagram.com","Instagram")</f>
        <v>Instagram</v>
      </c>
      <c r="F1277" s="4">
        <v>42310.39775462963</v>
      </c>
      <c r="G1277" s="9" t="s">
        <v>171</v>
      </c>
      <c r="H1277" s="35" t="s">
        <v>5256</v>
      </c>
      <c r="I1277" s="10" t="s">
        <v>5257</v>
      </c>
    </row>
    <row r="1278" spans="1:9" ht="75">
      <c r="A1278" s="4">
        <v>43559.045092592598</v>
      </c>
      <c r="B1278" s="5" t="str">
        <f t="shared" si="59"/>
        <v>@OldRollerShed</v>
      </c>
      <c r="C1278" s="6" t="s">
        <v>5254</v>
      </c>
      <c r="D1278" s="7" t="s">
        <v>11960</v>
      </c>
      <c r="E1278" s="8" t="str">
        <f>HYPERLINK("http://instagram.com","Instagram")</f>
        <v>Instagram</v>
      </c>
      <c r="F1278" s="4">
        <v>42310.39775462963</v>
      </c>
      <c r="G1278" s="9" t="s">
        <v>171</v>
      </c>
      <c r="H1278" s="35" t="s">
        <v>5256</v>
      </c>
      <c r="I1278" s="10" t="s">
        <v>5257</v>
      </c>
    </row>
    <row r="1279" spans="1:9" ht="60">
      <c r="A1279" s="4">
        <v>43557.100937499999</v>
      </c>
      <c r="B1279" s="5" t="str">
        <f t="shared" si="59"/>
        <v>@OldRollerShed</v>
      </c>
      <c r="C1279" s="6" t="s">
        <v>5254</v>
      </c>
      <c r="D1279" s="7" t="s">
        <v>12653</v>
      </c>
      <c r="E1279" s="8" t="str">
        <f>HYPERLINK("http://twitter.com/download/iphone","Twitter for iPhone")</f>
        <v>Twitter for iPhone</v>
      </c>
      <c r="F1279" s="4">
        <v>42310.39775462963</v>
      </c>
      <c r="G1279" s="9" t="s">
        <v>171</v>
      </c>
      <c r="H1279" s="35" t="s">
        <v>5256</v>
      </c>
      <c r="I1279" s="10" t="s">
        <v>5257</v>
      </c>
    </row>
    <row r="1280" spans="1:9" ht="75">
      <c r="A1280" s="12">
        <v>43567.062824074077</v>
      </c>
      <c r="B1280" s="13" t="str">
        <f t="shared" si="59"/>
        <v>@OldRollerShed</v>
      </c>
      <c r="C1280" s="14" t="s">
        <v>5254</v>
      </c>
      <c r="D1280" s="15" t="s">
        <v>5255</v>
      </c>
      <c r="E1280" s="16" t="str">
        <f>HYPERLINK("http://instagram.com","Instagram")</f>
        <v>Instagram</v>
      </c>
      <c r="F1280" s="12">
        <v>42310.39775462963</v>
      </c>
      <c r="G1280" s="9" t="s">
        <v>171</v>
      </c>
      <c r="H1280" s="35" t="s">
        <v>5256</v>
      </c>
      <c r="I1280" s="18" t="s">
        <v>5257</v>
      </c>
    </row>
    <row r="1281" spans="1:9" ht="105">
      <c r="A1281" s="19">
        <v>43548.246458333335</v>
      </c>
      <c r="B1281" s="20" t="str">
        <f>HYPERLINK("https://twitter.com/Villino_Cortona","@Villino_Cortona")</f>
        <v>@Villino_Cortona</v>
      </c>
      <c r="C1281" s="21" t="s">
        <v>8372</v>
      </c>
      <c r="D1281" s="22" t="s">
        <v>8373</v>
      </c>
      <c r="E1281" s="23" t="str">
        <f>HYPERLINK("http://twitter.com/download/android","Twitter for Android")</f>
        <v>Twitter for Android</v>
      </c>
      <c r="F1281" s="19">
        <v>42107.403078703705</v>
      </c>
      <c r="G1281" s="9" t="s">
        <v>171</v>
      </c>
      <c r="H1281" s="35" t="s">
        <v>8374</v>
      </c>
      <c r="I1281" s="25" t="s">
        <v>8375</v>
      </c>
    </row>
    <row r="1282" spans="1:9" ht="120">
      <c r="A1282" s="19">
        <v>43548.245949074073</v>
      </c>
      <c r="B1282" s="20" t="str">
        <f>HYPERLINK("https://twitter.com/Villino_Cortona","@Villino_Cortona")</f>
        <v>@Villino_Cortona</v>
      </c>
      <c r="C1282" s="21" t="s">
        <v>8372</v>
      </c>
      <c r="D1282" s="22" t="s">
        <v>8376</v>
      </c>
      <c r="E1282" s="23" t="str">
        <f>HYPERLINK("http://twitter.com/download/android","Twitter for Android")</f>
        <v>Twitter for Android</v>
      </c>
      <c r="F1282" s="19">
        <v>42107.403078703705</v>
      </c>
      <c r="G1282" s="9" t="s">
        <v>171</v>
      </c>
      <c r="H1282" s="35" t="s">
        <v>8374</v>
      </c>
      <c r="I1282" s="25" t="s">
        <v>8375</v>
      </c>
    </row>
    <row r="1283" spans="1:9" ht="105">
      <c r="A1283" s="19">
        <v>43548.24490740741</v>
      </c>
      <c r="B1283" s="20" t="str">
        <f>HYPERLINK("https://twitter.com/Villino_Cortona","@Villino_Cortona")</f>
        <v>@Villino_Cortona</v>
      </c>
      <c r="C1283" s="21" t="s">
        <v>8372</v>
      </c>
      <c r="D1283" s="22" t="s">
        <v>8377</v>
      </c>
      <c r="E1283" s="23" t="str">
        <f>HYPERLINK("http://twitter.com/download/android","Twitter for Android")</f>
        <v>Twitter for Android</v>
      </c>
      <c r="F1283" s="19">
        <v>42107.403078703705</v>
      </c>
      <c r="G1283" s="9" t="s">
        <v>171</v>
      </c>
      <c r="H1283" s="35" t="s">
        <v>8374</v>
      </c>
      <c r="I1283" s="25" t="s">
        <v>8375</v>
      </c>
    </row>
    <row r="1284" spans="1:9" ht="75">
      <c r="A1284" s="12">
        <v>43573.049212962964</v>
      </c>
      <c r="B1284" s="13" t="str">
        <f>HYPERLINK("https://twitter.com/altiplans","@altiplans")</f>
        <v>@altiplans</v>
      </c>
      <c r="C1284" s="14" t="s">
        <v>3016</v>
      </c>
      <c r="D1284" s="15" t="s">
        <v>3017</v>
      </c>
      <c r="E1284" s="16" t="str">
        <f>HYPERLINK("http://twitter.com/download/iphone","Twitter for iPhone")</f>
        <v>Twitter for iPhone</v>
      </c>
      <c r="F1284" s="12">
        <v>43451.526585648149</v>
      </c>
      <c r="G1284" s="9" t="s">
        <v>171</v>
      </c>
      <c r="H1284" s="35" t="s">
        <v>3018</v>
      </c>
      <c r="I1284" s="18" t="s">
        <v>3019</v>
      </c>
    </row>
    <row r="1285" spans="1:9" ht="75">
      <c r="A1285" s="12">
        <v>43574.599189814813</v>
      </c>
      <c r="B1285" s="13" t="str">
        <f>HYPERLINK("https://twitter.com/cavantvsport","@cavantvsport")</f>
        <v>@cavantvsport</v>
      </c>
      <c r="C1285" s="14" t="s">
        <v>2499</v>
      </c>
      <c r="D1285" s="15" t="s">
        <v>2500</v>
      </c>
      <c r="E1285" s="16" t="str">
        <f>HYPERLINK("http://instagram.com","Instagram")</f>
        <v>Instagram</v>
      </c>
      <c r="F1285" s="12">
        <v>40193.525023148148</v>
      </c>
      <c r="G1285" s="9" t="s">
        <v>171</v>
      </c>
      <c r="H1285" s="35" t="s">
        <v>2501</v>
      </c>
      <c r="I1285" s="18" t="s">
        <v>2502</v>
      </c>
    </row>
    <row r="1286" spans="1:9" ht="45">
      <c r="A1286" s="4">
        <v>43560.987395833334</v>
      </c>
      <c r="B1286" s="5" t="str">
        <f>HYPERLINK("https://twitter.com/ta_community","@ta_community")</f>
        <v>@ta_community</v>
      </c>
      <c r="C1286" s="6" t="s">
        <v>11112</v>
      </c>
      <c r="D1286" s="7" t="s">
        <v>11113</v>
      </c>
      <c r="E1286" s="8" t="str">
        <f>HYPERLINK("http://twitter.com/download/iphone","Twitter for iPhone")</f>
        <v>Twitter for iPhone</v>
      </c>
      <c r="F1286" s="4">
        <v>40355.412418981483</v>
      </c>
      <c r="G1286" s="9" t="s">
        <v>171</v>
      </c>
      <c r="H1286" s="35" t="s">
        <v>11114</v>
      </c>
      <c r="I1286" s="10" t="s">
        <v>11115</v>
      </c>
    </row>
    <row r="1287" spans="1:9" ht="105">
      <c r="A1287" s="19">
        <v>43549.444918981477</v>
      </c>
      <c r="B1287" s="20" t="str">
        <f>HYPERLINK("https://twitter.com/RooksRider","@RooksRider")</f>
        <v>@RooksRider</v>
      </c>
      <c r="C1287" s="21" t="s">
        <v>8032</v>
      </c>
      <c r="D1287" s="22" t="s">
        <v>8033</v>
      </c>
      <c r="E1287" s="23" t="str">
        <f>HYPERLINK("https://www.hootsuite.com","Hootsuite Inc.")</f>
        <v>Hootsuite Inc.</v>
      </c>
      <c r="F1287" s="19">
        <v>41778.119004629625</v>
      </c>
      <c r="G1287" s="24" t="s">
        <v>171</v>
      </c>
      <c r="H1287" s="35" t="s">
        <v>8034</v>
      </c>
      <c r="I1287" s="25" t="s">
        <v>8035</v>
      </c>
    </row>
    <row r="1288" spans="1:9" ht="30">
      <c r="A1288" s="4">
        <v>43564.602314814816</v>
      </c>
      <c r="B1288" s="5" t="str">
        <f>HYPERLINK("https://twitter.com/melodys_place","@melodys_place")</f>
        <v>@melodys_place</v>
      </c>
      <c r="C1288" s="6" t="s">
        <v>6513</v>
      </c>
      <c r="D1288" s="7" t="s">
        <v>6514</v>
      </c>
      <c r="E1288" s="8" t="str">
        <f>HYPERLINK("http://www.facebook.com/twitter","Facebook")</f>
        <v>Facebook</v>
      </c>
      <c r="F1288" s="4">
        <v>40680.599247685182</v>
      </c>
      <c r="G1288" s="17" t="s">
        <v>171</v>
      </c>
      <c r="H1288" s="35" t="s">
        <v>6515</v>
      </c>
      <c r="I1288" s="10" t="s">
        <v>6516</v>
      </c>
    </row>
    <row r="1289" spans="1:9" ht="45">
      <c r="A1289" s="4">
        <v>43563.580347222218</v>
      </c>
      <c r="B1289" s="5" t="str">
        <f>HYPERLINK("https://twitter.com/melodys_place","@melodys_place")</f>
        <v>@melodys_place</v>
      </c>
      <c r="C1289" s="6" t="s">
        <v>6513</v>
      </c>
      <c r="D1289" s="7" t="s">
        <v>6961</v>
      </c>
      <c r="E1289" s="8" t="str">
        <f>HYPERLINK("http://instagram.com","Instagram")</f>
        <v>Instagram</v>
      </c>
      <c r="F1289" s="4">
        <v>40680.599247685182</v>
      </c>
      <c r="G1289" s="17" t="s">
        <v>171</v>
      </c>
      <c r="H1289" s="35" t="s">
        <v>6515</v>
      </c>
      <c r="I1289" s="10" t="s">
        <v>6516</v>
      </c>
    </row>
    <row r="1290" spans="1:9" ht="120">
      <c r="A1290" s="4">
        <v>43562.558391203704</v>
      </c>
      <c r="B1290" s="5" t="str">
        <f>HYPERLINK("https://twitter.com/Kinfolk2017","@Kinfolk2017")</f>
        <v>@Kinfolk2017</v>
      </c>
      <c r="C1290" s="6" t="s">
        <v>1590</v>
      </c>
      <c r="D1290" s="7" t="s">
        <v>10652</v>
      </c>
      <c r="E1290" s="8" t="str">
        <f>HYPERLINK("http://twitter.com/download/iphone","Twitter for iPhone")</f>
        <v>Twitter for iPhone</v>
      </c>
      <c r="F1290" s="4">
        <v>43313.417627314819</v>
      </c>
      <c r="G1290" s="9" t="s">
        <v>171</v>
      </c>
      <c r="H1290" s="35" t="s">
        <v>1592</v>
      </c>
      <c r="I1290" s="10" t="s">
        <v>1593</v>
      </c>
    </row>
    <row r="1291" spans="1:9" ht="120">
      <c r="A1291" s="12">
        <v>43577.516469907408</v>
      </c>
      <c r="B1291" s="13" t="str">
        <f>HYPERLINK("https://twitter.com/Kinfolk2017","@Kinfolk2017")</f>
        <v>@Kinfolk2017</v>
      </c>
      <c r="C1291" s="14" t="s">
        <v>1590</v>
      </c>
      <c r="D1291" s="15" t="s">
        <v>1591</v>
      </c>
      <c r="E1291" s="16" t="str">
        <f>HYPERLINK("http://twitter.com/download/iphone","Twitter for iPhone")</f>
        <v>Twitter for iPhone</v>
      </c>
      <c r="F1291" s="12">
        <v>43313.417627314819</v>
      </c>
      <c r="G1291" s="9" t="s">
        <v>171</v>
      </c>
      <c r="H1291" s="35" t="s">
        <v>1592</v>
      </c>
      <c r="I1291" s="18" t="s">
        <v>1593</v>
      </c>
    </row>
    <row r="1292" spans="1:9" ht="120">
      <c r="A1292" s="12">
        <v>43568.544293981482</v>
      </c>
      <c r="B1292" s="13" t="str">
        <f>HYPERLINK("https://twitter.com/Kinfolk2017","@Kinfolk2017")</f>
        <v>@Kinfolk2017</v>
      </c>
      <c r="C1292" s="14" t="s">
        <v>1590</v>
      </c>
      <c r="D1292" s="15" t="s">
        <v>4710</v>
      </c>
      <c r="E1292" s="16" t="str">
        <f>HYPERLINK("http://twitter.com/download/iphone","Twitter for iPhone")</f>
        <v>Twitter for iPhone</v>
      </c>
      <c r="F1292" s="12">
        <v>43313.417627314819</v>
      </c>
      <c r="G1292" s="9" t="s">
        <v>171</v>
      </c>
      <c r="H1292" s="35" t="s">
        <v>1592</v>
      </c>
      <c r="I1292" s="18" t="s">
        <v>1593</v>
      </c>
    </row>
    <row r="1293" spans="1:9" ht="120">
      <c r="A1293" s="19">
        <v>43544.3284837963</v>
      </c>
      <c r="B1293" s="20" t="str">
        <f>HYPERLINK("https://twitter.com/In_Out_Chester","@In_Out_Chester")</f>
        <v>@In_Out_Chester</v>
      </c>
      <c r="C1293" s="21" t="s">
        <v>9521</v>
      </c>
      <c r="D1293" s="22" t="s">
        <v>9522</v>
      </c>
      <c r="E1293" s="23" t="str">
        <f>HYPERLINK("https://buffer.com","Buffer")</f>
        <v>Buffer</v>
      </c>
      <c r="F1293" s="19">
        <v>42834.536805555559</v>
      </c>
      <c r="G1293" s="17" t="s">
        <v>171</v>
      </c>
      <c r="H1293" s="35" t="s">
        <v>2388</v>
      </c>
      <c r="I1293" s="25" t="s">
        <v>9523</v>
      </c>
    </row>
    <row r="1294" spans="1:9" ht="210">
      <c r="A1294" s="12">
        <v>43575.011469907404</v>
      </c>
      <c r="B1294" s="13" t="str">
        <f>HYPERLINK("https://twitter.com/5_chester","@5_chester")</f>
        <v>@5_chester</v>
      </c>
      <c r="C1294" s="14" t="s">
        <v>2386</v>
      </c>
      <c r="D1294" s="15" t="s">
        <v>2387</v>
      </c>
      <c r="E1294" s="16" t="str">
        <f>HYPERLINK("http://twitter.com/download/iphone","Twitter for iPhone")</f>
        <v>Twitter for iPhone</v>
      </c>
      <c r="F1294" s="12">
        <v>43259.383206018523</v>
      </c>
      <c r="G1294" s="17" t="s">
        <v>171</v>
      </c>
      <c r="H1294" s="35" t="s">
        <v>2388</v>
      </c>
      <c r="I1294" s="18" t="s">
        <v>2389</v>
      </c>
    </row>
    <row r="1295" spans="1:9" ht="90">
      <c r="A1295" s="12">
        <v>43569.005775462967</v>
      </c>
      <c r="B1295" s="13" t="str">
        <f>HYPERLINK("https://twitter.com/5_chester","@5_chester")</f>
        <v>@5_chester</v>
      </c>
      <c r="C1295" s="14" t="s">
        <v>2386</v>
      </c>
      <c r="D1295" s="15" t="s">
        <v>4607</v>
      </c>
      <c r="E1295" s="16" t="str">
        <f>HYPERLINK("http://twitter.com/download/iphone","Twitter for iPhone")</f>
        <v>Twitter for iPhone</v>
      </c>
      <c r="F1295" s="12">
        <v>43259.383206018523</v>
      </c>
      <c r="G1295" s="17" t="s">
        <v>171</v>
      </c>
      <c r="H1295" s="35" t="s">
        <v>2388</v>
      </c>
      <c r="I1295" s="18" t="s">
        <v>2389</v>
      </c>
    </row>
    <row r="1296" spans="1:9" ht="60">
      <c r="A1296" s="12">
        <v>43580.139884259261</v>
      </c>
      <c r="B1296" s="13" t="str">
        <f>HYPERLINK("https://twitter.com/marchwoodifa","@marchwoodifa")</f>
        <v>@marchwoodifa</v>
      </c>
      <c r="C1296" s="14" t="s">
        <v>242</v>
      </c>
      <c r="D1296" s="15" t="s">
        <v>243</v>
      </c>
      <c r="E1296" s="16" t="str">
        <f>HYPERLINK("http://twitter.com","Twitter Web Client")</f>
        <v>Twitter Web Client</v>
      </c>
      <c r="F1296" s="12">
        <v>41221.395162037035</v>
      </c>
      <c r="G1296" s="17" t="s">
        <v>171</v>
      </c>
      <c r="H1296" s="35" t="s">
        <v>244</v>
      </c>
      <c r="I1296" s="18" t="s">
        <v>245</v>
      </c>
    </row>
    <row r="1297" spans="1:9" ht="45">
      <c r="A1297" s="19">
        <v>43547.443090277782</v>
      </c>
      <c r="B1297" s="20" t="str">
        <f>HYPERLINK("https://twitter.com/GaryLDN","@GaryLDN")</f>
        <v>@GaryLDN</v>
      </c>
      <c r="C1297" s="21" t="s">
        <v>8540</v>
      </c>
      <c r="D1297" s="22" t="s">
        <v>8541</v>
      </c>
      <c r="E1297" s="23" t="str">
        <f>HYPERLINK("https://mobile.twitter.com","Twitter Web App")</f>
        <v>Twitter Web App</v>
      </c>
      <c r="F1297" s="19">
        <v>39901.234768518516</v>
      </c>
      <c r="G1297" s="24" t="s">
        <v>171</v>
      </c>
      <c r="H1297" s="35" t="s">
        <v>8542</v>
      </c>
      <c r="I1297" s="25" t="s">
        <v>8543</v>
      </c>
    </row>
    <row r="1298" spans="1:9" ht="45">
      <c r="A1298" s="4">
        <v>43561.079861111109</v>
      </c>
      <c r="B1298" s="5" t="str">
        <f>HYPERLINK("https://twitter.com/aTravelCompanio","@aTravelCompanio")</f>
        <v>@aTravelCompanio</v>
      </c>
      <c r="C1298" s="6" t="s">
        <v>597</v>
      </c>
      <c r="D1298" s="7" t="s">
        <v>11084</v>
      </c>
      <c r="E1298" s="8" t="str">
        <f>HYPERLINK("https://about.twitter.com/products/tweetdeck","TweetDeck")</f>
        <v>TweetDeck</v>
      </c>
      <c r="F1298" s="4">
        <v>42391.395983796298</v>
      </c>
      <c r="G1298" s="17" t="s">
        <v>171</v>
      </c>
      <c r="H1298" s="35" t="s">
        <v>599</v>
      </c>
      <c r="I1298" s="10" t="s">
        <v>600</v>
      </c>
    </row>
    <row r="1299" spans="1:9" ht="45">
      <c r="A1299" s="4">
        <v>43557</v>
      </c>
      <c r="B1299" s="5" t="str">
        <f>HYPERLINK("https://twitter.com/aTravelCompanio","@aTravelCompanio")</f>
        <v>@aTravelCompanio</v>
      </c>
      <c r="C1299" s="6" t="s">
        <v>597</v>
      </c>
      <c r="D1299" s="7" t="s">
        <v>12684</v>
      </c>
      <c r="E1299" s="8" t="str">
        <f>HYPERLINK("https://about.twitter.com/products/tweetdeck","TweetDeck")</f>
        <v>TweetDeck</v>
      </c>
      <c r="F1299" s="4">
        <v>42391.395983796298</v>
      </c>
      <c r="G1299" s="17" t="s">
        <v>171</v>
      </c>
      <c r="H1299" s="35" t="s">
        <v>599</v>
      </c>
      <c r="I1299" s="10" t="s">
        <v>600</v>
      </c>
    </row>
    <row r="1300" spans="1:9" ht="75">
      <c r="A1300" s="12">
        <v>43579.533032407402</v>
      </c>
      <c r="B1300" s="13" t="str">
        <f>HYPERLINK("https://twitter.com/aTravelCompanio","@aTravelCompanio")</f>
        <v>@aTravelCompanio</v>
      </c>
      <c r="C1300" s="14" t="s">
        <v>597</v>
      </c>
      <c r="D1300" s="15" t="s">
        <v>598</v>
      </c>
      <c r="E1300" s="16" t="str">
        <f>HYPERLINK("http://twitter.com/download/iphone","Twitter for iPhone")</f>
        <v>Twitter for iPhone</v>
      </c>
      <c r="F1300" s="12">
        <v>42391.395983796298</v>
      </c>
      <c r="G1300" s="17" t="s">
        <v>171</v>
      </c>
      <c r="H1300" s="35" t="s">
        <v>599</v>
      </c>
      <c r="I1300" s="18" t="s">
        <v>600</v>
      </c>
    </row>
    <row r="1301" spans="1:9" ht="45">
      <c r="A1301" s="12">
        <v>43571.19027777778</v>
      </c>
      <c r="B1301" s="13" t="str">
        <f>HYPERLINK("https://twitter.com/aTravelCompanio","@aTravelCompanio")</f>
        <v>@aTravelCompanio</v>
      </c>
      <c r="C1301" s="14" t="s">
        <v>597</v>
      </c>
      <c r="D1301" s="15" t="s">
        <v>3807</v>
      </c>
      <c r="E1301" s="16" t="str">
        <f>HYPERLINK("https://about.twitter.com/products/tweetdeck","TweetDeck")</f>
        <v>TweetDeck</v>
      </c>
      <c r="F1301" s="12">
        <v>42391.395983796298</v>
      </c>
      <c r="G1301" s="17" t="s">
        <v>171</v>
      </c>
      <c r="H1301" s="35" t="s">
        <v>599</v>
      </c>
      <c r="I1301" s="18" t="s">
        <v>600</v>
      </c>
    </row>
    <row r="1302" spans="1:9" ht="45">
      <c r="A1302" s="12">
        <v>43579.254872685182</v>
      </c>
      <c r="B1302" s="13" t="str">
        <f>HYPERLINK("https://twitter.com/Keoghsfarm","@Keoghsfarm")</f>
        <v>@Keoghsfarm</v>
      </c>
      <c r="C1302" s="14" t="s">
        <v>818</v>
      </c>
      <c r="D1302" s="15" t="s">
        <v>819</v>
      </c>
      <c r="E1302" s="16" t="str">
        <f>HYPERLINK("http://twitter.com/download/iphone","Twitter for iPhone")</f>
        <v>Twitter for iPhone</v>
      </c>
      <c r="F1302" s="12">
        <v>40604.550613425927</v>
      </c>
      <c r="G1302" s="24" t="s">
        <v>171</v>
      </c>
      <c r="H1302" s="35" t="s">
        <v>820</v>
      </c>
      <c r="I1302" s="18" t="s">
        <v>821</v>
      </c>
    </row>
    <row r="1303" spans="1:9" ht="120">
      <c r="A1303" s="19">
        <v>43548.634305555555</v>
      </c>
      <c r="B1303" s="20" t="str">
        <f t="shared" ref="B1303:B1309" si="60">HYPERLINK("https://twitter.com/kerryhols","@kerryhols")</f>
        <v>@kerryhols</v>
      </c>
      <c r="C1303" s="21" t="s">
        <v>574</v>
      </c>
      <c r="D1303" s="22" t="s">
        <v>8266</v>
      </c>
      <c r="E1303" s="23" t="str">
        <f>HYPERLINK("https://mobile.twitter.com","Twitter Web App")</f>
        <v>Twitter Web App</v>
      </c>
      <c r="F1303" s="19">
        <v>42071.565115740741</v>
      </c>
      <c r="G1303" s="24" t="s">
        <v>171</v>
      </c>
      <c r="H1303" s="35" t="s">
        <v>576</v>
      </c>
      <c r="I1303" s="25" t="s">
        <v>577</v>
      </c>
    </row>
    <row r="1304" spans="1:9" ht="135">
      <c r="A1304" s="19">
        <v>43547.677071759259</v>
      </c>
      <c r="B1304" s="20" t="str">
        <f t="shared" si="60"/>
        <v>@kerryhols</v>
      </c>
      <c r="C1304" s="21" t="s">
        <v>574</v>
      </c>
      <c r="D1304" s="22" t="s">
        <v>8488</v>
      </c>
      <c r="E1304" s="23" t="str">
        <f>HYPERLINK("https://mobile.twitter.com","Twitter Web App")</f>
        <v>Twitter Web App</v>
      </c>
      <c r="F1304" s="19">
        <v>42071.565115740741</v>
      </c>
      <c r="G1304" s="24" t="s">
        <v>171</v>
      </c>
      <c r="H1304" s="35" t="s">
        <v>576</v>
      </c>
      <c r="I1304" s="25" t="s">
        <v>577</v>
      </c>
    </row>
    <row r="1305" spans="1:9" ht="120">
      <c r="A1305" s="4">
        <v>43561.662453703699</v>
      </c>
      <c r="B1305" s="5" t="str">
        <f t="shared" si="60"/>
        <v>@kerryhols</v>
      </c>
      <c r="C1305" s="6" t="s">
        <v>574</v>
      </c>
      <c r="D1305" s="7" t="s">
        <v>10875</v>
      </c>
      <c r="E1305" s="8" t="str">
        <f>HYPERLINK("https://mobile.twitter.com","Twitter Web App")</f>
        <v>Twitter Web App</v>
      </c>
      <c r="F1305" s="4">
        <v>42071.565115740741</v>
      </c>
      <c r="G1305" s="24" t="s">
        <v>171</v>
      </c>
      <c r="H1305" s="35" t="s">
        <v>576</v>
      </c>
      <c r="I1305" s="10" t="s">
        <v>577</v>
      </c>
    </row>
    <row r="1306" spans="1:9" ht="120">
      <c r="A1306" s="4">
        <v>43556.620370370365</v>
      </c>
      <c r="B1306" s="5" t="str">
        <f t="shared" si="60"/>
        <v>@kerryhols</v>
      </c>
      <c r="C1306" s="6" t="s">
        <v>574</v>
      </c>
      <c r="D1306" s="7" t="s">
        <v>12783</v>
      </c>
      <c r="E1306" s="8" t="str">
        <f>HYPERLINK("https://mobile.twitter.com","Twitter Web App")</f>
        <v>Twitter Web App</v>
      </c>
      <c r="F1306" s="4">
        <v>42071.565115740741</v>
      </c>
      <c r="G1306" s="24" t="s">
        <v>171</v>
      </c>
      <c r="H1306" s="35" t="s">
        <v>576</v>
      </c>
      <c r="I1306" s="10" t="s">
        <v>577</v>
      </c>
    </row>
    <row r="1307" spans="1:9" ht="120">
      <c r="A1307" s="12">
        <v>43579.570844907408</v>
      </c>
      <c r="B1307" s="13" t="str">
        <f t="shared" si="60"/>
        <v>@kerryhols</v>
      </c>
      <c r="C1307" s="14" t="s">
        <v>574</v>
      </c>
      <c r="D1307" s="15" t="s">
        <v>575</v>
      </c>
      <c r="E1307" s="16" t="str">
        <f>HYPERLINK("http://twitter.com/download/android","Twitter for Android")</f>
        <v>Twitter for Android</v>
      </c>
      <c r="F1307" s="12">
        <v>42071.565115740741</v>
      </c>
      <c r="G1307" s="24" t="s">
        <v>171</v>
      </c>
      <c r="H1307" s="35" t="s">
        <v>576</v>
      </c>
      <c r="I1307" s="18" t="s">
        <v>577</v>
      </c>
    </row>
    <row r="1308" spans="1:9" ht="120">
      <c r="A1308" s="12">
        <v>43569.213564814811</v>
      </c>
      <c r="B1308" s="13" t="str">
        <f t="shared" si="60"/>
        <v>@kerryhols</v>
      </c>
      <c r="C1308" s="14" t="s">
        <v>574</v>
      </c>
      <c r="D1308" s="15" t="s">
        <v>4578</v>
      </c>
      <c r="E1308" s="16" t="str">
        <f>HYPERLINK("https://mobile.twitter.com","Twitter Web App")</f>
        <v>Twitter Web App</v>
      </c>
      <c r="F1308" s="12">
        <v>42071.565115740741</v>
      </c>
      <c r="G1308" s="24" t="s">
        <v>171</v>
      </c>
      <c r="H1308" s="35" t="s">
        <v>576</v>
      </c>
      <c r="I1308" s="18" t="s">
        <v>577</v>
      </c>
    </row>
    <row r="1309" spans="1:9" ht="120">
      <c r="A1309" s="12">
        <v>43567.617141203707</v>
      </c>
      <c r="B1309" s="13" t="str">
        <f t="shared" si="60"/>
        <v>@kerryhols</v>
      </c>
      <c r="C1309" s="14" t="s">
        <v>574</v>
      </c>
      <c r="D1309" s="15" t="s">
        <v>5023</v>
      </c>
      <c r="E1309" s="16" t="str">
        <f>HYPERLINK("https://mobile.twitter.com","Twitter Web App")</f>
        <v>Twitter Web App</v>
      </c>
      <c r="F1309" s="12">
        <v>42071.565115740741</v>
      </c>
      <c r="G1309" s="24" t="s">
        <v>171</v>
      </c>
      <c r="H1309" s="35" t="s">
        <v>576</v>
      </c>
      <c r="I1309" s="18" t="s">
        <v>577</v>
      </c>
    </row>
    <row r="1310" spans="1:9" ht="120">
      <c r="A1310" s="19">
        <v>43542.631793981476</v>
      </c>
      <c r="B1310" s="20" t="str">
        <f>HYPERLINK("https://twitter.com/RevCBeckett","@RevCBeckett")</f>
        <v>@RevCBeckett</v>
      </c>
      <c r="C1310" s="21" t="s">
        <v>10055</v>
      </c>
      <c r="D1310" s="22" t="s">
        <v>10056</v>
      </c>
      <c r="E1310" s="23" t="str">
        <f>HYPERLINK("http://twitter.com/download/android","Twitter for Android")</f>
        <v>Twitter for Android</v>
      </c>
      <c r="F1310" s="19">
        <v>43090.710833333331</v>
      </c>
      <c r="G1310" s="24" t="s">
        <v>171</v>
      </c>
      <c r="H1310" s="35" t="s">
        <v>10057</v>
      </c>
      <c r="I1310" s="25" t="s">
        <v>10058</v>
      </c>
    </row>
    <row r="1311" spans="1:9" ht="75">
      <c r="A1311" s="12">
        <v>43566.110902777778</v>
      </c>
      <c r="B1311" s="13" t="str">
        <f>HYPERLINK("https://twitter.com/GroveFarmHouse","@GroveFarmHouse")</f>
        <v>@GroveFarmHouse</v>
      </c>
      <c r="C1311" s="14" t="s">
        <v>5780</v>
      </c>
      <c r="D1311" s="15" t="s">
        <v>5781</v>
      </c>
      <c r="E1311" s="16" t="str">
        <f>HYPERLINK("http://twitter.com/download/iphone","Twitter for iPhone")</f>
        <v>Twitter for iPhone</v>
      </c>
      <c r="F1311" s="12">
        <v>39824.393043981479</v>
      </c>
      <c r="G1311" s="17" t="s">
        <v>171</v>
      </c>
      <c r="H1311" s="35" t="s">
        <v>5782</v>
      </c>
      <c r="I1311" s="18" t="s">
        <v>5783</v>
      </c>
    </row>
    <row r="1312" spans="1:9" ht="90">
      <c r="A1312" s="19">
        <v>43551.297048611115</v>
      </c>
      <c r="B1312" s="20" t="str">
        <f>HYPERLINK("https://twitter.com/martinschultz","@martinschultz")</f>
        <v>@martinschultz</v>
      </c>
      <c r="C1312" s="21" t="s">
        <v>7334</v>
      </c>
      <c r="D1312" s="22" t="s">
        <v>7335</v>
      </c>
      <c r="E1312" s="23" t="str">
        <f>HYPERLINK("http://twitter.com","Twitter Web Client")</f>
        <v>Twitter Web Client</v>
      </c>
      <c r="F1312" s="19">
        <v>40279.352187500001</v>
      </c>
      <c r="G1312" s="24" t="s">
        <v>171</v>
      </c>
      <c r="H1312" s="35" t="s">
        <v>7336</v>
      </c>
      <c r="I1312" s="25" t="s">
        <v>7337</v>
      </c>
    </row>
    <row r="1313" spans="1:9" ht="45">
      <c r="A1313" s="12">
        <v>43570.380729166667</v>
      </c>
      <c r="B1313" s="13" t="str">
        <f>HYPERLINK("https://twitter.com/markgerardcox","@markgerardcox")</f>
        <v>@markgerardcox</v>
      </c>
      <c r="C1313" s="14" t="s">
        <v>4187</v>
      </c>
      <c r="D1313" s="15" t="s">
        <v>4188</v>
      </c>
      <c r="E1313" s="16" t="str">
        <f>HYPERLINK("http://instagram.com","Instagram")</f>
        <v>Instagram</v>
      </c>
      <c r="F1313" s="12">
        <v>40568.058009259257</v>
      </c>
      <c r="G1313" s="24" t="s">
        <v>171</v>
      </c>
      <c r="H1313" s="35" t="s">
        <v>4189</v>
      </c>
      <c r="I1313" s="18" t="s">
        <v>4190</v>
      </c>
    </row>
    <row r="1314" spans="1:9" ht="60">
      <c r="A1314" s="4">
        <v>43560.56040509259</v>
      </c>
      <c r="B1314" s="5" t="str">
        <f>HYPERLINK("https://twitter.com/Siobhan_ODowd","@Siobhan_ODowd")</f>
        <v>@Siobhan_ODowd</v>
      </c>
      <c r="C1314" s="6" t="s">
        <v>11285</v>
      </c>
      <c r="D1314" s="7" t="s">
        <v>11286</v>
      </c>
      <c r="E1314" s="8" t="str">
        <f>HYPERLINK("http://twitter.com/download/iphone","Twitter for iPhone")</f>
        <v>Twitter for iPhone</v>
      </c>
      <c r="F1314" s="4">
        <v>40579.582557870366</v>
      </c>
      <c r="G1314" s="9" t="s">
        <v>171</v>
      </c>
      <c r="H1314" s="35" t="s">
        <v>11287</v>
      </c>
      <c r="I1314" s="10" t="s">
        <v>11288</v>
      </c>
    </row>
    <row r="1315" spans="1:9" ht="90">
      <c r="A1315" s="19">
        <v>43545.402280092589</v>
      </c>
      <c r="B1315" s="20" t="str">
        <f>HYPERLINK("https://twitter.com/billyclarke7","@billyclarke7")</f>
        <v>@billyclarke7</v>
      </c>
      <c r="C1315" s="21" t="s">
        <v>9155</v>
      </c>
      <c r="D1315" s="22" t="s">
        <v>9156</v>
      </c>
      <c r="E1315" s="23" t="str">
        <f>HYPERLINK("http://twitter.com/download/iphone","Twitter for iPhone")</f>
        <v>Twitter for iPhone</v>
      </c>
      <c r="F1315" s="19">
        <v>40374.39984953704</v>
      </c>
      <c r="G1315" s="9" t="s">
        <v>171</v>
      </c>
      <c r="H1315" s="35" t="s">
        <v>9157</v>
      </c>
      <c r="I1315" s="25" t="s">
        <v>9158</v>
      </c>
    </row>
    <row r="1316" spans="1:9" ht="105">
      <c r="A1316" s="4">
        <v>43558.159618055557</v>
      </c>
      <c r="B1316" s="5" t="str">
        <f>HYPERLINK("https://twitter.com/Shelbournebar","@Shelbournebar")</f>
        <v>@Shelbournebar</v>
      </c>
      <c r="C1316" s="6" t="s">
        <v>12309</v>
      </c>
      <c r="D1316" s="7" t="s">
        <v>12310</v>
      </c>
      <c r="E1316" s="8" t="str">
        <f>HYPERLINK("http://twitter.com/download/android","Twitter for Android")</f>
        <v>Twitter for Android</v>
      </c>
      <c r="F1316" s="4">
        <v>40247.219155092593</v>
      </c>
      <c r="G1316" s="9" t="s">
        <v>171</v>
      </c>
      <c r="H1316" s="35" t="s">
        <v>9157</v>
      </c>
      <c r="I1316" s="10" t="s">
        <v>12311</v>
      </c>
    </row>
    <row r="1317" spans="1:9" ht="105">
      <c r="A1317" s="4">
        <v>43560.143738425926</v>
      </c>
      <c r="B1317" s="5" t="str">
        <f>HYPERLINK("https://twitter.com/Cornishview","@Cornishview")</f>
        <v>@Cornishview</v>
      </c>
      <c r="C1317" s="6" t="s">
        <v>11598</v>
      </c>
      <c r="D1317" s="7" t="s">
        <v>11599</v>
      </c>
      <c r="E1317" s="8" t="str">
        <f>HYPERLINK("http://twitter.com","Twitter Web Client")</f>
        <v>Twitter Web Client</v>
      </c>
      <c r="F1317" s="4">
        <v>40025.314502314817</v>
      </c>
      <c r="G1317" s="9" t="s">
        <v>171</v>
      </c>
      <c r="H1317" s="35" t="s">
        <v>11600</v>
      </c>
      <c r="I1317" s="10" t="s">
        <v>11601</v>
      </c>
    </row>
    <row r="1318" spans="1:9" ht="45">
      <c r="A1318" s="19">
        <v>43550.097962962958</v>
      </c>
      <c r="B1318" s="20" t="str">
        <f>HYPERLINK("https://twitter.com/waveriderfuerte","@waveriderfuerte")</f>
        <v>@waveriderfuerte</v>
      </c>
      <c r="C1318" s="21" t="s">
        <v>7838</v>
      </c>
      <c r="D1318" s="22" t="s">
        <v>7839</v>
      </c>
      <c r="E1318" s="23" t="str">
        <f>HYPERLINK("http://twitter.com/download/android","Twitter for Android")</f>
        <v>Twitter for Android</v>
      </c>
      <c r="F1318" s="19">
        <v>41691.097395833334</v>
      </c>
      <c r="G1318" s="24" t="s">
        <v>171</v>
      </c>
      <c r="H1318" s="35" t="s">
        <v>7840</v>
      </c>
      <c r="I1318" s="25" t="s">
        <v>7841</v>
      </c>
    </row>
    <row r="1319" spans="1:9" ht="45">
      <c r="A1319" s="4">
        <v>43559.813368055555</v>
      </c>
      <c r="B1319" s="5" t="str">
        <f>HYPERLINK("https://twitter.com/WillemenaMitty","@WillemenaMitty")</f>
        <v>@WillemenaMitty</v>
      </c>
      <c r="C1319" s="6" t="s">
        <v>11685</v>
      </c>
      <c r="D1319" s="7" t="s">
        <v>11686</v>
      </c>
      <c r="E1319" s="8" t="str">
        <f>HYPERLINK("https://mobile.twitter.com","Twitter Web App")</f>
        <v>Twitter Web App</v>
      </c>
      <c r="F1319" s="4">
        <v>40459.618854166663</v>
      </c>
      <c r="G1319" s="9" t="s">
        <v>171</v>
      </c>
      <c r="H1319" s="35" t="s">
        <v>11687</v>
      </c>
      <c r="I1319" s="10" t="s">
        <v>11688</v>
      </c>
    </row>
    <row r="1320" spans="1:9" ht="150">
      <c r="A1320" s="19">
        <v>43551.403055555551</v>
      </c>
      <c r="B1320" s="20" t="str">
        <f>HYPERLINK("https://twitter.com/JimSlaven","@JimSlaven")</f>
        <v>@JimSlaven</v>
      </c>
      <c r="C1320" s="21" t="s">
        <v>7232</v>
      </c>
      <c r="D1320" s="22" t="s">
        <v>7233</v>
      </c>
      <c r="E1320" s="23" t="str">
        <f>HYPERLINK("http://twitter.com/download/iphone","Twitter for iPhone")</f>
        <v>Twitter for iPhone</v>
      </c>
      <c r="F1320" s="19">
        <v>40809.53465277778</v>
      </c>
      <c r="G1320" s="24" t="s">
        <v>171</v>
      </c>
      <c r="H1320" s="35" t="s">
        <v>7234</v>
      </c>
      <c r="I1320" s="25" t="s">
        <v>7235</v>
      </c>
    </row>
    <row r="1321" spans="1:9" ht="45">
      <c r="A1321" s="12">
        <v>43578.970300925925</v>
      </c>
      <c r="B1321" s="13" t="str">
        <f>HYPERLINK("https://twitter.com/chaseTHEdonkey","@chaseTHEdonkey")</f>
        <v>@chaseTHEdonkey</v>
      </c>
      <c r="C1321" s="14" t="s">
        <v>985</v>
      </c>
      <c r="D1321" s="15" t="s">
        <v>986</v>
      </c>
      <c r="E1321" s="16" t="str">
        <f>HYPERLINK("https://missinglettr.com","Missinglettr")</f>
        <v>Missinglettr</v>
      </c>
      <c r="F1321" s="12">
        <v>39886.175555555557</v>
      </c>
      <c r="G1321" s="17" t="s">
        <v>171</v>
      </c>
      <c r="H1321" s="35" t="s">
        <v>987</v>
      </c>
      <c r="I1321" s="18" t="s">
        <v>988</v>
      </c>
    </row>
    <row r="1322" spans="1:9" ht="90">
      <c r="A1322" s="12">
        <v>43575.143043981487</v>
      </c>
      <c r="B1322" s="13" t="str">
        <f>HYPERLINK("https://twitter.com/AntiquePlace","@AntiquePlace")</f>
        <v>@AntiquePlace</v>
      </c>
      <c r="C1322" s="14" t="s">
        <v>2354</v>
      </c>
      <c r="D1322" s="15" t="s">
        <v>2355</v>
      </c>
      <c r="E1322" s="16" t="str">
        <f>HYPERLINK("http://twitter.com","Twitter Web Client")</f>
        <v>Twitter Web Client</v>
      </c>
      <c r="F1322" s="12">
        <v>42568.199293981481</v>
      </c>
      <c r="G1322" s="17" t="s">
        <v>171</v>
      </c>
      <c r="H1322" s="35" t="s">
        <v>2356</v>
      </c>
      <c r="I1322" s="18" t="s">
        <v>2357</v>
      </c>
    </row>
    <row r="1323" spans="1:9" ht="90">
      <c r="A1323" s="19">
        <v>43548.472013888888</v>
      </c>
      <c r="B1323" s="20" t="str">
        <f t="shared" ref="B1323:B1330" si="61">HYPERLINK("https://twitter.com/skatulica","@skatulica")</f>
        <v>@skatulica</v>
      </c>
      <c r="C1323" s="21" t="s">
        <v>4474</v>
      </c>
      <c r="D1323" s="22" t="s">
        <v>8307</v>
      </c>
      <c r="E1323" s="23" t="str">
        <f>HYPERLINK("http://twitter.com/download/android","Twitter for Android")</f>
        <v>Twitter for Android</v>
      </c>
      <c r="F1323" s="19">
        <v>43373.180613425924</v>
      </c>
      <c r="G1323" s="17" t="s">
        <v>171</v>
      </c>
      <c r="H1323" s="35" t="s">
        <v>4476</v>
      </c>
      <c r="I1323" s="25" t="s">
        <v>4477</v>
      </c>
    </row>
    <row r="1324" spans="1:9" ht="90">
      <c r="A1324" s="19">
        <v>43543.607245370367</v>
      </c>
      <c r="B1324" s="20" t="str">
        <f t="shared" si="61"/>
        <v>@skatulica</v>
      </c>
      <c r="C1324" s="21" t="s">
        <v>4474</v>
      </c>
      <c r="D1324" s="22" t="s">
        <v>9741</v>
      </c>
      <c r="E1324" s="23" t="str">
        <f>HYPERLINK("http://twitter.com/download/android","Twitter for Android")</f>
        <v>Twitter for Android</v>
      </c>
      <c r="F1324" s="19">
        <v>43373.180613425924</v>
      </c>
      <c r="G1324" s="17" t="s">
        <v>171</v>
      </c>
      <c r="H1324" s="35" t="s">
        <v>4476</v>
      </c>
      <c r="I1324" s="25" t="s">
        <v>4477</v>
      </c>
    </row>
    <row r="1325" spans="1:9" ht="75">
      <c r="A1325" s="19">
        <v>43543.59951388889</v>
      </c>
      <c r="B1325" s="20" t="str">
        <f t="shared" si="61"/>
        <v>@skatulica</v>
      </c>
      <c r="C1325" s="21" t="s">
        <v>4474</v>
      </c>
      <c r="D1325" s="22" t="s">
        <v>9743</v>
      </c>
      <c r="E1325" s="23" t="str">
        <f>HYPERLINK("http://instagram.com","Instagram")</f>
        <v>Instagram</v>
      </c>
      <c r="F1325" s="19">
        <v>43373.180613425924</v>
      </c>
      <c r="G1325" s="17" t="s">
        <v>171</v>
      </c>
      <c r="H1325" s="35" t="s">
        <v>4476</v>
      </c>
      <c r="I1325" s="25" t="s">
        <v>4477</v>
      </c>
    </row>
    <row r="1326" spans="1:9" ht="120">
      <c r="A1326" s="4">
        <v>43565.402754629627</v>
      </c>
      <c r="B1326" s="5" t="str">
        <f t="shared" si="61"/>
        <v>@skatulica</v>
      </c>
      <c r="C1326" s="6" t="s">
        <v>4474</v>
      </c>
      <c r="D1326" s="7" t="s">
        <v>6113</v>
      </c>
      <c r="E1326" s="8" t="str">
        <f>HYPERLINK("http://twitter.com/download/android","Twitter for Android")</f>
        <v>Twitter for Android</v>
      </c>
      <c r="F1326" s="4">
        <v>43373.180613425924</v>
      </c>
      <c r="G1326" s="17" t="s">
        <v>171</v>
      </c>
      <c r="H1326" s="35" t="s">
        <v>4476</v>
      </c>
      <c r="I1326" s="10" t="s">
        <v>4477</v>
      </c>
    </row>
    <row r="1327" spans="1:9" ht="75">
      <c r="A1327" s="4">
        <v>43565.380185185189</v>
      </c>
      <c r="B1327" s="5" t="str">
        <f t="shared" si="61"/>
        <v>@skatulica</v>
      </c>
      <c r="C1327" s="6" t="s">
        <v>4474</v>
      </c>
      <c r="D1327" s="7" t="s">
        <v>6133</v>
      </c>
      <c r="E1327" s="8" t="str">
        <f>HYPERLINK("http://instagram.com","Instagram")</f>
        <v>Instagram</v>
      </c>
      <c r="F1327" s="4">
        <v>43373.180613425924</v>
      </c>
      <c r="G1327" s="17" t="s">
        <v>171</v>
      </c>
      <c r="H1327" s="35" t="s">
        <v>4476</v>
      </c>
      <c r="I1327" s="10" t="s">
        <v>4477</v>
      </c>
    </row>
    <row r="1328" spans="1:9" ht="105">
      <c r="A1328" s="12">
        <v>43569.574872685189</v>
      </c>
      <c r="B1328" s="13" t="str">
        <f t="shared" si="61"/>
        <v>@skatulica</v>
      </c>
      <c r="C1328" s="14" t="s">
        <v>4474</v>
      </c>
      <c r="D1328" s="15" t="s">
        <v>4475</v>
      </c>
      <c r="E1328" s="16" t="str">
        <f>HYPERLINK("http://twitter.com/download/android","Twitter for Android")</f>
        <v>Twitter for Android</v>
      </c>
      <c r="F1328" s="12">
        <v>43373.180613425924</v>
      </c>
      <c r="G1328" s="17" t="s">
        <v>171</v>
      </c>
      <c r="H1328" s="35" t="s">
        <v>4476</v>
      </c>
      <c r="I1328" s="18" t="s">
        <v>4477</v>
      </c>
    </row>
    <row r="1329" spans="1:9" ht="75">
      <c r="A1329" s="12">
        <v>43569.573113425926</v>
      </c>
      <c r="B1329" s="13" t="str">
        <f t="shared" si="61"/>
        <v>@skatulica</v>
      </c>
      <c r="C1329" s="14" t="s">
        <v>4474</v>
      </c>
      <c r="D1329" s="15" t="s">
        <v>4478</v>
      </c>
      <c r="E1329" s="16" t="str">
        <f>HYPERLINK("http://instagram.com","Instagram")</f>
        <v>Instagram</v>
      </c>
      <c r="F1329" s="12">
        <v>43373.180613425924</v>
      </c>
      <c r="G1329" s="17" t="s">
        <v>171</v>
      </c>
      <c r="H1329" s="35" t="s">
        <v>4476</v>
      </c>
      <c r="I1329" s="18" t="s">
        <v>4477</v>
      </c>
    </row>
    <row r="1330" spans="1:9" ht="75">
      <c r="A1330" s="12">
        <v>43569.571076388893</v>
      </c>
      <c r="B1330" s="13" t="str">
        <f t="shared" si="61"/>
        <v>@skatulica</v>
      </c>
      <c r="C1330" s="14" t="s">
        <v>4474</v>
      </c>
      <c r="D1330" s="15" t="s">
        <v>4478</v>
      </c>
      <c r="E1330" s="16" t="str">
        <f>HYPERLINK("http://instagram.com","Instagram")</f>
        <v>Instagram</v>
      </c>
      <c r="F1330" s="12">
        <v>43373.180613425924</v>
      </c>
      <c r="G1330" s="17" t="s">
        <v>171</v>
      </c>
      <c r="H1330" s="35" t="s">
        <v>4476</v>
      </c>
      <c r="I1330" s="18" t="s">
        <v>4477</v>
      </c>
    </row>
    <row r="1331" spans="1:9" ht="120">
      <c r="A1331" s="4">
        <v>43560.06695601852</v>
      </c>
      <c r="B1331" s="5" t="str">
        <f>HYPERLINK("https://twitter.com/blackislesheph1","@blackislesheph1")</f>
        <v>@blackislesheph1</v>
      </c>
      <c r="C1331" s="6" t="s">
        <v>11615</v>
      </c>
      <c r="D1331" s="7" t="s">
        <v>11616</v>
      </c>
      <c r="E1331" s="8" t="str">
        <f>HYPERLINK("https://mobile.twitter.com","Twitter Web App")</f>
        <v>Twitter Web App</v>
      </c>
      <c r="F1331" s="4">
        <v>43039.164895833332</v>
      </c>
      <c r="G1331" s="9" t="s">
        <v>171</v>
      </c>
      <c r="H1331" s="35" t="s">
        <v>11617</v>
      </c>
      <c r="I1331" s="10" t="s">
        <v>11618</v>
      </c>
    </row>
    <row r="1332" spans="1:9" ht="90">
      <c r="A1332" s="19">
        <v>43551.149479166663</v>
      </c>
      <c r="B1332" s="20" t="str">
        <f>HYPERLINK("https://twitter.com/Amylduthie","@Amylduthie")</f>
        <v>@Amylduthie</v>
      </c>
      <c r="C1332" s="21" t="s">
        <v>7416</v>
      </c>
      <c r="D1332" s="28" t="s">
        <v>7417</v>
      </c>
      <c r="E1332" s="23" t="str">
        <f>HYPERLINK("http://twitter.com","Twitter Web Client")</f>
        <v>Twitter Web Client</v>
      </c>
      <c r="F1332" s="19">
        <v>40800.236504629633</v>
      </c>
      <c r="G1332" s="9" t="s">
        <v>171</v>
      </c>
      <c r="H1332" s="35" t="s">
        <v>7418</v>
      </c>
      <c r="I1332" s="25" t="s">
        <v>7419</v>
      </c>
    </row>
    <row r="1333" spans="1:9" ht="45">
      <c r="A1333" s="12">
        <v>43580.134004629625</v>
      </c>
      <c r="B1333" s="13" t="str">
        <f>HYPERLINK("https://twitter.com/LamontPridmore","@LamontPridmore")</f>
        <v>@LamontPridmore</v>
      </c>
      <c r="C1333" s="14" t="s">
        <v>261</v>
      </c>
      <c r="D1333" s="15" t="s">
        <v>74</v>
      </c>
      <c r="E1333" s="16" t="str">
        <f>HYPERLINK("https://www.hootsuite.com","Hootsuite Inc.")</f>
        <v>Hootsuite Inc.</v>
      </c>
      <c r="F1333" s="12">
        <v>41142.339363425926</v>
      </c>
      <c r="G1333" s="9" t="s">
        <v>171</v>
      </c>
      <c r="H1333" s="35" t="s">
        <v>262</v>
      </c>
      <c r="I1333" s="18" t="s">
        <v>263</v>
      </c>
    </row>
    <row r="1334" spans="1:9" ht="75">
      <c r="A1334" s="12">
        <v>43579.085057870368</v>
      </c>
      <c r="B1334" s="13" t="str">
        <f>HYPERLINK("https://twitter.com/JesperGlasius","@JesperGlasius")</f>
        <v>@JesperGlasius</v>
      </c>
      <c r="C1334" s="14" t="s">
        <v>934</v>
      </c>
      <c r="D1334" s="15" t="s">
        <v>935</v>
      </c>
      <c r="E1334" s="16" t="str">
        <f>HYPERLINK("http://postbeyond.com","PostBeyond")</f>
        <v>PostBeyond</v>
      </c>
      <c r="F1334" s="12">
        <v>40664.948981481481</v>
      </c>
      <c r="G1334" s="17" t="s">
        <v>171</v>
      </c>
      <c r="H1334" s="35" t="s">
        <v>936</v>
      </c>
      <c r="I1334" s="18" t="s">
        <v>937</v>
      </c>
    </row>
    <row r="1335" spans="1:9" ht="45">
      <c r="A1335" s="4">
        <v>43560.466585648144</v>
      </c>
      <c r="B1335" s="5" t="str">
        <f>HYPERLINK("https://twitter.com/JellyIvy","@JellyIvy")</f>
        <v>@JellyIvy</v>
      </c>
      <c r="C1335" s="6" t="s">
        <v>11351</v>
      </c>
      <c r="D1335" s="7" t="s">
        <v>11352</v>
      </c>
      <c r="E1335" s="8" t="str">
        <f>HYPERLINK("http://twitter.com/download/iphone","Twitter for iPhone")</f>
        <v>Twitter for iPhone</v>
      </c>
      <c r="F1335" s="4">
        <v>41176.241435185184</v>
      </c>
      <c r="G1335" s="17" t="s">
        <v>171</v>
      </c>
      <c r="H1335" s="35" t="s">
        <v>11353</v>
      </c>
      <c r="I1335" s="10" t="s">
        <v>11354</v>
      </c>
    </row>
    <row r="1336" spans="1:9" ht="45">
      <c r="A1336" s="4">
        <v>43558.452083333337</v>
      </c>
      <c r="B1336" s="5" t="str">
        <f>HYPERLINK("https://twitter.com/hotelerialtd","@hotelerialtd")</f>
        <v>@hotelerialtd</v>
      </c>
      <c r="C1336" s="6" t="s">
        <v>12176</v>
      </c>
      <c r="D1336" s="7" t="s">
        <v>12177</v>
      </c>
      <c r="E1336" s="8" t="str">
        <f>HYPERLINK("http://twitter.com/download/iphone","Twitter for iPhone")</f>
        <v>Twitter for iPhone</v>
      </c>
      <c r="F1336" s="4">
        <v>43128.964155092588</v>
      </c>
      <c r="G1336" s="9" t="s">
        <v>171</v>
      </c>
      <c r="H1336" s="35" t="s">
        <v>12178</v>
      </c>
      <c r="I1336" s="10" t="s">
        <v>12179</v>
      </c>
    </row>
    <row r="1337" spans="1:9" ht="45">
      <c r="A1337" s="19">
        <v>43551.602326388893</v>
      </c>
      <c r="B1337" s="20" t="str">
        <f>HYPERLINK("https://twitter.com/jiri_saidl","@jiri_saidl")</f>
        <v>@jiri_saidl</v>
      </c>
      <c r="C1337" s="21" t="s">
        <v>7086</v>
      </c>
      <c r="D1337" s="22" t="s">
        <v>7087</v>
      </c>
      <c r="E1337" s="23" t="str">
        <f>HYPERLINK("http://twitter.com/download/android","Twitter for Android")</f>
        <v>Twitter for Android</v>
      </c>
      <c r="F1337" s="19">
        <v>42738.076620370368</v>
      </c>
      <c r="G1337" s="24" t="s">
        <v>171</v>
      </c>
      <c r="H1337" s="35" t="s">
        <v>7088</v>
      </c>
      <c r="I1337" s="25" t="s">
        <v>7089</v>
      </c>
    </row>
    <row r="1338" spans="1:9" ht="90">
      <c r="A1338" s="12">
        <v>43579.40457175926</v>
      </c>
      <c r="B1338" s="13" t="str">
        <f>HYPERLINK("https://twitter.com/Mt_Briscoe","@Mt_Briscoe")</f>
        <v>@Mt_Briscoe</v>
      </c>
      <c r="C1338" s="14" t="s">
        <v>693</v>
      </c>
      <c r="D1338" s="15" t="s">
        <v>694</v>
      </c>
      <c r="E1338" s="16" t="str">
        <f>HYPERLINK("http://twitter.com/download/android","Twitter for Android")</f>
        <v>Twitter for Android</v>
      </c>
      <c r="F1338" s="12">
        <v>42919.107719907406</v>
      </c>
      <c r="G1338" s="17" t="s">
        <v>171</v>
      </c>
      <c r="H1338" s="35" t="s">
        <v>695</v>
      </c>
      <c r="I1338" s="18" t="s">
        <v>696</v>
      </c>
    </row>
    <row r="1339" spans="1:9" ht="75">
      <c r="A1339" s="12">
        <v>43578.36100694444</v>
      </c>
      <c r="B1339" s="13" t="str">
        <f>HYPERLINK("https://twitter.com/Mt_Briscoe","@Mt_Briscoe")</f>
        <v>@Mt_Briscoe</v>
      </c>
      <c r="C1339" s="14" t="s">
        <v>693</v>
      </c>
      <c r="D1339" s="15" t="s">
        <v>1272</v>
      </c>
      <c r="E1339" s="16" t="str">
        <f>HYPERLINK("http://twitter.com/download/android","Twitter for Android")</f>
        <v>Twitter for Android</v>
      </c>
      <c r="F1339" s="12">
        <v>42919.107719907406</v>
      </c>
      <c r="G1339" s="17" t="s">
        <v>171</v>
      </c>
      <c r="H1339" s="35" t="s">
        <v>695</v>
      </c>
      <c r="I1339" s="18" t="s">
        <v>696</v>
      </c>
    </row>
    <row r="1340" spans="1:9" ht="60">
      <c r="A1340" s="12">
        <v>43576.471631944441</v>
      </c>
      <c r="B1340" s="13" t="str">
        <f>HYPERLINK("https://twitter.com/Mt_Briscoe","@Mt_Briscoe")</f>
        <v>@Mt_Briscoe</v>
      </c>
      <c r="C1340" s="14" t="s">
        <v>693</v>
      </c>
      <c r="D1340" s="15" t="s">
        <v>1934</v>
      </c>
      <c r="E1340" s="16" t="str">
        <f>HYPERLINK("http://twitter.com/download/android","Twitter for Android")</f>
        <v>Twitter for Android</v>
      </c>
      <c r="F1340" s="12">
        <v>42919.107719907406</v>
      </c>
      <c r="G1340" s="17" t="s">
        <v>171</v>
      </c>
      <c r="H1340" s="35" t="s">
        <v>695</v>
      </c>
      <c r="I1340" s="18" t="s">
        <v>696</v>
      </c>
    </row>
    <row r="1341" spans="1:9" ht="60">
      <c r="A1341" s="12">
        <v>43566.242141203707</v>
      </c>
      <c r="B1341" s="13" t="str">
        <f>HYPERLINK("https://twitter.com/dalkeyhead","@dalkeyhead")</f>
        <v>@dalkeyhead</v>
      </c>
      <c r="C1341" s="14" t="s">
        <v>5714</v>
      </c>
      <c r="D1341" s="15" t="s">
        <v>5656</v>
      </c>
      <c r="E1341" s="16" t="str">
        <f>HYPERLINK("http://twitter.com","Twitter Web Client")</f>
        <v>Twitter Web Client</v>
      </c>
      <c r="F1341" s="12">
        <v>40152.220648148148</v>
      </c>
      <c r="G1341" s="17" t="s">
        <v>171</v>
      </c>
      <c r="H1341" s="35" t="s">
        <v>5715</v>
      </c>
      <c r="I1341" s="18" t="s">
        <v>5716</v>
      </c>
    </row>
    <row r="1342" spans="1:9" ht="45">
      <c r="A1342" s="19">
        <v>43543.071620370371</v>
      </c>
      <c r="B1342" s="20" t="str">
        <f>HYPERLINK("https://twitter.com/Rebeca_003","@Rebeca_003")</f>
        <v>@Rebeca_003</v>
      </c>
      <c r="C1342" s="21" t="s">
        <v>9950</v>
      </c>
      <c r="D1342" s="22" t="s">
        <v>9951</v>
      </c>
      <c r="E1342" s="23" t="str">
        <f>HYPERLINK("http://twitter.com","Twitter Web Client")</f>
        <v>Twitter Web Client</v>
      </c>
      <c r="F1342" s="19">
        <v>43229.925046296295</v>
      </c>
      <c r="G1342" s="24" t="s">
        <v>171</v>
      </c>
      <c r="H1342" s="35" t="s">
        <v>9952</v>
      </c>
      <c r="I1342" s="25" t="s">
        <v>9953</v>
      </c>
    </row>
    <row r="1343" spans="1:9" ht="45">
      <c r="A1343" s="19">
        <v>43544.098240740743</v>
      </c>
      <c r="B1343" s="20" t="str">
        <f>HYPERLINK("https://twitter.com/HelenLloydAudio","@HelenLloydAudio")</f>
        <v>@HelenLloydAudio</v>
      </c>
      <c r="C1343" s="21" t="s">
        <v>9613</v>
      </c>
      <c r="D1343" s="22" t="s">
        <v>9614</v>
      </c>
      <c r="E1343" s="23" t="str">
        <f>HYPERLINK("http://twitter.com","Twitter Web Client")</f>
        <v>Twitter Web Client</v>
      </c>
      <c r="F1343" s="19">
        <v>40661.250451388885</v>
      </c>
      <c r="G1343" s="24" t="s">
        <v>171</v>
      </c>
      <c r="H1343" s="35" t="s">
        <v>9615</v>
      </c>
      <c r="I1343" s="25" t="s">
        <v>9616</v>
      </c>
    </row>
    <row r="1344" spans="1:9" ht="90">
      <c r="A1344" s="19">
        <v>43551.470289351855</v>
      </c>
      <c r="B1344" s="20" t="str">
        <f>HYPERLINK("https://twitter.com/SentheraCapital","@SentheraCapital")</f>
        <v>@SentheraCapital</v>
      </c>
      <c r="C1344" s="21" t="s">
        <v>7171</v>
      </c>
      <c r="D1344" s="22" t="s">
        <v>7172</v>
      </c>
      <c r="E1344" s="23" t="str">
        <f>HYPERLINK("http://twitter.com/download/iphone","Twitter for iPhone")</f>
        <v>Twitter for iPhone</v>
      </c>
      <c r="F1344" s="19">
        <v>42806.39571759259</v>
      </c>
      <c r="G1344" s="17" t="s">
        <v>171</v>
      </c>
      <c r="H1344" s="35" t="s">
        <v>4863</v>
      </c>
      <c r="I1344" s="25" t="s">
        <v>7173</v>
      </c>
    </row>
    <row r="1345" spans="1:9" ht="105">
      <c r="A1345" s="12">
        <v>43568.14907407407</v>
      </c>
      <c r="B1345" s="13" t="str">
        <f>HYPERLINK("https://twitter.com/Letmoneywork050","@Letmoneywork050")</f>
        <v>@Letmoneywork050</v>
      </c>
      <c r="C1345" s="14" t="s">
        <v>4861</v>
      </c>
      <c r="D1345" s="15" t="s">
        <v>4862</v>
      </c>
      <c r="E1345" s="16" t="str">
        <f>HYPERLINK("http://twitter.com","Twitter Web Client")</f>
        <v>Twitter Web Client</v>
      </c>
      <c r="F1345" s="12">
        <v>42542.50708333333</v>
      </c>
      <c r="G1345" s="17" t="s">
        <v>171</v>
      </c>
      <c r="H1345" s="35" t="s">
        <v>4863</v>
      </c>
      <c r="I1345" s="18" t="s">
        <v>4864</v>
      </c>
    </row>
    <row r="1346" spans="1:9" ht="45">
      <c r="A1346" s="19">
        <v>43550.208692129629</v>
      </c>
      <c r="B1346" s="20" t="str">
        <f>HYPERLINK("https://twitter.com/AmancioBouza","@AmancioBouza")</f>
        <v>@AmancioBouza</v>
      </c>
      <c r="C1346" s="21" t="s">
        <v>5297</v>
      </c>
      <c r="D1346" s="22" t="s">
        <v>5298</v>
      </c>
      <c r="E1346" s="23" t="str">
        <f>HYPERLINK("https://buffer.com","Buffer")</f>
        <v>Buffer</v>
      </c>
      <c r="F1346" s="19">
        <v>40112.81554398148</v>
      </c>
      <c r="G1346" s="24" t="s">
        <v>171</v>
      </c>
      <c r="H1346" s="35" t="s">
        <v>5299</v>
      </c>
      <c r="I1346" s="25" t="s">
        <v>5300</v>
      </c>
    </row>
    <row r="1347" spans="1:9" ht="45">
      <c r="A1347" s="12">
        <v>43566.958530092597</v>
      </c>
      <c r="B1347" s="13" t="str">
        <f>HYPERLINK("https://twitter.com/AmancioBouza","@AmancioBouza")</f>
        <v>@AmancioBouza</v>
      </c>
      <c r="C1347" s="14" t="s">
        <v>5297</v>
      </c>
      <c r="D1347" s="15" t="s">
        <v>5298</v>
      </c>
      <c r="E1347" s="16" t="str">
        <f>HYPERLINK("https://buffer.com","Buffer")</f>
        <v>Buffer</v>
      </c>
      <c r="F1347" s="12">
        <v>40112.81554398148</v>
      </c>
      <c r="G1347" s="24" t="s">
        <v>171</v>
      </c>
      <c r="H1347" s="35" t="s">
        <v>5299</v>
      </c>
      <c r="I1347" s="18" t="s">
        <v>5300</v>
      </c>
    </row>
    <row r="1348" spans="1:9" ht="45">
      <c r="A1348" s="4">
        <v>43561.181168981479</v>
      </c>
      <c r="B1348" s="5" t="str">
        <f>HYPERLINK("https://twitter.com/chris_byrne","@chris_byrne")</f>
        <v>@chris_byrne</v>
      </c>
      <c r="C1348" s="6" t="s">
        <v>11041</v>
      </c>
      <c r="D1348" s="7" t="s">
        <v>11042</v>
      </c>
      <c r="E1348" s="8" t="str">
        <f>HYPERLINK("http://twitter.com/download/iphone","Twitter for iPhone")</f>
        <v>Twitter for iPhone</v>
      </c>
      <c r="F1348" s="4">
        <v>39866.227511574078</v>
      </c>
      <c r="G1348" s="24" t="s">
        <v>171</v>
      </c>
      <c r="H1348" s="35" t="s">
        <v>11043</v>
      </c>
      <c r="I1348" s="10" t="s">
        <v>11044</v>
      </c>
    </row>
    <row r="1349" spans="1:9" ht="30">
      <c r="A1349" s="4">
        <v>43560.750324074077</v>
      </c>
      <c r="B1349" s="5" t="str">
        <f>HYPERLINK("https://twitter.com/SteveMcPhilemy","@SteveMcPhilemy")</f>
        <v>@SteveMcPhilemy</v>
      </c>
      <c r="C1349" s="6" t="s">
        <v>11180</v>
      </c>
      <c r="D1349" s="7" t="s">
        <v>11181</v>
      </c>
      <c r="E1349" s="8" t="str">
        <f>HYPERLINK("http://twitter.com/download/iphone","Twitter for iPhone")</f>
        <v>Twitter for iPhone</v>
      </c>
      <c r="F1349" s="4">
        <v>39910.86278935185</v>
      </c>
      <c r="G1349" s="24" t="s">
        <v>171</v>
      </c>
      <c r="H1349" s="35" t="s">
        <v>11043</v>
      </c>
      <c r="I1349" s="10" t="s">
        <v>11182</v>
      </c>
    </row>
    <row r="1350" spans="1:9" ht="75">
      <c r="A1350" s="12">
        <v>43566.924849537041</v>
      </c>
      <c r="B1350" s="13" t="str">
        <f>HYPERLINK("https://twitter.com/NaturalNorfolk","@NaturalNorfolk")</f>
        <v>@NaturalNorfolk</v>
      </c>
      <c r="C1350" s="14" t="s">
        <v>5303</v>
      </c>
      <c r="D1350" s="15" t="s">
        <v>5304</v>
      </c>
      <c r="E1350" s="16" t="str">
        <f>HYPERLINK("http://instagram.com","Instagram")</f>
        <v>Instagram</v>
      </c>
      <c r="F1350" s="12">
        <v>41809.571111111109</v>
      </c>
      <c r="G1350" s="24" t="s">
        <v>171</v>
      </c>
      <c r="H1350" s="35" t="s">
        <v>5305</v>
      </c>
      <c r="I1350" s="18" t="s">
        <v>5306</v>
      </c>
    </row>
    <row r="1351" spans="1:9" ht="30">
      <c r="A1351" s="12">
        <v>43568.450937500005</v>
      </c>
      <c r="B1351" s="13" t="str">
        <f>HYPERLINK("https://twitter.com/R4nders","@R4nders")</f>
        <v>@R4nders</v>
      </c>
      <c r="C1351" s="14" t="s">
        <v>4761</v>
      </c>
      <c r="D1351" s="15" t="s">
        <v>4762</v>
      </c>
      <c r="E1351" s="16" t="str">
        <f>HYPERLINK("http://twitter.com/download/iphone","Twitter for iPhone")</f>
        <v>Twitter for iPhone</v>
      </c>
      <c r="F1351" s="12">
        <v>40252.160740740743</v>
      </c>
      <c r="G1351" s="17" t="s">
        <v>171</v>
      </c>
      <c r="H1351" s="35" t="s">
        <v>4763</v>
      </c>
      <c r="I1351" s="18" t="s">
        <v>4764</v>
      </c>
    </row>
    <row r="1352" spans="1:9" ht="90">
      <c r="A1352" s="19">
        <v>43542.568472222221</v>
      </c>
      <c r="B1352" s="20" t="str">
        <f>HYPERLINK("https://twitter.com/clagganmill","@clagganmill")</f>
        <v>@clagganmill</v>
      </c>
      <c r="C1352" s="21" t="s">
        <v>10099</v>
      </c>
      <c r="D1352" s="22" t="s">
        <v>10100</v>
      </c>
      <c r="E1352" s="23" t="str">
        <f>HYPERLINK("http://twitter.com/download/android","Twitter for Android")</f>
        <v>Twitter for Android</v>
      </c>
      <c r="F1352" s="19">
        <v>43460.223148148143</v>
      </c>
      <c r="G1352" s="17" t="s">
        <v>171</v>
      </c>
      <c r="H1352" s="35" t="s">
        <v>10101</v>
      </c>
      <c r="I1352" s="25" t="s">
        <v>10102</v>
      </c>
    </row>
    <row r="1353" spans="1:9" ht="105">
      <c r="A1353" s="4">
        <v>43561.208344907413</v>
      </c>
      <c r="B1353" s="5" t="str">
        <f>HYPERLINK("https://twitter.com/DomvsProperties","@DomvsProperties")</f>
        <v>@DomvsProperties</v>
      </c>
      <c r="C1353" s="6" t="s">
        <v>11027</v>
      </c>
      <c r="D1353" s="7" t="s">
        <v>11028</v>
      </c>
      <c r="E1353" s="8" t="str">
        <f>HYPERLINK("https://about.twitter.com/products/tweetdeck","TweetDeck")</f>
        <v>TweetDeck</v>
      </c>
      <c r="F1353" s="4">
        <v>40987.22079861111</v>
      </c>
      <c r="G1353" s="17" t="s">
        <v>171</v>
      </c>
      <c r="H1353" s="35" t="s">
        <v>11029</v>
      </c>
      <c r="I1353" s="10" t="s">
        <v>11030</v>
      </c>
    </row>
    <row r="1354" spans="1:9" ht="90">
      <c r="A1354" s="4">
        <v>43557.131562499999</v>
      </c>
      <c r="B1354" s="5" t="str">
        <f>HYPERLINK("https://twitter.com/KatePfau","@KatePfau")</f>
        <v>@KatePfau</v>
      </c>
      <c r="C1354" s="6" t="s">
        <v>12645</v>
      </c>
      <c r="D1354" s="7" t="s">
        <v>12646</v>
      </c>
      <c r="E1354" s="8" t="str">
        <f>HYPERLINK("https://buffer.com","Buffer")</f>
        <v>Buffer</v>
      </c>
      <c r="F1354" s="4">
        <v>40595.531701388885</v>
      </c>
      <c r="G1354" s="17" t="s">
        <v>171</v>
      </c>
      <c r="H1354" s="35" t="s">
        <v>12647</v>
      </c>
      <c r="I1354" s="10" t="s">
        <v>12648</v>
      </c>
    </row>
    <row r="1355" spans="1:9" ht="45">
      <c r="A1355" s="19">
        <v>43544.220162037032</v>
      </c>
      <c r="B1355" s="20" t="str">
        <f>HYPERLINK("https://twitter.com/NightwalkTeam","@NightwalkTeam")</f>
        <v>@NightwalkTeam</v>
      </c>
      <c r="C1355" s="21" t="s">
        <v>907</v>
      </c>
      <c r="D1355" s="22" t="s">
        <v>9577</v>
      </c>
      <c r="E1355" s="23" t="str">
        <f>HYPERLINK("https://mobile.twitter.com","Twitter Web App")</f>
        <v>Twitter Web App</v>
      </c>
      <c r="F1355" s="19">
        <v>39874.450266203705</v>
      </c>
      <c r="G1355" s="24" t="s">
        <v>171</v>
      </c>
      <c r="H1355" s="35" t="s">
        <v>909</v>
      </c>
      <c r="I1355" s="25" t="s">
        <v>910</v>
      </c>
    </row>
    <row r="1356" spans="1:9" ht="45">
      <c r="A1356" s="12">
        <v>43579.159988425927</v>
      </c>
      <c r="B1356" s="13" t="str">
        <f>HYPERLINK("https://twitter.com/NightwalkTeam","@NightwalkTeam")</f>
        <v>@NightwalkTeam</v>
      </c>
      <c r="C1356" s="14" t="s">
        <v>907</v>
      </c>
      <c r="D1356" s="15" t="s">
        <v>908</v>
      </c>
      <c r="E1356" s="16" t="str">
        <f>HYPERLINK("https://mobile.twitter.com","Twitter Web App")</f>
        <v>Twitter Web App</v>
      </c>
      <c r="F1356" s="12">
        <v>39874.450266203705</v>
      </c>
      <c r="G1356" s="24" t="s">
        <v>171</v>
      </c>
      <c r="H1356" s="35" t="s">
        <v>909</v>
      </c>
      <c r="I1356" s="18" t="s">
        <v>910</v>
      </c>
    </row>
    <row r="1357" spans="1:9" ht="30">
      <c r="A1357" s="12">
        <v>43580.136562500003</v>
      </c>
      <c r="B1357" s="13" t="str">
        <f>HYPERLINK("https://twitter.com/ormerodrutter","@ormerodrutter")</f>
        <v>@ormerodrutter</v>
      </c>
      <c r="C1357" s="14" t="s">
        <v>254</v>
      </c>
      <c r="D1357" s="15" t="s">
        <v>255</v>
      </c>
      <c r="E1357" s="16" t="str">
        <f>HYPERLINK("http://twitter.com","Twitter Web Client")</f>
        <v>Twitter Web Client</v>
      </c>
      <c r="F1357" s="12">
        <v>40696.348356481481</v>
      </c>
      <c r="G1357" s="17" t="s">
        <v>171</v>
      </c>
      <c r="H1357" s="35" t="s">
        <v>256</v>
      </c>
      <c r="I1357" s="18" t="s">
        <v>257</v>
      </c>
    </row>
    <row r="1358" spans="1:9" ht="75">
      <c r="A1358" s="19">
        <v>43544.283402777779</v>
      </c>
      <c r="B1358" s="20" t="str">
        <f>HYPERLINK("https://twitter.com/beth_os4","@beth_os4")</f>
        <v>@beth_os4</v>
      </c>
      <c r="C1358" s="21" t="s">
        <v>9555</v>
      </c>
      <c r="D1358" s="22" t="s">
        <v>9556</v>
      </c>
      <c r="E1358" s="23" t="str">
        <f>HYPERLINK("http://twitter.com/download/iphone","Twitter for iPhone")</f>
        <v>Twitter for iPhone</v>
      </c>
      <c r="F1358" s="19">
        <v>40951.252083333333</v>
      </c>
      <c r="G1358" s="24" t="s">
        <v>171</v>
      </c>
      <c r="H1358" s="35" t="s">
        <v>3451</v>
      </c>
      <c r="I1358" s="25" t="s">
        <v>9557</v>
      </c>
    </row>
    <row r="1359" spans="1:9" ht="75">
      <c r="A1359" s="12">
        <v>43572.061967592592</v>
      </c>
      <c r="B1359" s="13" t="str">
        <f>HYPERLINK("https://twitter.com/CosmeticBath","@CosmeticBath")</f>
        <v>@CosmeticBath</v>
      </c>
      <c r="C1359" s="14" t="s">
        <v>3449</v>
      </c>
      <c r="D1359" s="15" t="s">
        <v>3450</v>
      </c>
      <c r="E1359" s="16" t="str">
        <f>HYPERLINK("http://instagram.com","Instagram")</f>
        <v>Instagram</v>
      </c>
      <c r="F1359" s="12">
        <v>41352.316296296296</v>
      </c>
      <c r="G1359" s="24" t="s">
        <v>171</v>
      </c>
      <c r="H1359" s="35" t="s">
        <v>3451</v>
      </c>
      <c r="I1359" s="18" t="s">
        <v>3452</v>
      </c>
    </row>
    <row r="1360" spans="1:9" ht="45">
      <c r="A1360" s="12">
        <v>43569.213807870372</v>
      </c>
      <c r="B1360" s="13" t="str">
        <f>HYPERLINK("https://twitter.com/lorah2k","@lorah2k")</f>
        <v>@lorah2k</v>
      </c>
      <c r="C1360" s="14" t="s">
        <v>4575</v>
      </c>
      <c r="D1360" s="15" t="s">
        <v>4576</v>
      </c>
      <c r="E1360" s="16" t="str">
        <f>HYPERLINK("http://twitter.com/download/iphone","Twitter for iPhone")</f>
        <v>Twitter for iPhone</v>
      </c>
      <c r="F1360" s="12">
        <v>41310.291539351849</v>
      </c>
      <c r="G1360" s="24" t="s">
        <v>171</v>
      </c>
      <c r="H1360" s="35" t="s">
        <v>3451</v>
      </c>
      <c r="I1360" s="18" t="s">
        <v>4577</v>
      </c>
    </row>
    <row r="1361" spans="1:9" ht="60">
      <c r="A1361" s="4">
        <v>43563.742627314816</v>
      </c>
      <c r="B1361" s="5" t="str">
        <f>HYPERLINK("https://twitter.com/CMHaughey","@CMHaughey")</f>
        <v>@CMHaughey</v>
      </c>
      <c r="C1361" s="6" t="s">
        <v>6901</v>
      </c>
      <c r="D1361" s="7" t="s">
        <v>6902</v>
      </c>
      <c r="E1361" s="8" t="str">
        <f>HYPERLINK("http://twitter.com/download/iphone","Twitter for iPhone")</f>
        <v>Twitter for iPhone</v>
      </c>
      <c r="F1361" s="4">
        <v>40893.193773148145</v>
      </c>
      <c r="G1361" s="24" t="s">
        <v>171</v>
      </c>
      <c r="H1361" s="35" t="s">
        <v>6903</v>
      </c>
      <c r="I1361" s="10" t="s">
        <v>6904</v>
      </c>
    </row>
    <row r="1362" spans="1:9" ht="105">
      <c r="A1362" s="19">
        <v>43549.602870370371</v>
      </c>
      <c r="B1362" s="20" t="str">
        <f>HYPERLINK("https://twitter.com/NatashaRoccaDev","@NatashaRoccaDev")</f>
        <v>@NatashaRoccaDev</v>
      </c>
      <c r="C1362" s="21" t="s">
        <v>7964</v>
      </c>
      <c r="D1362" s="22" t="s">
        <v>7965</v>
      </c>
      <c r="E1362" s="23" t="str">
        <f>HYPERLINK("http://twitter.com/download/iphone","Twitter for iPhone")</f>
        <v>Twitter for iPhone</v>
      </c>
      <c r="F1362" s="19">
        <v>41137.283032407409</v>
      </c>
      <c r="G1362" s="24" t="s">
        <v>171</v>
      </c>
      <c r="H1362" s="35" t="s">
        <v>750</v>
      </c>
      <c r="I1362" s="25" t="s">
        <v>7966</v>
      </c>
    </row>
    <row r="1363" spans="1:9" ht="60">
      <c r="A1363" s="4">
        <v>43564.2496875</v>
      </c>
      <c r="B1363" s="5" t="str">
        <f>HYPERLINK("https://twitter.com/fairbnbclaim","@fairbnbclaim")</f>
        <v>@fairbnbclaim</v>
      </c>
      <c r="C1363" s="6" t="s">
        <v>6719</v>
      </c>
      <c r="D1363" s="7" t="s">
        <v>6720</v>
      </c>
      <c r="E1363" s="8" t="str">
        <f>HYPERLINK("http://twitter.com","Twitter Web Client")</f>
        <v>Twitter Web Client</v>
      </c>
      <c r="F1363" s="4">
        <v>42647.655578703707</v>
      </c>
      <c r="G1363" s="24" t="s">
        <v>171</v>
      </c>
      <c r="H1363" s="35" t="s">
        <v>750</v>
      </c>
      <c r="I1363" s="10" t="s">
        <v>6721</v>
      </c>
    </row>
    <row r="1364" spans="1:9" ht="30">
      <c r="A1364" s="4">
        <v>43564.110173611116</v>
      </c>
      <c r="B1364" s="5" t="str">
        <f>HYPERLINK("https://twitter.com/doctorwhofan1","@doctorwhofan1")</f>
        <v>@doctorwhofan1</v>
      </c>
      <c r="C1364" s="6" t="s">
        <v>6781</v>
      </c>
      <c r="D1364" s="7" t="s">
        <v>6782</v>
      </c>
      <c r="E1364" s="8" t="str">
        <f>HYPERLINK("http://twitter.com","Twitter Web Client")</f>
        <v>Twitter Web Client</v>
      </c>
      <c r="F1364" s="4">
        <v>39855.154479166667</v>
      </c>
      <c r="G1364" s="24" t="s">
        <v>171</v>
      </c>
      <c r="H1364" s="35" t="s">
        <v>750</v>
      </c>
      <c r="I1364" s="10" t="s">
        <v>6783</v>
      </c>
    </row>
    <row r="1365" spans="1:9" ht="45">
      <c r="A1365" s="4">
        <v>43563.315879629634</v>
      </c>
      <c r="B1365" s="5" t="str">
        <f>HYPERLINK("https://twitter.com/fingapp","@fingapp")</f>
        <v>@fingapp</v>
      </c>
      <c r="C1365" s="6" t="s">
        <v>2328</v>
      </c>
      <c r="D1365" s="7" t="s">
        <v>10380</v>
      </c>
      <c r="E1365" s="8" t="str">
        <f>HYPERLINK("http://twitter.com","Twitter Web Client")</f>
        <v>Twitter Web Client</v>
      </c>
      <c r="F1365" s="4">
        <v>39912.234560185185</v>
      </c>
      <c r="G1365" s="24" t="s">
        <v>171</v>
      </c>
      <c r="H1365" s="35" t="s">
        <v>750</v>
      </c>
      <c r="I1365" s="10" t="s">
        <v>2330</v>
      </c>
    </row>
    <row r="1366" spans="1:9" ht="45">
      <c r="A1366" s="4">
        <v>43558.326319444444</v>
      </c>
      <c r="B1366" s="5" t="str">
        <f>HYPERLINK("https://twitter.com/Element78Space","@Element78Space")</f>
        <v>@Element78Space</v>
      </c>
      <c r="C1366" s="6" t="s">
        <v>12240</v>
      </c>
      <c r="D1366" s="7" t="s">
        <v>12241</v>
      </c>
      <c r="E1366" s="8" t="str">
        <f>HYPERLINK("http://twitter.com","Twitter Web Client")</f>
        <v>Twitter Web Client</v>
      </c>
      <c r="F1366" s="4">
        <v>42257.331666666665</v>
      </c>
      <c r="G1366" s="24" t="s">
        <v>171</v>
      </c>
      <c r="H1366" s="35" t="s">
        <v>750</v>
      </c>
      <c r="I1366" s="10" t="s">
        <v>12242</v>
      </c>
    </row>
    <row r="1367" spans="1:9" ht="30">
      <c r="A1367" s="12">
        <v>43579.340092592596</v>
      </c>
      <c r="B1367" s="13" t="str">
        <f>HYPERLINK("https://twitter.com/collegetimesct","@collegetimesct")</f>
        <v>@collegetimesct</v>
      </c>
      <c r="C1367" s="13" t="s">
        <v>748</v>
      </c>
      <c r="D1367" s="15" t="s">
        <v>749</v>
      </c>
      <c r="E1367" s="16" t="str">
        <f>HYPERLINK("https://about.twitter.com/products/tweetdeck","TweetDeck")</f>
        <v>TweetDeck</v>
      </c>
      <c r="F1367" s="12">
        <v>41242.30909722222</v>
      </c>
      <c r="G1367" s="24" t="s">
        <v>171</v>
      </c>
      <c r="H1367" s="35" t="s">
        <v>750</v>
      </c>
      <c r="I1367" s="18" t="s">
        <v>751</v>
      </c>
    </row>
    <row r="1368" spans="1:9" ht="60">
      <c r="A1368" s="12">
        <v>43575.250324074077</v>
      </c>
      <c r="B1368" s="13" t="str">
        <f>HYPERLINK("https://twitter.com/fingapp","@fingapp")</f>
        <v>@fingapp</v>
      </c>
      <c r="C1368" s="14" t="s">
        <v>2328</v>
      </c>
      <c r="D1368" s="15" t="s">
        <v>2329</v>
      </c>
      <c r="E1368" s="16" t="str">
        <f>HYPERLINK("https://sproutsocial.com","Sprout Social")</f>
        <v>Sprout Social</v>
      </c>
      <c r="F1368" s="12">
        <v>39912.234560185185</v>
      </c>
      <c r="G1368" s="24" t="s">
        <v>171</v>
      </c>
      <c r="H1368" s="35" t="s">
        <v>750</v>
      </c>
      <c r="I1368" s="18" t="s">
        <v>2330</v>
      </c>
    </row>
    <row r="1369" spans="1:9" ht="60">
      <c r="A1369" s="12">
        <v>43573.325821759259</v>
      </c>
      <c r="B1369" s="13" t="str">
        <f>HYPERLINK("https://twitter.com/fingapp","@fingapp")</f>
        <v>@fingapp</v>
      </c>
      <c r="C1369" s="14" t="s">
        <v>2328</v>
      </c>
      <c r="D1369" s="15" t="s">
        <v>2929</v>
      </c>
      <c r="E1369" s="16" t="str">
        <f>HYPERLINK("http://twitter.com","Twitter Web Client")</f>
        <v>Twitter Web Client</v>
      </c>
      <c r="F1369" s="12">
        <v>39912.234560185185</v>
      </c>
      <c r="G1369" s="24" t="s">
        <v>171</v>
      </c>
      <c r="H1369" s="35" t="s">
        <v>750</v>
      </c>
      <c r="I1369" s="18" t="s">
        <v>2330</v>
      </c>
    </row>
    <row r="1370" spans="1:9" ht="90">
      <c r="A1370" s="12">
        <v>43572.297013888892</v>
      </c>
      <c r="B1370" s="13" t="str">
        <f>HYPERLINK("https://twitter.com/RentalProperty8","@RentalProperty8")</f>
        <v>@RentalProperty8</v>
      </c>
      <c r="C1370" s="14" t="s">
        <v>3345</v>
      </c>
      <c r="D1370" s="15" t="s">
        <v>3346</v>
      </c>
      <c r="E1370" s="16" t="str">
        <f>HYPERLINK("http://twitter.com","Twitter Web Client")</f>
        <v>Twitter Web Client</v>
      </c>
      <c r="F1370" s="12">
        <v>43265.461643518516</v>
      </c>
      <c r="G1370" s="24" t="s">
        <v>171</v>
      </c>
      <c r="H1370" s="35" t="s">
        <v>750</v>
      </c>
      <c r="I1370" s="18" t="s">
        <v>3347</v>
      </c>
    </row>
    <row r="1371" spans="1:9" ht="90">
      <c r="A1371" s="12">
        <v>43571.19331018519</v>
      </c>
      <c r="B1371" s="13" t="str">
        <f>HYPERLINK("https://twitter.com/fingapp","@fingapp")</f>
        <v>@fingapp</v>
      </c>
      <c r="C1371" s="14" t="s">
        <v>2328</v>
      </c>
      <c r="D1371" s="15" t="s">
        <v>3806</v>
      </c>
      <c r="E1371" s="16" t="str">
        <f>HYPERLINK("http://twitter.com","Twitter Web Client")</f>
        <v>Twitter Web Client</v>
      </c>
      <c r="F1371" s="12">
        <v>39912.234560185185</v>
      </c>
      <c r="G1371" s="24" t="s">
        <v>171</v>
      </c>
      <c r="H1371" s="35" t="s">
        <v>750</v>
      </c>
      <c r="I1371" s="18" t="s">
        <v>2330</v>
      </c>
    </row>
    <row r="1372" spans="1:9" ht="90">
      <c r="A1372" s="12">
        <v>43566.461215277777</v>
      </c>
      <c r="B1372" s="13" t="str">
        <f>HYPERLINK("https://twitter.com/cwoarchitects","@cwoarchitects")</f>
        <v>@cwoarchitects</v>
      </c>
      <c r="C1372" s="14" t="s">
        <v>5512</v>
      </c>
      <c r="D1372" s="15" t="s">
        <v>5513</v>
      </c>
      <c r="E1372" s="16" t="str">
        <f>HYPERLINK("http://twitter.com/download/android","Twitter for Android")</f>
        <v>Twitter for Android</v>
      </c>
      <c r="F1372" s="12">
        <v>43235.149282407408</v>
      </c>
      <c r="G1372" s="24" t="s">
        <v>171</v>
      </c>
      <c r="H1372" s="35" t="s">
        <v>750</v>
      </c>
      <c r="I1372" s="18" t="s">
        <v>5514</v>
      </c>
    </row>
    <row r="1373" spans="1:9" ht="45">
      <c r="A1373" s="4">
        <v>43563.736238425925</v>
      </c>
      <c r="B1373" s="5" t="str">
        <f>HYPERLINK("https://twitter.com/Michaelkelly707","@Michaelkelly707")</f>
        <v>@Michaelkelly707</v>
      </c>
      <c r="C1373" s="6" t="s">
        <v>6905</v>
      </c>
      <c r="D1373" s="7" t="s">
        <v>6906</v>
      </c>
      <c r="E1373" s="8" t="str">
        <f>HYPERLINK("http://twitter.com","Twitter Web Client")</f>
        <v>Twitter Web Client</v>
      </c>
      <c r="F1373" s="4">
        <v>41209.237025462964</v>
      </c>
      <c r="G1373" s="24" t="s">
        <v>171</v>
      </c>
      <c r="H1373" s="35" t="s">
        <v>2603</v>
      </c>
      <c r="I1373" s="10" t="s">
        <v>6907</v>
      </c>
    </row>
    <row r="1374" spans="1:9" ht="45">
      <c r="A1374" s="4">
        <v>43561.637048611112</v>
      </c>
      <c r="B1374" s="5" t="str">
        <f>HYPERLINK("https://twitter.com/sean__harrison","@sean__harrison")</f>
        <v>@sean__harrison</v>
      </c>
      <c r="C1374" s="6" t="s">
        <v>10891</v>
      </c>
      <c r="D1374" s="7" t="s">
        <v>10892</v>
      </c>
      <c r="E1374" s="8" t="str">
        <f>HYPERLINK("https://sean-harrison.net","sean-harrison.net")</f>
        <v>sean-harrison.net</v>
      </c>
      <c r="F1374" s="4">
        <v>41859.140428240738</v>
      </c>
      <c r="G1374" s="24" t="s">
        <v>171</v>
      </c>
      <c r="H1374" s="35" t="s">
        <v>2603</v>
      </c>
      <c r="I1374" s="10" t="s">
        <v>10893</v>
      </c>
    </row>
    <row r="1375" spans="1:9" ht="135">
      <c r="A1375" s="4">
        <v>43560.477523148147</v>
      </c>
      <c r="B1375" s="5" t="str">
        <f>HYPERLINK("https://twitter.com/DeirdreKilroy","@DeirdreKilroy")</f>
        <v>@DeirdreKilroy</v>
      </c>
      <c r="C1375" s="6" t="s">
        <v>11344</v>
      </c>
      <c r="D1375" s="7" t="s">
        <v>11345</v>
      </c>
      <c r="E1375" s="8" t="str">
        <f>HYPERLINK("http://twitter.com/download/iphone","Twitter for iPhone")</f>
        <v>Twitter for iPhone</v>
      </c>
      <c r="F1375" s="4">
        <v>39877.068206018521</v>
      </c>
      <c r="G1375" s="24" t="s">
        <v>171</v>
      </c>
      <c r="H1375" s="35" t="s">
        <v>2603</v>
      </c>
      <c r="I1375" s="10" t="s">
        <v>11346</v>
      </c>
    </row>
    <row r="1376" spans="1:9" ht="135">
      <c r="A1376" s="4">
        <v>43560.429479166662</v>
      </c>
      <c r="B1376" s="5" t="str">
        <f>HYPERLINK("https://twitter.com/MChouikrat","@MChouikrat")</f>
        <v>@MChouikrat</v>
      </c>
      <c r="C1376" s="6" t="s">
        <v>11381</v>
      </c>
      <c r="D1376" s="7" t="s">
        <v>11382</v>
      </c>
      <c r="E1376" s="8" t="str">
        <f>HYPERLINK("http://twitter.com/download/iphone","Twitter for iPhone")</f>
        <v>Twitter for iPhone</v>
      </c>
      <c r="F1376" s="4">
        <v>41932.109409722223</v>
      </c>
      <c r="G1376" s="24" t="s">
        <v>171</v>
      </c>
      <c r="H1376" s="35" t="s">
        <v>2603</v>
      </c>
      <c r="I1376" s="10" t="s">
        <v>11383</v>
      </c>
    </row>
    <row r="1377" spans="1:9" ht="45">
      <c r="A1377" s="4">
        <v>43560.291967592595</v>
      </c>
      <c r="B1377" s="5" t="str">
        <f>HYPERLINK("https://twitter.com/hospitality_irl","@hospitality_irl")</f>
        <v>@hospitality_irl</v>
      </c>
      <c r="C1377" s="6" t="s">
        <v>2601</v>
      </c>
      <c r="D1377" s="7" t="s">
        <v>11494</v>
      </c>
      <c r="E1377" s="8" t="str">
        <f>HYPERLINK("https://www.hootsuite.com","Hootsuite Inc.")</f>
        <v>Hootsuite Inc.</v>
      </c>
      <c r="F1377" s="4">
        <v>40724.063113425924</v>
      </c>
      <c r="G1377" s="24" t="s">
        <v>171</v>
      </c>
      <c r="H1377" s="35" t="s">
        <v>2603</v>
      </c>
      <c r="I1377" s="10" t="s">
        <v>2604</v>
      </c>
    </row>
    <row r="1378" spans="1:9" ht="45">
      <c r="A1378" s="4">
        <v>43560.291608796295</v>
      </c>
      <c r="B1378" s="5" t="str">
        <f>HYPERLINK("https://twitter.com/fbarry","@fbarry")</f>
        <v>@fbarry</v>
      </c>
      <c r="C1378" s="6" t="s">
        <v>11495</v>
      </c>
      <c r="D1378" s="7" t="s">
        <v>11496</v>
      </c>
      <c r="E1378" s="8" t="str">
        <f>HYPERLINK("http://twitter.com","Twitter Web Client")</f>
        <v>Twitter Web Client</v>
      </c>
      <c r="F1378" s="4">
        <v>39815.25949074074</v>
      </c>
      <c r="G1378" s="24" t="s">
        <v>171</v>
      </c>
      <c r="H1378" s="35" t="s">
        <v>2603</v>
      </c>
      <c r="I1378" s="10" t="s">
        <v>11497</v>
      </c>
    </row>
    <row r="1379" spans="1:9" ht="45">
      <c r="A1379" s="12">
        <v>43574.312650462962</v>
      </c>
      <c r="B1379" s="13" t="str">
        <f>HYPERLINK("https://twitter.com/hospitality_irl","@hospitality_irl")</f>
        <v>@hospitality_irl</v>
      </c>
      <c r="C1379" s="14" t="s">
        <v>2601</v>
      </c>
      <c r="D1379" s="15" t="s">
        <v>2602</v>
      </c>
      <c r="E1379" s="16" t="str">
        <f>HYPERLINK("https://www.hootsuite.com","Hootsuite Inc.")</f>
        <v>Hootsuite Inc.</v>
      </c>
      <c r="F1379" s="12">
        <v>40724.063113425924</v>
      </c>
      <c r="G1379" s="24" t="s">
        <v>171</v>
      </c>
      <c r="H1379" s="35" t="s">
        <v>2603</v>
      </c>
      <c r="I1379" s="18" t="s">
        <v>2604</v>
      </c>
    </row>
    <row r="1380" spans="1:9" ht="45">
      <c r="A1380" s="12">
        <v>43572.089224537034</v>
      </c>
      <c r="B1380" s="13" t="str">
        <f>HYPERLINK("https://twitter.com/richwtalbot","@richwtalbot")</f>
        <v>@richwtalbot</v>
      </c>
      <c r="C1380" s="14" t="s">
        <v>3439</v>
      </c>
      <c r="D1380" s="15" t="s">
        <v>3440</v>
      </c>
      <c r="E1380" s="16" t="str">
        <f>HYPERLINK("https://buffer.com","Buffer")</f>
        <v>Buffer</v>
      </c>
      <c r="F1380" s="12">
        <v>40384.35428240741</v>
      </c>
      <c r="G1380" s="24" t="s">
        <v>171</v>
      </c>
      <c r="H1380" s="35" t="s">
        <v>2603</v>
      </c>
      <c r="I1380" s="18" t="s">
        <v>3441</v>
      </c>
    </row>
    <row r="1381" spans="1:9" ht="75">
      <c r="A1381" s="12">
        <v>43569.291666666672</v>
      </c>
      <c r="B1381" s="13" t="str">
        <f>HYPERLINK("https://twitter.com/siliconrepublic","@siliconrepublic")</f>
        <v>@siliconrepublic</v>
      </c>
      <c r="C1381" s="14" t="s">
        <v>4562</v>
      </c>
      <c r="D1381" s="15" t="s">
        <v>4563</v>
      </c>
      <c r="E1381" s="16" t="str">
        <f>HYPERLINK("https://ads-api.twitter.com","Twitter Ads Composer")</f>
        <v>Twitter Ads Composer</v>
      </c>
      <c r="F1381" s="12">
        <v>39552.294803240744</v>
      </c>
      <c r="G1381" s="24" t="s">
        <v>171</v>
      </c>
      <c r="H1381" s="35" t="s">
        <v>2603</v>
      </c>
      <c r="I1381" s="18" t="s">
        <v>4564</v>
      </c>
    </row>
    <row r="1382" spans="1:9" ht="30">
      <c r="A1382" s="12">
        <v>43574.562048611115</v>
      </c>
      <c r="B1382" s="13" t="str">
        <f>HYPERLINK("https://twitter.com/jortizsabate","@jortizsabate")</f>
        <v>@jortizsabate</v>
      </c>
      <c r="C1382" s="14" t="s">
        <v>2510</v>
      </c>
      <c r="D1382" s="15" t="s">
        <v>2511</v>
      </c>
      <c r="E1382" s="16" t="str">
        <f>HYPERLINK("http://twitter.com/download/iphone","Twitter for iPhone")</f>
        <v>Twitter for iPhone</v>
      </c>
      <c r="F1382" s="12">
        <v>41380.36655092593</v>
      </c>
      <c r="G1382" s="24" t="s">
        <v>171</v>
      </c>
      <c r="H1382" s="35" t="s">
        <v>2512</v>
      </c>
      <c r="I1382" s="18" t="s">
        <v>2513</v>
      </c>
    </row>
    <row r="1383" spans="1:9" ht="60">
      <c r="A1383" s="4">
        <v>43560.37027777778</v>
      </c>
      <c r="B1383" s="5" t="str">
        <f>HYPERLINK("https://twitter.com/caulmick","@caulmick")</f>
        <v>@caulmick</v>
      </c>
      <c r="C1383" s="6" t="s">
        <v>11412</v>
      </c>
      <c r="D1383" s="7" t="s">
        <v>11413</v>
      </c>
      <c r="E1383" s="8" t="str">
        <f>HYPERLINK("http://twitter.com/download/android","Twitter for Android")</f>
        <v>Twitter for Android</v>
      </c>
      <c r="F1383" s="4">
        <v>40688.307453703703</v>
      </c>
      <c r="G1383" s="24" t="s">
        <v>171</v>
      </c>
      <c r="H1383" s="35" t="s">
        <v>11414</v>
      </c>
      <c r="I1383" s="10" t="s">
        <v>11415</v>
      </c>
    </row>
    <row r="1384" spans="1:9" ht="45">
      <c r="A1384" s="4">
        <v>43559.478333333333</v>
      </c>
      <c r="B1384" s="5" t="str">
        <f>HYPERLINK("https://twitter.com/RealCormacE","@RealCormacE")</f>
        <v>@RealCormacE</v>
      </c>
      <c r="C1384" s="6" t="s">
        <v>11792</v>
      </c>
      <c r="D1384" s="7" t="s">
        <v>11793</v>
      </c>
      <c r="E1384" s="8" t="str">
        <f>HYPERLINK("https://mobile.twitter.com","Twitter Web App")</f>
        <v>Twitter Web App</v>
      </c>
      <c r="F1384" s="4">
        <v>40319.145057870366</v>
      </c>
      <c r="G1384" s="24" t="s">
        <v>171</v>
      </c>
      <c r="H1384" s="35" t="s">
        <v>11794</v>
      </c>
      <c r="I1384" s="10" t="s">
        <v>11795</v>
      </c>
    </row>
    <row r="1385" spans="1:9" ht="45">
      <c r="A1385" s="12">
        <v>43572.366412037038</v>
      </c>
      <c r="B1385" s="13" t="str">
        <f>HYPERLINK("https://twitter.com/DubrovnikTimes","@DubrovnikTimes")</f>
        <v>@DubrovnikTimes</v>
      </c>
      <c r="C1385" s="14" t="s">
        <v>3293</v>
      </c>
      <c r="D1385" s="15" t="s">
        <v>3294</v>
      </c>
      <c r="E1385" s="16" t="str">
        <f>HYPERLINK("https://buffer.com","Buffer")</f>
        <v>Buffer</v>
      </c>
      <c r="F1385" s="12">
        <v>40177.067280092597</v>
      </c>
      <c r="G1385" s="17" t="s">
        <v>171</v>
      </c>
      <c r="H1385" s="35" t="s">
        <v>3295</v>
      </c>
      <c r="I1385" s="18" t="s">
        <v>3296</v>
      </c>
    </row>
    <row r="1386" spans="1:9" ht="60">
      <c r="A1386" s="4">
        <v>43565.386666666665</v>
      </c>
      <c r="B1386" s="5" t="str">
        <f>HYPERLINK("https://twitter.com/ArtistOfKouroo","@ArtistOfKouroo")</f>
        <v>@ArtistOfKouroo</v>
      </c>
      <c r="C1386" s="6" t="s">
        <v>6121</v>
      </c>
      <c r="D1386" s="7" t="s">
        <v>6122</v>
      </c>
      <c r="E1386" s="8" t="str">
        <f>HYPERLINK("http://twitter.com/download/android","Twitter for Android")</f>
        <v>Twitter for Android</v>
      </c>
      <c r="F1386" s="4">
        <v>41613.611701388887</v>
      </c>
      <c r="G1386" s="17" t="s">
        <v>171</v>
      </c>
      <c r="H1386" s="35" t="s">
        <v>6123</v>
      </c>
      <c r="I1386" s="10" t="s">
        <v>6124</v>
      </c>
    </row>
    <row r="1387" spans="1:9" ht="90">
      <c r="A1387" s="19">
        <v>43542.575428240743</v>
      </c>
      <c r="B1387" s="20" t="str">
        <f>HYPERLINK("https://twitter.com/AndTheGarden","@AndTheGarden")</f>
        <v>@AndTheGarden</v>
      </c>
      <c r="C1387" s="21" t="s">
        <v>10095</v>
      </c>
      <c r="D1387" s="22" t="s">
        <v>10096</v>
      </c>
      <c r="E1387" s="23" t="str">
        <f>HYPERLINK("http://twitter.com","Twitter Web Client")</f>
        <v>Twitter Web Client</v>
      </c>
      <c r="F1387" s="19">
        <v>40667.36136574074</v>
      </c>
      <c r="G1387" s="24" t="s">
        <v>171</v>
      </c>
      <c r="H1387" s="35" t="s">
        <v>10097</v>
      </c>
      <c r="I1387" s="25" t="s">
        <v>10098</v>
      </c>
    </row>
    <row r="1388" spans="1:9" ht="60">
      <c r="A1388" s="12">
        <v>43568.468703703707</v>
      </c>
      <c r="B1388" s="13" t="str">
        <f>HYPERLINK("https://twitter.com/AtCoombe","@AtCoombe")</f>
        <v>@AtCoombe</v>
      </c>
      <c r="C1388" s="14" t="s">
        <v>4748</v>
      </c>
      <c r="D1388" s="15" t="s">
        <v>4749</v>
      </c>
      <c r="E1388" s="16" t="str">
        <f>HYPERLINK("http://twitter.com/download/iphone","Twitter for iPhone")</f>
        <v>Twitter for iPhone</v>
      </c>
      <c r="F1388" s="12">
        <v>41795.158634259264</v>
      </c>
      <c r="G1388" s="24" t="s">
        <v>171</v>
      </c>
      <c r="H1388" s="35" t="s">
        <v>4750</v>
      </c>
      <c r="I1388" s="18" t="s">
        <v>4751</v>
      </c>
    </row>
    <row r="1389" spans="1:9" ht="60">
      <c r="A1389" s="4">
        <v>43557.048738425925</v>
      </c>
      <c r="B1389" s="5" t="str">
        <f>HYPERLINK("https://twitter.com/HilGibb","@HilGibb")</f>
        <v>@HilGibb</v>
      </c>
      <c r="C1389" s="6" t="s">
        <v>12659</v>
      </c>
      <c r="D1389" s="7" t="s">
        <v>12660</v>
      </c>
      <c r="E1389" s="8" t="str">
        <f>HYPERLINK("https://www.hootsuite.com","Hootsuite Inc.")</f>
        <v>Hootsuite Inc.</v>
      </c>
      <c r="F1389" s="4">
        <v>40408.51053240741</v>
      </c>
      <c r="G1389" s="24" t="s">
        <v>171</v>
      </c>
      <c r="H1389" s="35" t="s">
        <v>12661</v>
      </c>
      <c r="I1389" s="10" t="s">
        <v>12662</v>
      </c>
    </row>
    <row r="1390" spans="1:9" ht="45">
      <c r="A1390" s="4">
        <v>43563.960775462961</v>
      </c>
      <c r="B1390" s="5" t="str">
        <f>HYPERLINK("https://twitter.com/michelletwinmum","@michelletwinmum")</f>
        <v>@michelletwinmum</v>
      </c>
      <c r="C1390" s="6" t="s">
        <v>6841</v>
      </c>
      <c r="D1390" s="7" t="s">
        <v>6842</v>
      </c>
      <c r="E1390" s="8" t="str">
        <f>HYPERLINK("https://missinglettr.com","Missinglettr")</f>
        <v>Missinglettr</v>
      </c>
      <c r="F1390" s="4">
        <v>40189.187164351853</v>
      </c>
      <c r="G1390" s="24" t="s">
        <v>171</v>
      </c>
      <c r="H1390" s="35" t="s">
        <v>6843</v>
      </c>
      <c r="I1390" s="10" t="s">
        <v>6844</v>
      </c>
    </row>
    <row r="1391" spans="1:9" ht="120">
      <c r="A1391" s="19">
        <v>43543.371701388889</v>
      </c>
      <c r="B1391" s="20" t="str">
        <f>HYPERLINK("https://twitter.com/BeesHomes","@BeesHomes")</f>
        <v>@BeesHomes</v>
      </c>
      <c r="C1391" s="21" t="s">
        <v>9839</v>
      </c>
      <c r="D1391" s="22" t="s">
        <v>9840</v>
      </c>
      <c r="E1391" s="23" t="str">
        <f>HYPERLINK("http://twitter.com/download/iphone","Twitter for iPhone")</f>
        <v>Twitter for iPhone</v>
      </c>
      <c r="F1391" s="19">
        <v>42839.439537037033</v>
      </c>
      <c r="G1391" s="24" t="s">
        <v>171</v>
      </c>
      <c r="H1391" s="35" t="s">
        <v>9841</v>
      </c>
      <c r="I1391" s="25" t="s">
        <v>9842</v>
      </c>
    </row>
    <row r="1392" spans="1:9" ht="30">
      <c r="A1392" s="4">
        <v>43559.508136574077</v>
      </c>
      <c r="B1392" s="5" t="str">
        <f>HYPERLINK("https://twitter.com/ISeiferheld","@ISeiferheld")</f>
        <v>@ISeiferheld</v>
      </c>
      <c r="C1392" s="6" t="s">
        <v>11785</v>
      </c>
      <c r="D1392" s="7" t="s">
        <v>11786</v>
      </c>
      <c r="E1392" s="8" t="str">
        <f>HYPERLINK("http://twitter.com/download/iphone","Twitter for iPhone")</f>
        <v>Twitter for iPhone</v>
      </c>
      <c r="F1392" s="4">
        <v>39965.335902777777</v>
      </c>
      <c r="G1392" s="17" t="s">
        <v>171</v>
      </c>
      <c r="H1392" s="35" t="s">
        <v>1989</v>
      </c>
      <c r="I1392" s="10" t="s">
        <v>11787</v>
      </c>
    </row>
    <row r="1393" spans="1:9" ht="105">
      <c r="A1393" s="4">
        <v>43559.14880787037</v>
      </c>
      <c r="B1393" s="5" t="str">
        <f>HYPERLINK("https://twitter.com/EdCentreCC","@EdCentreCC")</f>
        <v>@EdCentreCC</v>
      </c>
      <c r="C1393" s="6" t="s">
        <v>11928</v>
      </c>
      <c r="D1393" s="7" t="s">
        <v>11929</v>
      </c>
      <c r="E1393" s="8" t="str">
        <f>HYPERLINK("http://twitter.com","Twitter Web Client")</f>
        <v>Twitter Web Client</v>
      </c>
      <c r="F1393" s="4">
        <v>40739.364571759259</v>
      </c>
      <c r="G1393" s="17" t="s">
        <v>171</v>
      </c>
      <c r="H1393" s="35" t="s">
        <v>1989</v>
      </c>
      <c r="I1393" s="10" t="s">
        <v>11930</v>
      </c>
    </row>
    <row r="1394" spans="1:9" ht="60">
      <c r="A1394" s="12">
        <v>43576.347384259258</v>
      </c>
      <c r="B1394" s="13" t="str">
        <f>HYPERLINK("https://twitter.com/CaroleMagoha","@CaroleMagoha")</f>
        <v>@CaroleMagoha</v>
      </c>
      <c r="C1394" s="14" t="s">
        <v>1987</v>
      </c>
      <c r="D1394" s="15" t="s">
        <v>1988</v>
      </c>
      <c r="E1394" s="16" t="str">
        <f>HYPERLINK("http://twitter.com/download/android","Twitter for Android")</f>
        <v>Twitter for Android</v>
      </c>
      <c r="F1394" s="12">
        <v>41004.535486111112</v>
      </c>
      <c r="G1394" s="17" t="s">
        <v>171</v>
      </c>
      <c r="H1394" s="35" t="s">
        <v>1989</v>
      </c>
      <c r="I1394" s="18" t="s">
        <v>1990</v>
      </c>
    </row>
    <row r="1395" spans="1:9" ht="75">
      <c r="A1395" s="12">
        <v>43573.287048611106</v>
      </c>
      <c r="B1395" s="13" t="str">
        <f>HYPERLINK("https://twitter.com/sewMairiB","@sewMairiB")</f>
        <v>@sewMairiB</v>
      </c>
      <c r="C1395" s="14" t="s">
        <v>2943</v>
      </c>
      <c r="D1395" s="15" t="s">
        <v>2944</v>
      </c>
      <c r="E1395" s="16" t="str">
        <f>HYPERLINK("http://instagram.com","Instagram")</f>
        <v>Instagram</v>
      </c>
      <c r="F1395" s="12">
        <v>41768.516631944447</v>
      </c>
      <c r="G1395" s="17" t="s">
        <v>171</v>
      </c>
      <c r="H1395" s="35" t="s">
        <v>1989</v>
      </c>
      <c r="I1395" s="18" t="s">
        <v>2945</v>
      </c>
    </row>
    <row r="1396" spans="1:9" ht="45">
      <c r="A1396" s="12">
        <v>43572.511828703704</v>
      </c>
      <c r="B1396" s="13" t="str">
        <f>HYPERLINK("https://twitter.com/GrantMcgregorIT","@GrantMcgregorIT")</f>
        <v>@GrantMcgregorIT</v>
      </c>
      <c r="C1396" s="14" t="s">
        <v>3200</v>
      </c>
      <c r="D1396" s="15" t="s">
        <v>3201</v>
      </c>
      <c r="E1396" s="16" t="str">
        <f>HYPERLINK("https://buffer.com","Buffer")</f>
        <v>Buffer</v>
      </c>
      <c r="F1396" s="12">
        <v>40965.531157407408</v>
      </c>
      <c r="G1396" s="17" t="s">
        <v>171</v>
      </c>
      <c r="H1396" s="35" t="s">
        <v>1989</v>
      </c>
      <c r="I1396" s="18" t="s">
        <v>3202</v>
      </c>
    </row>
    <row r="1397" spans="1:9" ht="90">
      <c r="A1397" s="12">
        <v>43570.678715277776</v>
      </c>
      <c r="B1397" s="13" t="str">
        <f>HYPERLINK("https://twitter.com/_PenguinFlight","@_PenguinFlight")</f>
        <v>@_PenguinFlight</v>
      </c>
      <c r="C1397" s="14" t="s">
        <v>3999</v>
      </c>
      <c r="D1397" s="15" t="s">
        <v>4000</v>
      </c>
      <c r="E1397" s="16" t="str">
        <f>HYPERLINK("http://twitter.com","Twitter Web Client")</f>
        <v>Twitter Web Client</v>
      </c>
      <c r="F1397" s="12">
        <v>42000.578773148147</v>
      </c>
      <c r="G1397" s="17" t="s">
        <v>171</v>
      </c>
      <c r="H1397" s="35" t="s">
        <v>1989</v>
      </c>
      <c r="I1397" s="18" t="s">
        <v>4001</v>
      </c>
    </row>
    <row r="1398" spans="1:9" ht="60">
      <c r="A1398" s="19">
        <v>43550.590543981481</v>
      </c>
      <c r="B1398" s="20" t="str">
        <f>HYPERLINK("https://twitter.com/AletheaSportMed","@AletheaSportMed")</f>
        <v>@AletheaSportMed</v>
      </c>
      <c r="C1398" s="21" t="s">
        <v>7599</v>
      </c>
      <c r="D1398" s="22" t="s">
        <v>7600</v>
      </c>
      <c r="E1398" s="23" t="str">
        <f>HYPERLINK("http://twitter.com/download/iphone","Twitter for iPhone")</f>
        <v>Twitter for iPhone</v>
      </c>
      <c r="F1398" s="19">
        <v>40871.128622685181</v>
      </c>
      <c r="G1398" s="17" t="s">
        <v>171</v>
      </c>
      <c r="H1398" s="35" t="s">
        <v>42</v>
      </c>
      <c r="I1398" s="25" t="s">
        <v>7601</v>
      </c>
    </row>
    <row r="1399" spans="1:9" ht="75">
      <c r="A1399" s="19">
        <v>43547.267326388886</v>
      </c>
      <c r="B1399" s="20" t="str">
        <f>HYPERLINK("https://twitter.com/LitCors","@LitCors")</f>
        <v>@LitCors</v>
      </c>
      <c r="C1399" s="21" t="s">
        <v>8610</v>
      </c>
      <c r="D1399" s="22" t="s">
        <v>8611</v>
      </c>
      <c r="E1399" s="23" t="str">
        <f>HYPERLINK("https://mobile.twitter.com","Twitter Web App")</f>
        <v>Twitter Web App</v>
      </c>
      <c r="F1399" s="19">
        <v>42901.384456018517</v>
      </c>
      <c r="G1399" s="17" t="s">
        <v>171</v>
      </c>
      <c r="H1399" s="35" t="s">
        <v>42</v>
      </c>
      <c r="I1399" s="25" t="s">
        <v>8612</v>
      </c>
    </row>
    <row r="1400" spans="1:9" ht="210">
      <c r="A1400" s="19">
        <v>43545.270416666666</v>
      </c>
      <c r="B1400" s="20" t="str">
        <f>HYPERLINK("https://twitter.com/cnocanview","@cnocanview")</f>
        <v>@cnocanview</v>
      </c>
      <c r="C1400" s="21" t="s">
        <v>2988</v>
      </c>
      <c r="D1400" s="22" t="s">
        <v>9224</v>
      </c>
      <c r="E1400" s="23" t="str">
        <f>HYPERLINK("http://twitter.com/download/android","Twitter for Android")</f>
        <v>Twitter for Android</v>
      </c>
      <c r="F1400" s="19">
        <v>40674.150902777779</v>
      </c>
      <c r="G1400" s="17" t="s">
        <v>171</v>
      </c>
      <c r="H1400" s="35" t="s">
        <v>42</v>
      </c>
      <c r="I1400" s="25" t="s">
        <v>2990</v>
      </c>
    </row>
    <row r="1401" spans="1:9" ht="105">
      <c r="A1401" s="19">
        <v>43544.039490740739</v>
      </c>
      <c r="B1401" s="20" t="str">
        <f>HYPERLINK("https://twitter.com/cnocanview","@cnocanview")</f>
        <v>@cnocanview</v>
      </c>
      <c r="C1401" s="21" t="s">
        <v>2988</v>
      </c>
      <c r="D1401" s="22" t="s">
        <v>9630</v>
      </c>
      <c r="E1401" s="23" t="str">
        <f>HYPERLINK("http://twitter.com","Twitter Web Client")</f>
        <v>Twitter Web Client</v>
      </c>
      <c r="F1401" s="19">
        <v>40674.150902777779</v>
      </c>
      <c r="G1401" s="17" t="s">
        <v>171</v>
      </c>
      <c r="H1401" s="35" t="s">
        <v>42</v>
      </c>
      <c r="I1401" s="25" t="s">
        <v>2990</v>
      </c>
    </row>
    <row r="1402" spans="1:9" ht="45">
      <c r="A1402" s="19">
        <v>43542.494027777779</v>
      </c>
      <c r="B1402" s="20" t="str">
        <f>HYPERLINK("https://twitter.com/KevinKdwhitelaw","@KevinKdwhitelaw")</f>
        <v>@KevinKdwhitelaw</v>
      </c>
      <c r="C1402" s="21" t="s">
        <v>10142</v>
      </c>
      <c r="D1402" s="22" t="s">
        <v>10143</v>
      </c>
      <c r="E1402" s="23" t="str">
        <f>HYPERLINK("http://twitter.com","Twitter Web Client")</f>
        <v>Twitter Web Client</v>
      </c>
      <c r="F1402" s="19">
        <v>41772.943993055553</v>
      </c>
      <c r="G1402" s="17" t="s">
        <v>171</v>
      </c>
      <c r="H1402" s="35" t="s">
        <v>42</v>
      </c>
      <c r="I1402" s="25" t="s">
        <v>10144</v>
      </c>
    </row>
    <row r="1403" spans="1:9" ht="30">
      <c r="A1403" s="4">
        <v>43564.244351851856</v>
      </c>
      <c r="B1403" s="5" t="str">
        <f>HYPERLINK("https://twitter.com/cnocanview","@cnocanview")</f>
        <v>@cnocanview</v>
      </c>
      <c r="C1403" s="6" t="s">
        <v>2988</v>
      </c>
      <c r="D1403" s="7" t="s">
        <v>6724</v>
      </c>
      <c r="E1403" s="8" t="str">
        <f>HYPERLINK("http://twitter.com/download/android","Twitter for Android")</f>
        <v>Twitter for Android</v>
      </c>
      <c r="F1403" s="4">
        <v>40674.150902777779</v>
      </c>
      <c r="G1403" s="17" t="s">
        <v>171</v>
      </c>
      <c r="H1403" s="35" t="s">
        <v>42</v>
      </c>
      <c r="I1403" s="10" t="s">
        <v>2990</v>
      </c>
    </row>
    <row r="1404" spans="1:9" ht="90">
      <c r="A1404" s="4">
        <v>43560.615532407406</v>
      </c>
      <c r="B1404" s="5" t="str">
        <f>HYPERLINK("https://twitter.com/LeithDocksHQ","@LeithDocksHQ")</f>
        <v>@LeithDocksHQ</v>
      </c>
      <c r="C1404" s="6" t="s">
        <v>11249</v>
      </c>
      <c r="D1404" s="7" t="s">
        <v>11250</v>
      </c>
      <c r="E1404" s="8" t="str">
        <f>HYPERLINK("http://twitter.com/download/iphone","Twitter for iPhone")</f>
        <v>Twitter for iPhone</v>
      </c>
      <c r="F1404" s="4">
        <v>43417.20112268519</v>
      </c>
      <c r="G1404" s="17" t="s">
        <v>171</v>
      </c>
      <c r="H1404" s="35" t="s">
        <v>42</v>
      </c>
      <c r="I1404" s="10"/>
    </row>
    <row r="1405" spans="1:9" ht="45">
      <c r="A1405" s="4">
        <v>43559.44913194445</v>
      </c>
      <c r="B1405" s="5" t="str">
        <f>HYPERLINK("https://twitter.com/ramseyselim","@ramseyselim")</f>
        <v>@ramseyselim</v>
      </c>
      <c r="C1405" s="6" t="s">
        <v>11820</v>
      </c>
      <c r="D1405" s="7" t="s">
        <v>11821</v>
      </c>
      <c r="E1405" s="8" t="str">
        <f>HYPERLINK("http://twitter.com/download/iphone","Twitter for iPhone")</f>
        <v>Twitter for iPhone</v>
      </c>
      <c r="F1405" s="4">
        <v>40546.109895833331</v>
      </c>
      <c r="G1405" s="17" t="s">
        <v>171</v>
      </c>
      <c r="H1405" s="35" t="s">
        <v>42</v>
      </c>
      <c r="I1405" s="10" t="s">
        <v>11822</v>
      </c>
    </row>
    <row r="1406" spans="1:9" ht="105">
      <c r="A1406" s="12">
        <v>43580.832291666666</v>
      </c>
      <c r="B1406" s="13" t="str">
        <f>HYPERLINK("https://twitter.com/alicemcaldwell","@alicemcaldwell")</f>
        <v>@alicemcaldwell</v>
      </c>
      <c r="C1406" s="14" t="s">
        <v>40</v>
      </c>
      <c r="D1406" s="15" t="s">
        <v>41</v>
      </c>
      <c r="E1406" s="16" t="str">
        <f>HYPERLINK("http://twitter.com/download/android","Twitter for Android")</f>
        <v>Twitter for Android</v>
      </c>
      <c r="F1406" s="12">
        <v>43247.680023148147</v>
      </c>
      <c r="G1406" s="17" t="s">
        <v>171</v>
      </c>
      <c r="H1406" s="35" t="s">
        <v>42</v>
      </c>
      <c r="I1406" s="18" t="s">
        <v>43</v>
      </c>
    </row>
    <row r="1407" spans="1:9" ht="60">
      <c r="A1407" s="12">
        <v>43580.753622685181</v>
      </c>
      <c r="B1407" s="13" t="str">
        <f>HYPERLINK("https://twitter.com/KeyholdersIntl","@KeyholdersIntl")</f>
        <v>@KeyholdersIntl</v>
      </c>
      <c r="C1407" s="14" t="s">
        <v>90</v>
      </c>
      <c r="D1407" s="15" t="s">
        <v>91</v>
      </c>
      <c r="E1407" s="16" t="str">
        <f>HYPERLINK("https://www.hootsuite.com","Hootsuite Inc.")</f>
        <v>Hootsuite Inc.</v>
      </c>
      <c r="F1407" s="12">
        <v>42466.704074074078</v>
      </c>
      <c r="G1407" s="17" t="s">
        <v>171</v>
      </c>
      <c r="H1407" s="35" t="s">
        <v>42</v>
      </c>
      <c r="I1407" s="18" t="s">
        <v>92</v>
      </c>
    </row>
    <row r="1408" spans="1:9" ht="75">
      <c r="A1408" s="12">
        <v>43580.010219907403</v>
      </c>
      <c r="B1408" s="13" t="str">
        <f>HYPERLINK("https://twitter.com/PLACEEdinburgh","@PLACEEdinburgh")</f>
        <v>@PLACEEdinburgh</v>
      </c>
      <c r="C1408" s="14" t="s">
        <v>333</v>
      </c>
      <c r="D1408" s="15" t="s">
        <v>334</v>
      </c>
      <c r="E1408" s="16" t="str">
        <f>HYPERLINK("http://twitter.com","Twitter Web Client")</f>
        <v>Twitter Web Client</v>
      </c>
      <c r="F1408" s="12">
        <v>43577.325185185182</v>
      </c>
      <c r="G1408" s="17" t="s">
        <v>171</v>
      </c>
      <c r="H1408" s="35" t="s">
        <v>42</v>
      </c>
      <c r="I1408" s="18" t="s">
        <v>335</v>
      </c>
    </row>
    <row r="1409" spans="1:9" ht="105">
      <c r="A1409" s="12">
        <v>43573.175810185188</v>
      </c>
      <c r="B1409" s="13" t="str">
        <f t="shared" ref="B1409:B1415" si="62">HYPERLINK("https://twitter.com/cnocanview","@cnocanview")</f>
        <v>@cnocanview</v>
      </c>
      <c r="C1409" s="14" t="s">
        <v>2988</v>
      </c>
      <c r="D1409" s="15" t="s">
        <v>2989</v>
      </c>
      <c r="E1409" s="16" t="str">
        <f t="shared" ref="E1409:E1415" si="63">HYPERLINK("http://twitter.com/download/android","Twitter for Android")</f>
        <v>Twitter for Android</v>
      </c>
      <c r="F1409" s="12">
        <v>40674.150902777779</v>
      </c>
      <c r="G1409" s="17" t="s">
        <v>171</v>
      </c>
      <c r="H1409" s="35" t="s">
        <v>42</v>
      </c>
      <c r="I1409" s="18" t="s">
        <v>2990</v>
      </c>
    </row>
    <row r="1410" spans="1:9" ht="195">
      <c r="A1410" s="12">
        <v>43570.627951388888</v>
      </c>
      <c r="B1410" s="13" t="str">
        <f t="shared" si="62"/>
        <v>@cnocanview</v>
      </c>
      <c r="C1410" s="14" t="s">
        <v>2988</v>
      </c>
      <c r="D1410" s="15" t="s">
        <v>4017</v>
      </c>
      <c r="E1410" s="16" t="str">
        <f t="shared" si="63"/>
        <v>Twitter for Android</v>
      </c>
      <c r="F1410" s="12">
        <v>40674.150902777779</v>
      </c>
      <c r="G1410" s="17" t="s">
        <v>171</v>
      </c>
      <c r="H1410" s="35" t="s">
        <v>42</v>
      </c>
      <c r="I1410" s="18" t="s">
        <v>2990</v>
      </c>
    </row>
    <row r="1411" spans="1:9" ht="135">
      <c r="A1411" s="12">
        <v>43567.122928240744</v>
      </c>
      <c r="B1411" s="13" t="str">
        <f t="shared" si="62"/>
        <v>@cnocanview</v>
      </c>
      <c r="C1411" s="14" t="s">
        <v>2988</v>
      </c>
      <c r="D1411" s="15" t="s">
        <v>5230</v>
      </c>
      <c r="E1411" s="16" t="str">
        <f t="shared" si="63"/>
        <v>Twitter for Android</v>
      </c>
      <c r="F1411" s="12">
        <v>40674.150902777779</v>
      </c>
      <c r="G1411" s="17" t="s">
        <v>171</v>
      </c>
      <c r="H1411" s="35" t="s">
        <v>42</v>
      </c>
      <c r="I1411" s="18" t="s">
        <v>2990</v>
      </c>
    </row>
    <row r="1412" spans="1:9" ht="210">
      <c r="A1412" s="12">
        <v>43567.075671296298</v>
      </c>
      <c r="B1412" s="13" t="str">
        <f t="shared" si="62"/>
        <v>@cnocanview</v>
      </c>
      <c r="C1412" s="14" t="s">
        <v>2988</v>
      </c>
      <c r="D1412" s="15" t="s">
        <v>5250</v>
      </c>
      <c r="E1412" s="16" t="str">
        <f t="shared" si="63"/>
        <v>Twitter for Android</v>
      </c>
      <c r="F1412" s="12">
        <v>40674.150902777779</v>
      </c>
      <c r="G1412" s="17" t="s">
        <v>171</v>
      </c>
      <c r="H1412" s="35" t="s">
        <v>42</v>
      </c>
      <c r="I1412" s="18" t="s">
        <v>2990</v>
      </c>
    </row>
    <row r="1413" spans="1:9" ht="60">
      <c r="A1413" s="12">
        <v>43566.576886574076</v>
      </c>
      <c r="B1413" s="13" t="str">
        <f t="shared" si="62"/>
        <v>@cnocanview</v>
      </c>
      <c r="C1413" s="14" t="s">
        <v>2988</v>
      </c>
      <c r="D1413" s="15" t="s">
        <v>5435</v>
      </c>
      <c r="E1413" s="16" t="str">
        <f t="shared" si="63"/>
        <v>Twitter for Android</v>
      </c>
      <c r="F1413" s="12">
        <v>40674.150902777779</v>
      </c>
      <c r="G1413" s="17" t="s">
        <v>171</v>
      </c>
      <c r="H1413" s="35" t="s">
        <v>42</v>
      </c>
      <c r="I1413" s="18" t="s">
        <v>2990</v>
      </c>
    </row>
    <row r="1414" spans="1:9" ht="165">
      <c r="A1414" s="12">
        <v>43566.39707175926</v>
      </c>
      <c r="B1414" s="13" t="str">
        <f t="shared" si="62"/>
        <v>@cnocanview</v>
      </c>
      <c r="C1414" s="14" t="s">
        <v>2988</v>
      </c>
      <c r="D1414" s="15" t="s">
        <v>5564</v>
      </c>
      <c r="E1414" s="16" t="str">
        <f t="shared" si="63"/>
        <v>Twitter for Android</v>
      </c>
      <c r="F1414" s="12">
        <v>40674.150902777779</v>
      </c>
      <c r="G1414" s="17" t="s">
        <v>171</v>
      </c>
      <c r="H1414" s="35" t="s">
        <v>42</v>
      </c>
      <c r="I1414" s="18" t="s">
        <v>2990</v>
      </c>
    </row>
    <row r="1415" spans="1:9" ht="105">
      <c r="A1415" s="12">
        <v>43566.041956018518</v>
      </c>
      <c r="B1415" s="13" t="str">
        <f t="shared" si="62"/>
        <v>@cnocanview</v>
      </c>
      <c r="C1415" s="14" t="s">
        <v>2988</v>
      </c>
      <c r="D1415" s="15" t="s">
        <v>5812</v>
      </c>
      <c r="E1415" s="16" t="str">
        <f t="shared" si="63"/>
        <v>Twitter for Android</v>
      </c>
      <c r="F1415" s="12">
        <v>40674.150902777779</v>
      </c>
      <c r="G1415" s="17" t="s">
        <v>171</v>
      </c>
      <c r="H1415" s="35" t="s">
        <v>42</v>
      </c>
      <c r="I1415" s="18" t="s">
        <v>2990</v>
      </c>
    </row>
    <row r="1416" spans="1:9" ht="45">
      <c r="A1416" s="12">
        <v>43578.471354166672</v>
      </c>
      <c r="B1416" s="13" t="str">
        <f>HYPERLINK("https://twitter.com/JonFifa69","@JonFifa69")</f>
        <v>@JonFifa69</v>
      </c>
      <c r="C1416" s="14" t="s">
        <v>1181</v>
      </c>
      <c r="D1416" s="15" t="s">
        <v>1164</v>
      </c>
      <c r="E1416" s="16" t="str">
        <f>HYPERLINK("http://twitter.com","Twitter Web Client")</f>
        <v>Twitter Web Client</v>
      </c>
      <c r="F1416" s="12">
        <v>42098.196770833332</v>
      </c>
      <c r="G1416" s="17" t="s">
        <v>171</v>
      </c>
      <c r="H1416" s="35" t="s">
        <v>1182</v>
      </c>
      <c r="I1416" s="18" t="s">
        <v>1183</v>
      </c>
    </row>
    <row r="1417" spans="1:9" ht="60">
      <c r="A1417" s="12">
        <v>43566.328796296293</v>
      </c>
      <c r="B1417" s="13" t="str">
        <f>HYPERLINK("https://twitter.com/elenan34","@elenan34")</f>
        <v>@elenan34</v>
      </c>
      <c r="C1417" s="14" t="s">
        <v>5655</v>
      </c>
      <c r="D1417" s="15" t="s">
        <v>5656</v>
      </c>
      <c r="E1417" s="16" t="str">
        <f>HYPERLINK("https://mobile.twitter.com","Twitter Web App")</f>
        <v>Twitter Web App</v>
      </c>
      <c r="F1417" s="12">
        <v>41105.666458333333</v>
      </c>
      <c r="G1417" s="17" t="s">
        <v>171</v>
      </c>
      <c r="H1417" s="35" t="s">
        <v>5657</v>
      </c>
      <c r="I1417" s="18" t="s">
        <v>5658</v>
      </c>
    </row>
    <row r="1418" spans="1:9" ht="45">
      <c r="A1418" s="19">
        <v>43542.622858796298</v>
      </c>
      <c r="B1418" s="20" t="str">
        <f>HYPERLINK("https://twitter.com/LindaHemby","@LindaHemby")</f>
        <v>@LindaHemby</v>
      </c>
      <c r="C1418" s="21" t="s">
        <v>10068</v>
      </c>
      <c r="D1418" s="22" t="s">
        <v>10069</v>
      </c>
      <c r="E1418" s="23" t="str">
        <f>HYPERLINK("http://twitter.com","Twitter Web Client")</f>
        <v>Twitter Web Client</v>
      </c>
      <c r="F1418" s="19">
        <v>41009.394444444442</v>
      </c>
      <c r="G1418" s="17" t="s">
        <v>171</v>
      </c>
      <c r="H1418" s="35" t="s">
        <v>10070</v>
      </c>
      <c r="I1418" s="25" t="s">
        <v>10071</v>
      </c>
    </row>
    <row r="1419" spans="1:9" ht="135">
      <c r="A1419" s="12">
        <v>43567.26258101852</v>
      </c>
      <c r="B1419" s="13" t="str">
        <f>HYPERLINK("https://twitter.com/Mr_D_Aston","@Mr_D_Aston")</f>
        <v>@Mr_D_Aston</v>
      </c>
      <c r="C1419" s="14" t="s">
        <v>5188</v>
      </c>
      <c r="D1419" s="15" t="s">
        <v>5189</v>
      </c>
      <c r="E1419" s="16" t="str">
        <f>HYPERLINK("http://twitter.com/download/android","Twitter for Android")</f>
        <v>Twitter for Android</v>
      </c>
      <c r="F1419" s="12">
        <v>42158.244849537034</v>
      </c>
      <c r="G1419" s="17" t="s">
        <v>171</v>
      </c>
      <c r="H1419" s="35" t="s">
        <v>5190</v>
      </c>
      <c r="I1419" s="18" t="s">
        <v>5191</v>
      </c>
    </row>
    <row r="1420" spans="1:9" ht="45">
      <c r="A1420" s="19">
        <v>43551.465486111112</v>
      </c>
      <c r="B1420" s="20" t="str">
        <f>HYPERLINK("https://twitter.com/clairesturz","@clairesturz")</f>
        <v>@clairesturz</v>
      </c>
      <c r="C1420" s="21" t="s">
        <v>464</v>
      </c>
      <c r="D1420" s="22" t="s">
        <v>465</v>
      </c>
      <c r="E1420" s="23" t="str">
        <f>HYPERLINK("https://talesofabackpacker.com","Tales of a Backpacker Revive Pos")</f>
        <v>Tales of a Backpacker Revive Pos</v>
      </c>
      <c r="F1420" s="19">
        <v>41193.439571759256</v>
      </c>
      <c r="G1420" s="24" t="s">
        <v>171</v>
      </c>
      <c r="H1420" s="35" t="s">
        <v>466</v>
      </c>
      <c r="I1420" s="25" t="s">
        <v>7184</v>
      </c>
    </row>
    <row r="1421" spans="1:9" ht="60">
      <c r="A1421" s="19">
        <v>43549.472025462965</v>
      </c>
      <c r="B1421" s="20" t="str">
        <f>HYPERLINK("https://twitter.com/CrossEyedPiano","@CrossEyedPiano")</f>
        <v>@CrossEyedPiano</v>
      </c>
      <c r="C1421" s="21" t="s">
        <v>1999</v>
      </c>
      <c r="D1421" s="22" t="s">
        <v>8016</v>
      </c>
      <c r="E1421" s="23" t="str">
        <f>HYPERLINK("http://twitter.com/download/iphone","Twitter for iPhone")</f>
        <v>Twitter for iPhone</v>
      </c>
      <c r="F1421" s="19">
        <v>40018.061284722222</v>
      </c>
      <c r="G1421" s="24" t="s">
        <v>171</v>
      </c>
      <c r="H1421" s="35" t="s">
        <v>466</v>
      </c>
      <c r="I1421" s="25" t="s">
        <v>2000</v>
      </c>
    </row>
    <row r="1422" spans="1:9" ht="105">
      <c r="A1422" s="19">
        <v>43549.248819444445</v>
      </c>
      <c r="B1422" s="20" t="str">
        <f>HYPERLINK("https://twitter.com/hi_CArmoury","@hi_CArmoury")</f>
        <v>@hi_CArmoury</v>
      </c>
      <c r="C1422" s="21" t="s">
        <v>8116</v>
      </c>
      <c r="D1422" s="22" t="s">
        <v>8117</v>
      </c>
      <c r="E1422" s="23" t="str">
        <f>HYPERLINK("https://buffer.com","Buffer")</f>
        <v>Buffer</v>
      </c>
      <c r="F1422" s="19">
        <v>42452.675486111111</v>
      </c>
      <c r="G1422" s="24" t="s">
        <v>171</v>
      </c>
      <c r="H1422" s="35" t="s">
        <v>466</v>
      </c>
      <c r="I1422" s="25" t="s">
        <v>8118</v>
      </c>
    </row>
    <row r="1423" spans="1:9" ht="120">
      <c r="A1423" s="19">
        <v>43548.193483796298</v>
      </c>
      <c r="B1423" s="20" t="str">
        <f>HYPERLINK("https://twitter.com/CrossEyedPiano","@CrossEyedPiano")</f>
        <v>@CrossEyedPiano</v>
      </c>
      <c r="C1423" s="21" t="s">
        <v>1999</v>
      </c>
      <c r="D1423" s="22" t="s">
        <v>8390</v>
      </c>
      <c r="E1423" s="23" t="str">
        <f>HYPERLINK("http://twitter.com","Twitter Web Client")</f>
        <v>Twitter Web Client</v>
      </c>
      <c r="F1423" s="19">
        <v>40018.061284722222</v>
      </c>
      <c r="G1423" s="24" t="s">
        <v>171</v>
      </c>
      <c r="H1423" s="35" t="s">
        <v>466</v>
      </c>
      <c r="I1423" s="25" t="s">
        <v>2000</v>
      </c>
    </row>
    <row r="1424" spans="1:9" ht="90">
      <c r="A1424" s="19">
        <v>43545.406273148154</v>
      </c>
      <c r="B1424" s="20" t="str">
        <f>HYPERLINK("https://twitter.com/coversuregroup","@coversuregroup")</f>
        <v>@coversuregroup</v>
      </c>
      <c r="C1424" s="21" t="s">
        <v>9148</v>
      </c>
      <c r="D1424" s="22" t="s">
        <v>9149</v>
      </c>
      <c r="E1424" s="23" t="str">
        <f>HYPERLINK("https://sproutsocial.com","Sprout Social")</f>
        <v>Sprout Social</v>
      </c>
      <c r="F1424" s="19">
        <v>42423.354247685187</v>
      </c>
      <c r="G1424" s="24" t="s">
        <v>171</v>
      </c>
      <c r="H1424" s="35" t="s">
        <v>466</v>
      </c>
      <c r="I1424" s="25" t="s">
        <v>9150</v>
      </c>
    </row>
    <row r="1425" spans="1:9" ht="105">
      <c r="A1425" s="19">
        <v>43544.641423611116</v>
      </c>
      <c r="B1425" s="20" t="str">
        <f>HYPERLINK("https://twitter.com/cottagetree","@cottagetree")</f>
        <v>@cottagetree</v>
      </c>
      <c r="C1425" s="21" t="s">
        <v>973</v>
      </c>
      <c r="D1425" s="22" t="s">
        <v>9382</v>
      </c>
      <c r="E1425" s="23" t="str">
        <f>HYPERLINK("http://twitter.com","Twitter Web Client")</f>
        <v>Twitter Web Client</v>
      </c>
      <c r="F1425" s="19">
        <v>42503.229861111111</v>
      </c>
      <c r="G1425" s="24" t="s">
        <v>171</v>
      </c>
      <c r="H1425" s="35" t="s">
        <v>466</v>
      </c>
      <c r="I1425" s="25" t="s">
        <v>975</v>
      </c>
    </row>
    <row r="1426" spans="1:9" ht="75">
      <c r="A1426" s="19">
        <v>43543.142361111109</v>
      </c>
      <c r="B1426" s="20" t="str">
        <f>HYPERLINK("https://twitter.com/EveryBitHelps_","@EveryBitHelps_")</f>
        <v>@EveryBitHelps_</v>
      </c>
      <c r="C1426" s="21" t="s">
        <v>9929</v>
      </c>
      <c r="D1426" s="22" t="s">
        <v>9930</v>
      </c>
      <c r="E1426" s="23" t="str">
        <f>HYPERLINK("http://instagram.com","Instagram")</f>
        <v>Instagram</v>
      </c>
      <c r="F1426" s="19">
        <v>42993.522557870368</v>
      </c>
      <c r="G1426" s="24" t="s">
        <v>171</v>
      </c>
      <c r="H1426" s="35" t="s">
        <v>466</v>
      </c>
      <c r="I1426" s="25" t="s">
        <v>9931</v>
      </c>
    </row>
    <row r="1427" spans="1:9" ht="45">
      <c r="A1427" s="4">
        <v>43562.923784722225</v>
      </c>
      <c r="B1427" s="5" t="str">
        <f>HYPERLINK("https://twitter.com/clairesturz","@clairesturz")</f>
        <v>@clairesturz</v>
      </c>
      <c r="C1427" s="6" t="s">
        <v>464</v>
      </c>
      <c r="D1427" s="7" t="s">
        <v>10540</v>
      </c>
      <c r="E1427" s="8" t="str">
        <f>HYPERLINK("https://talesofabackpacker.com","Tales of a Backpacker Revive Pos")</f>
        <v>Tales of a Backpacker Revive Pos</v>
      </c>
      <c r="F1427" s="4">
        <v>41193.439571759256</v>
      </c>
      <c r="G1427" s="24" t="s">
        <v>171</v>
      </c>
      <c r="H1427" s="35" t="s">
        <v>466</v>
      </c>
      <c r="I1427" s="10" t="s">
        <v>467</v>
      </c>
    </row>
    <row r="1428" spans="1:9" ht="30">
      <c r="A1428" s="4">
        <v>43560.488449074073</v>
      </c>
      <c r="B1428" s="5" t="str">
        <f>HYPERLINK("https://twitter.com/Motofe","@Motofe")</f>
        <v>@Motofe</v>
      </c>
      <c r="C1428" s="6" t="s">
        <v>11335</v>
      </c>
      <c r="D1428" s="7" t="s">
        <v>11336</v>
      </c>
      <c r="E1428" s="8" t="str">
        <f>HYPERLINK("http://twitter.com/download/iphone","Twitter for iPhone")</f>
        <v>Twitter for iPhone</v>
      </c>
      <c r="F1428" s="4">
        <v>39962.112604166665</v>
      </c>
      <c r="G1428" s="24" t="s">
        <v>171</v>
      </c>
      <c r="H1428" s="35" t="s">
        <v>466</v>
      </c>
      <c r="I1428" s="10" t="s">
        <v>11337</v>
      </c>
    </row>
    <row r="1429" spans="1:9" ht="45">
      <c r="A1429" s="12">
        <v>43579.757407407407</v>
      </c>
      <c r="B1429" s="13" t="str">
        <f>HYPERLINK("https://twitter.com/clairesturz","@clairesturz")</f>
        <v>@clairesturz</v>
      </c>
      <c r="C1429" s="14" t="s">
        <v>464</v>
      </c>
      <c r="D1429" s="15" t="s">
        <v>465</v>
      </c>
      <c r="E1429" s="16" t="str">
        <f>HYPERLINK("https://talesofabackpacker.com","Tales of a Backpacker Revive Pos")</f>
        <v>Tales of a Backpacker Revive Pos</v>
      </c>
      <c r="F1429" s="12">
        <v>41193.439571759256</v>
      </c>
      <c r="G1429" s="24" t="s">
        <v>171</v>
      </c>
      <c r="H1429" s="35" t="s">
        <v>466</v>
      </c>
      <c r="I1429" s="18" t="s">
        <v>467</v>
      </c>
    </row>
    <row r="1430" spans="1:9" ht="90">
      <c r="A1430" s="12">
        <v>43578.996331018519</v>
      </c>
      <c r="B1430" s="13" t="str">
        <f>HYPERLINK("https://twitter.com/cottagetree","@cottagetree")</f>
        <v>@cottagetree</v>
      </c>
      <c r="C1430" s="14" t="s">
        <v>973</v>
      </c>
      <c r="D1430" s="15" t="s">
        <v>974</v>
      </c>
      <c r="E1430" s="16" t="str">
        <f>HYPERLINK("http://twitter.com","Twitter Web Client")</f>
        <v>Twitter Web Client</v>
      </c>
      <c r="F1430" s="12">
        <v>42503.229861111111</v>
      </c>
      <c r="G1430" s="24" t="s">
        <v>171</v>
      </c>
      <c r="H1430" s="35" t="s">
        <v>466</v>
      </c>
      <c r="I1430" s="18" t="s">
        <v>975</v>
      </c>
    </row>
    <row r="1431" spans="1:9" ht="45">
      <c r="A1431" s="12">
        <v>43576.320798611108</v>
      </c>
      <c r="B1431" s="13" t="str">
        <f>HYPERLINK("https://twitter.com/CrossEyedPiano","@CrossEyedPiano")</f>
        <v>@CrossEyedPiano</v>
      </c>
      <c r="C1431" s="14" t="s">
        <v>1999</v>
      </c>
      <c r="D1431" s="15" t="s">
        <v>616</v>
      </c>
      <c r="E1431" s="16" t="str">
        <f>HYPERLINK("http://twitter.com/download/iphone","Twitter for iPhone")</f>
        <v>Twitter for iPhone</v>
      </c>
      <c r="F1431" s="12">
        <v>40018.061284722222</v>
      </c>
      <c r="G1431" s="24" t="s">
        <v>171</v>
      </c>
      <c r="H1431" s="35" t="s">
        <v>466</v>
      </c>
      <c r="I1431" s="18" t="s">
        <v>2000</v>
      </c>
    </row>
    <row r="1432" spans="1:9" ht="30">
      <c r="A1432" s="12">
        <v>43575.060023148151</v>
      </c>
      <c r="B1432" s="13" t="str">
        <f>HYPERLINK("https://twitter.com/EmmaBeeBlog","@EmmaBeeBlog")</f>
        <v>@EmmaBeeBlog</v>
      </c>
      <c r="C1432" s="14" t="s">
        <v>2377</v>
      </c>
      <c r="D1432" s="15" t="s">
        <v>2378</v>
      </c>
      <c r="E1432" s="16" t="str">
        <f>HYPERLINK("http://twitter.com/download/iphone","Twitter for iPhone")</f>
        <v>Twitter for iPhone</v>
      </c>
      <c r="F1432" s="12">
        <v>42459.460625</v>
      </c>
      <c r="G1432" s="24" t="s">
        <v>171</v>
      </c>
      <c r="H1432" s="35" t="s">
        <v>466</v>
      </c>
      <c r="I1432" s="18" t="s">
        <v>2379</v>
      </c>
    </row>
    <row r="1433" spans="1:9" ht="105">
      <c r="A1433" s="12">
        <v>43574.134224537032</v>
      </c>
      <c r="B1433" s="13" t="str">
        <f>HYPERLINK("https://twitter.com/cottagetree","@cottagetree")</f>
        <v>@cottagetree</v>
      </c>
      <c r="C1433" s="14" t="s">
        <v>973</v>
      </c>
      <c r="D1433" s="15" t="s">
        <v>2671</v>
      </c>
      <c r="E1433" s="16" t="str">
        <f t="shared" ref="E1433:E1440" si="64">HYPERLINK("http://twitter.com","Twitter Web Client")</f>
        <v>Twitter Web Client</v>
      </c>
      <c r="F1433" s="12">
        <v>42503.229861111111</v>
      </c>
      <c r="G1433" s="24" t="s">
        <v>171</v>
      </c>
      <c r="H1433" s="35" t="s">
        <v>466</v>
      </c>
      <c r="I1433" s="18" t="s">
        <v>975</v>
      </c>
    </row>
    <row r="1434" spans="1:9" ht="105">
      <c r="A1434" s="12">
        <v>43571.608981481477</v>
      </c>
      <c r="B1434" s="13" t="str">
        <f>HYPERLINK("https://twitter.com/cottagetree","@cottagetree")</f>
        <v>@cottagetree</v>
      </c>
      <c r="C1434" s="14" t="s">
        <v>973</v>
      </c>
      <c r="D1434" s="15" t="s">
        <v>3615</v>
      </c>
      <c r="E1434" s="16" t="str">
        <f t="shared" si="64"/>
        <v>Twitter Web Client</v>
      </c>
      <c r="F1434" s="12">
        <v>42503.229861111111</v>
      </c>
      <c r="G1434" s="24" t="s">
        <v>171</v>
      </c>
      <c r="H1434" s="35" t="s">
        <v>466</v>
      </c>
      <c r="I1434" s="18" t="s">
        <v>975</v>
      </c>
    </row>
    <row r="1435" spans="1:9" ht="105">
      <c r="A1435" s="12">
        <v>43570.05636574074</v>
      </c>
      <c r="B1435" s="13" t="str">
        <f>HYPERLINK("https://twitter.com/cottagetree","@cottagetree")</f>
        <v>@cottagetree</v>
      </c>
      <c r="C1435" s="14" t="s">
        <v>973</v>
      </c>
      <c r="D1435" s="15" t="s">
        <v>4353</v>
      </c>
      <c r="E1435" s="16" t="str">
        <f t="shared" si="64"/>
        <v>Twitter Web Client</v>
      </c>
      <c r="F1435" s="12">
        <v>42503.229861111111</v>
      </c>
      <c r="G1435" s="24" t="s">
        <v>171</v>
      </c>
      <c r="H1435" s="35" t="s">
        <v>466</v>
      </c>
      <c r="I1435" s="18" t="s">
        <v>975</v>
      </c>
    </row>
    <row r="1436" spans="1:9" ht="90">
      <c r="A1436" s="12">
        <v>43567.438078703708</v>
      </c>
      <c r="B1436" s="13" t="str">
        <f>HYPERLINK("https://twitter.com/cottagetree","@cottagetree")</f>
        <v>@cottagetree</v>
      </c>
      <c r="C1436" s="14" t="s">
        <v>973</v>
      </c>
      <c r="D1436" s="15" t="s">
        <v>5106</v>
      </c>
      <c r="E1436" s="16" t="str">
        <f t="shared" si="64"/>
        <v>Twitter Web Client</v>
      </c>
      <c r="F1436" s="12">
        <v>42503.229861111111</v>
      </c>
      <c r="G1436" s="24" t="s">
        <v>171</v>
      </c>
      <c r="H1436" s="35" t="s">
        <v>466</v>
      </c>
      <c r="I1436" s="18" t="s">
        <v>975</v>
      </c>
    </row>
    <row r="1437" spans="1:9" ht="90">
      <c r="A1437" s="19">
        <v>43550.472291666665</v>
      </c>
      <c r="B1437" s="20" t="str">
        <f>HYPERLINK("https://twitter.com/vr_coach","@vr_coach")</f>
        <v>@vr_coach</v>
      </c>
      <c r="C1437" s="21" t="s">
        <v>7657</v>
      </c>
      <c r="D1437" s="22" t="s">
        <v>7658</v>
      </c>
      <c r="E1437" s="23" t="str">
        <f t="shared" si="64"/>
        <v>Twitter Web Client</v>
      </c>
      <c r="F1437" s="19">
        <v>41527.660590277781</v>
      </c>
      <c r="G1437" s="9" t="s">
        <v>171</v>
      </c>
      <c r="H1437" s="35" t="s">
        <v>7659</v>
      </c>
      <c r="I1437" s="25" t="s">
        <v>7660</v>
      </c>
    </row>
    <row r="1438" spans="1:9" ht="60">
      <c r="A1438" s="19">
        <v>43545.271898148145</v>
      </c>
      <c r="B1438" s="20" t="str">
        <f>HYPERLINK("https://twitter.com/vr_coach","@vr_coach")</f>
        <v>@vr_coach</v>
      </c>
      <c r="C1438" s="21" t="s">
        <v>7657</v>
      </c>
      <c r="D1438" s="22" t="s">
        <v>9222</v>
      </c>
      <c r="E1438" s="23" t="str">
        <f t="shared" si="64"/>
        <v>Twitter Web Client</v>
      </c>
      <c r="F1438" s="19">
        <v>41527.660590277781</v>
      </c>
      <c r="G1438" s="9" t="s">
        <v>171</v>
      </c>
      <c r="H1438" s="35" t="s">
        <v>7659</v>
      </c>
      <c r="I1438" s="25" t="s">
        <v>7660</v>
      </c>
    </row>
    <row r="1439" spans="1:9" ht="90">
      <c r="A1439" s="4">
        <v>43563.305763888886</v>
      </c>
      <c r="B1439" s="5" t="str">
        <f>HYPERLINK("https://twitter.com/vr_coach","@vr_coach")</f>
        <v>@vr_coach</v>
      </c>
      <c r="C1439" s="6" t="s">
        <v>7657</v>
      </c>
      <c r="D1439" s="7" t="s">
        <v>10388</v>
      </c>
      <c r="E1439" s="8" t="str">
        <f t="shared" si="64"/>
        <v>Twitter Web Client</v>
      </c>
      <c r="F1439" s="4">
        <v>41527.660590277781</v>
      </c>
      <c r="G1439" s="9" t="s">
        <v>171</v>
      </c>
      <c r="H1439" s="35" t="s">
        <v>7659</v>
      </c>
      <c r="I1439" s="10" t="s">
        <v>7660</v>
      </c>
    </row>
    <row r="1440" spans="1:9" ht="105">
      <c r="A1440" s="4">
        <v>43557.399583333332</v>
      </c>
      <c r="B1440" s="5" t="str">
        <f>HYPERLINK("https://twitter.com/vr_coach","@vr_coach")</f>
        <v>@vr_coach</v>
      </c>
      <c r="C1440" s="6" t="s">
        <v>7657</v>
      </c>
      <c r="D1440" s="7" t="s">
        <v>12528</v>
      </c>
      <c r="E1440" s="8" t="str">
        <f t="shared" si="64"/>
        <v>Twitter Web Client</v>
      </c>
      <c r="F1440" s="4">
        <v>41527.660590277781</v>
      </c>
      <c r="G1440" s="9" t="s">
        <v>171</v>
      </c>
      <c r="H1440" s="35" t="s">
        <v>7659</v>
      </c>
      <c r="I1440" s="10" t="s">
        <v>7660</v>
      </c>
    </row>
    <row r="1441" spans="1:9" ht="105">
      <c r="A1441" s="4">
        <v>43562.112060185187</v>
      </c>
      <c r="B1441" s="5" t="str">
        <f>HYPERLINK("https://twitter.com/intovalencia","@intovalencia")</f>
        <v>@intovalencia</v>
      </c>
      <c r="C1441" s="6" t="s">
        <v>10744</v>
      </c>
      <c r="D1441" s="7" t="s">
        <v>10745</v>
      </c>
      <c r="E1441" s="8" t="str">
        <f>HYPERLINK("http://twitter.com/download/iphone","Twitter for iPhone")</f>
        <v>Twitter for iPhone</v>
      </c>
      <c r="F1441" s="4">
        <v>41539.103148148148</v>
      </c>
      <c r="G1441" s="9" t="s">
        <v>171</v>
      </c>
      <c r="H1441" s="35" t="s">
        <v>4344</v>
      </c>
      <c r="I1441" s="10" t="s">
        <v>10746</v>
      </c>
    </row>
    <row r="1442" spans="1:9" ht="60">
      <c r="A1442" s="12">
        <v>43570.07335648148</v>
      </c>
      <c r="B1442" s="13" t="str">
        <f>HYPERLINK("https://twitter.com/ajmuguia","@ajmuguia")</f>
        <v>@ajmuguia</v>
      </c>
      <c r="C1442" s="14" t="s">
        <v>4343</v>
      </c>
      <c r="D1442" s="15" t="s">
        <v>4338</v>
      </c>
      <c r="E1442" s="16" t="str">
        <f>HYPERLINK("http://twitter.com","Twitter Web Client")</f>
        <v>Twitter Web Client</v>
      </c>
      <c r="F1442" s="12">
        <v>42115.180671296301</v>
      </c>
      <c r="G1442" s="9" t="s">
        <v>171</v>
      </c>
      <c r="H1442" s="35" t="s">
        <v>4344</v>
      </c>
      <c r="I1442" s="18" t="s">
        <v>4345</v>
      </c>
    </row>
    <row r="1443" spans="1:9" ht="60">
      <c r="A1443" s="19">
        <v>43544.345497685186</v>
      </c>
      <c r="B1443" s="20" t="str">
        <f>HYPERLINK("https://twitter.com/Argon_Pro","@Argon_Pro")</f>
        <v>@Argon_Pro</v>
      </c>
      <c r="C1443" s="21" t="s">
        <v>9507</v>
      </c>
      <c r="D1443" s="22" t="s">
        <v>9508</v>
      </c>
      <c r="E1443" s="23" t="str">
        <f>HYPERLINK("http://twitter.com/download/iphone","Twitter for iPhone")</f>
        <v>Twitter for iPhone</v>
      </c>
      <c r="F1443" s="19">
        <v>42487.186192129629</v>
      </c>
      <c r="G1443" s="9" t="s">
        <v>171</v>
      </c>
      <c r="H1443" s="35" t="s">
        <v>9509</v>
      </c>
      <c r="I1443" s="25" t="s">
        <v>9510</v>
      </c>
    </row>
    <row r="1444" spans="1:9" ht="105">
      <c r="A1444" s="12">
        <v>43570.310555555552</v>
      </c>
      <c r="B1444" s="13" t="str">
        <f>HYPERLINK("https://twitter.com/mikebatson5d","@mikebatson5d")</f>
        <v>@mikebatson5d</v>
      </c>
      <c r="C1444" s="14" t="s">
        <v>4239</v>
      </c>
      <c r="D1444" s="15" t="s">
        <v>4240</v>
      </c>
      <c r="E1444" s="16" t="str">
        <f>HYPERLINK("http://twitter.com/download/iphone","Twitter for iPhone")</f>
        <v>Twitter for iPhone</v>
      </c>
      <c r="F1444" s="12">
        <v>42365.707442129627</v>
      </c>
      <c r="G1444" s="9" t="s">
        <v>171</v>
      </c>
      <c r="H1444" s="35" t="s">
        <v>4241</v>
      </c>
      <c r="I1444" s="18" t="s">
        <v>4242</v>
      </c>
    </row>
    <row r="1445" spans="1:9" ht="30">
      <c r="A1445" s="4">
        <v>43559.637118055558</v>
      </c>
      <c r="B1445" s="5" t="str">
        <f>HYPERLINK("https://twitter.com/Ant1L1beraI","@Ant1L1beraI")</f>
        <v>@Ant1L1beraI</v>
      </c>
      <c r="C1445" s="6" t="s">
        <v>11722</v>
      </c>
      <c r="D1445" s="7" t="s">
        <v>11723</v>
      </c>
      <c r="E1445" s="8" t="str">
        <f>HYPERLINK("http://janetter.net/","Janetter for Android")</f>
        <v>Janetter for Android</v>
      </c>
      <c r="F1445" s="4">
        <v>43262.303206018521</v>
      </c>
      <c r="G1445" s="9" t="s">
        <v>171</v>
      </c>
      <c r="H1445" s="35" t="s">
        <v>11724</v>
      </c>
      <c r="I1445" s="10" t="s">
        <v>11725</v>
      </c>
    </row>
    <row r="1446" spans="1:9" ht="90">
      <c r="A1446" s="4">
        <v>43559.379861111112</v>
      </c>
      <c r="B1446" s="5" t="str">
        <f>HYPERLINK("https://twitter.com/S_Anderson1974","@S_Anderson1974")</f>
        <v>@S_Anderson1974</v>
      </c>
      <c r="C1446" s="6" t="s">
        <v>11858</v>
      </c>
      <c r="D1446" s="7" t="s">
        <v>12992</v>
      </c>
      <c r="E1446" s="8" t="str">
        <f>HYPERLINK("http://twitter.com/download/iphone","Twitter for iPhone")</f>
        <v>Twitter for iPhone</v>
      </c>
      <c r="F1446" s="4">
        <v>40135.265428240738</v>
      </c>
      <c r="G1446" s="9" t="s">
        <v>171</v>
      </c>
      <c r="H1446" s="35" t="s">
        <v>11859</v>
      </c>
      <c r="I1446" s="10" t="s">
        <v>11860</v>
      </c>
    </row>
    <row r="1447" spans="1:9" ht="75">
      <c r="A1447" s="19">
        <v>43542.449490740742</v>
      </c>
      <c r="B1447" s="20" t="str">
        <f>HYPERLINK("https://twitter.com/MarkDummett","@MarkDummett")</f>
        <v>@MarkDummett</v>
      </c>
      <c r="C1447" s="21" t="s">
        <v>10163</v>
      </c>
      <c r="D1447" s="22" t="s">
        <v>12998</v>
      </c>
      <c r="E1447" s="23" t="str">
        <f>HYPERLINK("http://twitter.com","Twitter Web Client")</f>
        <v>Twitter Web Client</v>
      </c>
      <c r="F1447" s="19">
        <v>40640.330833333333</v>
      </c>
      <c r="G1447" s="24" t="s">
        <v>171</v>
      </c>
      <c r="H1447" s="35" t="s">
        <v>10164</v>
      </c>
      <c r="I1447" s="25" t="s">
        <v>10165</v>
      </c>
    </row>
    <row r="1448" spans="1:9" ht="105">
      <c r="A1448" s="12">
        <v>43567.347002314811</v>
      </c>
      <c r="B1448" s="13" t="str">
        <f>HYPERLINK("https://twitter.com/ChrisOB48778405","@ChrisOB48778405")</f>
        <v>@ChrisOB48778405</v>
      </c>
      <c r="C1448" s="14" t="s">
        <v>5145</v>
      </c>
      <c r="D1448" s="15" t="s">
        <v>12792</v>
      </c>
      <c r="E1448" s="16" t="str">
        <f>HYPERLINK("http://twitter.com/download/iphone","Twitter for iPhone")</f>
        <v>Twitter for iPhone</v>
      </c>
      <c r="F1448" s="12">
        <v>43311.438055555554</v>
      </c>
      <c r="G1448" s="17" t="s">
        <v>171</v>
      </c>
      <c r="H1448" s="35" t="s">
        <v>5146</v>
      </c>
      <c r="I1448" s="18" t="s">
        <v>5147</v>
      </c>
    </row>
    <row r="1449" spans="1:9" ht="15">
      <c r="A1449" s="12">
        <v>43575.747511574074</v>
      </c>
      <c r="B1449" s="13" t="str">
        <f>HYPERLINK("https://twitter.com/tallmikol","@tallmikol")</f>
        <v>@tallmikol</v>
      </c>
      <c r="C1449" s="14" t="s">
        <v>2133</v>
      </c>
      <c r="D1449" s="15" t="s">
        <v>12793</v>
      </c>
      <c r="E1449" s="16" t="str">
        <f>HYPERLINK("http://twitter.com/download/iphone","Twitter for iPhone")</f>
        <v>Twitter for iPhone</v>
      </c>
      <c r="F1449" s="12">
        <v>42058.029479166667</v>
      </c>
      <c r="G1449" s="17" t="s">
        <v>171</v>
      </c>
      <c r="H1449" s="35" t="s">
        <v>2134</v>
      </c>
      <c r="I1449" s="18" t="s">
        <v>2135</v>
      </c>
    </row>
    <row r="1450" spans="1:9" ht="105">
      <c r="A1450" s="19">
        <v>43545.194571759261</v>
      </c>
      <c r="B1450" s="20" t="str">
        <f>HYPERLINK("https://twitter.com/finecountryhove","@finecountryhove")</f>
        <v>@finecountryhove</v>
      </c>
      <c r="C1450" s="21" t="s">
        <v>9263</v>
      </c>
      <c r="D1450" s="22" t="s">
        <v>12878</v>
      </c>
      <c r="E1450" s="23" t="str">
        <f>HYPERLINK("https://www.hootsuite.com","Hootsuite Inc.")</f>
        <v>Hootsuite Inc.</v>
      </c>
      <c r="F1450" s="19">
        <v>42423.280057870375</v>
      </c>
      <c r="G1450" s="24" t="s">
        <v>171</v>
      </c>
      <c r="H1450" s="35" t="s">
        <v>9264</v>
      </c>
      <c r="I1450" s="25" t="s">
        <v>9265</v>
      </c>
    </row>
    <row r="1451" spans="1:9" ht="60">
      <c r="A1451" s="12">
        <v>43578.424155092594</v>
      </c>
      <c r="B1451" s="13" t="str">
        <f>HYPERLINK("https://twitter.com/daisycheynes","@daisycheynes")</f>
        <v>@daisycheynes</v>
      </c>
      <c r="C1451" s="14" t="s">
        <v>1209</v>
      </c>
      <c r="D1451" s="15" t="s">
        <v>12882</v>
      </c>
      <c r="E1451" s="16" t="str">
        <f>HYPERLINK("http://instagram.com","Instagram")</f>
        <v>Instagram</v>
      </c>
      <c r="F1451" s="12">
        <v>40488.568935185183</v>
      </c>
      <c r="G1451" s="17" t="s">
        <v>171</v>
      </c>
      <c r="H1451" s="35" t="s">
        <v>1210</v>
      </c>
      <c r="I1451" s="18" t="s">
        <v>1211</v>
      </c>
    </row>
    <row r="1452" spans="1:9" ht="75">
      <c r="A1452" s="12">
        <v>43568.103402777779</v>
      </c>
      <c r="B1452" s="13" t="str">
        <f>HYPERLINK("https://twitter.com/TippHseDub","@TippHseDub")</f>
        <v>@TippHseDub</v>
      </c>
      <c r="C1452" s="14" t="s">
        <v>4870</v>
      </c>
      <c r="D1452" s="15" t="s">
        <v>12886</v>
      </c>
      <c r="E1452" s="16" t="str">
        <f>HYPERLINK("http://instagram.com","Instagram")</f>
        <v>Instagram</v>
      </c>
      <c r="F1452" s="12">
        <v>41424.036412037036</v>
      </c>
      <c r="G1452" s="17" t="s">
        <v>171</v>
      </c>
      <c r="H1452" s="35" t="s">
        <v>4871</v>
      </c>
      <c r="I1452" s="18" t="s">
        <v>4872</v>
      </c>
    </row>
    <row r="1453" spans="1:9" ht="105">
      <c r="A1453" s="12">
        <v>43573.215555555551</v>
      </c>
      <c r="B1453" s="13" t="str">
        <f>HYPERLINK("https://twitter.com/talhasariyuerek","@talhasariyuerek")</f>
        <v>@talhasariyuerek</v>
      </c>
      <c r="C1453" s="14" t="s">
        <v>2971</v>
      </c>
      <c r="D1453" s="15" t="s">
        <v>12891</v>
      </c>
      <c r="E1453" s="16" t="str">
        <f>HYPERLINK("https://talhasariyuerek.com/","talhasariyuerek")</f>
        <v>talhasariyuerek</v>
      </c>
      <c r="F1453" s="12">
        <v>42753.53905092593</v>
      </c>
      <c r="G1453" s="17" t="s">
        <v>171</v>
      </c>
      <c r="H1453" s="35" t="s">
        <v>2972</v>
      </c>
      <c r="I1453" s="18" t="s">
        <v>2973</v>
      </c>
    </row>
    <row r="1454" spans="1:9" ht="75">
      <c r="A1454" s="4">
        <v>43563.47828703704</v>
      </c>
      <c r="B1454" s="5" t="str">
        <f>HYPERLINK("https://twitter.com/ChrisMutchRC","@ChrisMutchRC")</f>
        <v>@ChrisMutchRC</v>
      </c>
      <c r="C1454" s="6" t="s">
        <v>10272</v>
      </c>
      <c r="D1454" s="7" t="s">
        <v>12892</v>
      </c>
      <c r="E1454" s="8" t="str">
        <f>HYPERLINK("http://instagram.com","Instagram")</f>
        <v>Instagram</v>
      </c>
      <c r="F1454" s="4">
        <v>40925.277013888888</v>
      </c>
      <c r="G1454" s="17" t="s">
        <v>171</v>
      </c>
      <c r="H1454" s="35" t="s">
        <v>5499</v>
      </c>
      <c r="I1454" s="10"/>
    </row>
    <row r="1455" spans="1:9" ht="120">
      <c r="A1455" s="12">
        <v>43566.48133101852</v>
      </c>
      <c r="B1455" s="13" t="str">
        <f>HYPERLINK("https://twitter.com/TraceyAnnCass","@TraceyAnnCass")</f>
        <v>@TraceyAnnCass</v>
      </c>
      <c r="C1455" s="14" t="s">
        <v>5498</v>
      </c>
      <c r="D1455" s="15" t="s">
        <v>12893</v>
      </c>
      <c r="E1455" s="16" t="str">
        <f>HYPERLINK("http://twitter.com/download/android","Twitter for Android")</f>
        <v>Twitter for Android</v>
      </c>
      <c r="F1455" s="12">
        <v>43415.183819444443</v>
      </c>
      <c r="G1455" s="17" t="s">
        <v>171</v>
      </c>
      <c r="H1455" s="35" t="s">
        <v>5499</v>
      </c>
      <c r="I1455" s="18" t="s">
        <v>5500</v>
      </c>
    </row>
    <row r="1456" spans="1:9" ht="75">
      <c r="A1456" s="19">
        <v>43543.159375000003</v>
      </c>
      <c r="B1456" s="20" t="str">
        <f>HYPERLINK("https://twitter.com/hollie_berries_","@hollie_berries_")</f>
        <v>@hollie_berries_</v>
      </c>
      <c r="C1456" s="21" t="s">
        <v>6263</v>
      </c>
      <c r="D1456" s="22" t="s">
        <v>12894</v>
      </c>
      <c r="E1456" s="23" t="str">
        <f>HYPERLINK("http://twitter.com/download/iphone","Twitter for iPhone")</f>
        <v>Twitter for iPhone</v>
      </c>
      <c r="F1456" s="19">
        <v>40959.290671296294</v>
      </c>
      <c r="G1456" s="17" t="s">
        <v>171</v>
      </c>
      <c r="H1456" s="35" t="s">
        <v>6264</v>
      </c>
      <c r="I1456" s="25" t="s">
        <v>6265</v>
      </c>
    </row>
    <row r="1457" spans="1:9" ht="90">
      <c r="A1457" s="4">
        <v>43565.154328703706</v>
      </c>
      <c r="B1457" s="5" t="str">
        <f>HYPERLINK("https://twitter.com/hollie_berries_","@hollie_berries_")</f>
        <v>@hollie_berries_</v>
      </c>
      <c r="C1457" s="6" t="s">
        <v>6263</v>
      </c>
      <c r="D1457" s="7" t="s">
        <v>12895</v>
      </c>
      <c r="E1457" s="8" t="str">
        <f>HYPERLINK("http://twitter.com/download/iphone","Twitter for iPhone")</f>
        <v>Twitter for iPhone</v>
      </c>
      <c r="F1457" s="4">
        <v>40959.290671296294</v>
      </c>
      <c r="G1457" s="17" t="s">
        <v>171</v>
      </c>
      <c r="H1457" s="35" t="s">
        <v>6264</v>
      </c>
      <c r="I1457" s="10" t="s">
        <v>6265</v>
      </c>
    </row>
    <row r="1458" spans="1:9" ht="90">
      <c r="A1458" s="4">
        <v>43557.554768518516</v>
      </c>
      <c r="B1458" s="5" t="str">
        <f>HYPERLINK("https://twitter.com/hollie_berries_","@hollie_berries_")</f>
        <v>@hollie_berries_</v>
      </c>
      <c r="C1458" s="6" t="s">
        <v>6263</v>
      </c>
      <c r="D1458" s="7" t="s">
        <v>12896</v>
      </c>
      <c r="E1458" s="8" t="str">
        <f>HYPERLINK("http://twitter.com/download/iphone","Twitter for iPhone")</f>
        <v>Twitter for iPhone</v>
      </c>
      <c r="F1458" s="4">
        <v>40959.290671296294</v>
      </c>
      <c r="G1458" s="17" t="s">
        <v>171</v>
      </c>
      <c r="H1458" s="35" t="s">
        <v>6264</v>
      </c>
      <c r="I1458" s="10" t="s">
        <v>6265</v>
      </c>
    </row>
    <row r="1459" spans="1:9" ht="135">
      <c r="A1459" s="4">
        <v>43565.311655092592</v>
      </c>
      <c r="B1459" s="5" t="str">
        <f>HYPERLINK("https://twitter.com/CosyDragons","@CosyDragons")</f>
        <v>@CosyDragons</v>
      </c>
      <c r="C1459" s="6" t="s">
        <v>5442</v>
      </c>
      <c r="D1459" s="7" t="s">
        <v>12897</v>
      </c>
      <c r="E1459" s="8" t="str">
        <f>HYPERLINK("http://twitter.com/download/iphone","Twitter for iPhone")</f>
        <v>Twitter for iPhone</v>
      </c>
      <c r="F1459" s="4">
        <v>43285.200497685189</v>
      </c>
      <c r="G1459" s="17" t="s">
        <v>171</v>
      </c>
      <c r="H1459" s="35" t="s">
        <v>5443</v>
      </c>
      <c r="I1459" s="10" t="s">
        <v>10182</v>
      </c>
    </row>
    <row r="1460" spans="1:9" ht="60">
      <c r="A1460" s="4">
        <v>43559.521238425921</v>
      </c>
      <c r="B1460" s="5" t="str">
        <f>HYPERLINK("https://twitter.com/CosyDragons","@CosyDragons")</f>
        <v>@CosyDragons</v>
      </c>
      <c r="C1460" s="6" t="s">
        <v>5442</v>
      </c>
      <c r="D1460" s="7" t="s">
        <v>12898</v>
      </c>
      <c r="E1460" s="8" t="str">
        <f>HYPERLINK("http://twitter.com/ !/download/ipad","Twitter for iPad")</f>
        <v>Twitter for iPad</v>
      </c>
      <c r="F1460" s="4">
        <v>43285.200497685189</v>
      </c>
      <c r="G1460" s="17" t="s">
        <v>171</v>
      </c>
      <c r="H1460" s="35" t="s">
        <v>5443</v>
      </c>
      <c r="I1460" s="10" t="s">
        <v>10182</v>
      </c>
    </row>
    <row r="1461" spans="1:9" ht="45">
      <c r="A1461" s="12">
        <v>43566.561423611114</v>
      </c>
      <c r="B1461" s="13" t="str">
        <f>HYPERLINK("https://twitter.com/CosyDragons","@CosyDragons")</f>
        <v>@CosyDragons</v>
      </c>
      <c r="C1461" s="14" t="s">
        <v>5442</v>
      </c>
      <c r="D1461" s="15" t="s">
        <v>12899</v>
      </c>
      <c r="E1461" s="16" t="str">
        <f>HYPERLINK("http://twitter.com/ !/download/ipad","Twitter for iPad")</f>
        <v>Twitter for iPad</v>
      </c>
      <c r="F1461" s="12">
        <v>43285.200497685189</v>
      </c>
      <c r="G1461" s="17" t="s">
        <v>171</v>
      </c>
      <c r="H1461" s="35" t="s">
        <v>5443</v>
      </c>
      <c r="I1461" s="18" t="s">
        <v>5444</v>
      </c>
    </row>
    <row r="1462" spans="1:9" ht="135">
      <c r="A1462" s="12">
        <v>43565.311655092592</v>
      </c>
      <c r="B1462" s="13" t="str">
        <f>HYPERLINK("https://twitter.com/CosyDragons","@CosyDragons")</f>
        <v>@CosyDragons</v>
      </c>
      <c r="C1462" s="14" t="s">
        <v>5442</v>
      </c>
      <c r="D1462" s="15" t="s">
        <v>12897</v>
      </c>
      <c r="E1462" s="16" t="str">
        <f>HYPERLINK("http://twitter.com/download/iphone","Twitter for iPhone")</f>
        <v>Twitter for iPhone</v>
      </c>
      <c r="F1462" s="12">
        <v>43285.200497685189</v>
      </c>
      <c r="G1462" s="17" t="s">
        <v>171</v>
      </c>
      <c r="H1462" s="35" t="s">
        <v>5443</v>
      </c>
      <c r="I1462" s="18" t="s">
        <v>5444</v>
      </c>
    </row>
    <row r="1463" spans="1:9" ht="45">
      <c r="A1463" s="4">
        <v>43556.975011574075</v>
      </c>
      <c r="B1463" s="5" t="str">
        <f>HYPERLINK("https://twitter.com/Inoelee","@Inoelee")</f>
        <v>@Inoelee</v>
      </c>
      <c r="C1463" s="6" t="s">
        <v>12692</v>
      </c>
      <c r="D1463" s="7" t="s">
        <v>12916</v>
      </c>
      <c r="E1463" s="8" t="str">
        <f>HYPERLINK("https://buffer.com","Buffer")</f>
        <v>Buffer</v>
      </c>
      <c r="F1463" s="4">
        <v>39914.598912037036</v>
      </c>
      <c r="G1463" s="9" t="s">
        <v>171</v>
      </c>
      <c r="H1463" s="35" t="s">
        <v>12693</v>
      </c>
      <c r="I1463" s="10" t="s">
        <v>12917</v>
      </c>
    </row>
    <row r="1464" spans="1:9" ht="90">
      <c r="A1464" s="12">
        <v>43572.319432870368</v>
      </c>
      <c r="B1464" s="13" t="str">
        <f>HYPERLINK("https://twitter.com/PauloArsenio","@PauloArsenio")</f>
        <v>@PauloArsenio</v>
      </c>
      <c r="C1464" s="14" t="s">
        <v>3333</v>
      </c>
      <c r="D1464" s="15" t="s">
        <v>12936</v>
      </c>
      <c r="E1464" s="16" t="str">
        <f>HYPERLINK("https://ifttt.com","IFTTT")</f>
        <v>IFTTT</v>
      </c>
      <c r="F1464" s="12">
        <v>42085.622673611113</v>
      </c>
      <c r="G1464" s="17" t="s">
        <v>171</v>
      </c>
      <c r="H1464" s="35" t="s">
        <v>3334</v>
      </c>
      <c r="I1464" s="18"/>
    </row>
    <row r="1465" spans="1:9" ht="45">
      <c r="A1465" s="19">
        <v>43550.119097222225</v>
      </c>
      <c r="B1465" s="20" t="str">
        <f>HYPERLINK("https://twitter.com/MarcelDellebeke","@MarcelDellebeke")</f>
        <v>@MarcelDellebeke</v>
      </c>
      <c r="C1465" s="21" t="s">
        <v>7823</v>
      </c>
      <c r="D1465" s="22" t="s">
        <v>12940</v>
      </c>
      <c r="E1465" s="23" t="str">
        <f>HYPERLINK("http://twitter.com/download/android","Twitter for Android")</f>
        <v>Twitter for Android</v>
      </c>
      <c r="F1465" s="19">
        <v>41222.265925925924</v>
      </c>
      <c r="G1465" s="24" t="s">
        <v>171</v>
      </c>
      <c r="H1465" s="35" t="s">
        <v>7824</v>
      </c>
      <c r="I1465" s="25" t="s">
        <v>7825</v>
      </c>
    </row>
    <row r="1466" spans="1:9" ht="45">
      <c r="A1466" s="19">
        <v>43547.018530092595</v>
      </c>
      <c r="B1466" s="20" t="str">
        <f>HYPERLINK("https://twitter.com/Pretpark020","@Pretpark020")</f>
        <v>@Pretpark020</v>
      </c>
      <c r="C1466" s="21" t="s">
        <v>1156</v>
      </c>
      <c r="D1466" s="22" t="s">
        <v>12941</v>
      </c>
      <c r="E1466" s="23" t="str">
        <f>HYPERLINK("http://twitter.com/download/android","Twitter for Android")</f>
        <v>Twitter for Android</v>
      </c>
      <c r="F1466" s="19">
        <v>42196.316574074073</v>
      </c>
      <c r="G1466" s="24" t="s">
        <v>171</v>
      </c>
      <c r="H1466" s="35" t="s">
        <v>1157</v>
      </c>
      <c r="I1466" s="25" t="s">
        <v>1158</v>
      </c>
    </row>
    <row r="1467" spans="1:9" ht="90">
      <c r="A1467" s="19">
        <v>43545.93346064815</v>
      </c>
      <c r="B1467" s="20" t="str">
        <f>HYPERLINK("https://twitter.com/Pretpark020","@Pretpark020")</f>
        <v>@Pretpark020</v>
      </c>
      <c r="C1467" s="21" t="s">
        <v>1156</v>
      </c>
      <c r="D1467" s="22" t="s">
        <v>12942</v>
      </c>
      <c r="E1467" s="23" t="str">
        <f>HYPERLINK("http://twitter.com/download/android","Twitter for Android")</f>
        <v>Twitter for Android</v>
      </c>
      <c r="F1467" s="19">
        <v>42196.316574074073</v>
      </c>
      <c r="G1467" s="24" t="s">
        <v>171</v>
      </c>
      <c r="H1467" s="35" t="s">
        <v>1157</v>
      </c>
      <c r="I1467" s="25" t="s">
        <v>1158</v>
      </c>
    </row>
    <row r="1468" spans="1:9" ht="60">
      <c r="A1468" s="19">
        <v>43543.991099537037</v>
      </c>
      <c r="B1468" s="20" t="str">
        <f>HYPERLINK("https://twitter.com/Pretpark020","@Pretpark020")</f>
        <v>@Pretpark020</v>
      </c>
      <c r="C1468" s="21" t="s">
        <v>1156</v>
      </c>
      <c r="D1468" s="22" t="s">
        <v>12943</v>
      </c>
      <c r="E1468" s="23" t="str">
        <f>HYPERLINK("http://twitter.com/download/android","Twitter for Android")</f>
        <v>Twitter for Android</v>
      </c>
      <c r="F1468" s="19">
        <v>42196.316574074073</v>
      </c>
      <c r="G1468" s="24" t="s">
        <v>171</v>
      </c>
      <c r="H1468" s="35" t="s">
        <v>1157</v>
      </c>
      <c r="I1468" s="25" t="s">
        <v>1158</v>
      </c>
    </row>
    <row r="1469" spans="1:9" ht="45">
      <c r="A1469" s="12">
        <v>43578.537719907406</v>
      </c>
      <c r="B1469" s="13" t="str">
        <f>HYPERLINK("https://twitter.com/Pretpark020","@Pretpark020")</f>
        <v>@Pretpark020</v>
      </c>
      <c r="C1469" s="14" t="s">
        <v>1156</v>
      </c>
      <c r="D1469" s="15" t="s">
        <v>12944</v>
      </c>
      <c r="E1469" s="16" t="str">
        <f>HYPERLINK("http://twitter.com/download/android","Twitter for Android")</f>
        <v>Twitter for Android</v>
      </c>
      <c r="F1469" s="12">
        <v>42196.316574074073</v>
      </c>
      <c r="G1469" s="24" t="s">
        <v>171</v>
      </c>
      <c r="H1469" s="35" t="s">
        <v>1157</v>
      </c>
      <c r="I1469" s="18" t="s">
        <v>1158</v>
      </c>
    </row>
    <row r="1470" spans="1:9" ht="30">
      <c r="A1470" s="19">
        <v>43545.562442129631</v>
      </c>
      <c r="B1470" s="20" t="str">
        <f>HYPERLINK("https://twitter.com/oorn_p","@oorn_p")</f>
        <v>@oorn_p</v>
      </c>
      <c r="C1470" s="21" t="s">
        <v>9097</v>
      </c>
      <c r="D1470" s="22" t="s">
        <v>12945</v>
      </c>
      <c r="E1470" s="23" t="str">
        <f>HYPERLINK("http://twitter.com","Twitter Web Client")</f>
        <v>Twitter Web Client</v>
      </c>
      <c r="F1470" s="19">
        <v>43509.190810185188</v>
      </c>
      <c r="G1470" s="24" t="s">
        <v>171</v>
      </c>
      <c r="H1470" s="35" t="s">
        <v>2996</v>
      </c>
      <c r="I1470" s="25" t="s">
        <v>12946</v>
      </c>
    </row>
    <row r="1471" spans="1:9" ht="75">
      <c r="A1471" s="12">
        <v>43573.132164351853</v>
      </c>
      <c r="B1471" s="13" t="str">
        <f>HYPERLINK("https://twitter.com/anitakasperekUX","@anitakasperekUX")</f>
        <v>@anitakasperekUX</v>
      </c>
      <c r="C1471" s="14" t="s">
        <v>2995</v>
      </c>
      <c r="D1471" s="15" t="s">
        <v>12947</v>
      </c>
      <c r="E1471" s="16" t="str">
        <f>HYPERLINK("http://twitter.com","Twitter Web Client")</f>
        <v>Twitter Web Client</v>
      </c>
      <c r="F1471" s="12">
        <v>41566.195821759262</v>
      </c>
      <c r="G1471" s="24" t="s">
        <v>171</v>
      </c>
      <c r="H1471" s="35" t="s">
        <v>2996</v>
      </c>
      <c r="I1471" s="18" t="s">
        <v>2997</v>
      </c>
    </row>
    <row r="1472" spans="1:9" ht="105">
      <c r="A1472" s="4">
        <v>43563.593622685185</v>
      </c>
      <c r="B1472" s="5" t="str">
        <f>HYPERLINK("https://twitter.com/PrivacyPellicn","@PrivacyPellicn")</f>
        <v>@PrivacyPellicn</v>
      </c>
      <c r="C1472" s="6" t="s">
        <v>6950</v>
      </c>
      <c r="D1472" s="7" t="s">
        <v>12948</v>
      </c>
      <c r="E1472" s="8" t="str">
        <f>HYPERLINK("http://twitter.com/download/iphone","Twitter for iPhone")</f>
        <v>Twitter for iPhone</v>
      </c>
      <c r="F1472" s="4">
        <v>42961.115706018521</v>
      </c>
      <c r="G1472" s="9" t="s">
        <v>171</v>
      </c>
      <c r="H1472" s="35" t="s">
        <v>6951</v>
      </c>
      <c r="I1472" s="10" t="s">
        <v>6952</v>
      </c>
    </row>
    <row r="1473" spans="1:9" ht="60">
      <c r="A1473" s="19">
        <v>43550.529189814813</v>
      </c>
      <c r="B1473" s="20" t="str">
        <f>HYPERLINK("https://twitter.com/saoghal_beag","@saoghal_beag")</f>
        <v>@saoghal_beag</v>
      </c>
      <c r="C1473" s="21" t="s">
        <v>7627</v>
      </c>
      <c r="D1473" s="22" t="s">
        <v>12949</v>
      </c>
      <c r="E1473" s="23" t="str">
        <f>HYPERLINK("http://twitter.com/download/iphone","Twitter for iPhone")</f>
        <v>Twitter for iPhone</v>
      </c>
      <c r="F1473" s="19">
        <v>40957.071805555555</v>
      </c>
      <c r="G1473" s="24" t="s">
        <v>171</v>
      </c>
      <c r="H1473" s="35" t="s">
        <v>7628</v>
      </c>
      <c r="I1473" s="25" t="s">
        <v>12950</v>
      </c>
    </row>
    <row r="1474" spans="1:9" ht="60">
      <c r="A1474" s="19">
        <v>43551.311122685191</v>
      </c>
      <c r="B1474" s="20" t="str">
        <f t="shared" ref="B1474:B1480" si="65">HYPERLINK("https://twitter.com/LauraMarc","@LauraMarc")</f>
        <v>@LauraMarc</v>
      </c>
      <c r="C1474" s="21" t="s">
        <v>1650</v>
      </c>
      <c r="D1474" s="28" t="s">
        <v>12971</v>
      </c>
      <c r="E1474" s="23" t="str">
        <f t="shared" ref="E1474:E1480" si="66">HYPERLINK("http://twitter.com","Twitter Web Client")</f>
        <v>Twitter Web Client</v>
      </c>
      <c r="F1474" s="19">
        <v>43549.437152777777</v>
      </c>
      <c r="G1474" s="24" t="s">
        <v>171</v>
      </c>
      <c r="H1474" s="35" t="s">
        <v>1651</v>
      </c>
      <c r="I1474" s="25" t="s">
        <v>12972</v>
      </c>
    </row>
    <row r="1475" spans="1:9" ht="60">
      <c r="A1475" s="12">
        <v>43577.370509259257</v>
      </c>
      <c r="B1475" s="13" t="str">
        <f t="shared" si="65"/>
        <v>@LauraMarc</v>
      </c>
      <c r="C1475" s="14" t="s">
        <v>1650</v>
      </c>
      <c r="D1475" s="15" t="s">
        <v>12973</v>
      </c>
      <c r="E1475" s="16" t="str">
        <f t="shared" si="66"/>
        <v>Twitter Web Client</v>
      </c>
      <c r="F1475" s="12">
        <v>43549.437152777777</v>
      </c>
      <c r="G1475" s="24" t="s">
        <v>171</v>
      </c>
      <c r="H1475" s="35" t="s">
        <v>1651</v>
      </c>
      <c r="I1475" s="18" t="s">
        <v>12972</v>
      </c>
    </row>
    <row r="1476" spans="1:9" ht="90">
      <c r="A1476" s="12">
        <v>43574.344456018516</v>
      </c>
      <c r="B1476" s="13" t="str">
        <f t="shared" si="65"/>
        <v>@LauraMarc</v>
      </c>
      <c r="C1476" s="14" t="s">
        <v>1650</v>
      </c>
      <c r="D1476" s="15" t="s">
        <v>12974</v>
      </c>
      <c r="E1476" s="16" t="str">
        <f t="shared" si="66"/>
        <v>Twitter Web Client</v>
      </c>
      <c r="F1476" s="12">
        <v>43549.437152777777</v>
      </c>
      <c r="G1476" s="24" t="s">
        <v>171</v>
      </c>
      <c r="H1476" s="35" t="s">
        <v>1651</v>
      </c>
      <c r="I1476" s="18" t="s">
        <v>12972</v>
      </c>
    </row>
    <row r="1477" spans="1:9" ht="90">
      <c r="A1477" s="12">
        <v>43574.343703703707</v>
      </c>
      <c r="B1477" s="13" t="str">
        <f t="shared" si="65"/>
        <v>@LauraMarc</v>
      </c>
      <c r="C1477" s="14" t="s">
        <v>1650</v>
      </c>
      <c r="D1477" s="15" t="s">
        <v>12975</v>
      </c>
      <c r="E1477" s="16" t="str">
        <f t="shared" si="66"/>
        <v>Twitter Web Client</v>
      </c>
      <c r="F1477" s="12">
        <v>43549.437152777777</v>
      </c>
      <c r="G1477" s="24" t="s">
        <v>171</v>
      </c>
      <c r="H1477" s="35" t="s">
        <v>1651</v>
      </c>
      <c r="I1477" s="18" t="s">
        <v>12972</v>
      </c>
    </row>
    <row r="1478" spans="1:9" ht="60">
      <c r="A1478" s="12">
        <v>43574.186215277776</v>
      </c>
      <c r="B1478" s="13" t="str">
        <f t="shared" si="65"/>
        <v>@LauraMarc</v>
      </c>
      <c r="C1478" s="14" t="s">
        <v>1650</v>
      </c>
      <c r="D1478" s="15" t="s">
        <v>12976</v>
      </c>
      <c r="E1478" s="16" t="str">
        <f t="shared" si="66"/>
        <v>Twitter Web Client</v>
      </c>
      <c r="F1478" s="12">
        <v>43549.437152777777</v>
      </c>
      <c r="G1478" s="24" t="s">
        <v>171</v>
      </c>
      <c r="H1478" s="35" t="s">
        <v>1651</v>
      </c>
      <c r="I1478" s="18" t="s">
        <v>12972</v>
      </c>
    </row>
    <row r="1479" spans="1:9" ht="75">
      <c r="A1479" s="12">
        <v>43571.122384259259</v>
      </c>
      <c r="B1479" s="13" t="str">
        <f t="shared" si="65"/>
        <v>@LauraMarc</v>
      </c>
      <c r="C1479" s="14" t="s">
        <v>1650</v>
      </c>
      <c r="D1479" s="15" t="s">
        <v>12977</v>
      </c>
      <c r="E1479" s="16" t="str">
        <f t="shared" si="66"/>
        <v>Twitter Web Client</v>
      </c>
      <c r="F1479" s="12">
        <v>43549.437152777777</v>
      </c>
      <c r="G1479" s="24" t="s">
        <v>171</v>
      </c>
      <c r="H1479" s="35" t="s">
        <v>1651</v>
      </c>
      <c r="I1479" s="18" t="s">
        <v>12972</v>
      </c>
    </row>
    <row r="1480" spans="1:9" ht="75">
      <c r="A1480" s="12">
        <v>43570.406782407408</v>
      </c>
      <c r="B1480" s="13" t="str">
        <f t="shared" si="65"/>
        <v>@LauraMarc</v>
      </c>
      <c r="C1480" s="14" t="s">
        <v>1650</v>
      </c>
      <c r="D1480" s="15" t="s">
        <v>12978</v>
      </c>
      <c r="E1480" s="16" t="str">
        <f t="shared" si="66"/>
        <v>Twitter Web Client</v>
      </c>
      <c r="F1480" s="12">
        <v>43549.437152777777</v>
      </c>
      <c r="G1480" s="24" t="s">
        <v>171</v>
      </c>
      <c r="H1480" s="35" t="s">
        <v>1651</v>
      </c>
      <c r="I1480" s="18" t="s">
        <v>12972</v>
      </c>
    </row>
    <row r="1481" spans="1:9" ht="75">
      <c r="A1481" s="19">
        <v>43543.536678240736</v>
      </c>
      <c r="B1481" s="20" t="str">
        <f>HYPERLINK("https://twitter.com/123_Coaching","@123_Coaching")</f>
        <v>@123_Coaching</v>
      </c>
      <c r="C1481" s="21" t="s">
        <v>9765</v>
      </c>
      <c r="D1481" s="22" t="s">
        <v>12979</v>
      </c>
      <c r="E1481" s="23" t="str">
        <f>HYPERLINK("http://instagram.com","Instagram")</f>
        <v>Instagram</v>
      </c>
      <c r="F1481" s="19">
        <v>41079.478437500002</v>
      </c>
      <c r="G1481" s="24" t="s">
        <v>171</v>
      </c>
      <c r="H1481" s="35" t="s">
        <v>2981</v>
      </c>
      <c r="I1481" s="25" t="s">
        <v>9766</v>
      </c>
    </row>
    <row r="1482" spans="1:9" ht="45">
      <c r="A1482" s="12">
        <v>43573.208923611106</v>
      </c>
      <c r="B1482" s="13" t="str">
        <f>HYPERLINK("https://twitter.com/ihotelservices","@ihotelservices")</f>
        <v>@ihotelservices</v>
      </c>
      <c r="C1482" s="14" t="s">
        <v>2980</v>
      </c>
      <c r="D1482" s="15" t="s">
        <v>12980</v>
      </c>
      <c r="E1482" s="16" t="str">
        <f>HYPERLINK("https://panel.socialpilot.co/","SocialPilot.co")</f>
        <v>SocialPilot.co</v>
      </c>
      <c r="F1482" s="12">
        <v>41830.32885416667</v>
      </c>
      <c r="G1482" s="24" t="s">
        <v>171</v>
      </c>
      <c r="H1482" s="35" t="s">
        <v>2981</v>
      </c>
      <c r="I1482" s="18" t="s">
        <v>2982</v>
      </c>
    </row>
    <row r="1483" spans="1:9" ht="105">
      <c r="A1483" s="19">
        <v>43544.331284722226</v>
      </c>
      <c r="B1483" s="20" t="str">
        <f>HYPERLINK("https://twitter.com/AbernyteCottage","@AbernyteCottage")</f>
        <v>@AbernyteCottage</v>
      </c>
      <c r="C1483" s="21" t="s">
        <v>9518</v>
      </c>
      <c r="D1483" s="22" t="s">
        <v>12984</v>
      </c>
      <c r="E1483" s="23" t="str">
        <f>HYPERLINK("http://twitter.com","Twitter Web Client")</f>
        <v>Twitter Web Client</v>
      </c>
      <c r="F1483" s="19">
        <v>43389.30804398148</v>
      </c>
      <c r="G1483" s="24" t="s">
        <v>171</v>
      </c>
      <c r="H1483" s="35" t="s">
        <v>9519</v>
      </c>
      <c r="I1483" s="25" t="s">
        <v>9520</v>
      </c>
    </row>
    <row r="1484" spans="1:9" ht="45">
      <c r="A1484" s="19">
        <v>43551.362534722226</v>
      </c>
      <c r="B1484" s="20" t="str">
        <f>HYPERLINK("https://twitter.com/paleobyleo","@paleobyleo")</f>
        <v>@paleobyleo</v>
      </c>
      <c r="C1484" s="21" t="s">
        <v>7278</v>
      </c>
      <c r="D1484" s="22" t="s">
        <v>7279</v>
      </c>
      <c r="E1484" s="23" t="str">
        <f>HYPERLINK("http://twinybots.com","TwinyBots")</f>
        <v>TwinyBots</v>
      </c>
      <c r="F1484" s="19">
        <v>43114.189259259263</v>
      </c>
      <c r="G1484" s="24" t="s">
        <v>171</v>
      </c>
      <c r="H1484" s="35" t="s">
        <v>171</v>
      </c>
      <c r="I1484" s="25" t="s">
        <v>7280</v>
      </c>
    </row>
    <row r="1485" spans="1:9" ht="60">
      <c r="A1485" s="19">
        <v>43548.197974537034</v>
      </c>
      <c r="B1485" s="20" t="str">
        <f>HYPERLINK("https://twitter.com/TwoSmallPtatoes","@TwoSmallPtatoes")</f>
        <v>@TwoSmallPtatoes</v>
      </c>
      <c r="C1485" s="21" t="s">
        <v>8387</v>
      </c>
      <c r="D1485" s="22" t="s">
        <v>8388</v>
      </c>
      <c r="E1485" s="23" t="str">
        <f>HYPERLINK("http://twitter.com","Twitter Web Client")</f>
        <v>Twitter Web Client</v>
      </c>
      <c r="F1485" s="19">
        <v>40726.627557870372</v>
      </c>
      <c r="G1485" s="24" t="s">
        <v>171</v>
      </c>
      <c r="H1485" s="35" t="s">
        <v>171</v>
      </c>
      <c r="I1485" s="25" t="s">
        <v>8389</v>
      </c>
    </row>
    <row r="1486" spans="1:9" ht="60">
      <c r="A1486" s="4">
        <v>43565.057696759264</v>
      </c>
      <c r="B1486" s="5" t="str">
        <f>HYPERLINK("https://twitter.com/underthethatch","@underthethatch")</f>
        <v>@underthethatch</v>
      </c>
      <c r="C1486" s="6" t="s">
        <v>6321</v>
      </c>
      <c r="D1486" s="7" t="s">
        <v>6322</v>
      </c>
      <c r="E1486" s="8" t="str">
        <f>HYPERLINK("http://twitter.com","Twitter Web Client")</f>
        <v>Twitter Web Client</v>
      </c>
      <c r="F1486" s="4">
        <v>39983.589270833334</v>
      </c>
      <c r="G1486" s="9" t="s">
        <v>171</v>
      </c>
      <c r="H1486" s="35" t="s">
        <v>171</v>
      </c>
      <c r="I1486" s="10" t="s">
        <v>6323</v>
      </c>
    </row>
    <row r="1487" spans="1:9" ht="105">
      <c r="A1487" s="4">
        <v>43564.446585648147</v>
      </c>
      <c r="B1487" s="5" t="str">
        <f>HYPERLINK("https://twitter.com/EricPB","@EricPB")</f>
        <v>@EricPB</v>
      </c>
      <c r="C1487" s="6" t="s">
        <v>6607</v>
      </c>
      <c r="D1487" s="7" t="s">
        <v>6608</v>
      </c>
      <c r="E1487" s="8" t="str">
        <f>HYPERLINK("http://twitter.com/download/iphone","Twitter for iPhone")</f>
        <v>Twitter for iPhone</v>
      </c>
      <c r="F1487" s="4">
        <v>39251.23600694444</v>
      </c>
      <c r="G1487" s="9" t="s">
        <v>171</v>
      </c>
      <c r="H1487" s="35" t="s">
        <v>171</v>
      </c>
      <c r="I1487" s="10" t="s">
        <v>6609</v>
      </c>
    </row>
    <row r="1488" spans="1:9" ht="60">
      <c r="A1488" s="12">
        <v>43580.649236111116</v>
      </c>
      <c r="B1488" s="13" t="str">
        <f>HYPERLINK("https://twitter.com/torypython","@torypython")</f>
        <v>@torypython</v>
      </c>
      <c r="C1488" s="14" t="s">
        <v>169</v>
      </c>
      <c r="D1488" s="15" t="s">
        <v>170</v>
      </c>
      <c r="E1488" s="16" t="str">
        <f>HYPERLINK("http://twitter.com","Twitter Web Client")</f>
        <v>Twitter Web Client</v>
      </c>
      <c r="F1488" s="12">
        <v>43307.0075</v>
      </c>
      <c r="G1488" s="17" t="s">
        <v>171</v>
      </c>
      <c r="H1488" s="35" t="s">
        <v>171</v>
      </c>
      <c r="I1488" s="18" t="s">
        <v>172</v>
      </c>
    </row>
    <row r="1489" spans="1:9" ht="90">
      <c r="A1489" s="12">
        <v>43579.894768518519</v>
      </c>
      <c r="B1489" s="13" t="str">
        <f>HYPERLINK("https://twitter.com/mntask","@mntask")</f>
        <v>@mntask</v>
      </c>
      <c r="C1489" s="14" t="s">
        <v>408</v>
      </c>
      <c r="D1489" s="15" t="s">
        <v>409</v>
      </c>
      <c r="E1489" s="16" t="str">
        <f>HYPERLINK("http://twitter.com/download/android","Twitter for Android")</f>
        <v>Twitter for Android</v>
      </c>
      <c r="F1489" s="12">
        <v>40782.628842592589</v>
      </c>
      <c r="G1489" s="17" t="s">
        <v>171</v>
      </c>
      <c r="H1489" s="35" t="s">
        <v>171</v>
      </c>
      <c r="I1489" s="18" t="s">
        <v>410</v>
      </c>
    </row>
    <row r="1490" spans="1:9" ht="120">
      <c r="A1490" s="12">
        <v>43577.594259259262</v>
      </c>
      <c r="B1490" s="13" t="str">
        <f>HYPERLINK("https://twitter.com/CryptoV8","@CryptoV8")</f>
        <v>@CryptoV8</v>
      </c>
      <c r="C1490" s="14" t="s">
        <v>1556</v>
      </c>
      <c r="D1490" s="15" t="s">
        <v>1557</v>
      </c>
      <c r="E1490" s="16" t="str">
        <f>HYPERLINK("http://twitter.com","Twitter Web Client")</f>
        <v>Twitter Web Client</v>
      </c>
      <c r="F1490" s="12">
        <v>43424.562673611115</v>
      </c>
      <c r="G1490" s="17" t="s">
        <v>171</v>
      </c>
      <c r="H1490" s="35" t="s">
        <v>171</v>
      </c>
      <c r="I1490" s="18" t="s">
        <v>1558</v>
      </c>
    </row>
    <row r="1491" spans="1:9" ht="180">
      <c r="A1491" s="12">
        <v>43577.137800925921</v>
      </c>
      <c r="B1491" s="13" t="str">
        <f>HYPERLINK("https://twitter.com/ChrisMurphy201","@ChrisMurphy201")</f>
        <v>@ChrisMurphy201</v>
      </c>
      <c r="C1491" s="14" t="s">
        <v>1738</v>
      </c>
      <c r="D1491" s="15" t="s">
        <v>1739</v>
      </c>
      <c r="E1491" s="16" t="str">
        <f>HYPERLINK("http://www.echofon.com/","Echofon")</f>
        <v>Echofon</v>
      </c>
      <c r="F1491" s="12">
        <v>40968.184976851851</v>
      </c>
      <c r="G1491" s="17" t="s">
        <v>171</v>
      </c>
      <c r="H1491" s="35" t="s">
        <v>171</v>
      </c>
      <c r="I1491" s="18" t="s">
        <v>1740</v>
      </c>
    </row>
    <row r="1492" spans="1:9" ht="45">
      <c r="A1492" s="12">
        <v>43571.269270833334</v>
      </c>
      <c r="B1492" s="13" t="str">
        <f>HYPERLINK("https://twitter.com/AdditionRecruit","@AdditionRecruit")</f>
        <v>@AdditionRecruit</v>
      </c>
      <c r="C1492" s="14" t="s">
        <v>3764</v>
      </c>
      <c r="D1492" s="15" t="s">
        <v>3765</v>
      </c>
      <c r="E1492" s="16" t="str">
        <f>HYPERLINK("https://www.hootsuite.com","Hootsuite Inc.")</f>
        <v>Hootsuite Inc.</v>
      </c>
      <c r="F1492" s="12">
        <v>41227.106817129628</v>
      </c>
      <c r="G1492" s="17" t="s">
        <v>171</v>
      </c>
      <c r="H1492" s="35" t="s">
        <v>171</v>
      </c>
      <c r="I1492" s="18" t="s">
        <v>3766</v>
      </c>
    </row>
    <row r="1493" spans="1:9" ht="60">
      <c r="A1493" s="12">
        <v>43565.951331018514</v>
      </c>
      <c r="B1493" s="13" t="str">
        <f>HYPERLINK("https://twitter.com/torypython","@torypython")</f>
        <v>@torypython</v>
      </c>
      <c r="C1493" s="14" t="s">
        <v>5833</v>
      </c>
      <c r="D1493" s="15" t="s">
        <v>5834</v>
      </c>
      <c r="E1493" s="16" t="str">
        <f>HYPERLINK("http://twitter.com","Twitter Web Client")</f>
        <v>Twitter Web Client</v>
      </c>
      <c r="F1493" s="12">
        <v>43306.549166666664</v>
      </c>
      <c r="G1493" s="17" t="s">
        <v>171</v>
      </c>
      <c r="H1493" s="35" t="s">
        <v>171</v>
      </c>
      <c r="I1493" s="18" t="s">
        <v>172</v>
      </c>
    </row>
    <row r="1494" spans="1:9" ht="120">
      <c r="A1494" s="12">
        <v>43565.330775462964</v>
      </c>
      <c r="B1494" s="13" t="str">
        <f>HYPERLINK("https://twitter.com/LarryLivinston","@LarryLivinston")</f>
        <v>@LarryLivinston</v>
      </c>
      <c r="C1494" s="14" t="s">
        <v>6168</v>
      </c>
      <c r="D1494" s="15" t="s">
        <v>6169</v>
      </c>
      <c r="E1494" s="16" t="str">
        <f>HYPERLINK("http://twitter.com","Twitter Web Client")</f>
        <v>Twitter Web Client</v>
      </c>
      <c r="F1494" s="12">
        <v>43001.412789351853</v>
      </c>
      <c r="G1494" s="17" t="s">
        <v>171</v>
      </c>
      <c r="H1494" s="35" t="s">
        <v>171</v>
      </c>
      <c r="I1494" s="18" t="s">
        <v>6170</v>
      </c>
    </row>
    <row r="1495" spans="1:9" ht="90">
      <c r="A1495" s="12">
        <v>43579.247685185182</v>
      </c>
      <c r="B1495" s="13" t="str">
        <f>HYPERLINK("https://twitter.com/Cilusse","@Cilusse")</f>
        <v>@Cilusse</v>
      </c>
      <c r="C1495" s="14" t="s">
        <v>822</v>
      </c>
      <c r="D1495" s="15" t="s">
        <v>823</v>
      </c>
      <c r="E1495" s="16" t="str">
        <f>HYPERLINK("https://ifttt.com","IFTTT")</f>
        <v>IFTTT</v>
      </c>
      <c r="F1495" s="12">
        <v>40988.407511574071</v>
      </c>
      <c r="G1495" s="17" t="s">
        <v>171</v>
      </c>
      <c r="H1495" s="35" t="s">
        <v>824</v>
      </c>
      <c r="I1495" s="18" t="s">
        <v>825</v>
      </c>
    </row>
    <row r="1496" spans="1:9" ht="60">
      <c r="A1496" s="12">
        <v>43579.348506944443</v>
      </c>
      <c r="B1496" s="13" t="str">
        <f>HYPERLINK("https://twitter.com/laughingtwits","@laughingtwits")</f>
        <v>@laughingtwits</v>
      </c>
      <c r="C1496" s="14" t="s">
        <v>738</v>
      </c>
      <c r="D1496" s="15" t="s">
        <v>739</v>
      </c>
      <c r="E1496" s="16" t="str">
        <f>HYPERLINK("http://twitter.com","Twitter Web Client")</f>
        <v>Twitter Web Client</v>
      </c>
      <c r="F1496" s="12">
        <v>39449.567986111113</v>
      </c>
      <c r="G1496" s="17" t="s">
        <v>171</v>
      </c>
      <c r="H1496" s="35" t="s">
        <v>740</v>
      </c>
      <c r="I1496" s="18" t="s">
        <v>741</v>
      </c>
    </row>
    <row r="1497" spans="1:9" ht="105">
      <c r="A1497" s="12">
        <v>43567.235949074078</v>
      </c>
      <c r="B1497" s="13" t="str">
        <f>HYPERLINK("https://twitter.com/Places2StayUK","@Places2StayUK")</f>
        <v>@Places2StayUK</v>
      </c>
      <c r="C1497" s="14" t="s">
        <v>5207</v>
      </c>
      <c r="D1497" s="15" t="s">
        <v>5208</v>
      </c>
      <c r="E1497" s="16" t="str">
        <f>HYPERLINK("http://twitter.com","Twitter Web Client")</f>
        <v>Twitter Web Client</v>
      </c>
      <c r="F1497" s="12">
        <v>43370.293229166666</v>
      </c>
      <c r="G1497" s="17" t="s">
        <v>171</v>
      </c>
      <c r="H1497" s="35" t="s">
        <v>5209</v>
      </c>
      <c r="I1497" s="18" t="s">
        <v>5210</v>
      </c>
    </row>
    <row r="1498" spans="1:9" ht="45">
      <c r="A1498" s="12">
        <v>43576.422800925924</v>
      </c>
      <c r="B1498" s="13" t="str">
        <f>HYPERLINK("https://twitter.com/Shamanic_hunt","@Shamanic_hunt")</f>
        <v>@Shamanic_hunt</v>
      </c>
      <c r="C1498" s="14" t="s">
        <v>1951</v>
      </c>
      <c r="D1498" s="15" t="s">
        <v>1952</v>
      </c>
      <c r="E1498" s="16" t="str">
        <f>HYPERLINK("http://instagram.com","Instagram")</f>
        <v>Instagram</v>
      </c>
      <c r="F1498" s="12">
        <v>39849.954386574071</v>
      </c>
      <c r="G1498" s="17" t="s">
        <v>171</v>
      </c>
      <c r="H1498" s="35" t="s">
        <v>1953</v>
      </c>
      <c r="I1498" s="18" t="s">
        <v>1954</v>
      </c>
    </row>
    <row r="1499" spans="1:9" ht="60">
      <c r="A1499" s="4">
        <v>43558.190694444449</v>
      </c>
      <c r="B1499" s="5" t="str">
        <f>HYPERLINK("https://twitter.com/MallardPlace","@MallardPlace")</f>
        <v>@MallardPlace</v>
      </c>
      <c r="C1499" s="6" t="s">
        <v>12288</v>
      </c>
      <c r="D1499" s="7" t="s">
        <v>12289</v>
      </c>
      <c r="E1499" s="8" t="str">
        <f>HYPERLINK("http://twitter.com","Twitter Web Client")</f>
        <v>Twitter Web Client</v>
      </c>
      <c r="F1499" s="4">
        <v>41682.34814814815</v>
      </c>
      <c r="G1499" s="9" t="s">
        <v>171</v>
      </c>
      <c r="H1499" s="35" t="s">
        <v>12290</v>
      </c>
      <c r="I1499" s="10" t="s">
        <v>12291</v>
      </c>
    </row>
    <row r="1500" spans="1:9" ht="75">
      <c r="A1500" s="19">
        <v>43547.472604166665</v>
      </c>
      <c r="B1500" s="20" t="str">
        <f>HYPERLINK("https://twitter.com/marksstorm","@marksstorm")</f>
        <v>@marksstorm</v>
      </c>
      <c r="C1500" s="21" t="s">
        <v>8528</v>
      </c>
      <c r="D1500" s="22" t="s">
        <v>8529</v>
      </c>
      <c r="E1500" s="23" t="str">
        <f>HYPERLINK("http://twitter.com","Twitter Web Client")</f>
        <v>Twitter Web Client</v>
      </c>
      <c r="F1500" s="19">
        <v>39939.30300925926</v>
      </c>
      <c r="G1500" s="17" t="s">
        <v>171</v>
      </c>
      <c r="H1500" s="35" t="s">
        <v>8530</v>
      </c>
      <c r="I1500" s="25" t="s">
        <v>8531</v>
      </c>
    </row>
    <row r="1501" spans="1:9" ht="45">
      <c r="A1501" s="4">
        <v>43565.417488425926</v>
      </c>
      <c r="B1501" s="5" t="str">
        <f>HYPERLINK("https://twitter.com/deboismarc","@deboismarc")</f>
        <v>@deboismarc</v>
      </c>
      <c r="C1501" s="6" t="s">
        <v>6100</v>
      </c>
      <c r="D1501" s="7" t="s">
        <v>6101</v>
      </c>
      <c r="E1501" s="8" t="str">
        <f>HYPERLINK("https://buffer.com","Buffer")</f>
        <v>Buffer</v>
      </c>
      <c r="F1501" s="4">
        <v>40565.485844907409</v>
      </c>
      <c r="G1501" s="17" t="s">
        <v>171</v>
      </c>
      <c r="H1501" s="35" t="s">
        <v>6102</v>
      </c>
      <c r="I1501" s="10" t="s">
        <v>6103</v>
      </c>
    </row>
    <row r="1502" spans="1:9" ht="45">
      <c r="A1502" s="19">
        <v>43550.577592592592</v>
      </c>
      <c r="B1502" s="20" t="str">
        <f>HYPERLINK("https://twitter.com/ExarcheiaT","@ExarcheiaT")</f>
        <v>@ExarcheiaT</v>
      </c>
      <c r="C1502" s="21" t="s">
        <v>1922</v>
      </c>
      <c r="D1502" s="22" t="s">
        <v>7609</v>
      </c>
      <c r="E1502" s="23" t="str">
        <f>HYPERLINK("http://twitter.com/download/android","Twitter for Android")</f>
        <v>Twitter for Android</v>
      </c>
      <c r="F1502" s="19">
        <v>43544.262858796297</v>
      </c>
      <c r="G1502" s="17" t="s">
        <v>171</v>
      </c>
      <c r="H1502" s="35" t="s">
        <v>941</v>
      </c>
      <c r="I1502" s="25" t="s">
        <v>1924</v>
      </c>
    </row>
    <row r="1503" spans="1:9" ht="60">
      <c r="A1503" s="19">
        <v>43547.364247685182</v>
      </c>
      <c r="B1503" s="20" t="str">
        <f>HYPERLINK("https://twitter.com/ExarcheiaT","@ExarcheiaT")</f>
        <v>@ExarcheiaT</v>
      </c>
      <c r="C1503" s="21" t="s">
        <v>1922</v>
      </c>
      <c r="D1503" s="22" t="s">
        <v>8578</v>
      </c>
      <c r="E1503" s="23" t="str">
        <f>HYPERLINK("http://twitter.com/download/android","Twitter for Android")</f>
        <v>Twitter for Android</v>
      </c>
      <c r="F1503" s="19">
        <v>43544.262858796297</v>
      </c>
      <c r="G1503" s="17" t="s">
        <v>171</v>
      </c>
      <c r="H1503" s="35" t="s">
        <v>941</v>
      </c>
      <c r="I1503" s="25" t="s">
        <v>1924</v>
      </c>
    </row>
    <row r="1504" spans="1:9" ht="60">
      <c r="A1504" s="19">
        <v>43546.160613425927</v>
      </c>
      <c r="B1504" s="20" t="str">
        <f>HYPERLINK("https://twitter.com/ExarcheiaT","@ExarcheiaT")</f>
        <v>@ExarcheiaT</v>
      </c>
      <c r="C1504" s="21" t="s">
        <v>1922</v>
      </c>
      <c r="D1504" s="22" t="s">
        <v>8950</v>
      </c>
      <c r="E1504" s="23" t="str">
        <f>HYPERLINK("http://twitter.com","Twitter Web Client")</f>
        <v>Twitter Web Client</v>
      </c>
      <c r="F1504" s="19">
        <v>43544.262858796297</v>
      </c>
      <c r="G1504" s="17" t="s">
        <v>171</v>
      </c>
      <c r="H1504" s="35" t="s">
        <v>941</v>
      </c>
      <c r="I1504" s="25" t="s">
        <v>1924</v>
      </c>
    </row>
    <row r="1505" spans="1:9" ht="60">
      <c r="A1505" s="19">
        <v>43545.051932870367</v>
      </c>
      <c r="B1505" s="20" t="str">
        <f>HYPERLINK("https://twitter.com/ExarcheiaT","@ExarcheiaT")</f>
        <v>@ExarcheiaT</v>
      </c>
      <c r="C1505" s="21" t="s">
        <v>1922</v>
      </c>
      <c r="D1505" s="22" t="s">
        <v>9289</v>
      </c>
      <c r="E1505" s="23" t="str">
        <f>HYPERLINK("http://twitter.com/download/android","Twitter for Android")</f>
        <v>Twitter for Android</v>
      </c>
      <c r="F1505" s="19">
        <v>43544.262858796297</v>
      </c>
      <c r="G1505" s="17" t="s">
        <v>171</v>
      </c>
      <c r="H1505" s="35" t="s">
        <v>941</v>
      </c>
      <c r="I1505" s="25" t="s">
        <v>1924</v>
      </c>
    </row>
    <row r="1506" spans="1:9" ht="105">
      <c r="A1506" s="19">
        <v>43544.139293981483</v>
      </c>
      <c r="B1506" s="20" t="str">
        <f>HYPERLINK("https://twitter.com/exiledarizona","@exiledarizona")</f>
        <v>@exiledarizona</v>
      </c>
      <c r="C1506" s="21" t="s">
        <v>939</v>
      </c>
      <c r="D1506" s="22" t="s">
        <v>9604</v>
      </c>
      <c r="E1506" s="23" t="str">
        <f>HYPERLINK("http://twitter.com/download/android","Twitter for Android")</f>
        <v>Twitter for Android</v>
      </c>
      <c r="F1506" s="19">
        <v>41176.810694444444</v>
      </c>
      <c r="G1506" s="17" t="s">
        <v>171</v>
      </c>
      <c r="H1506" s="35" t="s">
        <v>941</v>
      </c>
      <c r="I1506" s="25" t="s">
        <v>9605</v>
      </c>
    </row>
    <row r="1507" spans="1:9" ht="75">
      <c r="A1507" s="19">
        <v>43543.163958333331</v>
      </c>
      <c r="B1507" s="20" t="str">
        <f>HYPERLINK("https://twitter.com/exiledarizona","@exiledarizona")</f>
        <v>@exiledarizona</v>
      </c>
      <c r="C1507" s="21" t="s">
        <v>939</v>
      </c>
      <c r="D1507" s="22" t="s">
        <v>9919</v>
      </c>
      <c r="E1507" s="23" t="str">
        <f>HYPERLINK("http://twitter.com/download/android","Twitter for Android")</f>
        <v>Twitter for Android</v>
      </c>
      <c r="F1507" s="19">
        <v>41176.810694444444</v>
      </c>
      <c r="G1507" s="17" t="s">
        <v>171</v>
      </c>
      <c r="H1507" s="35" t="s">
        <v>941</v>
      </c>
      <c r="I1507" s="25" t="s">
        <v>9605</v>
      </c>
    </row>
    <row r="1508" spans="1:9" ht="90">
      <c r="A1508" s="19">
        <v>43543.15997685185</v>
      </c>
      <c r="B1508" s="20" t="str">
        <f>HYPERLINK("https://twitter.com/exiledarizona","@exiledarizona")</f>
        <v>@exiledarizona</v>
      </c>
      <c r="C1508" s="21" t="s">
        <v>939</v>
      </c>
      <c r="D1508" s="22" t="s">
        <v>9921</v>
      </c>
      <c r="E1508" s="23" t="str">
        <f>HYPERLINK("http://twitter.com","Twitter Web Client")</f>
        <v>Twitter Web Client</v>
      </c>
      <c r="F1508" s="19">
        <v>41176.810694444444</v>
      </c>
      <c r="G1508" s="17" t="s">
        <v>171</v>
      </c>
      <c r="H1508" s="35" t="s">
        <v>941</v>
      </c>
      <c r="I1508" s="25" t="s">
        <v>9605</v>
      </c>
    </row>
    <row r="1509" spans="1:9" ht="75">
      <c r="A1509" s="4">
        <v>43565.076898148152</v>
      </c>
      <c r="B1509" s="5" t="str">
        <f t="shared" ref="B1509:B1515" si="67">HYPERLINK("https://twitter.com/ExarcheiaT","@ExarcheiaT")</f>
        <v>@ExarcheiaT</v>
      </c>
      <c r="C1509" s="6" t="s">
        <v>1922</v>
      </c>
      <c r="D1509" s="7" t="s">
        <v>6302</v>
      </c>
      <c r="E1509" s="8" t="str">
        <f t="shared" ref="E1509:E1522" si="68">HYPERLINK("http://twitter.com/download/android","Twitter for Android")</f>
        <v>Twitter for Android</v>
      </c>
      <c r="F1509" s="4">
        <v>43544.262858796297</v>
      </c>
      <c r="G1509" s="17" t="s">
        <v>171</v>
      </c>
      <c r="H1509" s="35" t="s">
        <v>941</v>
      </c>
      <c r="I1509" s="10" t="s">
        <v>1924</v>
      </c>
    </row>
    <row r="1510" spans="1:9" ht="90">
      <c r="A1510" s="4">
        <v>43564.181620370371</v>
      </c>
      <c r="B1510" s="5" t="str">
        <f t="shared" si="67"/>
        <v>@ExarcheiaT</v>
      </c>
      <c r="C1510" s="6" t="s">
        <v>1922</v>
      </c>
      <c r="D1510" s="7" t="s">
        <v>6754</v>
      </c>
      <c r="E1510" s="8" t="str">
        <f t="shared" si="68"/>
        <v>Twitter for Android</v>
      </c>
      <c r="F1510" s="4">
        <v>43544.262858796297</v>
      </c>
      <c r="G1510" s="17" t="s">
        <v>171</v>
      </c>
      <c r="H1510" s="35" t="s">
        <v>941</v>
      </c>
      <c r="I1510" s="10" t="s">
        <v>1924</v>
      </c>
    </row>
    <row r="1511" spans="1:9" ht="60">
      <c r="A1511" s="4">
        <v>43563.314895833333</v>
      </c>
      <c r="B1511" s="5" t="str">
        <f t="shared" si="67"/>
        <v>@ExarcheiaT</v>
      </c>
      <c r="C1511" s="6" t="s">
        <v>1922</v>
      </c>
      <c r="D1511" s="7" t="s">
        <v>10385</v>
      </c>
      <c r="E1511" s="8" t="str">
        <f t="shared" si="68"/>
        <v>Twitter for Android</v>
      </c>
      <c r="F1511" s="4">
        <v>43544.262858796297</v>
      </c>
      <c r="G1511" s="17" t="s">
        <v>171</v>
      </c>
      <c r="H1511" s="35" t="s">
        <v>941</v>
      </c>
      <c r="I1511" s="10" t="s">
        <v>1924</v>
      </c>
    </row>
    <row r="1512" spans="1:9" ht="45">
      <c r="A1512" s="4">
        <v>43562.1793287037</v>
      </c>
      <c r="B1512" s="5" t="str">
        <f t="shared" si="67"/>
        <v>@ExarcheiaT</v>
      </c>
      <c r="C1512" s="6" t="s">
        <v>1922</v>
      </c>
      <c r="D1512" s="7" t="s">
        <v>10735</v>
      </c>
      <c r="E1512" s="8" t="str">
        <f t="shared" si="68"/>
        <v>Twitter for Android</v>
      </c>
      <c r="F1512" s="4">
        <v>43544.262858796297</v>
      </c>
      <c r="G1512" s="17" t="s">
        <v>171</v>
      </c>
      <c r="H1512" s="35" t="s">
        <v>941</v>
      </c>
      <c r="I1512" s="10" t="s">
        <v>1924</v>
      </c>
    </row>
    <row r="1513" spans="1:9" ht="90">
      <c r="A1513" s="4">
        <v>43562.109768518523</v>
      </c>
      <c r="B1513" s="5" t="str">
        <f t="shared" si="67"/>
        <v>@ExarcheiaT</v>
      </c>
      <c r="C1513" s="6" t="s">
        <v>1922</v>
      </c>
      <c r="D1513" s="7" t="s">
        <v>10747</v>
      </c>
      <c r="E1513" s="8" t="str">
        <f t="shared" si="68"/>
        <v>Twitter for Android</v>
      </c>
      <c r="F1513" s="4">
        <v>43544.262858796297</v>
      </c>
      <c r="G1513" s="17" t="s">
        <v>171</v>
      </c>
      <c r="H1513" s="35" t="s">
        <v>941</v>
      </c>
      <c r="I1513" s="10" t="s">
        <v>1924</v>
      </c>
    </row>
    <row r="1514" spans="1:9" ht="45">
      <c r="A1514" s="4">
        <v>43560.150659722218</v>
      </c>
      <c r="B1514" s="5" t="str">
        <f t="shared" si="67"/>
        <v>@ExarcheiaT</v>
      </c>
      <c r="C1514" s="6" t="s">
        <v>1922</v>
      </c>
      <c r="D1514" s="7" t="s">
        <v>11589</v>
      </c>
      <c r="E1514" s="8" t="str">
        <f t="shared" si="68"/>
        <v>Twitter for Android</v>
      </c>
      <c r="F1514" s="4">
        <v>43544.262858796297</v>
      </c>
      <c r="G1514" s="17" t="s">
        <v>171</v>
      </c>
      <c r="H1514" s="35" t="s">
        <v>941</v>
      </c>
      <c r="I1514" s="10" t="s">
        <v>1924</v>
      </c>
    </row>
    <row r="1515" spans="1:9" ht="45">
      <c r="A1515" s="4">
        <v>43559.126504629632</v>
      </c>
      <c r="B1515" s="5" t="str">
        <f t="shared" si="67"/>
        <v>@ExarcheiaT</v>
      </c>
      <c r="C1515" s="6" t="s">
        <v>1922</v>
      </c>
      <c r="D1515" s="7" t="s">
        <v>11938</v>
      </c>
      <c r="E1515" s="8" t="str">
        <f t="shared" si="68"/>
        <v>Twitter for Android</v>
      </c>
      <c r="F1515" s="4">
        <v>43544.262858796297</v>
      </c>
      <c r="G1515" s="17" t="s">
        <v>171</v>
      </c>
      <c r="H1515" s="35" t="s">
        <v>941</v>
      </c>
      <c r="I1515" s="10" t="s">
        <v>1924</v>
      </c>
    </row>
    <row r="1516" spans="1:9" ht="45">
      <c r="A1516" s="12">
        <v>43579.074652777781</v>
      </c>
      <c r="B1516" s="13" t="str">
        <f>HYPERLINK("https://twitter.com/exiledarizona","@exiledarizona")</f>
        <v>@exiledarizona</v>
      </c>
      <c r="C1516" s="14" t="s">
        <v>939</v>
      </c>
      <c r="D1516" s="15" t="s">
        <v>940</v>
      </c>
      <c r="E1516" s="16" t="str">
        <f t="shared" si="68"/>
        <v>Twitter for Android</v>
      </c>
      <c r="F1516" s="12">
        <v>41176.810694444444</v>
      </c>
      <c r="G1516" s="17" t="s">
        <v>171</v>
      </c>
      <c r="H1516" s="35" t="s">
        <v>941</v>
      </c>
      <c r="I1516" s="18" t="s">
        <v>942</v>
      </c>
    </row>
    <row r="1517" spans="1:9" ht="60">
      <c r="A1517" s="12">
        <v>43576.513553240744</v>
      </c>
      <c r="B1517" s="13" t="str">
        <f t="shared" ref="B1517:B1522" si="69">HYPERLINK("https://twitter.com/ExarcheiaT","@ExarcheiaT")</f>
        <v>@ExarcheiaT</v>
      </c>
      <c r="C1517" s="14" t="s">
        <v>1922</v>
      </c>
      <c r="D1517" s="15" t="s">
        <v>1923</v>
      </c>
      <c r="E1517" s="16" t="str">
        <f t="shared" si="68"/>
        <v>Twitter for Android</v>
      </c>
      <c r="F1517" s="12">
        <v>43544.262858796297</v>
      </c>
      <c r="G1517" s="17" t="s">
        <v>171</v>
      </c>
      <c r="H1517" s="35" t="s">
        <v>941</v>
      </c>
      <c r="I1517" s="18" t="s">
        <v>1924</v>
      </c>
    </row>
    <row r="1518" spans="1:9" ht="45">
      <c r="A1518" s="12">
        <v>43571.472083333334</v>
      </c>
      <c r="B1518" s="13" t="str">
        <f t="shared" si="69"/>
        <v>@ExarcheiaT</v>
      </c>
      <c r="C1518" s="14" t="s">
        <v>1922</v>
      </c>
      <c r="D1518" s="15" t="s">
        <v>3662</v>
      </c>
      <c r="E1518" s="16" t="str">
        <f t="shared" si="68"/>
        <v>Twitter for Android</v>
      </c>
      <c r="F1518" s="12">
        <v>43544.262858796297</v>
      </c>
      <c r="G1518" s="17" t="s">
        <v>171</v>
      </c>
      <c r="H1518" s="35" t="s">
        <v>941</v>
      </c>
      <c r="I1518" s="18" t="s">
        <v>1924</v>
      </c>
    </row>
    <row r="1519" spans="1:9" ht="60">
      <c r="A1519" s="12">
        <v>43569.177129629628</v>
      </c>
      <c r="B1519" s="13" t="str">
        <f t="shared" si="69"/>
        <v>@ExarcheiaT</v>
      </c>
      <c r="C1519" s="14" t="s">
        <v>1922</v>
      </c>
      <c r="D1519" s="15" t="s">
        <v>4582</v>
      </c>
      <c r="E1519" s="16" t="str">
        <f t="shared" si="68"/>
        <v>Twitter for Android</v>
      </c>
      <c r="F1519" s="12">
        <v>43544.262858796297</v>
      </c>
      <c r="G1519" s="17" t="s">
        <v>171</v>
      </c>
      <c r="H1519" s="35" t="s">
        <v>941</v>
      </c>
      <c r="I1519" s="18" t="s">
        <v>1924</v>
      </c>
    </row>
    <row r="1520" spans="1:9" ht="45">
      <c r="A1520" s="12">
        <v>43567.165277777778</v>
      </c>
      <c r="B1520" s="13" t="str">
        <f t="shared" si="69"/>
        <v>@ExarcheiaT</v>
      </c>
      <c r="C1520" s="14" t="s">
        <v>1922</v>
      </c>
      <c r="D1520" s="15" t="s">
        <v>5223</v>
      </c>
      <c r="E1520" s="16" t="str">
        <f t="shared" si="68"/>
        <v>Twitter for Android</v>
      </c>
      <c r="F1520" s="12">
        <v>43544.262858796297</v>
      </c>
      <c r="G1520" s="17" t="s">
        <v>171</v>
      </c>
      <c r="H1520" s="35" t="s">
        <v>941</v>
      </c>
      <c r="I1520" s="18" t="s">
        <v>1924</v>
      </c>
    </row>
    <row r="1521" spans="1:9" ht="60">
      <c r="A1521" s="12">
        <v>43567.042303240742</v>
      </c>
      <c r="B1521" s="13" t="str">
        <f t="shared" si="69"/>
        <v>@ExarcheiaT</v>
      </c>
      <c r="C1521" s="14" t="s">
        <v>1922</v>
      </c>
      <c r="D1521" s="15" t="s">
        <v>5263</v>
      </c>
      <c r="E1521" s="16" t="str">
        <f t="shared" si="68"/>
        <v>Twitter for Android</v>
      </c>
      <c r="F1521" s="12">
        <v>43544.262858796297</v>
      </c>
      <c r="G1521" s="17" t="s">
        <v>171</v>
      </c>
      <c r="H1521" s="35" t="s">
        <v>941</v>
      </c>
      <c r="I1521" s="18" t="s">
        <v>1924</v>
      </c>
    </row>
    <row r="1522" spans="1:9" ht="45">
      <c r="A1522" s="12">
        <v>43566.244016203702</v>
      </c>
      <c r="B1522" s="13" t="str">
        <f t="shared" si="69"/>
        <v>@ExarcheiaT</v>
      </c>
      <c r="C1522" s="14" t="s">
        <v>1922</v>
      </c>
      <c r="D1522" s="15" t="s">
        <v>5713</v>
      </c>
      <c r="E1522" s="16" t="str">
        <f t="shared" si="68"/>
        <v>Twitter for Android</v>
      </c>
      <c r="F1522" s="12">
        <v>43544.262858796297</v>
      </c>
      <c r="G1522" s="17" t="s">
        <v>171</v>
      </c>
      <c r="H1522" s="35" t="s">
        <v>941</v>
      </c>
      <c r="I1522" s="18" t="s">
        <v>1924</v>
      </c>
    </row>
    <row r="1523" spans="1:9" ht="75">
      <c r="A1523" s="12">
        <v>43576.000486111108</v>
      </c>
      <c r="B1523" s="13" t="str">
        <f>HYPERLINK("https://twitter.com/CloudlandCamp","@CloudlandCamp")</f>
        <v>@CloudlandCamp</v>
      </c>
      <c r="C1523" s="14" t="s">
        <v>2076</v>
      </c>
      <c r="D1523" s="15" t="s">
        <v>2077</v>
      </c>
      <c r="E1523" s="16" t="str">
        <f>HYPERLINK("https://www.hootsuite.com","Hootsuite Inc.")</f>
        <v>Hootsuite Inc.</v>
      </c>
      <c r="F1523" s="12">
        <v>43463.278958333336</v>
      </c>
      <c r="G1523" s="17" t="s">
        <v>171</v>
      </c>
      <c r="H1523" s="35" t="s">
        <v>2078</v>
      </c>
      <c r="I1523" s="18" t="s">
        <v>2079</v>
      </c>
    </row>
    <row r="1524" spans="1:9" ht="75">
      <c r="A1524" s="12">
        <v>43572.222824074073</v>
      </c>
      <c r="B1524" s="13" t="str">
        <f>HYPERLINK("https://twitter.com/sophsweet","@sophsweet")</f>
        <v>@sophsweet</v>
      </c>
      <c r="C1524" s="14" t="s">
        <v>3370</v>
      </c>
      <c r="D1524" s="15" t="s">
        <v>3371</v>
      </c>
      <c r="E1524" s="16" t="str">
        <f>HYPERLINK("http://instagram.com","Instagram")</f>
        <v>Instagram</v>
      </c>
      <c r="F1524" s="12">
        <v>39889.274224537039</v>
      </c>
      <c r="G1524" s="17" t="s">
        <v>171</v>
      </c>
      <c r="H1524" s="35" t="s">
        <v>3372</v>
      </c>
      <c r="I1524" s="18" t="s">
        <v>3373</v>
      </c>
    </row>
    <row r="1525" spans="1:9" ht="150">
      <c r="A1525" s="19">
        <v>43546.122060185182</v>
      </c>
      <c r="B1525" s="20" t="str">
        <f>HYPERLINK("https://twitter.com/KristinaHafoss","@KristinaHafoss")</f>
        <v>@KristinaHafoss</v>
      </c>
      <c r="C1525" s="21" t="s">
        <v>8954</v>
      </c>
      <c r="D1525" s="22" t="s">
        <v>8955</v>
      </c>
      <c r="E1525" s="23" t="str">
        <f>HYPERLINK("http://twitter.com","Twitter Web Client")</f>
        <v>Twitter Web Client</v>
      </c>
      <c r="F1525" s="19">
        <v>40069.284247685187</v>
      </c>
      <c r="G1525" s="24" t="s">
        <v>171</v>
      </c>
      <c r="H1525" s="35" t="s">
        <v>8956</v>
      </c>
      <c r="I1525" s="25" t="s">
        <v>8957</v>
      </c>
    </row>
    <row r="1526" spans="1:9" ht="75">
      <c r="A1526" s="12">
        <v>43575.438368055555</v>
      </c>
      <c r="B1526" s="13" t="str">
        <f>HYPERLINK("https://twitter.com/lime_old","@lime_old")</f>
        <v>@lime_old</v>
      </c>
      <c r="C1526" s="14" t="s">
        <v>2221</v>
      </c>
      <c r="D1526" s="15" t="s">
        <v>2222</v>
      </c>
      <c r="E1526" s="16" t="str">
        <f>HYPERLINK("http://twitter.com/download/iphone","Twitter for iPhone")</f>
        <v>Twitter for iPhone</v>
      </c>
      <c r="F1526" s="12">
        <v>43470.151388888888</v>
      </c>
      <c r="G1526" s="17" t="s">
        <v>171</v>
      </c>
      <c r="H1526" s="35" t="s">
        <v>2223</v>
      </c>
      <c r="I1526" s="18" t="s">
        <v>2224</v>
      </c>
    </row>
    <row r="1527" spans="1:9" ht="75">
      <c r="A1527" s="12">
        <v>43569.339282407411</v>
      </c>
      <c r="B1527" s="13" t="str">
        <f>HYPERLINK("https://twitter.com/lime_old","@lime_old")</f>
        <v>@lime_old</v>
      </c>
      <c r="C1527" s="14" t="s">
        <v>2221</v>
      </c>
      <c r="D1527" s="15" t="s">
        <v>4544</v>
      </c>
      <c r="E1527" s="16" t="str">
        <f>HYPERLINK("http://twitter.com/download/iphone","Twitter for iPhone")</f>
        <v>Twitter for iPhone</v>
      </c>
      <c r="F1527" s="12">
        <v>43470.151388888888</v>
      </c>
      <c r="G1527" s="17" t="s">
        <v>171</v>
      </c>
      <c r="H1527" s="35" t="s">
        <v>2223</v>
      </c>
      <c r="I1527" s="18" t="s">
        <v>2224</v>
      </c>
    </row>
    <row r="1528" spans="1:9" ht="60">
      <c r="A1528" s="19">
        <v>43547.469537037032</v>
      </c>
      <c r="B1528" s="20" t="str">
        <f>HYPERLINK("https://twitter.com/LoosingSomethin","@LoosingSomethin")</f>
        <v>@LoosingSomethin</v>
      </c>
      <c r="C1528" s="21" t="s">
        <v>8533</v>
      </c>
      <c r="D1528" s="22" t="s">
        <v>8534</v>
      </c>
      <c r="E1528" s="23" t="str">
        <f>HYPERLINK("http://twitter.com","Twitter Web Client")</f>
        <v>Twitter Web Client</v>
      </c>
      <c r="F1528" s="19">
        <v>41807.13113425926</v>
      </c>
      <c r="G1528" s="24" t="s">
        <v>171</v>
      </c>
      <c r="H1528" s="35" t="s">
        <v>8535</v>
      </c>
      <c r="I1528" s="25" t="s">
        <v>8536</v>
      </c>
    </row>
    <row r="1529" spans="1:9" ht="105">
      <c r="A1529" s="4">
        <v>43564.04415509259</v>
      </c>
      <c r="B1529" s="5" t="str">
        <f>HYPERLINK("https://twitter.com/storiediweb","@storiediweb")</f>
        <v>@storiediweb</v>
      </c>
      <c r="C1529" s="6" t="s">
        <v>6810</v>
      </c>
      <c r="D1529" s="7" t="s">
        <v>6811</v>
      </c>
      <c r="E1529" s="8" t="str">
        <f>HYPERLINK("https://mobile.twitter.com","Twitter Web App")</f>
        <v>Twitter Web App</v>
      </c>
      <c r="F1529" s="4">
        <v>39950.194212962961</v>
      </c>
      <c r="G1529" s="17" t="s">
        <v>171</v>
      </c>
      <c r="H1529" s="35" t="s">
        <v>6812</v>
      </c>
      <c r="I1529" s="10" t="s">
        <v>6813</v>
      </c>
    </row>
    <row r="1530" spans="1:9" ht="45">
      <c r="A1530" s="19">
        <v>43551.187581018516</v>
      </c>
      <c r="B1530" s="20" t="str">
        <f t="shared" ref="B1530:B1562" si="70">HYPERLINK("https://twitter.com/ThomasBusson2","@ThomasBusson2")</f>
        <v>@ThomasBusson2</v>
      </c>
      <c r="C1530" s="21" t="s">
        <v>224</v>
      </c>
      <c r="D1530" s="22" t="s">
        <v>225</v>
      </c>
      <c r="E1530" s="23" t="str">
        <f t="shared" ref="E1530:E1562" si="71">HYPERLINK("https://ifttt.com","IFTTT")</f>
        <v>IFTTT</v>
      </c>
      <c r="F1530" s="19">
        <v>41745.097812499997</v>
      </c>
      <c r="G1530" s="17" t="s">
        <v>171</v>
      </c>
      <c r="H1530" s="35" t="s">
        <v>226</v>
      </c>
      <c r="I1530" s="25" t="s">
        <v>227</v>
      </c>
    </row>
    <row r="1531" spans="1:9" ht="45">
      <c r="A1531" s="19">
        <v>43550.187557870369</v>
      </c>
      <c r="B1531" s="20" t="str">
        <f t="shared" si="70"/>
        <v>@ThomasBusson2</v>
      </c>
      <c r="C1531" s="21" t="s">
        <v>224</v>
      </c>
      <c r="D1531" s="22" t="s">
        <v>225</v>
      </c>
      <c r="E1531" s="23" t="str">
        <f t="shared" si="71"/>
        <v>IFTTT</v>
      </c>
      <c r="F1531" s="19">
        <v>41745.097812499997</v>
      </c>
      <c r="G1531" s="17" t="s">
        <v>171</v>
      </c>
      <c r="H1531" s="35" t="s">
        <v>226</v>
      </c>
      <c r="I1531" s="25" t="s">
        <v>227</v>
      </c>
    </row>
    <row r="1532" spans="1:9" ht="45">
      <c r="A1532" s="19">
        <v>43549.187615740739</v>
      </c>
      <c r="B1532" s="20" t="str">
        <f t="shared" si="70"/>
        <v>@ThomasBusson2</v>
      </c>
      <c r="C1532" s="21" t="s">
        <v>224</v>
      </c>
      <c r="D1532" s="22" t="s">
        <v>225</v>
      </c>
      <c r="E1532" s="23" t="str">
        <f t="shared" si="71"/>
        <v>IFTTT</v>
      </c>
      <c r="F1532" s="19">
        <v>41745.097812499997</v>
      </c>
      <c r="G1532" s="17" t="s">
        <v>171</v>
      </c>
      <c r="H1532" s="35" t="s">
        <v>226</v>
      </c>
      <c r="I1532" s="25" t="s">
        <v>227</v>
      </c>
    </row>
    <row r="1533" spans="1:9" ht="45">
      <c r="A1533" s="19">
        <v>43548.187569444446</v>
      </c>
      <c r="B1533" s="20" t="str">
        <f t="shared" si="70"/>
        <v>@ThomasBusson2</v>
      </c>
      <c r="C1533" s="21" t="s">
        <v>224</v>
      </c>
      <c r="D1533" s="22" t="s">
        <v>225</v>
      </c>
      <c r="E1533" s="23" t="str">
        <f t="shared" si="71"/>
        <v>IFTTT</v>
      </c>
      <c r="F1533" s="19">
        <v>41745.097812499997</v>
      </c>
      <c r="G1533" s="17" t="s">
        <v>171</v>
      </c>
      <c r="H1533" s="35" t="s">
        <v>226</v>
      </c>
      <c r="I1533" s="25" t="s">
        <v>227</v>
      </c>
    </row>
    <row r="1534" spans="1:9" ht="45">
      <c r="A1534" s="19">
        <v>43547.187581018516</v>
      </c>
      <c r="B1534" s="20" t="str">
        <f t="shared" si="70"/>
        <v>@ThomasBusson2</v>
      </c>
      <c r="C1534" s="21" t="s">
        <v>224</v>
      </c>
      <c r="D1534" s="22" t="s">
        <v>225</v>
      </c>
      <c r="E1534" s="23" t="str">
        <f t="shared" si="71"/>
        <v>IFTTT</v>
      </c>
      <c r="F1534" s="19">
        <v>41745.097812499997</v>
      </c>
      <c r="G1534" s="17" t="s">
        <v>171</v>
      </c>
      <c r="H1534" s="35" t="s">
        <v>226</v>
      </c>
      <c r="I1534" s="25" t="s">
        <v>227</v>
      </c>
    </row>
    <row r="1535" spans="1:9" ht="45">
      <c r="A1535" s="19">
        <v>43546.190405092595</v>
      </c>
      <c r="B1535" s="20" t="str">
        <f t="shared" si="70"/>
        <v>@ThomasBusson2</v>
      </c>
      <c r="C1535" s="21" t="s">
        <v>224</v>
      </c>
      <c r="D1535" s="22" t="s">
        <v>225</v>
      </c>
      <c r="E1535" s="23" t="str">
        <f t="shared" si="71"/>
        <v>IFTTT</v>
      </c>
      <c r="F1535" s="19">
        <v>41745.097812499997</v>
      </c>
      <c r="G1535" s="17" t="s">
        <v>171</v>
      </c>
      <c r="H1535" s="35" t="s">
        <v>226</v>
      </c>
      <c r="I1535" s="25" t="s">
        <v>227</v>
      </c>
    </row>
    <row r="1536" spans="1:9" ht="45">
      <c r="A1536" s="19">
        <v>43545.187592592592</v>
      </c>
      <c r="B1536" s="20" t="str">
        <f t="shared" si="70"/>
        <v>@ThomasBusson2</v>
      </c>
      <c r="C1536" s="21" t="s">
        <v>224</v>
      </c>
      <c r="D1536" s="22" t="s">
        <v>225</v>
      </c>
      <c r="E1536" s="23" t="str">
        <f t="shared" si="71"/>
        <v>IFTTT</v>
      </c>
      <c r="F1536" s="19">
        <v>41745.097812499997</v>
      </c>
      <c r="G1536" s="17" t="s">
        <v>171</v>
      </c>
      <c r="H1536" s="35" t="s">
        <v>226</v>
      </c>
      <c r="I1536" s="25" t="s">
        <v>227</v>
      </c>
    </row>
    <row r="1537" spans="1:9" ht="45">
      <c r="A1537" s="19">
        <v>43544.187719907408</v>
      </c>
      <c r="B1537" s="20" t="str">
        <f t="shared" si="70"/>
        <v>@ThomasBusson2</v>
      </c>
      <c r="C1537" s="21" t="s">
        <v>224</v>
      </c>
      <c r="D1537" s="22" t="s">
        <v>225</v>
      </c>
      <c r="E1537" s="23" t="str">
        <f t="shared" si="71"/>
        <v>IFTTT</v>
      </c>
      <c r="F1537" s="19">
        <v>41745.097812499997</v>
      </c>
      <c r="G1537" s="17" t="s">
        <v>171</v>
      </c>
      <c r="H1537" s="35" t="s">
        <v>226</v>
      </c>
      <c r="I1537" s="25" t="s">
        <v>227</v>
      </c>
    </row>
    <row r="1538" spans="1:9" ht="45">
      <c r="A1538" s="19">
        <v>43543.187650462962</v>
      </c>
      <c r="B1538" s="20" t="str">
        <f t="shared" si="70"/>
        <v>@ThomasBusson2</v>
      </c>
      <c r="C1538" s="21" t="s">
        <v>224</v>
      </c>
      <c r="D1538" s="22" t="s">
        <v>225</v>
      </c>
      <c r="E1538" s="23" t="str">
        <f t="shared" si="71"/>
        <v>IFTTT</v>
      </c>
      <c r="F1538" s="19">
        <v>41745.097812499997</v>
      </c>
      <c r="G1538" s="17" t="s">
        <v>171</v>
      </c>
      <c r="H1538" s="35" t="s">
        <v>226</v>
      </c>
      <c r="I1538" s="25" t="s">
        <v>227</v>
      </c>
    </row>
    <row r="1539" spans="1:9" ht="45">
      <c r="A1539" s="4">
        <v>43565.146226851852</v>
      </c>
      <c r="B1539" s="5" t="str">
        <f t="shared" si="70"/>
        <v>@ThomasBusson2</v>
      </c>
      <c r="C1539" s="6" t="s">
        <v>224</v>
      </c>
      <c r="D1539" s="7" t="s">
        <v>225</v>
      </c>
      <c r="E1539" s="8" t="str">
        <f t="shared" si="71"/>
        <v>IFTTT</v>
      </c>
      <c r="F1539" s="4">
        <v>41745.097812499997</v>
      </c>
      <c r="G1539" s="17" t="s">
        <v>171</v>
      </c>
      <c r="H1539" s="35" t="s">
        <v>226</v>
      </c>
      <c r="I1539" s="10" t="s">
        <v>227</v>
      </c>
    </row>
    <row r="1540" spans="1:9" ht="45">
      <c r="A1540" s="4">
        <v>43564.146192129629</v>
      </c>
      <c r="B1540" s="5" t="str">
        <f t="shared" si="70"/>
        <v>@ThomasBusson2</v>
      </c>
      <c r="C1540" s="6" t="s">
        <v>224</v>
      </c>
      <c r="D1540" s="7" t="s">
        <v>225</v>
      </c>
      <c r="E1540" s="8" t="str">
        <f t="shared" si="71"/>
        <v>IFTTT</v>
      </c>
      <c r="F1540" s="4">
        <v>41745.097812499997</v>
      </c>
      <c r="G1540" s="17" t="s">
        <v>171</v>
      </c>
      <c r="H1540" s="35" t="s">
        <v>226</v>
      </c>
      <c r="I1540" s="10" t="s">
        <v>227</v>
      </c>
    </row>
    <row r="1541" spans="1:9" ht="45">
      <c r="A1541" s="4">
        <v>43563.146145833336</v>
      </c>
      <c r="B1541" s="5" t="str">
        <f t="shared" si="70"/>
        <v>@ThomasBusson2</v>
      </c>
      <c r="C1541" s="6" t="s">
        <v>224</v>
      </c>
      <c r="D1541" s="7" t="s">
        <v>225</v>
      </c>
      <c r="E1541" s="8" t="str">
        <f t="shared" si="71"/>
        <v>IFTTT</v>
      </c>
      <c r="F1541" s="4">
        <v>41745.097812499997</v>
      </c>
      <c r="G1541" s="17" t="s">
        <v>171</v>
      </c>
      <c r="H1541" s="35" t="s">
        <v>226</v>
      </c>
      <c r="I1541" s="10" t="s">
        <v>227</v>
      </c>
    </row>
    <row r="1542" spans="1:9" ht="45">
      <c r="A1542" s="4">
        <v>43562.146481481483</v>
      </c>
      <c r="B1542" s="5" t="str">
        <f t="shared" si="70"/>
        <v>@ThomasBusson2</v>
      </c>
      <c r="C1542" s="6" t="s">
        <v>224</v>
      </c>
      <c r="D1542" s="7" t="s">
        <v>225</v>
      </c>
      <c r="E1542" s="8" t="str">
        <f t="shared" si="71"/>
        <v>IFTTT</v>
      </c>
      <c r="F1542" s="4">
        <v>41745.097812499997</v>
      </c>
      <c r="G1542" s="17" t="s">
        <v>171</v>
      </c>
      <c r="H1542" s="35" t="s">
        <v>226</v>
      </c>
      <c r="I1542" s="10" t="s">
        <v>227</v>
      </c>
    </row>
    <row r="1543" spans="1:9" ht="45">
      <c r="A1543" s="4">
        <v>43561.146284722221</v>
      </c>
      <c r="B1543" s="5" t="str">
        <f t="shared" si="70"/>
        <v>@ThomasBusson2</v>
      </c>
      <c r="C1543" s="6" t="s">
        <v>224</v>
      </c>
      <c r="D1543" s="7" t="s">
        <v>225</v>
      </c>
      <c r="E1543" s="8" t="str">
        <f t="shared" si="71"/>
        <v>IFTTT</v>
      </c>
      <c r="F1543" s="4">
        <v>41745.097812499997</v>
      </c>
      <c r="G1543" s="17" t="s">
        <v>171</v>
      </c>
      <c r="H1543" s="35" t="s">
        <v>226</v>
      </c>
      <c r="I1543" s="10" t="s">
        <v>227</v>
      </c>
    </row>
    <row r="1544" spans="1:9" ht="45">
      <c r="A1544" s="4">
        <v>43560.146354166667</v>
      </c>
      <c r="B1544" s="5" t="str">
        <f t="shared" si="70"/>
        <v>@ThomasBusson2</v>
      </c>
      <c r="C1544" s="6" t="s">
        <v>224</v>
      </c>
      <c r="D1544" s="7" t="s">
        <v>225</v>
      </c>
      <c r="E1544" s="8" t="str">
        <f t="shared" si="71"/>
        <v>IFTTT</v>
      </c>
      <c r="F1544" s="4">
        <v>41745.097812499997</v>
      </c>
      <c r="G1544" s="17" t="s">
        <v>171</v>
      </c>
      <c r="H1544" s="35" t="s">
        <v>226</v>
      </c>
      <c r="I1544" s="10" t="s">
        <v>227</v>
      </c>
    </row>
    <row r="1545" spans="1:9" ht="45">
      <c r="A1545" s="4">
        <v>43559.146122685182</v>
      </c>
      <c r="B1545" s="5" t="str">
        <f t="shared" si="70"/>
        <v>@ThomasBusson2</v>
      </c>
      <c r="C1545" s="6" t="s">
        <v>224</v>
      </c>
      <c r="D1545" s="7" t="s">
        <v>225</v>
      </c>
      <c r="E1545" s="8" t="str">
        <f t="shared" si="71"/>
        <v>IFTTT</v>
      </c>
      <c r="F1545" s="4">
        <v>41745.097812499997</v>
      </c>
      <c r="G1545" s="17" t="s">
        <v>171</v>
      </c>
      <c r="H1545" s="35" t="s">
        <v>226</v>
      </c>
      <c r="I1545" s="10" t="s">
        <v>227</v>
      </c>
    </row>
    <row r="1546" spans="1:9" ht="45">
      <c r="A1546" s="4">
        <v>43558.146030092597</v>
      </c>
      <c r="B1546" s="5" t="str">
        <f t="shared" si="70"/>
        <v>@ThomasBusson2</v>
      </c>
      <c r="C1546" s="6" t="s">
        <v>224</v>
      </c>
      <c r="D1546" s="7" t="s">
        <v>225</v>
      </c>
      <c r="E1546" s="8" t="str">
        <f t="shared" si="71"/>
        <v>IFTTT</v>
      </c>
      <c r="F1546" s="4">
        <v>41745.097812499997</v>
      </c>
      <c r="G1546" s="17" t="s">
        <v>171</v>
      </c>
      <c r="H1546" s="35" t="s">
        <v>226</v>
      </c>
      <c r="I1546" s="10" t="s">
        <v>227</v>
      </c>
    </row>
    <row r="1547" spans="1:9" ht="45">
      <c r="A1547" s="4">
        <v>43557.145960648151</v>
      </c>
      <c r="B1547" s="5" t="str">
        <f t="shared" si="70"/>
        <v>@ThomasBusson2</v>
      </c>
      <c r="C1547" s="6" t="s">
        <v>224</v>
      </c>
      <c r="D1547" s="7" t="s">
        <v>225</v>
      </c>
      <c r="E1547" s="8" t="str">
        <f t="shared" si="71"/>
        <v>IFTTT</v>
      </c>
      <c r="F1547" s="4">
        <v>41745.097812499997</v>
      </c>
      <c r="G1547" s="17" t="s">
        <v>171</v>
      </c>
      <c r="H1547" s="35" t="s">
        <v>226</v>
      </c>
      <c r="I1547" s="10" t="s">
        <v>227</v>
      </c>
    </row>
    <row r="1548" spans="1:9" ht="45">
      <c r="A1548" s="12">
        <v>43580.146319444444</v>
      </c>
      <c r="B1548" s="13" t="str">
        <f t="shared" si="70"/>
        <v>@ThomasBusson2</v>
      </c>
      <c r="C1548" s="14" t="s">
        <v>224</v>
      </c>
      <c r="D1548" s="15" t="s">
        <v>225</v>
      </c>
      <c r="E1548" s="16" t="str">
        <f t="shared" si="71"/>
        <v>IFTTT</v>
      </c>
      <c r="F1548" s="12">
        <v>41745.097812499997</v>
      </c>
      <c r="G1548" s="17" t="s">
        <v>171</v>
      </c>
      <c r="H1548" s="35" t="s">
        <v>226</v>
      </c>
      <c r="I1548" s="18" t="s">
        <v>227</v>
      </c>
    </row>
    <row r="1549" spans="1:9" ht="45">
      <c r="A1549" s="12">
        <v>43579.146030092597</v>
      </c>
      <c r="B1549" s="13" t="str">
        <f t="shared" si="70"/>
        <v>@ThomasBusson2</v>
      </c>
      <c r="C1549" s="14" t="s">
        <v>224</v>
      </c>
      <c r="D1549" s="15" t="s">
        <v>225</v>
      </c>
      <c r="E1549" s="16" t="str">
        <f t="shared" si="71"/>
        <v>IFTTT</v>
      </c>
      <c r="F1549" s="12">
        <v>41745.097812499997</v>
      </c>
      <c r="G1549" s="17" t="s">
        <v>171</v>
      </c>
      <c r="H1549" s="35" t="s">
        <v>226</v>
      </c>
      <c r="I1549" s="18" t="s">
        <v>227</v>
      </c>
    </row>
    <row r="1550" spans="1:9" ht="45">
      <c r="A1550" s="12">
        <v>43578.146481481483</v>
      </c>
      <c r="B1550" s="13" t="str">
        <f t="shared" si="70"/>
        <v>@ThomasBusson2</v>
      </c>
      <c r="C1550" s="14" t="s">
        <v>224</v>
      </c>
      <c r="D1550" s="15" t="s">
        <v>225</v>
      </c>
      <c r="E1550" s="16" t="str">
        <f t="shared" si="71"/>
        <v>IFTTT</v>
      </c>
      <c r="F1550" s="12">
        <v>41745.097812499997</v>
      </c>
      <c r="G1550" s="17" t="s">
        <v>171</v>
      </c>
      <c r="H1550" s="35" t="s">
        <v>226</v>
      </c>
      <c r="I1550" s="18" t="s">
        <v>227</v>
      </c>
    </row>
    <row r="1551" spans="1:9" ht="45">
      <c r="A1551" s="12">
        <v>43577.146307870367</v>
      </c>
      <c r="B1551" s="13" t="str">
        <f t="shared" si="70"/>
        <v>@ThomasBusson2</v>
      </c>
      <c r="C1551" s="14" t="s">
        <v>224</v>
      </c>
      <c r="D1551" s="15" t="s">
        <v>225</v>
      </c>
      <c r="E1551" s="16" t="str">
        <f t="shared" si="71"/>
        <v>IFTTT</v>
      </c>
      <c r="F1551" s="12">
        <v>41745.097812499997</v>
      </c>
      <c r="G1551" s="17" t="s">
        <v>171</v>
      </c>
      <c r="H1551" s="35" t="s">
        <v>226</v>
      </c>
      <c r="I1551" s="18" t="s">
        <v>227</v>
      </c>
    </row>
    <row r="1552" spans="1:9" ht="45">
      <c r="A1552" s="12">
        <v>43576.146192129629</v>
      </c>
      <c r="B1552" s="13" t="str">
        <f t="shared" si="70"/>
        <v>@ThomasBusson2</v>
      </c>
      <c r="C1552" s="14" t="s">
        <v>224</v>
      </c>
      <c r="D1552" s="15" t="s">
        <v>225</v>
      </c>
      <c r="E1552" s="16" t="str">
        <f t="shared" si="71"/>
        <v>IFTTT</v>
      </c>
      <c r="F1552" s="12">
        <v>41745.097812499997</v>
      </c>
      <c r="G1552" s="17" t="s">
        <v>171</v>
      </c>
      <c r="H1552" s="35" t="s">
        <v>226</v>
      </c>
      <c r="I1552" s="18" t="s">
        <v>227</v>
      </c>
    </row>
    <row r="1553" spans="1:9" ht="45">
      <c r="A1553" s="12">
        <v>43575.146099537036</v>
      </c>
      <c r="B1553" s="13" t="str">
        <f t="shared" si="70"/>
        <v>@ThomasBusson2</v>
      </c>
      <c r="C1553" s="14" t="s">
        <v>224</v>
      </c>
      <c r="D1553" s="15" t="s">
        <v>225</v>
      </c>
      <c r="E1553" s="16" t="str">
        <f t="shared" si="71"/>
        <v>IFTTT</v>
      </c>
      <c r="F1553" s="12">
        <v>41745.097812499997</v>
      </c>
      <c r="G1553" s="17" t="s">
        <v>171</v>
      </c>
      <c r="H1553" s="35" t="s">
        <v>226</v>
      </c>
      <c r="I1553" s="18" t="s">
        <v>227</v>
      </c>
    </row>
    <row r="1554" spans="1:9" ht="45">
      <c r="A1554" s="12">
        <v>43574.146157407406</v>
      </c>
      <c r="B1554" s="13" t="str">
        <f t="shared" si="70"/>
        <v>@ThomasBusson2</v>
      </c>
      <c r="C1554" s="14" t="s">
        <v>224</v>
      </c>
      <c r="D1554" s="15" t="s">
        <v>225</v>
      </c>
      <c r="E1554" s="16" t="str">
        <f t="shared" si="71"/>
        <v>IFTTT</v>
      </c>
      <c r="F1554" s="12">
        <v>41745.097812499997</v>
      </c>
      <c r="G1554" s="17" t="s">
        <v>171</v>
      </c>
      <c r="H1554" s="35" t="s">
        <v>226</v>
      </c>
      <c r="I1554" s="18" t="s">
        <v>227</v>
      </c>
    </row>
    <row r="1555" spans="1:9" ht="45">
      <c r="A1555" s="12">
        <v>43573.146319444444</v>
      </c>
      <c r="B1555" s="13" t="str">
        <f t="shared" si="70"/>
        <v>@ThomasBusson2</v>
      </c>
      <c r="C1555" s="14" t="s">
        <v>224</v>
      </c>
      <c r="D1555" s="15" t="s">
        <v>225</v>
      </c>
      <c r="E1555" s="16" t="str">
        <f t="shared" si="71"/>
        <v>IFTTT</v>
      </c>
      <c r="F1555" s="12">
        <v>41745.097812499997</v>
      </c>
      <c r="G1555" s="17" t="s">
        <v>171</v>
      </c>
      <c r="H1555" s="35" t="s">
        <v>226</v>
      </c>
      <c r="I1555" s="18" t="s">
        <v>227</v>
      </c>
    </row>
    <row r="1556" spans="1:9" ht="45">
      <c r="A1556" s="12">
        <v>43572.146215277782</v>
      </c>
      <c r="B1556" s="13" t="str">
        <f t="shared" si="70"/>
        <v>@ThomasBusson2</v>
      </c>
      <c r="C1556" s="14" t="s">
        <v>224</v>
      </c>
      <c r="D1556" s="15" t="s">
        <v>225</v>
      </c>
      <c r="E1556" s="16" t="str">
        <f t="shared" si="71"/>
        <v>IFTTT</v>
      </c>
      <c r="F1556" s="12">
        <v>41745.097812499997</v>
      </c>
      <c r="G1556" s="17" t="s">
        <v>171</v>
      </c>
      <c r="H1556" s="35" t="s">
        <v>226</v>
      </c>
      <c r="I1556" s="18" t="s">
        <v>227</v>
      </c>
    </row>
    <row r="1557" spans="1:9" ht="45">
      <c r="A1557" s="12">
        <v>43571.146400462967</v>
      </c>
      <c r="B1557" s="13" t="str">
        <f t="shared" si="70"/>
        <v>@ThomasBusson2</v>
      </c>
      <c r="C1557" s="14" t="s">
        <v>224</v>
      </c>
      <c r="D1557" s="15" t="s">
        <v>225</v>
      </c>
      <c r="E1557" s="16" t="str">
        <f t="shared" si="71"/>
        <v>IFTTT</v>
      </c>
      <c r="F1557" s="12">
        <v>41745.097812499997</v>
      </c>
      <c r="G1557" s="17" t="s">
        <v>171</v>
      </c>
      <c r="H1557" s="35" t="s">
        <v>226</v>
      </c>
      <c r="I1557" s="18" t="s">
        <v>227</v>
      </c>
    </row>
    <row r="1558" spans="1:9" ht="45">
      <c r="A1558" s="12">
        <v>43570.146412037036</v>
      </c>
      <c r="B1558" s="13" t="str">
        <f t="shared" si="70"/>
        <v>@ThomasBusson2</v>
      </c>
      <c r="C1558" s="14" t="s">
        <v>224</v>
      </c>
      <c r="D1558" s="15" t="s">
        <v>225</v>
      </c>
      <c r="E1558" s="16" t="str">
        <f t="shared" si="71"/>
        <v>IFTTT</v>
      </c>
      <c r="F1558" s="12">
        <v>41745.097812499997</v>
      </c>
      <c r="G1558" s="17" t="s">
        <v>171</v>
      </c>
      <c r="H1558" s="35" t="s">
        <v>226</v>
      </c>
      <c r="I1558" s="18" t="s">
        <v>227</v>
      </c>
    </row>
    <row r="1559" spans="1:9" ht="45">
      <c r="A1559" s="12">
        <v>43569.146180555559</v>
      </c>
      <c r="B1559" s="13" t="str">
        <f t="shared" si="70"/>
        <v>@ThomasBusson2</v>
      </c>
      <c r="C1559" s="14" t="s">
        <v>224</v>
      </c>
      <c r="D1559" s="15" t="s">
        <v>225</v>
      </c>
      <c r="E1559" s="16" t="str">
        <f t="shared" si="71"/>
        <v>IFTTT</v>
      </c>
      <c r="F1559" s="12">
        <v>41745.097812499997</v>
      </c>
      <c r="G1559" s="17" t="s">
        <v>171</v>
      </c>
      <c r="H1559" s="35" t="s">
        <v>226</v>
      </c>
      <c r="I1559" s="18" t="s">
        <v>227</v>
      </c>
    </row>
    <row r="1560" spans="1:9" ht="45">
      <c r="A1560" s="12">
        <v>43568.146377314813</v>
      </c>
      <c r="B1560" s="13" t="str">
        <f t="shared" si="70"/>
        <v>@ThomasBusson2</v>
      </c>
      <c r="C1560" s="14" t="s">
        <v>224</v>
      </c>
      <c r="D1560" s="15" t="s">
        <v>225</v>
      </c>
      <c r="E1560" s="16" t="str">
        <f t="shared" si="71"/>
        <v>IFTTT</v>
      </c>
      <c r="F1560" s="12">
        <v>41745.097812499997</v>
      </c>
      <c r="G1560" s="17" t="s">
        <v>171</v>
      </c>
      <c r="H1560" s="35" t="s">
        <v>226</v>
      </c>
      <c r="I1560" s="18" t="s">
        <v>227</v>
      </c>
    </row>
    <row r="1561" spans="1:9" ht="45">
      <c r="A1561" s="12">
        <v>43567.145925925928</v>
      </c>
      <c r="B1561" s="13" t="str">
        <f t="shared" si="70"/>
        <v>@ThomasBusson2</v>
      </c>
      <c r="C1561" s="14" t="s">
        <v>224</v>
      </c>
      <c r="D1561" s="15" t="s">
        <v>225</v>
      </c>
      <c r="E1561" s="16" t="str">
        <f t="shared" si="71"/>
        <v>IFTTT</v>
      </c>
      <c r="F1561" s="12">
        <v>41745.097812499997</v>
      </c>
      <c r="G1561" s="17" t="s">
        <v>171</v>
      </c>
      <c r="H1561" s="35" t="s">
        <v>226</v>
      </c>
      <c r="I1561" s="18" t="s">
        <v>227</v>
      </c>
    </row>
    <row r="1562" spans="1:9" ht="45">
      <c r="A1562" s="12">
        <v>43566.146562499998</v>
      </c>
      <c r="B1562" s="13" t="str">
        <f t="shared" si="70"/>
        <v>@ThomasBusson2</v>
      </c>
      <c r="C1562" s="14" t="s">
        <v>224</v>
      </c>
      <c r="D1562" s="15" t="s">
        <v>225</v>
      </c>
      <c r="E1562" s="16" t="str">
        <f t="shared" si="71"/>
        <v>IFTTT</v>
      </c>
      <c r="F1562" s="12">
        <v>41745.097812499997</v>
      </c>
      <c r="G1562" s="17" t="s">
        <v>171</v>
      </c>
      <c r="H1562" s="35" t="s">
        <v>226</v>
      </c>
      <c r="I1562" s="18" t="s">
        <v>227</v>
      </c>
    </row>
    <row r="1563" spans="1:9" ht="45">
      <c r="A1563" s="12">
        <v>43579.041805555556</v>
      </c>
      <c r="B1563" s="13" t="str">
        <f>HYPERLINK("https://twitter.com/jamie_jk","@jamie_jk")</f>
        <v>@jamie_jk</v>
      </c>
      <c r="C1563" s="14" t="s">
        <v>960</v>
      </c>
      <c r="D1563" s="15" t="s">
        <v>961</v>
      </c>
      <c r="E1563" s="16" t="str">
        <f>HYPERLINK("https://crowdfireapp.com","Crowdfire App")</f>
        <v>Crowdfire App</v>
      </c>
      <c r="F1563" s="12">
        <v>39517.212685185186</v>
      </c>
      <c r="G1563" s="17" t="s">
        <v>171</v>
      </c>
      <c r="H1563" s="35" t="s">
        <v>962</v>
      </c>
      <c r="I1563" s="18" t="s">
        <v>963</v>
      </c>
    </row>
    <row r="1564" spans="1:9" ht="45">
      <c r="A1564" s="12">
        <v>43579.222719907411</v>
      </c>
      <c r="B1564" s="13" t="str">
        <f>HYPERLINK("https://twitter.com/FortonLodge","@FortonLodge")</f>
        <v>@FortonLodge</v>
      </c>
      <c r="C1564" s="14" t="s">
        <v>844</v>
      </c>
      <c r="D1564" s="15" t="s">
        <v>845</v>
      </c>
      <c r="E1564" s="16" t="str">
        <f>HYPERLINK("http://twitter.com","Twitter Web Client")</f>
        <v>Twitter Web Client</v>
      </c>
      <c r="F1564" s="12">
        <v>43579.192245370374</v>
      </c>
      <c r="G1564" s="17" t="s">
        <v>171</v>
      </c>
      <c r="H1564" s="35" t="s">
        <v>846</v>
      </c>
      <c r="I1564" s="18" t="s">
        <v>847</v>
      </c>
    </row>
    <row r="1565" spans="1:9" ht="180">
      <c r="A1565" s="19">
        <v>43549.601145833338</v>
      </c>
      <c r="B1565" s="20" t="str">
        <f>HYPERLINK("https://twitter.com/FoyersLodge","@FoyersLodge")</f>
        <v>@FoyersLodge</v>
      </c>
      <c r="C1565" s="21" t="s">
        <v>6273</v>
      </c>
      <c r="D1565" s="22" t="s">
        <v>7967</v>
      </c>
      <c r="E1565" s="23" t="str">
        <f>HYPERLINK("http://twitter.com/download/iphone","Twitter for iPhone")</f>
        <v>Twitter for iPhone</v>
      </c>
      <c r="F1565" s="19">
        <v>43168.351527777777</v>
      </c>
      <c r="G1565" s="17" t="s">
        <v>171</v>
      </c>
      <c r="H1565" s="35" t="s">
        <v>6275</v>
      </c>
      <c r="I1565" s="25" t="s">
        <v>6276</v>
      </c>
    </row>
    <row r="1566" spans="1:9" ht="105">
      <c r="A1566" s="4">
        <v>43565.10732638889</v>
      </c>
      <c r="B1566" s="5" t="str">
        <f>HYPERLINK("https://twitter.com/FoyersLodge","@FoyersLodge")</f>
        <v>@FoyersLodge</v>
      </c>
      <c r="C1566" s="6" t="s">
        <v>6273</v>
      </c>
      <c r="D1566" s="7" t="s">
        <v>6274</v>
      </c>
      <c r="E1566" s="8" t="str">
        <f>HYPERLINK("http://twitter.com/download/iphone","Twitter for iPhone")</f>
        <v>Twitter for iPhone</v>
      </c>
      <c r="F1566" s="4">
        <v>43168.351527777777</v>
      </c>
      <c r="G1566" s="17" t="s">
        <v>171</v>
      </c>
      <c r="H1566" s="35" t="s">
        <v>6275</v>
      </c>
      <c r="I1566" s="10" t="s">
        <v>6276</v>
      </c>
    </row>
    <row r="1567" spans="1:9" ht="105">
      <c r="A1567" s="4">
        <v>43563.538969907408</v>
      </c>
      <c r="B1567" s="5" t="str">
        <f>HYPERLINK("https://twitter.com/FoyersLodge","@FoyersLodge")</f>
        <v>@FoyersLodge</v>
      </c>
      <c r="C1567" s="6" t="s">
        <v>6273</v>
      </c>
      <c r="D1567" s="7" t="s">
        <v>10244</v>
      </c>
      <c r="E1567" s="8" t="str">
        <f>HYPERLINK("http://twitter.com/download/iphone","Twitter for iPhone")</f>
        <v>Twitter for iPhone</v>
      </c>
      <c r="F1567" s="4">
        <v>43168.351527777777</v>
      </c>
      <c r="G1567" s="17" t="s">
        <v>171</v>
      </c>
      <c r="H1567" s="35" t="s">
        <v>6275</v>
      </c>
      <c r="I1567" s="10" t="s">
        <v>6276</v>
      </c>
    </row>
    <row r="1568" spans="1:9" ht="30">
      <c r="A1568" s="19">
        <v>43551.292627314819</v>
      </c>
      <c r="B1568" s="20" t="str">
        <f>HYPERLINK("https://twitter.com/Ludo_L_","@Ludo_L_")</f>
        <v>@Ludo_L_</v>
      </c>
      <c r="C1568" s="21" t="s">
        <v>7342</v>
      </c>
      <c r="D1568" s="22" t="s">
        <v>7343</v>
      </c>
      <c r="E1568" s="23" t="str">
        <f>HYPERLINK("https://www.hootsuite.com","Hootsuite Inc.")</f>
        <v>Hootsuite Inc.</v>
      </c>
      <c r="F1568" s="19">
        <v>39778.21365740741</v>
      </c>
      <c r="G1568" s="17" t="s">
        <v>171</v>
      </c>
      <c r="H1568" s="35" t="s">
        <v>377</v>
      </c>
      <c r="I1568" s="25" t="s">
        <v>7344</v>
      </c>
    </row>
    <row r="1569" spans="1:9" ht="195">
      <c r="A1569" s="19">
        <v>43549.441655092596</v>
      </c>
      <c r="B1569" s="20" t="str">
        <f>HYPERLINK("https://twitter.com/One_Big_Web","@One_Big_Web")</f>
        <v>@One_Big_Web</v>
      </c>
      <c r="C1569" s="21" t="s">
        <v>8036</v>
      </c>
      <c r="D1569" s="22" t="s">
        <v>8037</v>
      </c>
      <c r="E1569" s="23" t="str">
        <f>HYPERLINK("http://twitter.com","Twitter Web Client")</f>
        <v>Twitter Web Client</v>
      </c>
      <c r="F1569" s="19">
        <v>40648.280289351853</v>
      </c>
      <c r="G1569" s="17" t="s">
        <v>171</v>
      </c>
      <c r="H1569" s="35" t="s">
        <v>377</v>
      </c>
      <c r="I1569" s="25" t="s">
        <v>8038</v>
      </c>
    </row>
    <row r="1570" spans="1:9" ht="90">
      <c r="A1570" s="19">
        <v>43549.123043981483</v>
      </c>
      <c r="B1570" s="20" t="str">
        <f>HYPERLINK("https://twitter.com/One_Big_Web","@One_Big_Web")</f>
        <v>@One_Big_Web</v>
      </c>
      <c r="C1570" s="21" t="s">
        <v>8036</v>
      </c>
      <c r="D1570" s="22" t="s">
        <v>8160</v>
      </c>
      <c r="E1570" s="23" t="str">
        <f>HYPERLINK("http://twitter.com","Twitter Web Client")</f>
        <v>Twitter Web Client</v>
      </c>
      <c r="F1570" s="19">
        <v>40648.280289351853</v>
      </c>
      <c r="G1570" s="17" t="s">
        <v>171</v>
      </c>
      <c r="H1570" s="35" t="s">
        <v>377</v>
      </c>
      <c r="I1570" s="25" t="s">
        <v>8038</v>
      </c>
    </row>
    <row r="1571" spans="1:9" ht="45">
      <c r="A1571" s="19">
        <v>43546.210162037038</v>
      </c>
      <c r="B1571" s="20" t="str">
        <f>HYPERLINK("https://twitter.com/jasonmbarnard","@jasonmbarnard")</f>
        <v>@jasonmbarnard</v>
      </c>
      <c r="C1571" s="21" t="s">
        <v>8933</v>
      </c>
      <c r="D1571" s="22" t="s">
        <v>8934</v>
      </c>
      <c r="E1571" s="23" t="str">
        <f>HYPERLINK("http://twitter.com/download/android","Twitter for Android")</f>
        <v>Twitter for Android</v>
      </c>
      <c r="F1571" s="19">
        <v>41046.47587962963</v>
      </c>
      <c r="G1571" s="17" t="s">
        <v>171</v>
      </c>
      <c r="H1571" s="35" t="s">
        <v>377</v>
      </c>
      <c r="I1571" s="25" t="s">
        <v>8935</v>
      </c>
    </row>
    <row r="1572" spans="1:9" ht="60">
      <c r="A1572" s="4">
        <v>43564.949988425928</v>
      </c>
      <c r="B1572" s="5" t="str">
        <f>HYPERLINK("https://twitter.com/macadamcowboy","@macadamcowboy")</f>
        <v>@macadamcowboy</v>
      </c>
      <c r="C1572" s="6" t="s">
        <v>6372</v>
      </c>
      <c r="D1572" s="7" t="s">
        <v>6373</v>
      </c>
      <c r="E1572" s="8" t="str">
        <f>HYPERLINK("http://twitter.com/download/iphone","Twitter for iPhone")</f>
        <v>Twitter for iPhone</v>
      </c>
      <c r="F1572" s="4">
        <v>41044.343217592592</v>
      </c>
      <c r="G1572" s="17" t="s">
        <v>171</v>
      </c>
      <c r="H1572" s="35" t="s">
        <v>6374</v>
      </c>
      <c r="I1572" s="10" t="s">
        <v>6375</v>
      </c>
    </row>
    <row r="1573" spans="1:9" ht="30">
      <c r="A1573" s="4">
        <v>43561.071747685186</v>
      </c>
      <c r="B1573" s="5" t="str">
        <f>HYPERLINK("https://twitter.com/One_Big_Web","@One_Big_Web")</f>
        <v>@One_Big_Web</v>
      </c>
      <c r="C1573" s="6" t="s">
        <v>8036</v>
      </c>
      <c r="D1573" s="7" t="s">
        <v>11088</v>
      </c>
      <c r="E1573" s="8" t="str">
        <f>HYPERLINK("http://twitter.com","Twitter Web Client")</f>
        <v>Twitter Web Client</v>
      </c>
      <c r="F1573" s="4">
        <v>40648.280289351853</v>
      </c>
      <c r="G1573" s="17" t="s">
        <v>171</v>
      </c>
      <c r="H1573" s="35" t="s">
        <v>377</v>
      </c>
      <c r="I1573" s="10" t="s">
        <v>8038</v>
      </c>
    </row>
    <row r="1574" spans="1:9" ht="60">
      <c r="A1574" s="12">
        <v>43579.957071759258</v>
      </c>
      <c r="B1574" s="13" t="str">
        <f>HYPERLINK("https://twitter.com/mg_property","@mg_property")</f>
        <v>@mg_property</v>
      </c>
      <c r="C1574" s="14" t="s">
        <v>375</v>
      </c>
      <c r="D1574" s="15" t="s">
        <v>376</v>
      </c>
      <c r="E1574" s="16" t="str">
        <f>HYPERLINK("http://twitter.com","Twitter Web Client")</f>
        <v>Twitter Web Client</v>
      </c>
      <c r="F1574" s="12">
        <v>41025.093946759262</v>
      </c>
      <c r="G1574" s="17" t="s">
        <v>171</v>
      </c>
      <c r="H1574" s="35" t="s">
        <v>377</v>
      </c>
      <c r="I1574" s="18" t="s">
        <v>378</v>
      </c>
    </row>
    <row r="1575" spans="1:9" ht="45">
      <c r="A1575" s="4">
        <v>43558.496157407411</v>
      </c>
      <c r="B1575" s="5" t="str">
        <f>HYPERLINK("https://twitter.com/IconiqPat","@IconiqPat")</f>
        <v>@IconiqPat</v>
      </c>
      <c r="C1575" s="6" t="s">
        <v>12161</v>
      </c>
      <c r="D1575" s="7" t="s">
        <v>12162</v>
      </c>
      <c r="E1575" s="8" t="str">
        <f>HYPERLINK("http://twitter.com/download/iphone","Twitter for iPhone")</f>
        <v>Twitter for iPhone</v>
      </c>
      <c r="F1575" s="4">
        <v>42224.279803240745</v>
      </c>
      <c r="G1575" s="17" t="s">
        <v>171</v>
      </c>
      <c r="H1575" s="35" t="s">
        <v>12163</v>
      </c>
      <c r="I1575" s="10" t="s">
        <v>12164</v>
      </c>
    </row>
    <row r="1576" spans="1:9" ht="30">
      <c r="A1576" s="4">
        <v>43556.708414351851</v>
      </c>
      <c r="B1576" s="5" t="str">
        <f>HYPERLINK("https://twitter.com/startups_observ","@startups_observ")</f>
        <v>@startups_observ</v>
      </c>
      <c r="C1576" s="6" t="s">
        <v>12765</v>
      </c>
      <c r="D1576" s="7" t="s">
        <v>1456</v>
      </c>
      <c r="E1576" s="8" t="str">
        <f>HYPERLINK("https://socialbee.io/","SocialBee.io v2")</f>
        <v>SocialBee.io v2</v>
      </c>
      <c r="F1576" s="4">
        <v>42985.059016203704</v>
      </c>
      <c r="G1576" s="17" t="s">
        <v>171</v>
      </c>
      <c r="H1576" s="35" t="s">
        <v>2082</v>
      </c>
      <c r="I1576" s="10" t="s">
        <v>12766</v>
      </c>
    </row>
    <row r="1577" spans="1:9" ht="45">
      <c r="A1577" s="12">
        <v>43575.993101851855</v>
      </c>
      <c r="B1577" s="13" t="str">
        <f>HYPERLINK("https://twitter.com/ChristopherIsak","@ChristopherIsak")</f>
        <v>@ChristopherIsak</v>
      </c>
      <c r="C1577" s="14" t="s">
        <v>2080</v>
      </c>
      <c r="D1577" s="15" t="s">
        <v>2081</v>
      </c>
      <c r="E1577" s="16" t="str">
        <f>HYPERLINK("https://www.hootsuite.com","Hootsuite Inc.")</f>
        <v>Hootsuite Inc.</v>
      </c>
      <c r="F1577" s="12">
        <v>40211.102754629632</v>
      </c>
      <c r="G1577" s="17" t="s">
        <v>171</v>
      </c>
      <c r="H1577" s="35" t="s">
        <v>2082</v>
      </c>
      <c r="I1577" s="18" t="s">
        <v>2083</v>
      </c>
    </row>
    <row r="1578" spans="1:9" ht="30">
      <c r="A1578" s="4">
        <v>43558.917037037041</v>
      </c>
      <c r="B1578" s="5" t="str">
        <f>HYPERLINK("https://twitter.com/JoeMenninger","@JoeMenninger")</f>
        <v>@JoeMenninger</v>
      </c>
      <c r="C1578" s="6" t="s">
        <v>11997</v>
      </c>
      <c r="D1578" s="7" t="s">
        <v>1456</v>
      </c>
      <c r="E1578" s="8" t="str">
        <f>HYPERLINK("https://socialbee.io/","SocialBee.io v2")</f>
        <v>SocialBee.io v2</v>
      </c>
      <c r="F1578" s="4">
        <v>40719.268703703703</v>
      </c>
      <c r="G1578" s="17" t="s">
        <v>171</v>
      </c>
      <c r="H1578" s="35" t="s">
        <v>11998</v>
      </c>
      <c r="I1578" s="10" t="s">
        <v>11999</v>
      </c>
    </row>
    <row r="1579" spans="1:9" ht="60">
      <c r="A1579" s="19">
        <v>43545.461747685185</v>
      </c>
      <c r="B1579" s="20" t="str">
        <f>HYPERLINK("https://twitter.com/Blackjacxxx","@Blackjacxxx")</f>
        <v>@Blackjacxxx</v>
      </c>
      <c r="C1579" s="21" t="s">
        <v>9127</v>
      </c>
      <c r="D1579" s="22" t="s">
        <v>9128</v>
      </c>
      <c r="E1579" s="23" t="str">
        <f>HYPERLINK("https://tapbots.com/software/tweetbot/mac","Tweetbot for Mac")</f>
        <v>Tweetbot for Mac</v>
      </c>
      <c r="F1579" s="19">
        <v>41211.453263888892</v>
      </c>
      <c r="G1579" s="17" t="s">
        <v>171</v>
      </c>
      <c r="H1579" s="35" t="s">
        <v>9129</v>
      </c>
      <c r="I1579" s="25" t="s">
        <v>9130</v>
      </c>
    </row>
    <row r="1580" spans="1:9" ht="30">
      <c r="A1580" s="4">
        <v>43559.989965277782</v>
      </c>
      <c r="B1580" s="5" t="str">
        <f>HYPERLINK("https://twitter.com/Gigg44","@Gigg44")</f>
        <v>@Gigg44</v>
      </c>
      <c r="C1580" s="6" t="s">
        <v>11642</v>
      </c>
      <c r="D1580" s="7" t="s">
        <v>11643</v>
      </c>
      <c r="E1580" s="8" t="str">
        <f>HYPERLINK("http://instagram.com","Instagram")</f>
        <v>Instagram</v>
      </c>
      <c r="F1580" s="4">
        <v>39919.03701388889</v>
      </c>
      <c r="G1580" s="17" t="s">
        <v>171</v>
      </c>
      <c r="H1580" s="35" t="s">
        <v>1457</v>
      </c>
      <c r="I1580" s="10" t="s">
        <v>11644</v>
      </c>
    </row>
    <row r="1581" spans="1:9" ht="45">
      <c r="A1581" s="4">
        <v>43559.562627314815</v>
      </c>
      <c r="B1581" s="5" t="str">
        <f>HYPERLINK("https://twitter.com/startuprad_io","@startuprad_io")</f>
        <v>@startuprad_io</v>
      </c>
      <c r="C1581" s="6" t="s">
        <v>1455</v>
      </c>
      <c r="D1581" s="7" t="s">
        <v>1456</v>
      </c>
      <c r="E1581" s="8" t="str">
        <f>HYPERLINK("https://buffer.com","Buffer")</f>
        <v>Buffer</v>
      </c>
      <c r="F1581" s="4">
        <v>41942.595578703702</v>
      </c>
      <c r="G1581" s="17" t="s">
        <v>171</v>
      </c>
      <c r="H1581" s="35" t="s">
        <v>1457</v>
      </c>
      <c r="I1581" s="10" t="s">
        <v>11760</v>
      </c>
    </row>
    <row r="1582" spans="1:9" ht="45">
      <c r="A1582" s="12">
        <v>43577.932939814811</v>
      </c>
      <c r="B1582" s="13" t="str">
        <f>HYPERLINK("https://twitter.com/startuprad_io","@startuprad_io")</f>
        <v>@startuprad_io</v>
      </c>
      <c r="C1582" s="14" t="s">
        <v>1455</v>
      </c>
      <c r="D1582" s="15" t="s">
        <v>1456</v>
      </c>
      <c r="E1582" s="16" t="str">
        <f>HYPERLINK("https://socialbee.io/","SocialBee.io v2")</f>
        <v>SocialBee.io v2</v>
      </c>
      <c r="F1582" s="12">
        <v>41942.595578703702</v>
      </c>
      <c r="G1582" s="17" t="s">
        <v>171</v>
      </c>
      <c r="H1582" s="35" t="s">
        <v>1457</v>
      </c>
      <c r="I1582" s="18" t="s">
        <v>1458</v>
      </c>
    </row>
    <row r="1583" spans="1:9" ht="30">
      <c r="A1583" s="4">
        <v>43559.606238425928</v>
      </c>
      <c r="B1583" s="5" t="str">
        <f>HYPERLINK("https://twitter.com/gamleboeger","@gamleboeger")</f>
        <v>@gamleboeger</v>
      </c>
      <c r="C1583" s="6" t="s">
        <v>11741</v>
      </c>
      <c r="D1583" s="7" t="s">
        <v>11742</v>
      </c>
      <c r="E1583" s="8" t="str">
        <f>HYPERLINK("http://twitter.com","Twitter Web Client")</f>
        <v>Twitter Web Client</v>
      </c>
      <c r="F1583" s="4">
        <v>41940.417048611111</v>
      </c>
      <c r="G1583" s="9" t="s">
        <v>171</v>
      </c>
      <c r="H1583" s="35" t="s">
        <v>11743</v>
      </c>
      <c r="I1583" s="10" t="s">
        <v>11744</v>
      </c>
    </row>
    <row r="1584" spans="1:9" ht="105">
      <c r="A1584" s="4">
        <v>43559.267754629633</v>
      </c>
      <c r="B1584" s="5" t="str">
        <f>HYPERLINK("https://twitter.com/HSchendera","@HSchendera")</f>
        <v>@HSchendera</v>
      </c>
      <c r="C1584" s="6" t="s">
        <v>11894</v>
      </c>
      <c r="D1584" s="7" t="s">
        <v>11895</v>
      </c>
      <c r="E1584" s="8" t="str">
        <f>HYPERLINK("https://dlvrit.com/","dlvr.it")</f>
        <v>dlvr.it</v>
      </c>
      <c r="F1584" s="4">
        <v>41095.079247685186</v>
      </c>
      <c r="G1584" s="9" t="s">
        <v>171</v>
      </c>
      <c r="H1584" s="35" t="s">
        <v>11896</v>
      </c>
      <c r="I1584" s="10" t="s">
        <v>11897</v>
      </c>
    </row>
    <row r="1585" spans="1:9" ht="105">
      <c r="A1585" s="19">
        <v>43547.119687500002</v>
      </c>
      <c r="B1585" s="20" t="str">
        <f>HYPERLINK("https://twitter.com/mire_daly","@mire_daly")</f>
        <v>@mire_daly</v>
      </c>
      <c r="C1585" s="21" t="s">
        <v>8646</v>
      </c>
      <c r="D1585" s="22" t="s">
        <v>8647</v>
      </c>
      <c r="E1585" s="23" t="str">
        <f>HYPERLINK("http://twitter.com","Twitter Web Client")</f>
        <v>Twitter Web Client</v>
      </c>
      <c r="F1585" s="19">
        <v>41271.1328125</v>
      </c>
      <c r="G1585" s="17" t="s">
        <v>171</v>
      </c>
      <c r="H1585" s="35" t="s">
        <v>8648</v>
      </c>
      <c r="I1585" s="25" t="s">
        <v>8649</v>
      </c>
    </row>
    <row r="1586" spans="1:9" ht="45">
      <c r="A1586" s="12">
        <v>43568.913043981476</v>
      </c>
      <c r="B1586" s="13" t="str">
        <f>HYPERLINK("https://twitter.com/Corlan_Dashiva","@Corlan_Dashiva")</f>
        <v>@Corlan_Dashiva</v>
      </c>
      <c r="C1586" s="14" t="s">
        <v>4631</v>
      </c>
      <c r="D1586" s="15" t="s">
        <v>4632</v>
      </c>
      <c r="E1586" s="16" t="str">
        <f>HYPERLINK("http://instagram.com","Instagram")</f>
        <v>Instagram</v>
      </c>
      <c r="F1586" s="12">
        <v>40002.454965277779</v>
      </c>
      <c r="G1586" s="17" t="s">
        <v>171</v>
      </c>
      <c r="H1586" s="35" t="s">
        <v>4633</v>
      </c>
      <c r="I1586" s="18" t="s">
        <v>4634</v>
      </c>
    </row>
    <row r="1587" spans="1:9" ht="105">
      <c r="A1587" s="12">
        <v>43568.426076388889</v>
      </c>
      <c r="B1587" s="13" t="str">
        <f>HYPERLINK("https://twitter.com/wearearch","@wearearch")</f>
        <v>@wearearch</v>
      </c>
      <c r="C1587" s="14" t="s">
        <v>4775</v>
      </c>
      <c r="D1587" s="15" t="s">
        <v>4776</v>
      </c>
      <c r="E1587" s="16" t="str">
        <f>HYPERLINK("http://twitter.com","Twitter Web Client")</f>
        <v>Twitter Web Client</v>
      </c>
      <c r="F1587" s="12">
        <v>39906.072048611109</v>
      </c>
      <c r="G1587" s="17" t="s">
        <v>171</v>
      </c>
      <c r="H1587" s="35" t="s">
        <v>4777</v>
      </c>
      <c r="I1587" s="18" t="s">
        <v>4778</v>
      </c>
    </row>
    <row r="1588" spans="1:9" ht="60">
      <c r="A1588" s="4">
        <v>43558.1715162037</v>
      </c>
      <c r="B1588" s="5" t="str">
        <f>HYPERLINK("https://twitter.com/LorD_Avenger","@LorD_Avenger")</f>
        <v>@LorD_Avenger</v>
      </c>
      <c r="C1588" s="6" t="s">
        <v>12302</v>
      </c>
      <c r="D1588" s="7" t="s">
        <v>12303</v>
      </c>
      <c r="E1588" s="8" t="str">
        <f>HYPERLINK("https://about.twitter.com/products/tweetdeck","TweetDeck")</f>
        <v>TweetDeck</v>
      </c>
      <c r="F1588" s="4">
        <v>40494.413043981483</v>
      </c>
      <c r="G1588" s="9" t="s">
        <v>171</v>
      </c>
      <c r="H1588" s="35" t="s">
        <v>2055</v>
      </c>
      <c r="I1588" s="10" t="s">
        <v>12304</v>
      </c>
    </row>
    <row r="1589" spans="1:9" ht="30">
      <c r="A1589" s="12">
        <v>43576.087557870371</v>
      </c>
      <c r="B1589" s="13" t="str">
        <f>HYPERLINK("https://twitter.com/CoinBaron","@CoinBaron")</f>
        <v>@CoinBaron</v>
      </c>
      <c r="C1589" s="14" t="s">
        <v>2053</v>
      </c>
      <c r="D1589" s="15" t="s">
        <v>2054</v>
      </c>
      <c r="E1589" s="16" t="str">
        <f>HYPERLINK("https://mobile.twitter.com","Twitter Web App")</f>
        <v>Twitter Web App</v>
      </c>
      <c r="F1589" s="12">
        <v>42122.105590277773</v>
      </c>
      <c r="G1589" s="9" t="s">
        <v>171</v>
      </c>
      <c r="H1589" s="35" t="s">
        <v>2055</v>
      </c>
      <c r="I1589" s="18" t="s">
        <v>2056</v>
      </c>
    </row>
    <row r="1590" spans="1:9" ht="30">
      <c r="A1590" s="12">
        <v>43575.576516203699</v>
      </c>
      <c r="B1590" s="13" t="str">
        <f>HYPERLINK("https://twitter.com/grumpyrosenberg","@grumpyrosenberg")</f>
        <v>@grumpyrosenberg</v>
      </c>
      <c r="C1590" s="14" t="s">
        <v>2164</v>
      </c>
      <c r="D1590" s="15" t="s">
        <v>2165</v>
      </c>
      <c r="E1590" s="16" t="str">
        <f>HYPERLINK("http://twitter.com/download/android","Twitter for Android")</f>
        <v>Twitter for Android</v>
      </c>
      <c r="F1590" s="12">
        <v>40744.111122685186</v>
      </c>
      <c r="G1590" s="9" t="s">
        <v>171</v>
      </c>
      <c r="H1590" s="35" t="s">
        <v>2055</v>
      </c>
      <c r="I1590" s="18" t="s">
        <v>2166</v>
      </c>
    </row>
    <row r="1591" spans="1:9" ht="45">
      <c r="A1591" s="12">
        <v>43572.542488425926</v>
      </c>
      <c r="B1591" s="13" t="str">
        <f>HYPERLINK("https://twitter.com/Revolt_World","@Revolt_World")</f>
        <v>@Revolt_World</v>
      </c>
      <c r="C1591" s="14" t="s">
        <v>3171</v>
      </c>
      <c r="D1591" s="15" t="s">
        <v>3172</v>
      </c>
      <c r="E1591" s="16" t="str">
        <f>HYPERLINK("http://www.facebook.com/twitter","Facebook")</f>
        <v>Facebook</v>
      </c>
      <c r="F1591" s="12">
        <v>41084.235289351855</v>
      </c>
      <c r="G1591" s="9" t="s">
        <v>171</v>
      </c>
      <c r="H1591" s="35" t="s">
        <v>2055</v>
      </c>
      <c r="I1591" s="18" t="s">
        <v>3173</v>
      </c>
    </row>
    <row r="1592" spans="1:9" ht="45">
      <c r="A1592" s="12">
        <v>43572.500914351855</v>
      </c>
      <c r="B1592" s="13" t="str">
        <f>HYPERLINK("https://twitter.com/Acampada_Europe","@Acampada_Europe")</f>
        <v>@Acampada_Europe</v>
      </c>
      <c r="C1592" s="14" t="s">
        <v>3214</v>
      </c>
      <c r="D1592" s="15" t="s">
        <v>3172</v>
      </c>
      <c r="E1592" s="16" t="str">
        <f>HYPERLINK("http://www.facebook.com/twitter","Facebook")</f>
        <v>Facebook</v>
      </c>
      <c r="F1592" s="12">
        <v>41084.224999999999</v>
      </c>
      <c r="G1592" s="9" t="s">
        <v>171</v>
      </c>
      <c r="H1592" s="35" t="s">
        <v>2055</v>
      </c>
      <c r="I1592" s="18" t="s">
        <v>3215</v>
      </c>
    </row>
    <row r="1593" spans="1:9" ht="45">
      <c r="A1593" s="12">
        <v>43572.334201388891</v>
      </c>
      <c r="B1593" s="13" t="str">
        <f>HYPERLINK("https://twitter.com/iRUN_int","@iRUN_int")</f>
        <v>@iRUN_int</v>
      </c>
      <c r="C1593" s="14" t="s">
        <v>3324</v>
      </c>
      <c r="D1593" s="15" t="s">
        <v>3172</v>
      </c>
      <c r="E1593" s="16" t="str">
        <f>HYPERLINK("http://www.facebook.com/twitter","Facebook")</f>
        <v>Facebook</v>
      </c>
      <c r="F1593" s="12">
        <v>41142.43550925926</v>
      </c>
      <c r="G1593" s="9" t="s">
        <v>171</v>
      </c>
      <c r="H1593" s="35" t="s">
        <v>2055</v>
      </c>
      <c r="I1593" s="18" t="s">
        <v>3325</v>
      </c>
    </row>
    <row r="1594" spans="1:9" ht="180">
      <c r="A1594" s="4">
        <v>43559.477812500001</v>
      </c>
      <c r="B1594" s="5" t="str">
        <f>HYPERLINK("https://twitter.com/Ben_Wray1989","@Ben_Wray1989")</f>
        <v>@Ben_Wray1989</v>
      </c>
      <c r="C1594" s="6" t="s">
        <v>11796</v>
      </c>
      <c r="D1594" s="7" t="s">
        <v>11797</v>
      </c>
      <c r="E1594" s="8" t="str">
        <f>HYPERLINK("http://twitter.com/download/android","Twitter for Android")</f>
        <v>Twitter for Android</v>
      </c>
      <c r="F1594" s="4">
        <v>40658.088414351849</v>
      </c>
      <c r="G1594" s="9" t="s">
        <v>171</v>
      </c>
      <c r="H1594" s="35" t="s">
        <v>4588</v>
      </c>
      <c r="I1594" s="10" t="s">
        <v>11798</v>
      </c>
    </row>
    <row r="1595" spans="1:9" ht="75">
      <c r="A1595" s="12">
        <v>43569.164317129631</v>
      </c>
      <c r="B1595" s="13" t="str">
        <f>HYPERLINK("https://twitter.com/mattplatt10","@mattplatt10")</f>
        <v>@mattplatt10</v>
      </c>
      <c r="C1595" s="14" t="s">
        <v>4586</v>
      </c>
      <c r="D1595" s="15" t="s">
        <v>4587</v>
      </c>
      <c r="E1595" s="16" t="str">
        <f>HYPERLINK("http://twitter.com/download/iphone","Twitter for iPhone")</f>
        <v>Twitter for iPhone</v>
      </c>
      <c r="F1595" s="12">
        <v>40943.13071759259</v>
      </c>
      <c r="G1595" s="9" t="s">
        <v>171</v>
      </c>
      <c r="H1595" s="35" t="s">
        <v>4588</v>
      </c>
      <c r="I1595" s="18" t="s">
        <v>4589</v>
      </c>
    </row>
    <row r="1596" spans="1:9" ht="90">
      <c r="A1596" s="12">
        <v>43567.069988425923</v>
      </c>
      <c r="B1596" s="13" t="str">
        <f>HYPERLINK("https://twitter.com/bnb_squared","@bnb_squared")</f>
        <v>@bnb_squared</v>
      </c>
      <c r="C1596" s="14" t="s">
        <v>5251</v>
      </c>
      <c r="D1596" s="15" t="s">
        <v>5252</v>
      </c>
      <c r="E1596" s="16" t="str">
        <f>HYPERLINK("http://twitter.com","Twitter Web Client")</f>
        <v>Twitter Web Client</v>
      </c>
      <c r="F1596" s="12">
        <v>43564.196956018517</v>
      </c>
      <c r="G1596" s="9" t="s">
        <v>171</v>
      </c>
      <c r="H1596" s="35" t="s">
        <v>4588</v>
      </c>
      <c r="I1596" s="18" t="s">
        <v>5253</v>
      </c>
    </row>
    <row r="1597" spans="1:9" ht="90">
      <c r="A1597" s="19">
        <v>43551.278587962966</v>
      </c>
      <c r="B1597" s="20" t="str">
        <f>HYPERLINK("https://twitter.com/IndigoSq","@IndigoSq")</f>
        <v>@IndigoSq</v>
      </c>
      <c r="C1597" s="21" t="s">
        <v>7355</v>
      </c>
      <c r="D1597" s="22" t="s">
        <v>7356</v>
      </c>
      <c r="E1597" s="23" t="str">
        <f>HYPERLINK("http://twitter.com","Twitter Web Client")</f>
        <v>Twitter Web Client</v>
      </c>
      <c r="F1597" s="19">
        <v>42515.260069444441</v>
      </c>
      <c r="G1597" s="9" t="s">
        <v>171</v>
      </c>
      <c r="H1597" s="35" t="s">
        <v>5684</v>
      </c>
      <c r="I1597" s="25" t="s">
        <v>7357</v>
      </c>
    </row>
    <row r="1598" spans="1:9" ht="75">
      <c r="A1598" s="19">
        <v>43545.597685185188</v>
      </c>
      <c r="B1598" s="20" t="str">
        <f>HYPERLINK("https://twitter.com/Nobody_Girl","@Nobody_Girl")</f>
        <v>@Nobody_Girl</v>
      </c>
      <c r="C1598" s="21" t="s">
        <v>9085</v>
      </c>
      <c r="D1598" s="22" t="s">
        <v>9086</v>
      </c>
      <c r="E1598" s="23" t="str">
        <f>HYPERLINK("http://twitter.com/download/iphone","Twitter for iPhone")</f>
        <v>Twitter for iPhone</v>
      </c>
      <c r="F1598" s="19">
        <v>39857.223020833335</v>
      </c>
      <c r="G1598" s="9" t="s">
        <v>171</v>
      </c>
      <c r="H1598" s="35" t="s">
        <v>5684</v>
      </c>
      <c r="I1598" s="25" t="s">
        <v>9087</v>
      </c>
    </row>
    <row r="1599" spans="1:9" ht="45">
      <c r="A1599" s="12">
        <v>43566.285833333328</v>
      </c>
      <c r="B1599" s="13" t="str">
        <f>HYPERLINK("https://twitter.com/uniquefergus","@uniquefergus")</f>
        <v>@uniquefergus</v>
      </c>
      <c r="C1599" s="14" t="s">
        <v>5682</v>
      </c>
      <c r="D1599" s="15" t="s">
        <v>5683</v>
      </c>
      <c r="E1599" s="16" t="str">
        <f>HYPERLINK("http://twitter.com","Twitter Web Client")</f>
        <v>Twitter Web Client</v>
      </c>
      <c r="F1599" s="12">
        <v>40642.142581018517</v>
      </c>
      <c r="G1599" s="9" t="s">
        <v>171</v>
      </c>
      <c r="H1599" s="35" t="s">
        <v>5684</v>
      </c>
      <c r="I1599" s="18" t="s">
        <v>5685</v>
      </c>
    </row>
    <row r="1600" spans="1:9" ht="60">
      <c r="A1600" s="12">
        <v>43569.604386574079</v>
      </c>
      <c r="B1600" s="13" t="str">
        <f>HYPERLINK("https://twitter.com/wyrralwellbeing","@wyrralwellbeing")</f>
        <v>@wyrralwellbeing</v>
      </c>
      <c r="C1600" s="14" t="s">
        <v>4462</v>
      </c>
      <c r="D1600" s="15" t="s">
        <v>4463</v>
      </c>
      <c r="E1600" s="16" t="str">
        <f>HYPERLINK("http://instagram.com","Instagram")</f>
        <v>Instagram</v>
      </c>
      <c r="F1600" s="12">
        <v>42377.540474537032</v>
      </c>
      <c r="G1600" s="17" t="s">
        <v>171</v>
      </c>
      <c r="H1600" s="35" t="s">
        <v>4464</v>
      </c>
      <c r="I1600" s="18" t="s">
        <v>4465</v>
      </c>
    </row>
    <row r="1601" spans="1:9" ht="45">
      <c r="A1601" s="12">
        <v>43569.207245370373</v>
      </c>
      <c r="B1601" s="13" t="str">
        <f>HYPERLINK("https://twitter.com/wyrralwellbeing","@wyrralwellbeing")</f>
        <v>@wyrralwellbeing</v>
      </c>
      <c r="C1601" s="14" t="s">
        <v>4462</v>
      </c>
      <c r="D1601" s="15" t="s">
        <v>4579</v>
      </c>
      <c r="E1601" s="16" t="str">
        <f>HYPERLINK("http://instagram.com","Instagram")</f>
        <v>Instagram</v>
      </c>
      <c r="F1601" s="12">
        <v>42377.540474537032</v>
      </c>
      <c r="G1601" s="17" t="s">
        <v>171</v>
      </c>
      <c r="H1601" s="35" t="s">
        <v>4464</v>
      </c>
      <c r="I1601" s="18" t="s">
        <v>4465</v>
      </c>
    </row>
    <row r="1602" spans="1:9" ht="90">
      <c r="A1602" s="19">
        <v>43551.369351851856</v>
      </c>
      <c r="B1602" s="20" t="str">
        <f t="shared" ref="B1602:B1607" si="72">HYPERLINK("https://twitter.com/NachoVillaFoto","@NachoVillaFoto")</f>
        <v>@NachoVillaFoto</v>
      </c>
      <c r="C1602" s="21" t="s">
        <v>7270</v>
      </c>
      <c r="D1602" s="22" t="s">
        <v>7271</v>
      </c>
      <c r="E1602" s="23" t="str">
        <f t="shared" ref="E1602:E1607" si="73">HYPERLINK("https://ifttt.com","IFTTT")</f>
        <v>IFTTT</v>
      </c>
      <c r="F1602" s="19">
        <v>42309.571180555555</v>
      </c>
      <c r="G1602" s="9" t="s">
        <v>171</v>
      </c>
      <c r="H1602" s="35" t="s">
        <v>7272</v>
      </c>
      <c r="I1602" s="25" t="s">
        <v>7273</v>
      </c>
    </row>
    <row r="1603" spans="1:9" ht="90">
      <c r="A1603" s="19">
        <v>43549.161099537036</v>
      </c>
      <c r="B1603" s="20" t="str">
        <f t="shared" si="72"/>
        <v>@NachoVillaFoto</v>
      </c>
      <c r="C1603" s="21" t="s">
        <v>7270</v>
      </c>
      <c r="D1603" s="22" t="s">
        <v>8143</v>
      </c>
      <c r="E1603" s="23" t="str">
        <f t="shared" si="73"/>
        <v>IFTTT</v>
      </c>
      <c r="F1603" s="19">
        <v>42309.571180555555</v>
      </c>
      <c r="G1603" s="9" t="s">
        <v>171</v>
      </c>
      <c r="H1603" s="35" t="s">
        <v>7272</v>
      </c>
      <c r="I1603" s="25" t="s">
        <v>7273</v>
      </c>
    </row>
    <row r="1604" spans="1:9" ht="90">
      <c r="A1604" s="19">
        <v>43546.119259259256</v>
      </c>
      <c r="B1604" s="20" t="str">
        <f t="shared" si="72"/>
        <v>@NachoVillaFoto</v>
      </c>
      <c r="C1604" s="21" t="s">
        <v>7270</v>
      </c>
      <c r="D1604" s="22" t="s">
        <v>8958</v>
      </c>
      <c r="E1604" s="23" t="str">
        <f t="shared" si="73"/>
        <v>IFTTT</v>
      </c>
      <c r="F1604" s="19">
        <v>42309.571180555555</v>
      </c>
      <c r="G1604" s="9" t="s">
        <v>171</v>
      </c>
      <c r="H1604" s="35" t="s">
        <v>7272</v>
      </c>
      <c r="I1604" s="25" t="s">
        <v>7273</v>
      </c>
    </row>
    <row r="1605" spans="1:9" ht="105">
      <c r="A1605" s="19">
        <v>43544.119409722218</v>
      </c>
      <c r="B1605" s="20" t="str">
        <f t="shared" si="72"/>
        <v>@NachoVillaFoto</v>
      </c>
      <c r="C1605" s="21" t="s">
        <v>7270</v>
      </c>
      <c r="D1605" s="22" t="s">
        <v>9610</v>
      </c>
      <c r="E1605" s="23" t="str">
        <f t="shared" si="73"/>
        <v>IFTTT</v>
      </c>
      <c r="F1605" s="19">
        <v>42309.571180555555</v>
      </c>
      <c r="G1605" s="9" t="s">
        <v>171</v>
      </c>
      <c r="H1605" s="35" t="s">
        <v>7272</v>
      </c>
      <c r="I1605" s="25" t="s">
        <v>7273</v>
      </c>
    </row>
    <row r="1606" spans="1:9" ht="90">
      <c r="A1606" s="19">
        <v>43543.161215277782</v>
      </c>
      <c r="B1606" s="20" t="str">
        <f t="shared" si="72"/>
        <v>@NachoVillaFoto</v>
      </c>
      <c r="C1606" s="21" t="s">
        <v>7270</v>
      </c>
      <c r="D1606" s="22" t="s">
        <v>9920</v>
      </c>
      <c r="E1606" s="23" t="str">
        <f t="shared" si="73"/>
        <v>IFTTT</v>
      </c>
      <c r="F1606" s="19">
        <v>42309.571180555555</v>
      </c>
      <c r="G1606" s="9" t="s">
        <v>171</v>
      </c>
      <c r="H1606" s="35" t="s">
        <v>7272</v>
      </c>
      <c r="I1606" s="25" t="s">
        <v>7273</v>
      </c>
    </row>
    <row r="1607" spans="1:9" ht="105">
      <c r="A1607" s="4">
        <v>43559.494594907403</v>
      </c>
      <c r="B1607" s="5" t="str">
        <f t="shared" si="72"/>
        <v>@NachoVillaFoto</v>
      </c>
      <c r="C1607" s="6" t="s">
        <v>7270</v>
      </c>
      <c r="D1607" s="7" t="s">
        <v>11789</v>
      </c>
      <c r="E1607" s="8" t="str">
        <f t="shared" si="73"/>
        <v>IFTTT</v>
      </c>
      <c r="F1607" s="4">
        <v>42309.571180555555</v>
      </c>
      <c r="G1607" s="9" t="s">
        <v>171</v>
      </c>
      <c r="H1607" s="35" t="s">
        <v>7272</v>
      </c>
      <c r="I1607" s="10" t="s">
        <v>7273</v>
      </c>
    </row>
    <row r="1608" spans="1:9" ht="90">
      <c r="A1608" s="19">
        <v>43550.09175925926</v>
      </c>
      <c r="B1608" s="20" t="str">
        <f>HYPERLINK("https://twitter.com/62artpad","@62artpad")</f>
        <v>@62artpad</v>
      </c>
      <c r="C1608" s="21" t="s">
        <v>7842</v>
      </c>
      <c r="D1608" s="22" t="s">
        <v>7843</v>
      </c>
      <c r="E1608" s="23" t="str">
        <f>HYPERLINK("http://twitter.com","Twitter Web Client")</f>
        <v>Twitter Web Client</v>
      </c>
      <c r="F1608" s="19">
        <v>41287.2033912037</v>
      </c>
      <c r="G1608" s="24" t="s">
        <v>171</v>
      </c>
      <c r="H1608" s="35" t="s">
        <v>7844</v>
      </c>
      <c r="I1608" s="25" t="s">
        <v>7845</v>
      </c>
    </row>
    <row r="1609" spans="1:9" ht="105">
      <c r="A1609" s="19">
        <v>43548.019328703704</v>
      </c>
      <c r="B1609" s="20" t="str">
        <f>HYPERLINK("https://twitter.com/62artpad","@62artpad")</f>
        <v>@62artpad</v>
      </c>
      <c r="C1609" s="21" t="s">
        <v>7842</v>
      </c>
      <c r="D1609" s="22" t="s">
        <v>8432</v>
      </c>
      <c r="E1609" s="23" t="str">
        <f>HYPERLINK("http://twitter.com","Twitter Web Client")</f>
        <v>Twitter Web Client</v>
      </c>
      <c r="F1609" s="19">
        <v>41287.2033912037</v>
      </c>
      <c r="G1609" s="24" t="s">
        <v>171</v>
      </c>
      <c r="H1609" s="35" t="s">
        <v>7844</v>
      </c>
      <c r="I1609" s="25" t="s">
        <v>7845</v>
      </c>
    </row>
    <row r="1610" spans="1:9" ht="45">
      <c r="A1610" s="4">
        <v>43564.347881944443</v>
      </c>
      <c r="B1610" s="5" t="str">
        <f>HYPERLINK("https://twitter.com/gtpgr","@gtpgr")</f>
        <v>@gtpgr</v>
      </c>
      <c r="C1610" s="6" t="s">
        <v>16</v>
      </c>
      <c r="D1610" s="7" t="s">
        <v>6669</v>
      </c>
      <c r="E1610" s="8" t="str">
        <f>HYPERLINK("http://twitter.com","Twitter Web Client")</f>
        <v>Twitter Web Client</v>
      </c>
      <c r="F1610" s="4">
        <v>40807.077361111107</v>
      </c>
      <c r="G1610" s="17" t="s">
        <v>171</v>
      </c>
      <c r="H1610" s="35" t="s">
        <v>18</v>
      </c>
      <c r="I1610" s="10" t="s">
        <v>19</v>
      </c>
    </row>
    <row r="1611" spans="1:9" ht="45">
      <c r="A1611" s="12">
        <v>43580.847280092596</v>
      </c>
      <c r="B1611" s="13" t="str">
        <f>HYPERLINK("https://twitter.com/gtpgr","@gtpgr")</f>
        <v>@gtpgr</v>
      </c>
      <c r="C1611" s="14" t="s">
        <v>16</v>
      </c>
      <c r="D1611" s="15" t="s">
        <v>17</v>
      </c>
      <c r="E1611" s="16" t="str">
        <f>HYPERLINK("https://buffer.com","Buffer")</f>
        <v>Buffer</v>
      </c>
      <c r="F1611" s="12">
        <v>40807.535694444443</v>
      </c>
      <c r="G1611" s="17" t="s">
        <v>171</v>
      </c>
      <c r="H1611" s="35" t="s">
        <v>18</v>
      </c>
      <c r="I1611" s="18" t="s">
        <v>19</v>
      </c>
    </row>
    <row r="1612" spans="1:9" ht="60">
      <c r="A1612" s="12">
        <v>43572.212175925924</v>
      </c>
      <c r="B1612" s="13" t="str">
        <f>HYPERLINK("https://twitter.com/gtpgr","@gtpgr")</f>
        <v>@gtpgr</v>
      </c>
      <c r="C1612" s="14" t="s">
        <v>16</v>
      </c>
      <c r="D1612" s="15" t="s">
        <v>3374</v>
      </c>
      <c r="E1612" s="16" t="str">
        <f>HYPERLINK("http://twitter.com","Twitter Web Client")</f>
        <v>Twitter Web Client</v>
      </c>
      <c r="F1612" s="12">
        <v>40807.077361111107</v>
      </c>
      <c r="G1612" s="17" t="s">
        <v>171</v>
      </c>
      <c r="H1612" s="35" t="s">
        <v>18</v>
      </c>
      <c r="I1612" s="18" t="s">
        <v>19</v>
      </c>
    </row>
    <row r="1613" spans="1:9" ht="60">
      <c r="A1613" s="12">
        <v>43571.364641203705</v>
      </c>
      <c r="B1613" s="13" t="str">
        <f>HYPERLINK("https://twitter.com/gtpgr","@gtpgr")</f>
        <v>@gtpgr</v>
      </c>
      <c r="C1613" s="14" t="s">
        <v>16</v>
      </c>
      <c r="D1613" s="15" t="s">
        <v>3707</v>
      </c>
      <c r="E1613" s="16" t="str">
        <f>HYPERLINK("https://buffer.com","Buffer")</f>
        <v>Buffer</v>
      </c>
      <c r="F1613" s="12">
        <v>40807.077361111107</v>
      </c>
      <c r="G1613" s="17" t="s">
        <v>171</v>
      </c>
      <c r="H1613" s="35" t="s">
        <v>18</v>
      </c>
      <c r="I1613" s="18" t="s">
        <v>19</v>
      </c>
    </row>
    <row r="1614" spans="1:9" ht="75">
      <c r="A1614" s="19">
        <v>43543.120046296295</v>
      </c>
      <c r="B1614" s="20" t="str">
        <f>HYPERLINK("https://twitter.com/maxilaria_poof","@maxilaria_poof")</f>
        <v>@maxilaria_poof</v>
      </c>
      <c r="C1614" s="20" t="s">
        <v>9933</v>
      </c>
      <c r="D1614" s="22" t="s">
        <v>12867</v>
      </c>
      <c r="E1614" s="23" t="str">
        <f>HYPERLINK("http://instagram.com","Instagram")</f>
        <v>Instagram</v>
      </c>
      <c r="F1614" s="19">
        <v>41984.252754629633</v>
      </c>
      <c r="G1614" s="17" t="s">
        <v>171</v>
      </c>
      <c r="H1614" s="35" t="s">
        <v>9934</v>
      </c>
      <c r="I1614" s="25" t="s">
        <v>9935</v>
      </c>
    </row>
    <row r="1615" spans="1:9" ht="105">
      <c r="A1615" s="12">
        <v>43572.414907407408</v>
      </c>
      <c r="B1615" s="13" t="str">
        <f>HYPERLINK("https://twitter.com/Fragiasphotos","@Fragiasphotos")</f>
        <v>@Fragiasphotos</v>
      </c>
      <c r="C1615" s="14" t="s">
        <v>3261</v>
      </c>
      <c r="D1615" s="15" t="s">
        <v>3262</v>
      </c>
      <c r="E1615" s="16" t="str">
        <f>HYPERLINK("http://twitter.com","Twitter Web Client")</f>
        <v>Twitter Web Client</v>
      </c>
      <c r="F1615" s="12">
        <v>42266.249652777777</v>
      </c>
      <c r="G1615" s="17" t="s">
        <v>171</v>
      </c>
      <c r="H1615" s="35" t="s">
        <v>3263</v>
      </c>
      <c r="I1615" s="18"/>
    </row>
    <row r="1616" spans="1:9" ht="75">
      <c r="A1616" s="19">
        <v>43544.168981481482</v>
      </c>
      <c r="B1616" s="20" t="str">
        <f>HYPERLINK("https://twitter.com/apostolos_kl","@apostolos_kl")</f>
        <v>@apostolos_kl</v>
      </c>
      <c r="C1616" s="21" t="s">
        <v>9582</v>
      </c>
      <c r="D1616" s="22" t="s">
        <v>9583</v>
      </c>
      <c r="E1616" s="23" t="str">
        <f>HYPERLINK("http://twitter.com","Twitter Web Client")</f>
        <v>Twitter Web Client</v>
      </c>
      <c r="F1616" s="19">
        <v>40755.059502314813</v>
      </c>
      <c r="G1616" s="24" t="s">
        <v>171</v>
      </c>
      <c r="H1616" s="35" t="s">
        <v>9584</v>
      </c>
      <c r="I1616" s="25" t="s">
        <v>9585</v>
      </c>
    </row>
    <row r="1617" spans="1:9" ht="45">
      <c r="A1617" s="4">
        <v>43557.047893518524</v>
      </c>
      <c r="B1617" s="5" t="str">
        <f>HYPERLINK("https://twitter.com/HeritageIMA","@HeritageIMA")</f>
        <v>@HeritageIMA</v>
      </c>
      <c r="C1617" s="6" t="s">
        <v>12667</v>
      </c>
      <c r="D1617" s="7" t="s">
        <v>12668</v>
      </c>
      <c r="E1617" s="8" t="str">
        <f>HYPERLINK("http://twitter.com","Twitter Web Client")</f>
        <v>Twitter Web Client</v>
      </c>
      <c r="F1617" s="4">
        <v>40346.073657407411</v>
      </c>
      <c r="G1617" s="9" t="s">
        <v>171</v>
      </c>
      <c r="H1617" s="35" t="s">
        <v>12669</v>
      </c>
      <c r="I1617" s="10" t="s">
        <v>12670</v>
      </c>
    </row>
    <row r="1618" spans="1:9" ht="105">
      <c r="A1618" s="4">
        <v>43557.173495370371</v>
      </c>
      <c r="B1618" s="5" t="str">
        <f>HYPERLINK("https://twitter.com/birdboxvox","@birdboxvox")</f>
        <v>@birdboxvox</v>
      </c>
      <c r="C1618" s="6" t="s">
        <v>12624</v>
      </c>
      <c r="D1618" s="7" t="s">
        <v>12625</v>
      </c>
      <c r="E1618" s="8" t="str">
        <f>HYPERLINK("http://twitter.com","Twitter Web Client")</f>
        <v>Twitter Web Client</v>
      </c>
      <c r="F1618" s="4">
        <v>43557.159189814818</v>
      </c>
      <c r="G1618" s="9" t="s">
        <v>171</v>
      </c>
      <c r="H1618" s="35" t="s">
        <v>12626</v>
      </c>
      <c r="I1618" s="10" t="s">
        <v>12627</v>
      </c>
    </row>
    <row r="1619" spans="1:9" ht="45">
      <c r="A1619" s="19">
        <v>43547.414131944446</v>
      </c>
      <c r="B1619" s="20" t="str">
        <f>HYPERLINK("https://twitter.com/AdlerReloaded","@AdlerReloaded")</f>
        <v>@AdlerReloaded</v>
      </c>
      <c r="C1619" s="21" t="s">
        <v>8558</v>
      </c>
      <c r="D1619" s="22" t="s">
        <v>8559</v>
      </c>
      <c r="E1619" s="23" t="str">
        <f>HYPERLINK("http://twitter.com/download/android","Twitter for Android")</f>
        <v>Twitter for Android</v>
      </c>
      <c r="F1619" s="19">
        <v>42001.109849537039</v>
      </c>
      <c r="G1619" s="24" t="s">
        <v>171</v>
      </c>
      <c r="H1619" s="35" t="s">
        <v>8560</v>
      </c>
      <c r="I1619" s="25" t="s">
        <v>8561</v>
      </c>
    </row>
    <row r="1620" spans="1:9" ht="30">
      <c r="A1620" s="12">
        <v>43580.831990740742</v>
      </c>
      <c r="B1620" s="13" t="str">
        <f>HYPERLINK("https://twitter.com/DeerAndShark","@DeerAndShark")</f>
        <v>@DeerAndShark</v>
      </c>
      <c r="C1620" s="14" t="s">
        <v>44</v>
      </c>
      <c r="D1620" s="15" t="s">
        <v>45</v>
      </c>
      <c r="E1620" s="16" t="str">
        <f>HYPERLINK("http://twitter.com/download/iphone","Twitter for iPhone")</f>
        <v>Twitter for iPhone</v>
      </c>
      <c r="F1620" s="12">
        <v>41703.715752314813</v>
      </c>
      <c r="G1620" s="17" t="s">
        <v>171</v>
      </c>
      <c r="H1620" s="35" t="s">
        <v>46</v>
      </c>
      <c r="I1620" s="18" t="s">
        <v>47</v>
      </c>
    </row>
    <row r="1621" spans="1:9" ht="105">
      <c r="A1621" s="4">
        <v>43565.059571759259</v>
      </c>
      <c r="B1621" s="5" t="str">
        <f>HYPERLINK("https://twitter.com/HarrogateLifeAp","@HarrogateLifeAp")</f>
        <v>@HarrogateLifeAp</v>
      </c>
      <c r="C1621" s="6" t="s">
        <v>6313</v>
      </c>
      <c r="D1621" s="7" t="s">
        <v>6314</v>
      </c>
      <c r="E1621" s="8" t="str">
        <f>HYPERLINK("https://buffer.com","Buffer")</f>
        <v>Buffer</v>
      </c>
      <c r="F1621" s="4">
        <v>42495.349108796298</v>
      </c>
      <c r="G1621" s="17" t="s">
        <v>171</v>
      </c>
      <c r="H1621" s="35" t="s">
        <v>6315</v>
      </c>
      <c r="I1621" s="10" t="s">
        <v>6316</v>
      </c>
    </row>
    <row r="1622" spans="1:9" ht="60">
      <c r="A1622" s="4">
        <v>43558.585138888884</v>
      </c>
      <c r="B1622" s="5" t="str">
        <f>HYPERLINK("https://twitter.com/luxury_barn","@luxury_barn")</f>
        <v>@luxury_barn</v>
      </c>
      <c r="C1622" s="6" t="s">
        <v>12120</v>
      </c>
      <c r="D1622" s="7" t="s">
        <v>12121</v>
      </c>
      <c r="E1622" s="8" t="str">
        <f>HYPERLINK("http://twitter.com/download/iphone","Twitter for iPhone")</f>
        <v>Twitter for iPhone</v>
      </c>
      <c r="F1622" s="4">
        <v>42816.475127314814</v>
      </c>
      <c r="G1622" s="17" t="s">
        <v>171</v>
      </c>
      <c r="H1622" s="35" t="s">
        <v>6315</v>
      </c>
      <c r="I1622" s="10" t="s">
        <v>12122</v>
      </c>
    </row>
    <row r="1623" spans="1:9" ht="90">
      <c r="A1623" s="19">
        <v>43549.111747685187</v>
      </c>
      <c r="B1623" s="20" t="str">
        <f>HYPERLINK("https://twitter.com/irokainteriors","@irokainteriors")</f>
        <v>@irokainteriors</v>
      </c>
      <c r="C1623" s="21" t="s">
        <v>8164</v>
      </c>
      <c r="D1623" s="22" t="s">
        <v>8165</v>
      </c>
      <c r="E1623" s="23" t="str">
        <f>HYPERLINK("http://twitter.com","Twitter Web Client")</f>
        <v>Twitter Web Client</v>
      </c>
      <c r="F1623" s="19">
        <v>40670.364363425928</v>
      </c>
      <c r="G1623" s="24" t="s">
        <v>171</v>
      </c>
      <c r="H1623" s="35" t="s">
        <v>8166</v>
      </c>
      <c r="I1623" s="25" t="s">
        <v>8167</v>
      </c>
    </row>
    <row r="1624" spans="1:9" ht="90">
      <c r="A1624" s="19">
        <v>43546.287361111114</v>
      </c>
      <c r="B1624" s="20" t="str">
        <f>HYPERLINK("https://twitter.com/irokainteriors","@irokainteriors")</f>
        <v>@irokainteriors</v>
      </c>
      <c r="C1624" s="21" t="s">
        <v>8164</v>
      </c>
      <c r="D1624" s="22" t="s">
        <v>8918</v>
      </c>
      <c r="E1624" s="23" t="str">
        <f>HYPERLINK("http://twitter.com","Twitter Web Client")</f>
        <v>Twitter Web Client</v>
      </c>
      <c r="F1624" s="19">
        <v>40670.364363425928</v>
      </c>
      <c r="G1624" s="24" t="s">
        <v>171</v>
      </c>
      <c r="H1624" s="35" t="s">
        <v>8166</v>
      </c>
      <c r="I1624" s="25" t="s">
        <v>8167</v>
      </c>
    </row>
    <row r="1625" spans="1:9" ht="60">
      <c r="A1625" s="12">
        <v>43571.057962962965</v>
      </c>
      <c r="B1625" s="13" t="str">
        <f>HYPERLINK("https://twitter.com/silverpeakib","@silverpeakib")</f>
        <v>@silverpeakib</v>
      </c>
      <c r="C1625" s="14" t="s">
        <v>3872</v>
      </c>
      <c r="D1625" s="15" t="s">
        <v>3873</v>
      </c>
      <c r="E1625" s="16" t="str">
        <f>HYPERLINK("https://about.twitter.com/products/tweetdeck","TweetDeck")</f>
        <v>TweetDeck</v>
      </c>
      <c r="F1625" s="12">
        <v>41841.135046296295</v>
      </c>
      <c r="G1625" s="17" t="s">
        <v>171</v>
      </c>
      <c r="H1625" s="35" t="s">
        <v>3874</v>
      </c>
      <c r="I1625" s="18" t="s">
        <v>3875</v>
      </c>
    </row>
    <row r="1626" spans="1:9" ht="30">
      <c r="A1626" s="19">
        <v>43551.677673611106</v>
      </c>
      <c r="B1626" s="20" t="str">
        <f>HYPERLINK("https://twitter.com/PrattleChick","@PrattleChick")</f>
        <v>@PrattleChick</v>
      </c>
      <c r="C1626" s="21" t="s">
        <v>143</v>
      </c>
      <c r="D1626" s="22" t="s">
        <v>7057</v>
      </c>
      <c r="E1626" s="23" t="str">
        <f>HYPERLINK("https://ifttt.com","IFTTT")</f>
        <v>IFTTT</v>
      </c>
      <c r="F1626" s="19">
        <v>42695.878634259258</v>
      </c>
      <c r="G1626" s="17" t="s">
        <v>171</v>
      </c>
      <c r="H1626" s="35" t="s">
        <v>145</v>
      </c>
      <c r="I1626" s="25" t="s">
        <v>146</v>
      </c>
    </row>
    <row r="1627" spans="1:9" ht="45">
      <c r="A1627" s="12">
        <v>43580.669062500005</v>
      </c>
      <c r="B1627" s="13" t="str">
        <f>HYPERLINK("https://twitter.com/PrattleChick","@PrattleChick")</f>
        <v>@PrattleChick</v>
      </c>
      <c r="C1627" s="14" t="s">
        <v>143</v>
      </c>
      <c r="D1627" s="15" t="s">
        <v>144</v>
      </c>
      <c r="E1627" s="16" t="str">
        <f>HYPERLINK("https://ifttt.com","IFTTT")</f>
        <v>IFTTT</v>
      </c>
      <c r="F1627" s="12">
        <v>42696.378634259258</v>
      </c>
      <c r="G1627" s="17" t="s">
        <v>171</v>
      </c>
      <c r="H1627" s="35" t="s">
        <v>145</v>
      </c>
      <c r="I1627" s="18" t="s">
        <v>146</v>
      </c>
    </row>
    <row r="1628" spans="1:9" ht="30">
      <c r="A1628" s="4">
        <v>43561.051296296297</v>
      </c>
      <c r="B1628" s="5" t="str">
        <f>HYPERLINK("https://twitter.com/Gjallarhornet","@Gjallarhornet")</f>
        <v>@Gjallarhornet</v>
      </c>
      <c r="C1628" s="6" t="s">
        <v>11103</v>
      </c>
      <c r="D1628" s="7" t="s">
        <v>11104</v>
      </c>
      <c r="E1628" s="8" t="str">
        <f>HYPERLINK("http://twitter.com","Twitter Web Client")</f>
        <v>Twitter Web Client</v>
      </c>
      <c r="F1628" s="4">
        <v>40133.486354166671</v>
      </c>
      <c r="G1628" s="17" t="s">
        <v>171</v>
      </c>
      <c r="H1628" s="35" t="s">
        <v>11105</v>
      </c>
      <c r="I1628" s="10" t="s">
        <v>11106</v>
      </c>
    </row>
    <row r="1629" spans="1:9" ht="30">
      <c r="A1629" s="4">
        <v>43560.016331018516</v>
      </c>
      <c r="B1629" s="5" t="str">
        <f>HYPERLINK("https://twitter.com/Gjallarhornet","@Gjallarhornet")</f>
        <v>@Gjallarhornet</v>
      </c>
      <c r="C1629" s="6" t="s">
        <v>11103</v>
      </c>
      <c r="D1629" s="7" t="s">
        <v>11635</v>
      </c>
      <c r="E1629" s="8" t="str">
        <f>HYPERLINK("http://twitter.com","Twitter Web Client")</f>
        <v>Twitter Web Client</v>
      </c>
      <c r="F1629" s="4">
        <v>40133.486354166671</v>
      </c>
      <c r="G1629" s="17" t="s">
        <v>171</v>
      </c>
      <c r="H1629" s="35" t="s">
        <v>11105</v>
      </c>
      <c r="I1629" s="10" t="s">
        <v>11106</v>
      </c>
    </row>
    <row r="1630" spans="1:9" ht="90">
      <c r="A1630" s="4">
        <v>43563.22351851852</v>
      </c>
      <c r="B1630" s="5" t="str">
        <f>HYPERLINK("https://twitter.com/timmaherphotos","@timmaherphotos")</f>
        <v>@timmaherphotos</v>
      </c>
      <c r="C1630" s="6" t="s">
        <v>10426</v>
      </c>
      <c r="D1630" s="7" t="s">
        <v>10427</v>
      </c>
      <c r="E1630" s="8" t="str">
        <f>HYPERLINK("https://ifttt.com","IFTTT")</f>
        <v>IFTTT</v>
      </c>
      <c r="F1630" s="4">
        <v>40563.26626157407</v>
      </c>
      <c r="G1630" s="17" t="s">
        <v>171</v>
      </c>
      <c r="H1630" s="35" t="s">
        <v>10428</v>
      </c>
      <c r="I1630" s="10" t="s">
        <v>10429</v>
      </c>
    </row>
    <row r="1631" spans="1:9" ht="75">
      <c r="A1631" s="12">
        <v>43572.538217592592</v>
      </c>
      <c r="B1631" s="13" t="str">
        <f>HYPERLINK("https://twitter.com/bilff","@bilff")</f>
        <v>@bilff</v>
      </c>
      <c r="C1631" s="14" t="s">
        <v>3174</v>
      </c>
      <c r="D1631" s="15" t="s">
        <v>3175</v>
      </c>
      <c r="E1631" s="16" t="str">
        <f>HYPERLINK("http://twitter.com/download/iphone","Twitter for iPhone")</f>
        <v>Twitter for iPhone</v>
      </c>
      <c r="F1631" s="12">
        <v>39837.08017361111</v>
      </c>
      <c r="G1631" s="17" t="s">
        <v>171</v>
      </c>
      <c r="H1631" s="35" t="s">
        <v>3176</v>
      </c>
      <c r="I1631" s="18" t="s">
        <v>3177</v>
      </c>
    </row>
    <row r="1632" spans="1:9" ht="90">
      <c r="A1632" s="12">
        <v>43571.994120370371</v>
      </c>
      <c r="B1632" s="13" t="str">
        <f>HYPERLINK("https://twitter.com/Juluhome","@Juluhome")</f>
        <v>@Juluhome</v>
      </c>
      <c r="C1632" s="14" t="s">
        <v>3469</v>
      </c>
      <c r="D1632" s="15" t="s">
        <v>3470</v>
      </c>
      <c r="E1632" s="16" t="str">
        <f>HYPERLINK("http://twitter.com","Twitter Web Client")</f>
        <v>Twitter Web Client</v>
      </c>
      <c r="F1632" s="12">
        <v>40611.499143518522</v>
      </c>
      <c r="G1632" s="17" t="s">
        <v>171</v>
      </c>
      <c r="H1632" s="35" t="s">
        <v>3471</v>
      </c>
      <c r="I1632" s="18" t="s">
        <v>3472</v>
      </c>
    </row>
    <row r="1633" spans="1:9" ht="60">
      <c r="A1633" s="12">
        <v>43575.407013888893</v>
      </c>
      <c r="B1633" s="13" t="str">
        <f>HYPERLINK("https://twitter.com/joescaff","@joescaff")</f>
        <v>@joescaff</v>
      </c>
      <c r="C1633" s="14" t="s">
        <v>2227</v>
      </c>
      <c r="D1633" s="15" t="s">
        <v>2228</v>
      </c>
      <c r="E1633" s="16" t="str">
        <f>HYPERLINK("http://twitter.com/#!/download/ipad","Twitter for iPad")</f>
        <v>Twitter for iPad</v>
      </c>
      <c r="F1633" s="12">
        <v>39786.409780092596</v>
      </c>
      <c r="G1633" s="17" t="s">
        <v>171</v>
      </c>
      <c r="H1633" s="35" t="s">
        <v>2229</v>
      </c>
      <c r="I1633" s="18"/>
    </row>
    <row r="1634" spans="1:9" ht="90">
      <c r="A1634" s="4">
        <v>43557.144768518519</v>
      </c>
      <c r="B1634" s="5" t="str">
        <f>HYPERLINK("https://twitter.com/AnnualHotelConf","@AnnualHotelConf")</f>
        <v>@AnnualHotelConf</v>
      </c>
      <c r="C1634" s="6" t="s">
        <v>12637</v>
      </c>
      <c r="D1634" s="7" t="s">
        <v>12638</v>
      </c>
      <c r="E1634" s="8" t="str">
        <f>HYPERLINK("http://www.facebook.com/twitter","Facebook")</f>
        <v>Facebook</v>
      </c>
      <c r="F1634" s="4">
        <v>40337.27920138889</v>
      </c>
      <c r="G1634" s="9" t="s">
        <v>171</v>
      </c>
      <c r="H1634" s="35" t="s">
        <v>12639</v>
      </c>
      <c r="I1634" s="10" t="s">
        <v>12640</v>
      </c>
    </row>
    <row r="1635" spans="1:9" ht="105">
      <c r="A1635" s="4">
        <v>43557.144629629634</v>
      </c>
      <c r="B1635" s="5" t="str">
        <f>HYPERLINK("https://twitter.com/AnnualHotelConf","@AnnualHotelConf")</f>
        <v>@AnnualHotelConf</v>
      </c>
      <c r="C1635" s="6" t="s">
        <v>12637</v>
      </c>
      <c r="D1635" s="7" t="s">
        <v>12641</v>
      </c>
      <c r="E1635" s="8" t="str">
        <f>HYPERLINK("http://twitter.com","Twitter Web Client")</f>
        <v>Twitter Web Client</v>
      </c>
      <c r="F1635" s="4">
        <v>40337.27920138889</v>
      </c>
      <c r="G1635" s="9" t="s">
        <v>171</v>
      </c>
      <c r="H1635" s="35" t="s">
        <v>12639</v>
      </c>
      <c r="I1635" s="10" t="s">
        <v>12640</v>
      </c>
    </row>
    <row r="1636" spans="1:9" ht="75">
      <c r="A1636" s="19">
        <v>43546.659687499996</v>
      </c>
      <c r="B1636" s="20" t="str">
        <f>HYPERLINK("https://twitter.com/jeanettesloan","@jeanettesloan")</f>
        <v>@jeanettesloan</v>
      </c>
      <c r="C1636" s="21" t="s">
        <v>8769</v>
      </c>
      <c r="D1636" s="22" t="s">
        <v>8770</v>
      </c>
      <c r="E1636" s="23" t="str">
        <f>HYPERLINK("http://instagram.com","Instagram")</f>
        <v>Instagram</v>
      </c>
      <c r="F1636" s="19">
        <v>40461.415196759262</v>
      </c>
      <c r="G1636" s="17" t="s">
        <v>171</v>
      </c>
      <c r="H1636" s="35" t="s">
        <v>3419</v>
      </c>
      <c r="I1636" s="25" t="s">
        <v>8771</v>
      </c>
    </row>
    <row r="1637" spans="1:9" ht="75">
      <c r="A1637" s="4">
        <v>43565.179236111115</v>
      </c>
      <c r="B1637" s="5" t="str">
        <f t="shared" ref="B1637:B1643" si="74">HYPERLINK("https://twitter.com/ModishLiving","@ModishLiving")</f>
        <v>@ModishLiving</v>
      </c>
      <c r="C1637" s="6" t="s">
        <v>3417</v>
      </c>
      <c r="D1637" s="7" t="s">
        <v>6255</v>
      </c>
      <c r="E1637" s="8" t="str">
        <f t="shared" ref="E1637:E1643" si="75">HYPERLINK("https://coschedule.com","CoSchedule")</f>
        <v>CoSchedule</v>
      </c>
      <c r="F1637" s="4">
        <v>41365.085717592592</v>
      </c>
      <c r="G1637" s="17" t="s">
        <v>171</v>
      </c>
      <c r="H1637" s="35" t="s">
        <v>3419</v>
      </c>
      <c r="I1637" s="10" t="s">
        <v>3420</v>
      </c>
    </row>
    <row r="1638" spans="1:9" ht="75">
      <c r="A1638" s="4">
        <v>43563.283368055556</v>
      </c>
      <c r="B1638" s="5" t="str">
        <f t="shared" si="74"/>
        <v>@ModishLiving</v>
      </c>
      <c r="C1638" s="6" t="s">
        <v>3417</v>
      </c>
      <c r="D1638" s="7" t="s">
        <v>10410</v>
      </c>
      <c r="E1638" s="8" t="str">
        <f t="shared" si="75"/>
        <v>CoSchedule</v>
      </c>
      <c r="F1638" s="4">
        <v>41365.085717592592</v>
      </c>
      <c r="G1638" s="17" t="s">
        <v>171</v>
      </c>
      <c r="H1638" s="35" t="s">
        <v>3419</v>
      </c>
      <c r="I1638" s="10" t="s">
        <v>3420</v>
      </c>
    </row>
    <row r="1639" spans="1:9" ht="90">
      <c r="A1639" s="4">
        <v>43563.108356481476</v>
      </c>
      <c r="B1639" s="5" t="str">
        <f t="shared" si="74"/>
        <v>@ModishLiving</v>
      </c>
      <c r="C1639" s="6" t="s">
        <v>3417</v>
      </c>
      <c r="D1639" s="7" t="s">
        <v>10458</v>
      </c>
      <c r="E1639" s="8" t="str">
        <f t="shared" si="75"/>
        <v>CoSchedule</v>
      </c>
      <c r="F1639" s="4">
        <v>41365.085717592592</v>
      </c>
      <c r="G1639" s="17" t="s">
        <v>171</v>
      </c>
      <c r="H1639" s="35" t="s">
        <v>3419</v>
      </c>
      <c r="I1639" s="10" t="s">
        <v>3420</v>
      </c>
    </row>
    <row r="1640" spans="1:9" ht="105">
      <c r="A1640" s="4">
        <v>43559.401423611111</v>
      </c>
      <c r="B1640" s="5" t="str">
        <f t="shared" si="74"/>
        <v>@ModishLiving</v>
      </c>
      <c r="C1640" s="6" t="s">
        <v>3417</v>
      </c>
      <c r="D1640" s="7" t="s">
        <v>11851</v>
      </c>
      <c r="E1640" s="8" t="str">
        <f t="shared" si="75"/>
        <v>CoSchedule</v>
      </c>
      <c r="F1640" s="4">
        <v>41365.085717592592</v>
      </c>
      <c r="G1640" s="17" t="s">
        <v>171</v>
      </c>
      <c r="H1640" s="35" t="s">
        <v>3419</v>
      </c>
      <c r="I1640" s="10" t="s">
        <v>3420</v>
      </c>
    </row>
    <row r="1641" spans="1:9" ht="90">
      <c r="A1641" s="4">
        <v>43558.41951388889</v>
      </c>
      <c r="B1641" s="5" t="str">
        <f t="shared" si="74"/>
        <v>@ModishLiving</v>
      </c>
      <c r="C1641" s="6" t="s">
        <v>3417</v>
      </c>
      <c r="D1641" s="7" t="s">
        <v>12202</v>
      </c>
      <c r="E1641" s="8" t="str">
        <f t="shared" si="75"/>
        <v>CoSchedule</v>
      </c>
      <c r="F1641" s="4">
        <v>41365.085717592592</v>
      </c>
      <c r="G1641" s="17" t="s">
        <v>171</v>
      </c>
      <c r="H1641" s="35" t="s">
        <v>3419</v>
      </c>
      <c r="I1641" s="10" t="s">
        <v>3420</v>
      </c>
    </row>
    <row r="1642" spans="1:9" ht="60">
      <c r="A1642" s="12">
        <v>43572.12363425926</v>
      </c>
      <c r="B1642" s="13" t="str">
        <f t="shared" si="74"/>
        <v>@ModishLiving</v>
      </c>
      <c r="C1642" s="14" t="s">
        <v>3417</v>
      </c>
      <c r="D1642" s="15" t="s">
        <v>3418</v>
      </c>
      <c r="E1642" s="16" t="str">
        <f t="shared" si="75"/>
        <v>CoSchedule</v>
      </c>
      <c r="F1642" s="12">
        <v>41365.085717592592</v>
      </c>
      <c r="G1642" s="17" t="s">
        <v>171</v>
      </c>
      <c r="H1642" s="35" t="s">
        <v>3419</v>
      </c>
      <c r="I1642" s="18" t="s">
        <v>3420</v>
      </c>
    </row>
    <row r="1643" spans="1:9" ht="90">
      <c r="A1643" s="12">
        <v>43570.184062500004</v>
      </c>
      <c r="B1643" s="13" t="str">
        <f t="shared" si="74"/>
        <v>@ModishLiving</v>
      </c>
      <c r="C1643" s="14" t="s">
        <v>3417</v>
      </c>
      <c r="D1643" s="15" t="s">
        <v>4304</v>
      </c>
      <c r="E1643" s="16" t="str">
        <f t="shared" si="75"/>
        <v>CoSchedule</v>
      </c>
      <c r="F1643" s="12">
        <v>41365.085717592592</v>
      </c>
      <c r="G1643" s="17" t="s">
        <v>171</v>
      </c>
      <c r="H1643" s="35" t="s">
        <v>3419</v>
      </c>
      <c r="I1643" s="18" t="s">
        <v>3420</v>
      </c>
    </row>
    <row r="1644" spans="1:9" ht="45">
      <c r="A1644" s="19">
        <v>43551.334513888884</v>
      </c>
      <c r="B1644" s="20" t="str">
        <f>HYPERLINK("https://twitter.com/DNewsHungary","@DNewsHungary")</f>
        <v>@DNewsHungary</v>
      </c>
      <c r="C1644" s="21" t="s">
        <v>7307</v>
      </c>
      <c r="D1644" s="22" t="s">
        <v>7308</v>
      </c>
      <c r="E1644" s="23" t="str">
        <f>HYPERLINK("https://dailynewshungary.com","dnh twitter publisher")</f>
        <v>dnh twitter publisher</v>
      </c>
      <c r="F1644" s="19">
        <v>41566.448587962965</v>
      </c>
      <c r="G1644" s="24" t="s">
        <v>171</v>
      </c>
      <c r="H1644" s="35" t="s">
        <v>7309</v>
      </c>
      <c r="I1644" s="25" t="s">
        <v>7310</v>
      </c>
    </row>
    <row r="1645" spans="1:9" ht="75">
      <c r="A1645" s="12">
        <v>43566.275000000001</v>
      </c>
      <c r="B1645" s="13" t="str">
        <f>HYPERLINK("https://twitter.com/BrickleyRise","@BrickleyRise")</f>
        <v>@BrickleyRise</v>
      </c>
      <c r="C1645" s="14" t="s">
        <v>5695</v>
      </c>
      <c r="D1645" s="15" t="s">
        <v>5696</v>
      </c>
      <c r="E1645" s="16" t="str">
        <f>HYPERLINK("http://instagram.com","Instagram")</f>
        <v>Instagram</v>
      </c>
      <c r="F1645" s="12">
        <v>42582.293865740736</v>
      </c>
      <c r="G1645" s="17" t="s">
        <v>171</v>
      </c>
      <c r="H1645" s="35" t="s">
        <v>5697</v>
      </c>
      <c r="I1645" s="18" t="s">
        <v>5698</v>
      </c>
    </row>
    <row r="1646" spans="1:9" ht="30">
      <c r="A1646" s="19">
        <v>43550.110231481478</v>
      </c>
      <c r="B1646" s="20" t="str">
        <f>HYPERLINK("https://twitter.com/AoifeG__","@AoifeG__")</f>
        <v>@AoifeG__</v>
      </c>
      <c r="C1646" s="21" t="s">
        <v>7826</v>
      </c>
      <c r="D1646" s="22" t="s">
        <v>7827</v>
      </c>
      <c r="E1646" s="23" t="str">
        <f>HYPERLINK("http://twitter.com/download/iphone","Twitter for iPhone")</f>
        <v>Twitter for iPhone</v>
      </c>
      <c r="F1646" s="19">
        <v>40569.081296296295</v>
      </c>
      <c r="G1646" s="17" t="s">
        <v>171</v>
      </c>
      <c r="H1646" s="35" t="s">
        <v>3212</v>
      </c>
      <c r="I1646" s="25" t="s">
        <v>7828</v>
      </c>
    </row>
    <row r="1647" spans="1:9" ht="45">
      <c r="A1647" s="19">
        <v>43543.010752314818</v>
      </c>
      <c r="B1647" s="20" t="str">
        <f>HYPERLINK("https://twitter.com/ODulainne","@ODulainne")</f>
        <v>@ODulainne</v>
      </c>
      <c r="C1647" s="21" t="s">
        <v>9962</v>
      </c>
      <c r="D1647" s="22" t="s">
        <v>9963</v>
      </c>
      <c r="E1647" s="23" t="str">
        <f>HYPERLINK("http://twitter.com/download/android","Twitter for Android")</f>
        <v>Twitter for Android</v>
      </c>
      <c r="F1647" s="19">
        <v>40688.440127314811</v>
      </c>
      <c r="G1647" s="17" t="s">
        <v>171</v>
      </c>
      <c r="H1647" s="35" t="s">
        <v>3212</v>
      </c>
      <c r="I1647" s="25" t="s">
        <v>9964</v>
      </c>
    </row>
    <row r="1648" spans="1:9" ht="30">
      <c r="A1648" s="4">
        <v>43563.592986111107</v>
      </c>
      <c r="B1648" s="5" t="str">
        <f>HYPERLINK("https://twitter.com/Taleof2Treaties","@Taleof2Treaties")</f>
        <v>@Taleof2Treaties</v>
      </c>
      <c r="C1648" s="6" t="s">
        <v>6953</v>
      </c>
      <c r="D1648" s="7" t="s">
        <v>6954</v>
      </c>
      <c r="E1648" s="8" t="str">
        <f>HYPERLINK("http://twitter.com/#!/download/ipad","Twitter for iPad")</f>
        <v>Twitter for iPad</v>
      </c>
      <c r="F1648" s="4">
        <v>41038.679270833338</v>
      </c>
      <c r="G1648" s="17" t="s">
        <v>171</v>
      </c>
      <c r="H1648" s="35" t="s">
        <v>3212</v>
      </c>
      <c r="I1648" s="10" t="s">
        <v>6955</v>
      </c>
    </row>
    <row r="1649" spans="1:9" ht="45">
      <c r="A1649" s="4">
        <v>43563.539201388892</v>
      </c>
      <c r="B1649" s="5" t="str">
        <f>HYPERLINK("https://twitter.com/greenshame","@greenshame")</f>
        <v>@greenshame</v>
      </c>
      <c r="C1649" s="6" t="s">
        <v>5269</v>
      </c>
      <c r="D1649" s="32" t="s">
        <v>10243</v>
      </c>
      <c r="E1649" s="8" t="str">
        <f>HYPERLINK("http://twitter.com/download/iphone","Twitter for iPhone")</f>
        <v>Twitter for iPhone</v>
      </c>
      <c r="F1649" s="4">
        <v>41970.323229166665</v>
      </c>
      <c r="G1649" s="17" t="s">
        <v>171</v>
      </c>
      <c r="H1649" s="35" t="s">
        <v>3212</v>
      </c>
      <c r="I1649" s="10" t="s">
        <v>5271</v>
      </c>
    </row>
    <row r="1650" spans="1:9" ht="30">
      <c r="A1650" s="4">
        <v>43561.598668981482</v>
      </c>
      <c r="B1650" s="5" t="str">
        <f>HYPERLINK("https://twitter.com/locationviewing","@locationviewing")</f>
        <v>@locationviewing</v>
      </c>
      <c r="C1650" s="6" t="s">
        <v>10909</v>
      </c>
      <c r="D1650" s="7" t="s">
        <v>10910</v>
      </c>
      <c r="E1650" s="8" t="str">
        <f>HYPERLINK("http://twitter.com/download/android","Twitter for Android")</f>
        <v>Twitter for Android</v>
      </c>
      <c r="F1650" s="4">
        <v>42680.194988425923</v>
      </c>
      <c r="G1650" s="17" t="s">
        <v>171</v>
      </c>
      <c r="H1650" s="35" t="s">
        <v>3212</v>
      </c>
      <c r="I1650" s="10" t="s">
        <v>10911</v>
      </c>
    </row>
    <row r="1651" spans="1:9" ht="60">
      <c r="A1651" s="4">
        <v>43560.614594907413</v>
      </c>
      <c r="B1651" s="5" t="str">
        <f>HYPERLINK("https://twitter.com/NewstalkFM","@NewstalkFM")</f>
        <v>@NewstalkFM</v>
      </c>
      <c r="C1651" s="6" t="s">
        <v>5231</v>
      </c>
      <c r="D1651" s="7" t="s">
        <v>11254</v>
      </c>
      <c r="E1651" s="8" t="str">
        <f>HYPERLINK("https://sproutsocial.com","Sprout Social")</f>
        <v>Sprout Social</v>
      </c>
      <c r="F1651" s="4">
        <v>39875.382418981484</v>
      </c>
      <c r="G1651" s="17" t="s">
        <v>171</v>
      </c>
      <c r="H1651" s="35" t="s">
        <v>3212</v>
      </c>
      <c r="I1651" s="10" t="s">
        <v>5233</v>
      </c>
    </row>
    <row r="1652" spans="1:9" ht="45">
      <c r="A1652" s="4">
        <v>43560.426886574074</v>
      </c>
      <c r="B1652" s="5" t="str">
        <f>HYPERLINK("https://twitter.com/SuzeManic","@SuzeManic")</f>
        <v>@SuzeManic</v>
      </c>
      <c r="C1652" s="6" t="s">
        <v>11386</v>
      </c>
      <c r="D1652" s="7" t="s">
        <v>11387</v>
      </c>
      <c r="E1652" s="8" t="str">
        <f>HYPERLINK("http://twitter.com/download/android","Twitter for Android")</f>
        <v>Twitter for Android</v>
      </c>
      <c r="F1652" s="4">
        <v>42686.56894675926</v>
      </c>
      <c r="G1652" s="17" t="s">
        <v>171</v>
      </c>
      <c r="H1652" s="35" t="s">
        <v>3212</v>
      </c>
      <c r="I1652" s="10" t="s">
        <v>11388</v>
      </c>
    </row>
    <row r="1653" spans="1:9" ht="60">
      <c r="A1653" s="4">
        <v>43560.228761574079</v>
      </c>
      <c r="B1653" s="5" t="str">
        <f>HYPERLINK("https://twitter.com/greenshame","@greenshame")</f>
        <v>@greenshame</v>
      </c>
      <c r="C1653" s="6" t="s">
        <v>5269</v>
      </c>
      <c r="D1653" s="7" t="s">
        <v>11551</v>
      </c>
      <c r="E1653" s="8" t="str">
        <f>HYPERLINK("http://twitter.com/download/iphone","Twitter for iPhone")</f>
        <v>Twitter for iPhone</v>
      </c>
      <c r="F1653" s="4">
        <v>41970.323229166665</v>
      </c>
      <c r="G1653" s="17" t="s">
        <v>171</v>
      </c>
      <c r="H1653" s="35" t="s">
        <v>3212</v>
      </c>
      <c r="I1653" s="10" t="s">
        <v>5271</v>
      </c>
    </row>
    <row r="1654" spans="1:9" ht="75">
      <c r="A1654" s="4">
        <v>43560.224305555559</v>
      </c>
      <c r="B1654" s="5" t="str">
        <f>HYPERLINK("https://twitter.com/kevinsvips","@kevinsvips")</f>
        <v>@kevinsvips</v>
      </c>
      <c r="C1654" s="6" t="s">
        <v>11556</v>
      </c>
      <c r="D1654" s="7" t="s">
        <v>11557</v>
      </c>
      <c r="E1654" s="8" t="str">
        <f>HYPERLINK("http://twitter.com","Twitter Web Client")</f>
        <v>Twitter Web Client</v>
      </c>
      <c r="F1654" s="4">
        <v>40964.356539351851</v>
      </c>
      <c r="G1654" s="17" t="s">
        <v>171</v>
      </c>
      <c r="H1654" s="35" t="s">
        <v>3212</v>
      </c>
      <c r="I1654" s="10" t="s">
        <v>11558</v>
      </c>
    </row>
    <row r="1655" spans="1:9" ht="45">
      <c r="A1655" s="4">
        <v>43560.153831018513</v>
      </c>
      <c r="B1655" s="5" t="str">
        <f>HYPERLINK("https://twitter.com/NewstalkFM","@NewstalkFM")</f>
        <v>@NewstalkFM</v>
      </c>
      <c r="C1655" s="6" t="s">
        <v>5231</v>
      </c>
      <c r="D1655" s="7" t="s">
        <v>11588</v>
      </c>
      <c r="E1655" s="8" t="str">
        <f>HYPERLINK("https://sproutsocial.com","Sprout Social")</f>
        <v>Sprout Social</v>
      </c>
      <c r="F1655" s="4">
        <v>39875.382418981484</v>
      </c>
      <c r="G1655" s="17" t="s">
        <v>171</v>
      </c>
      <c r="H1655" s="35" t="s">
        <v>3212</v>
      </c>
      <c r="I1655" s="10" t="s">
        <v>5233</v>
      </c>
    </row>
    <row r="1656" spans="1:9" ht="45">
      <c r="A1656" s="4">
        <v>43560.058657407411</v>
      </c>
      <c r="B1656" s="5" t="str">
        <f>HYPERLINK("https://twitter.com/greenshame","@greenshame")</f>
        <v>@greenshame</v>
      </c>
      <c r="C1656" s="6" t="s">
        <v>5269</v>
      </c>
      <c r="D1656" s="7" t="s">
        <v>11622</v>
      </c>
      <c r="E1656" s="8" t="str">
        <f>HYPERLINK("http://twitter.com/download/iphone","Twitter for iPhone")</f>
        <v>Twitter for iPhone</v>
      </c>
      <c r="F1656" s="4">
        <v>41970.323229166665</v>
      </c>
      <c r="G1656" s="17" t="s">
        <v>171</v>
      </c>
      <c r="H1656" s="35" t="s">
        <v>3212</v>
      </c>
      <c r="I1656" s="10" t="s">
        <v>5271</v>
      </c>
    </row>
    <row r="1657" spans="1:9" ht="45">
      <c r="A1657" s="4">
        <v>43560.053993055553</v>
      </c>
      <c r="B1657" s="5" t="str">
        <f>HYPERLINK("https://twitter.com/greenshame","@greenshame")</f>
        <v>@greenshame</v>
      </c>
      <c r="C1657" s="6" t="s">
        <v>5269</v>
      </c>
      <c r="D1657" s="7" t="s">
        <v>11628</v>
      </c>
      <c r="E1657" s="8" t="str">
        <f>HYPERLINK("http://twitter.com/download/iphone","Twitter for iPhone")</f>
        <v>Twitter for iPhone</v>
      </c>
      <c r="F1657" s="4">
        <v>41970.323229166665</v>
      </c>
      <c r="G1657" s="17" t="s">
        <v>171</v>
      </c>
      <c r="H1657" s="35" t="s">
        <v>3212</v>
      </c>
      <c r="I1657" s="10" t="s">
        <v>5271</v>
      </c>
    </row>
    <row r="1658" spans="1:9" ht="45">
      <c r="A1658" s="4">
        <v>43559.379675925928</v>
      </c>
      <c r="B1658" s="5" t="str">
        <f>HYPERLINK("https://twitter.com/XpertDPO","@XpertDPO")</f>
        <v>@XpertDPO</v>
      </c>
      <c r="C1658" s="6" t="s">
        <v>11861</v>
      </c>
      <c r="D1658" s="7" t="s">
        <v>11862</v>
      </c>
      <c r="E1658" s="8" t="str">
        <f>HYPERLINK("http://twitter.com/download/iphone","Twitter for iPhone")</f>
        <v>Twitter for iPhone</v>
      </c>
      <c r="F1658" s="4">
        <v>43204.512881944444</v>
      </c>
      <c r="G1658" s="17" t="s">
        <v>171</v>
      </c>
      <c r="H1658" s="35" t="s">
        <v>3212</v>
      </c>
      <c r="I1658" s="10" t="s">
        <v>11863</v>
      </c>
    </row>
    <row r="1659" spans="1:9" ht="60">
      <c r="A1659" s="12">
        <v>43572.502696759257</v>
      </c>
      <c r="B1659" s="13" t="str">
        <f>HYPERLINK("https://twitter.com/neslihanercan","@neslihanercan")</f>
        <v>@neslihanercan</v>
      </c>
      <c r="C1659" s="14" t="s">
        <v>3210</v>
      </c>
      <c r="D1659" s="15" t="s">
        <v>3211</v>
      </c>
      <c r="E1659" s="16" t="str">
        <f>HYPERLINK("http://twitter.com","Twitter Web Client")</f>
        <v>Twitter Web Client</v>
      </c>
      <c r="F1659" s="12">
        <v>40160.308206018519</v>
      </c>
      <c r="G1659" s="17" t="s">
        <v>171</v>
      </c>
      <c r="H1659" s="35" t="s">
        <v>3212</v>
      </c>
      <c r="I1659" s="18" t="s">
        <v>3213</v>
      </c>
    </row>
    <row r="1660" spans="1:9" ht="105">
      <c r="A1660" s="12">
        <v>43572.102083333331</v>
      </c>
      <c r="B1660" s="13" t="str">
        <f>HYPERLINK("https://twitter.com/FractalDoctor","@FractalDoctor")</f>
        <v>@FractalDoctor</v>
      </c>
      <c r="C1660" s="14" t="s">
        <v>3426</v>
      </c>
      <c r="D1660" s="15" t="s">
        <v>3427</v>
      </c>
      <c r="E1660" s="16" t="str">
        <f>HYPERLINK("https://tapbots.com/software/tweetbot/mac","Tweetbot for Mac")</f>
        <v>Tweetbot for Mac</v>
      </c>
      <c r="F1660" s="12">
        <v>42824.138715277775</v>
      </c>
      <c r="G1660" s="17" t="s">
        <v>171</v>
      </c>
      <c r="H1660" s="35" t="s">
        <v>3212</v>
      </c>
      <c r="I1660" s="18" t="s">
        <v>3428</v>
      </c>
    </row>
    <row r="1661" spans="1:9" ht="45">
      <c r="A1661" s="12">
        <v>43567.120266203703</v>
      </c>
      <c r="B1661" s="13" t="str">
        <f>HYPERLINK("https://twitter.com/NewstalkFM","@NewstalkFM")</f>
        <v>@NewstalkFM</v>
      </c>
      <c r="C1661" s="14" t="s">
        <v>5231</v>
      </c>
      <c r="D1661" s="15" t="s">
        <v>5232</v>
      </c>
      <c r="E1661" s="16" t="str">
        <f>HYPERLINK("https://sproutsocial.com","Sprout Social")</f>
        <v>Sprout Social</v>
      </c>
      <c r="F1661" s="12">
        <v>39875.382418981484</v>
      </c>
      <c r="G1661" s="17" t="s">
        <v>171</v>
      </c>
      <c r="H1661" s="35" t="s">
        <v>3212</v>
      </c>
      <c r="I1661" s="18" t="s">
        <v>5233</v>
      </c>
    </row>
    <row r="1662" spans="1:9" ht="45">
      <c r="A1662" s="12">
        <v>43567.022581018522</v>
      </c>
      <c r="B1662" s="13" t="str">
        <f>HYPERLINK("https://twitter.com/greenshame","@greenshame")</f>
        <v>@greenshame</v>
      </c>
      <c r="C1662" s="14" t="s">
        <v>5269</v>
      </c>
      <c r="D1662" s="15" t="s">
        <v>5270</v>
      </c>
      <c r="E1662" s="16" t="str">
        <f>HYPERLINK("http://twitter.com/download/iphone","Twitter for iPhone")</f>
        <v>Twitter for iPhone</v>
      </c>
      <c r="F1662" s="12">
        <v>41970.323229166665</v>
      </c>
      <c r="G1662" s="17" t="s">
        <v>171</v>
      </c>
      <c r="H1662" s="35" t="s">
        <v>3212</v>
      </c>
      <c r="I1662" s="18" t="s">
        <v>5271</v>
      </c>
    </row>
    <row r="1663" spans="1:9" ht="60">
      <c r="A1663" s="12">
        <v>43566.136354166665</v>
      </c>
      <c r="B1663" s="13" t="str">
        <f>HYPERLINK("https://twitter.com/UpliftIRL","@UpliftIRL")</f>
        <v>@UpliftIRL</v>
      </c>
      <c r="C1663" s="14" t="s">
        <v>5769</v>
      </c>
      <c r="D1663" s="15" t="s">
        <v>5656</v>
      </c>
      <c r="E1663" s="16" t="str">
        <f>HYPERLINK("http://twitter.com","Twitter Web Client")</f>
        <v>Twitter Web Client</v>
      </c>
      <c r="F1663" s="12">
        <v>41599.253877314812</v>
      </c>
      <c r="G1663" s="17" t="s">
        <v>171</v>
      </c>
      <c r="H1663" s="35" t="s">
        <v>3212</v>
      </c>
      <c r="I1663" s="18" t="s">
        <v>5770</v>
      </c>
    </row>
    <row r="1664" spans="1:9" ht="60">
      <c r="A1664" s="12">
        <v>43572.327060185184</v>
      </c>
      <c r="B1664" s="13" t="str">
        <f>HYPERLINK("https://twitter.com/Shaneymac","@Shaneymac")</f>
        <v>@Shaneymac</v>
      </c>
      <c r="C1664" s="14" t="s">
        <v>3329</v>
      </c>
      <c r="D1664" s="15" t="s">
        <v>3330</v>
      </c>
      <c r="E1664" s="16" t="str">
        <f>HYPERLINK("http://twitter.com/download/iphone","Twitter for iPhone")</f>
        <v>Twitter for iPhone</v>
      </c>
      <c r="F1664" s="12">
        <v>39149.258020833331</v>
      </c>
      <c r="G1664" s="17" t="s">
        <v>171</v>
      </c>
      <c r="H1664" s="35" t="s">
        <v>3331</v>
      </c>
      <c r="I1664" s="18" t="s">
        <v>3332</v>
      </c>
    </row>
    <row r="1665" spans="1:9" ht="105">
      <c r="A1665" s="4">
        <v>43557.293263888889</v>
      </c>
      <c r="B1665" s="5" t="str">
        <f>HYPERLINK("https://twitter.com/ndshewonderswhy","@ndshewonderswhy")</f>
        <v>@ndshewonderswhy</v>
      </c>
      <c r="C1665" s="6" t="s">
        <v>12577</v>
      </c>
      <c r="D1665" s="7" t="s">
        <v>12966</v>
      </c>
      <c r="E1665" s="8" t="str">
        <f>HYPERLINK("https://mobile.twitter.com","Twitter Web App")</f>
        <v>Twitter Web App</v>
      </c>
      <c r="F1665" s="4">
        <v>39889.755694444444</v>
      </c>
      <c r="G1665" s="17" t="s">
        <v>171</v>
      </c>
      <c r="H1665" s="35" t="s">
        <v>12578</v>
      </c>
      <c r="I1665" s="10" t="s">
        <v>12579</v>
      </c>
    </row>
    <row r="1666" spans="1:9" ht="45">
      <c r="A1666" s="12">
        <v>43577.425150462965</v>
      </c>
      <c r="B1666" s="13" t="str">
        <f>HYPERLINK("https://twitter.com/BurrenSanctuary","@BurrenSanctuary")</f>
        <v>@BurrenSanctuary</v>
      </c>
      <c r="C1666" s="14" t="s">
        <v>1640</v>
      </c>
      <c r="D1666" s="15" t="s">
        <v>12807</v>
      </c>
      <c r="E1666" s="16" t="str">
        <f>HYPERLINK("http://twitter.com/download/iphone","Twitter for iPhone")</f>
        <v>Twitter for iPhone</v>
      </c>
      <c r="F1666" s="12">
        <v>41469.016423611109</v>
      </c>
      <c r="G1666" s="17" t="s">
        <v>171</v>
      </c>
      <c r="H1666" s="35" t="s">
        <v>12808</v>
      </c>
      <c r="I1666" s="18" t="s">
        <v>1641</v>
      </c>
    </row>
    <row r="1667" spans="1:9" ht="90">
      <c r="A1667" s="12">
        <v>43579.49998842593</v>
      </c>
      <c r="B1667" s="13" t="str">
        <f>HYPERLINK("https://twitter.com/ScrapingHub","@ScrapingHub")</f>
        <v>@ScrapingHub</v>
      </c>
      <c r="C1667" s="14" t="s">
        <v>617</v>
      </c>
      <c r="D1667" s="15" t="s">
        <v>618</v>
      </c>
      <c r="E1667" s="16" t="str">
        <f>HYPERLINK("http://www.hubspot.com/","HubSpot")</f>
        <v>HubSpot</v>
      </c>
      <c r="F1667" s="12">
        <v>41017.617893518516</v>
      </c>
      <c r="G1667" s="17" t="s">
        <v>171</v>
      </c>
      <c r="H1667" s="35" t="s">
        <v>619</v>
      </c>
      <c r="I1667" s="18" t="s">
        <v>620</v>
      </c>
    </row>
    <row r="1668" spans="1:9" ht="75">
      <c r="A1668" s="12">
        <v>43574.561041666668</v>
      </c>
      <c r="B1668" s="13" t="str">
        <f>HYPERLINK("https://twitter.com/LuluMcGuiness","@LuluMcGuiness")</f>
        <v>@LuluMcGuiness</v>
      </c>
      <c r="C1668" s="14" t="s">
        <v>2514</v>
      </c>
      <c r="D1668" s="15" t="s">
        <v>2515</v>
      </c>
      <c r="E1668" s="16" t="str">
        <f>HYPERLINK("http://instagram.com","Instagram")</f>
        <v>Instagram</v>
      </c>
      <c r="F1668" s="12">
        <v>40240.230810185181</v>
      </c>
      <c r="G1668" s="17" t="s">
        <v>171</v>
      </c>
      <c r="H1668" s="35" t="s">
        <v>2516</v>
      </c>
      <c r="I1668" s="18" t="s">
        <v>2517</v>
      </c>
    </row>
    <row r="1669" spans="1:9" ht="60">
      <c r="A1669" s="12">
        <v>43575.088344907403</v>
      </c>
      <c r="B1669" s="13" t="str">
        <f>HYPERLINK("https://twitter.com/Mr_3DMario","@Mr_3DMario")</f>
        <v>@Mr_3DMario</v>
      </c>
      <c r="C1669" s="14" t="s">
        <v>2368</v>
      </c>
      <c r="D1669" s="15" t="s">
        <v>2369</v>
      </c>
      <c r="E1669" s="16" t="str">
        <f>HYPERLINK("http://twitter.com/download/iphone","Twitter for iPhone")</f>
        <v>Twitter for iPhone</v>
      </c>
      <c r="F1669" s="12">
        <v>40954.117291666669</v>
      </c>
      <c r="G1669" s="17" t="s">
        <v>171</v>
      </c>
      <c r="H1669" s="35" t="s">
        <v>2370</v>
      </c>
      <c r="I1669" s="18" t="s">
        <v>2371</v>
      </c>
    </row>
    <row r="1670" spans="1:9" ht="45">
      <c r="A1670" s="12">
        <v>43575.105347222227</v>
      </c>
      <c r="B1670" s="13" t="str">
        <f>HYPERLINK("https://twitter.com/THansarayli","@THansarayli")</f>
        <v>@THansarayli</v>
      </c>
      <c r="C1670" s="14" t="s">
        <v>2359</v>
      </c>
      <c r="D1670" s="15" t="s">
        <v>2360</v>
      </c>
      <c r="E1670" s="16" t="str">
        <f>HYPERLINK("http://twitter.com/download/iphone","Twitter for iPhone")</f>
        <v>Twitter for iPhone</v>
      </c>
      <c r="F1670" s="12">
        <v>40769.592407407406</v>
      </c>
      <c r="G1670" s="17" t="s">
        <v>171</v>
      </c>
      <c r="H1670" s="35" t="s">
        <v>2361</v>
      </c>
      <c r="I1670" s="18" t="s">
        <v>2362</v>
      </c>
    </row>
    <row r="1671" spans="1:9" ht="105">
      <c r="A1671" s="19">
        <v>43551.009722222225</v>
      </c>
      <c r="B1671" s="20" t="str">
        <f t="shared" ref="B1671:B1677" si="76">HYPERLINK("https://twitter.com/gshamam","@gshamam")</f>
        <v>@gshamam</v>
      </c>
      <c r="C1671" s="21" t="s">
        <v>1765</v>
      </c>
      <c r="D1671" s="22" t="s">
        <v>7453</v>
      </c>
      <c r="E1671" s="23" t="str">
        <f t="shared" ref="E1671:E1677" si="77">HYPERLINK("https://www.hootsuite.com","Hootsuite Inc.")</f>
        <v>Hootsuite Inc.</v>
      </c>
      <c r="F1671" s="19">
        <v>41626.99759259259</v>
      </c>
      <c r="G1671" s="17" t="s">
        <v>171</v>
      </c>
      <c r="H1671" s="35" t="s">
        <v>1767</v>
      </c>
      <c r="I1671" s="25" t="s">
        <v>1768</v>
      </c>
    </row>
    <row r="1672" spans="1:9" ht="105">
      <c r="A1672" s="4">
        <v>43565.085520833338</v>
      </c>
      <c r="B1672" s="5" t="str">
        <f t="shared" si="76"/>
        <v>@gshamam</v>
      </c>
      <c r="C1672" s="6" t="s">
        <v>1765</v>
      </c>
      <c r="D1672" s="7" t="s">
        <v>6294</v>
      </c>
      <c r="E1672" s="8" t="str">
        <f t="shared" si="77"/>
        <v>Hootsuite Inc.</v>
      </c>
      <c r="F1672" s="4">
        <v>41626.99759259259</v>
      </c>
      <c r="G1672" s="17" t="s">
        <v>171</v>
      </c>
      <c r="H1672" s="35" t="s">
        <v>1767</v>
      </c>
      <c r="I1672" s="10" t="s">
        <v>1768</v>
      </c>
    </row>
    <row r="1673" spans="1:9" ht="105">
      <c r="A1673" s="4">
        <v>43562.967407407406</v>
      </c>
      <c r="B1673" s="5" t="str">
        <f t="shared" si="76"/>
        <v>@gshamam</v>
      </c>
      <c r="C1673" s="6" t="s">
        <v>1765</v>
      </c>
      <c r="D1673" s="7" t="s">
        <v>6294</v>
      </c>
      <c r="E1673" s="8" t="str">
        <f t="shared" si="77"/>
        <v>Hootsuite Inc.</v>
      </c>
      <c r="F1673" s="4">
        <v>41626.99759259259</v>
      </c>
      <c r="G1673" s="17" t="s">
        <v>171</v>
      </c>
      <c r="H1673" s="35" t="s">
        <v>1767</v>
      </c>
      <c r="I1673" s="10" t="s">
        <v>1768</v>
      </c>
    </row>
    <row r="1674" spans="1:9" ht="105">
      <c r="A1674" s="4">
        <v>43558.022048611107</v>
      </c>
      <c r="B1674" s="5" t="str">
        <f t="shared" si="76"/>
        <v>@gshamam</v>
      </c>
      <c r="C1674" s="6" t="s">
        <v>1765</v>
      </c>
      <c r="D1674" s="7" t="s">
        <v>7453</v>
      </c>
      <c r="E1674" s="8" t="str">
        <f t="shared" si="77"/>
        <v>Hootsuite Inc.</v>
      </c>
      <c r="F1674" s="4">
        <v>41626.99759259259</v>
      </c>
      <c r="G1674" s="17" t="s">
        <v>171</v>
      </c>
      <c r="H1674" s="35" t="s">
        <v>1767</v>
      </c>
      <c r="I1674" s="10" t="s">
        <v>1768</v>
      </c>
    </row>
    <row r="1675" spans="1:9" ht="105">
      <c r="A1675" s="12">
        <v>43577.037407407406</v>
      </c>
      <c r="B1675" s="13" t="str">
        <f t="shared" si="76"/>
        <v>@gshamam</v>
      </c>
      <c r="C1675" s="14" t="s">
        <v>1765</v>
      </c>
      <c r="D1675" s="15" t="s">
        <v>1766</v>
      </c>
      <c r="E1675" s="16" t="str">
        <f t="shared" si="77"/>
        <v>Hootsuite Inc.</v>
      </c>
      <c r="F1675" s="12">
        <v>41626.99759259259</v>
      </c>
      <c r="G1675" s="17" t="s">
        <v>171</v>
      </c>
      <c r="H1675" s="35" t="s">
        <v>1767</v>
      </c>
      <c r="I1675" s="18" t="s">
        <v>1768</v>
      </c>
    </row>
    <row r="1676" spans="1:9" ht="105">
      <c r="A1676" s="12">
        <v>43570.103078703702</v>
      </c>
      <c r="B1676" s="13" t="str">
        <f t="shared" si="76"/>
        <v>@gshamam</v>
      </c>
      <c r="C1676" s="14" t="s">
        <v>1765</v>
      </c>
      <c r="D1676" s="15" t="s">
        <v>4332</v>
      </c>
      <c r="E1676" s="16" t="str">
        <f t="shared" si="77"/>
        <v>Hootsuite Inc.</v>
      </c>
      <c r="F1676" s="12">
        <v>41626.99759259259</v>
      </c>
      <c r="G1676" s="17" t="s">
        <v>171</v>
      </c>
      <c r="H1676" s="35" t="s">
        <v>1767</v>
      </c>
      <c r="I1676" s="18" t="s">
        <v>1768</v>
      </c>
    </row>
    <row r="1677" spans="1:9" ht="105">
      <c r="A1677" s="12">
        <v>43566.04524305556</v>
      </c>
      <c r="B1677" s="13" t="str">
        <f t="shared" si="76"/>
        <v>@gshamam</v>
      </c>
      <c r="C1677" s="14" t="s">
        <v>1765</v>
      </c>
      <c r="D1677" s="15" t="s">
        <v>4332</v>
      </c>
      <c r="E1677" s="16" t="str">
        <f t="shared" si="77"/>
        <v>Hootsuite Inc.</v>
      </c>
      <c r="F1677" s="12">
        <v>41626.99759259259</v>
      </c>
      <c r="G1677" s="17" t="s">
        <v>171</v>
      </c>
      <c r="H1677" s="35" t="s">
        <v>1767</v>
      </c>
      <c r="I1677" s="18" t="s">
        <v>1768</v>
      </c>
    </row>
    <row r="1678" spans="1:9" ht="45">
      <c r="A1678" s="12">
        <v>43566.247384259259</v>
      </c>
      <c r="B1678" s="13" t="str">
        <f>HYPERLINK("https://twitter.com/ShameChronicles","@ShameChronicles")</f>
        <v>@ShameChronicles</v>
      </c>
      <c r="C1678" s="14" t="s">
        <v>5709</v>
      </c>
      <c r="D1678" s="15" t="s">
        <v>5710</v>
      </c>
      <c r="E1678" s="16" t="str">
        <f>HYPERLINK("http://twitter.com","Twitter Web Client")</f>
        <v>Twitter Web Client</v>
      </c>
      <c r="F1678" s="12">
        <v>42458.990983796291</v>
      </c>
      <c r="G1678" s="17" t="s">
        <v>171</v>
      </c>
      <c r="H1678" s="35" t="s">
        <v>5711</v>
      </c>
      <c r="I1678" s="18" t="s">
        <v>5712</v>
      </c>
    </row>
    <row r="1679" spans="1:9" ht="75">
      <c r="A1679" s="19">
        <v>43548.118564814809</v>
      </c>
      <c r="B1679" s="20" t="str">
        <f>HYPERLINK("https://twitter.com/MentalistaDarus","@MentalistaDarus")</f>
        <v>@MentalistaDarus</v>
      </c>
      <c r="C1679" s="21" t="s">
        <v>8406</v>
      </c>
      <c r="D1679" s="22" t="s">
        <v>8407</v>
      </c>
      <c r="E1679" s="23" t="str">
        <f>HYPERLINK("http://www.facebook.com/twitter","Facebook")</f>
        <v>Facebook</v>
      </c>
      <c r="F1679" s="19">
        <v>39926.251967592594</v>
      </c>
      <c r="G1679" s="17" t="s">
        <v>171</v>
      </c>
      <c r="H1679" s="35" t="s">
        <v>8408</v>
      </c>
      <c r="I1679" s="25" t="s">
        <v>8409</v>
      </c>
    </row>
    <row r="1680" spans="1:9" ht="75">
      <c r="A1680" s="19">
        <v>43548.118020833332</v>
      </c>
      <c r="B1680" s="20" t="str">
        <f>HYPERLINK("https://twitter.com/MentalistaDarus","@MentalistaDarus")</f>
        <v>@MentalistaDarus</v>
      </c>
      <c r="C1680" s="21" t="s">
        <v>8406</v>
      </c>
      <c r="D1680" s="22" t="s">
        <v>8410</v>
      </c>
      <c r="E1680" s="23" t="str">
        <f>HYPERLINK("http://instagram.com","Instagram")</f>
        <v>Instagram</v>
      </c>
      <c r="F1680" s="19">
        <v>39926.251967592594</v>
      </c>
      <c r="G1680" s="17" t="s">
        <v>171</v>
      </c>
      <c r="H1680" s="35" t="s">
        <v>8408</v>
      </c>
      <c r="I1680" s="25" t="s">
        <v>8409</v>
      </c>
    </row>
    <row r="1681" spans="1:9" ht="105">
      <c r="A1681" s="19">
        <v>43545.538530092592</v>
      </c>
      <c r="B1681" s="20" t="str">
        <f>HYPERLINK("https://twitter.com/tutorialguida","@tutorialguida")</f>
        <v>@tutorialguida</v>
      </c>
      <c r="C1681" s="21" t="s">
        <v>9101</v>
      </c>
      <c r="D1681" s="22" t="s">
        <v>9102</v>
      </c>
      <c r="E1681" s="23" t="str">
        <f>HYPERLINK("http://twitter.com","Twitter Web Client")</f>
        <v>Twitter Web Client</v>
      </c>
      <c r="F1681" s="19">
        <v>42900.100543981476</v>
      </c>
      <c r="G1681" s="17" t="s">
        <v>171</v>
      </c>
      <c r="H1681" s="35" t="s">
        <v>3299</v>
      </c>
      <c r="I1681" s="29" t="s">
        <v>9103</v>
      </c>
    </row>
    <row r="1682" spans="1:9" ht="105">
      <c r="A1682" s="19">
        <v>43545.537291666667</v>
      </c>
      <c r="B1682" s="20" t="str">
        <f>HYPERLINK("https://twitter.com/tutorialguida","@tutorialguida")</f>
        <v>@tutorialguida</v>
      </c>
      <c r="C1682" s="21" t="s">
        <v>9101</v>
      </c>
      <c r="D1682" s="22" t="s">
        <v>9104</v>
      </c>
      <c r="E1682" s="23" t="str">
        <f>HYPERLINK("http://twitter.com","Twitter Web Client")</f>
        <v>Twitter Web Client</v>
      </c>
      <c r="F1682" s="19">
        <v>42900.100543981476</v>
      </c>
      <c r="G1682" s="17" t="s">
        <v>171</v>
      </c>
      <c r="H1682" s="35" t="s">
        <v>3299</v>
      </c>
      <c r="I1682" s="29" t="s">
        <v>9103</v>
      </c>
    </row>
    <row r="1683" spans="1:9" ht="105">
      <c r="A1683" s="19">
        <v>43545.534629629634</v>
      </c>
      <c r="B1683" s="20" t="str">
        <f>HYPERLINK("https://twitter.com/tutorialguida","@tutorialguida")</f>
        <v>@tutorialguida</v>
      </c>
      <c r="C1683" s="21" t="s">
        <v>9101</v>
      </c>
      <c r="D1683" s="22" t="s">
        <v>9105</v>
      </c>
      <c r="E1683" s="23" t="str">
        <f>HYPERLINK("http://twitter.com","Twitter Web Client")</f>
        <v>Twitter Web Client</v>
      </c>
      <c r="F1683" s="19">
        <v>42900.100543981476</v>
      </c>
      <c r="G1683" s="17" t="s">
        <v>171</v>
      </c>
      <c r="H1683" s="35" t="s">
        <v>3299</v>
      </c>
      <c r="I1683" s="29" t="s">
        <v>9103</v>
      </c>
    </row>
    <row r="1684" spans="1:9" ht="45">
      <c r="A1684" s="12">
        <v>43572.360451388886</v>
      </c>
      <c r="B1684" s="13" t="str">
        <f>HYPERLINK("https://twitter.com/VerdmontAcquiT","@VerdmontAcquiT")</f>
        <v>@VerdmontAcquiT</v>
      </c>
      <c r="C1684" s="14" t="s">
        <v>3297</v>
      </c>
      <c r="D1684" s="15" t="s">
        <v>3298</v>
      </c>
      <c r="E1684" s="16" t="str">
        <f>HYPERLINK("http://instagram.com","Instagram")</f>
        <v>Instagram</v>
      </c>
      <c r="F1684" s="12">
        <v>42905.338703703703</v>
      </c>
      <c r="G1684" s="17" t="s">
        <v>171</v>
      </c>
      <c r="H1684" s="35" t="s">
        <v>3299</v>
      </c>
      <c r="I1684" s="18" t="s">
        <v>3300</v>
      </c>
    </row>
    <row r="1685" spans="1:9" ht="60">
      <c r="A1685" s="12">
        <v>43571.947476851856</v>
      </c>
      <c r="B1685" s="13" t="str">
        <f>HYPERLINK("https://twitter.com/MuseCOM","@MuseCOM")</f>
        <v>@MuseCOM</v>
      </c>
      <c r="C1685" s="14" t="s">
        <v>3487</v>
      </c>
      <c r="D1685" s="15" t="s">
        <v>3488</v>
      </c>
      <c r="E1685" s="16" t="str">
        <f>HYPERLINK("http://twitter.com","Twitter Web Client")</f>
        <v>Twitter Web Client</v>
      </c>
      <c r="F1685" s="12">
        <v>39757.376168981486</v>
      </c>
      <c r="G1685" s="17" t="s">
        <v>171</v>
      </c>
      <c r="H1685" s="35" t="s">
        <v>3299</v>
      </c>
      <c r="I1685" s="18" t="s">
        <v>3489</v>
      </c>
    </row>
    <row r="1686" spans="1:9" ht="90">
      <c r="A1686" s="12">
        <v>43575.446736111116</v>
      </c>
      <c r="B1686" s="13" t="str">
        <f>HYPERLINK("https://twitter.com/StardustHijinks","@StardustHijinks")</f>
        <v>@StardustHijinks</v>
      </c>
      <c r="C1686" s="14" t="s">
        <v>2217</v>
      </c>
      <c r="D1686" s="15" t="s">
        <v>2218</v>
      </c>
      <c r="E1686" s="16" t="str">
        <f>HYPERLINK("http://twitter.com","Twitter Web Client")</f>
        <v>Twitter Web Client</v>
      </c>
      <c r="F1686" s="12">
        <v>39740.672083333331</v>
      </c>
      <c r="G1686" s="17" t="s">
        <v>171</v>
      </c>
      <c r="H1686" s="35" t="s">
        <v>2219</v>
      </c>
      <c r="I1686" s="18" t="s">
        <v>2220</v>
      </c>
    </row>
    <row r="1687" spans="1:9" ht="45">
      <c r="A1687" s="19">
        <v>43551.695775462962</v>
      </c>
      <c r="B1687" s="20" t="str">
        <f>HYPERLINK("https://twitter.com/PeterNTroy","@PeterNTroy")</f>
        <v>@PeterNTroy</v>
      </c>
      <c r="C1687" s="21" t="s">
        <v>7042</v>
      </c>
      <c r="D1687" s="22" t="s">
        <v>7043</v>
      </c>
      <c r="E1687" s="23" t="str">
        <f>HYPERLINK("http://twitter.com/download/iphone","Twitter for iPhone")</f>
        <v>Twitter for iPhone</v>
      </c>
      <c r="F1687" s="19">
        <v>41246.650254629625</v>
      </c>
      <c r="G1687" s="24" t="s">
        <v>171</v>
      </c>
      <c r="H1687" s="35" t="s">
        <v>7044</v>
      </c>
      <c r="I1687" s="25" t="s">
        <v>7045</v>
      </c>
    </row>
    <row r="1688" spans="1:9" ht="120">
      <c r="A1688" s="19">
        <v>43551.12232638889</v>
      </c>
      <c r="B1688" s="20" t="str">
        <f t="shared" ref="B1688:B1728" si="78">HYPERLINK("https://twitter.com/1maison_vie","@1maison_vie")</f>
        <v>@1maison_vie</v>
      </c>
      <c r="C1688" s="21" t="s">
        <v>324</v>
      </c>
      <c r="D1688" s="22" t="s">
        <v>7435</v>
      </c>
      <c r="E1688" s="23" t="str">
        <f t="shared" ref="E1688:E1694" si="79">HYPERLINK("http://twitter.com","Twitter Web Client")</f>
        <v>Twitter Web Client</v>
      </c>
      <c r="F1688" s="19">
        <v>43035.203402777777</v>
      </c>
      <c r="G1688" s="9" t="s">
        <v>171</v>
      </c>
      <c r="H1688" s="35" t="s">
        <v>326</v>
      </c>
      <c r="I1688" s="25" t="s">
        <v>327</v>
      </c>
    </row>
    <row r="1689" spans="1:9" ht="120">
      <c r="A1689" s="19">
        <v>43550.979594907403</v>
      </c>
      <c r="B1689" s="20" t="str">
        <f t="shared" si="78"/>
        <v>@1maison_vie</v>
      </c>
      <c r="C1689" s="21" t="s">
        <v>324</v>
      </c>
      <c r="D1689" s="22" t="s">
        <v>7468</v>
      </c>
      <c r="E1689" s="23" t="str">
        <f t="shared" si="79"/>
        <v>Twitter Web Client</v>
      </c>
      <c r="F1689" s="19">
        <v>43035.203402777777</v>
      </c>
      <c r="G1689" s="9" t="s">
        <v>171</v>
      </c>
      <c r="H1689" s="35" t="s">
        <v>326</v>
      </c>
      <c r="I1689" s="25" t="s">
        <v>327</v>
      </c>
    </row>
    <row r="1690" spans="1:9" ht="120">
      <c r="A1690" s="19">
        <v>43550.153368055559</v>
      </c>
      <c r="B1690" s="20" t="str">
        <f t="shared" si="78"/>
        <v>@1maison_vie</v>
      </c>
      <c r="C1690" s="21" t="s">
        <v>324</v>
      </c>
      <c r="D1690" s="22" t="s">
        <v>7814</v>
      </c>
      <c r="E1690" s="23" t="str">
        <f t="shared" si="79"/>
        <v>Twitter Web Client</v>
      </c>
      <c r="F1690" s="19">
        <v>43035.203402777777</v>
      </c>
      <c r="G1690" s="9" t="s">
        <v>171</v>
      </c>
      <c r="H1690" s="35" t="s">
        <v>326</v>
      </c>
      <c r="I1690" s="25" t="s">
        <v>327</v>
      </c>
    </row>
    <row r="1691" spans="1:9" ht="135">
      <c r="A1691" s="19">
        <v>43549.974525462967</v>
      </c>
      <c r="B1691" s="20" t="str">
        <f t="shared" si="78"/>
        <v>@1maison_vie</v>
      </c>
      <c r="C1691" s="21" t="s">
        <v>324</v>
      </c>
      <c r="D1691" s="22" t="s">
        <v>7865</v>
      </c>
      <c r="E1691" s="23" t="str">
        <f t="shared" si="79"/>
        <v>Twitter Web Client</v>
      </c>
      <c r="F1691" s="19">
        <v>43035.203402777777</v>
      </c>
      <c r="G1691" s="9" t="s">
        <v>171</v>
      </c>
      <c r="H1691" s="35" t="s">
        <v>326</v>
      </c>
      <c r="I1691" s="25" t="s">
        <v>327</v>
      </c>
    </row>
    <row r="1692" spans="1:9" ht="120">
      <c r="A1692" s="19">
        <v>43549.10319444444</v>
      </c>
      <c r="B1692" s="20" t="str">
        <f t="shared" si="78"/>
        <v>@1maison_vie</v>
      </c>
      <c r="C1692" s="21" t="s">
        <v>324</v>
      </c>
      <c r="D1692" s="22" t="s">
        <v>8171</v>
      </c>
      <c r="E1692" s="23" t="str">
        <f t="shared" si="79"/>
        <v>Twitter Web Client</v>
      </c>
      <c r="F1692" s="19">
        <v>43035.203402777777</v>
      </c>
      <c r="G1692" s="9" t="s">
        <v>171</v>
      </c>
      <c r="H1692" s="35" t="s">
        <v>326</v>
      </c>
      <c r="I1692" s="25" t="s">
        <v>327</v>
      </c>
    </row>
    <row r="1693" spans="1:9" ht="120">
      <c r="A1693" s="19">
        <v>43548.981365740736</v>
      </c>
      <c r="B1693" s="20" t="str">
        <f t="shared" si="78"/>
        <v>@1maison_vie</v>
      </c>
      <c r="C1693" s="21" t="s">
        <v>324</v>
      </c>
      <c r="D1693" s="22" t="s">
        <v>8190</v>
      </c>
      <c r="E1693" s="23" t="str">
        <f t="shared" si="79"/>
        <v>Twitter Web Client</v>
      </c>
      <c r="F1693" s="19">
        <v>43035.203402777777</v>
      </c>
      <c r="G1693" s="9" t="s">
        <v>171</v>
      </c>
      <c r="H1693" s="35" t="s">
        <v>326</v>
      </c>
      <c r="I1693" s="25" t="s">
        <v>327</v>
      </c>
    </row>
    <row r="1694" spans="1:9" ht="120">
      <c r="A1694" s="19">
        <v>43548.964872685188</v>
      </c>
      <c r="B1694" s="20" t="str">
        <f t="shared" si="78"/>
        <v>@1maison_vie</v>
      </c>
      <c r="C1694" s="21" t="s">
        <v>324</v>
      </c>
      <c r="D1694" s="22" t="s">
        <v>8194</v>
      </c>
      <c r="E1694" s="23" t="str">
        <f t="shared" si="79"/>
        <v>Twitter Web Client</v>
      </c>
      <c r="F1694" s="19">
        <v>43035.203402777777</v>
      </c>
      <c r="G1694" s="9" t="s">
        <v>171</v>
      </c>
      <c r="H1694" s="35" t="s">
        <v>326</v>
      </c>
      <c r="I1694" s="25" t="s">
        <v>327</v>
      </c>
    </row>
    <row r="1695" spans="1:9" ht="120">
      <c r="A1695" s="19">
        <v>43545.515821759254</v>
      </c>
      <c r="B1695" s="20" t="str">
        <f t="shared" si="78"/>
        <v>@1maison_vie</v>
      </c>
      <c r="C1695" s="21" t="s">
        <v>324</v>
      </c>
      <c r="D1695" s="22" t="s">
        <v>9117</v>
      </c>
      <c r="E1695" s="23" t="str">
        <f>HYPERLINK("http://twitter.com/download/android","Twitter for Android")</f>
        <v>Twitter for Android</v>
      </c>
      <c r="F1695" s="19">
        <v>43035.203402777777</v>
      </c>
      <c r="G1695" s="9" t="s">
        <v>171</v>
      </c>
      <c r="H1695" s="35" t="s">
        <v>326</v>
      </c>
      <c r="I1695" s="25" t="s">
        <v>327</v>
      </c>
    </row>
    <row r="1696" spans="1:9" ht="120">
      <c r="A1696" s="19">
        <v>43545.248599537037</v>
      </c>
      <c r="B1696" s="20" t="str">
        <f t="shared" si="78"/>
        <v>@1maison_vie</v>
      </c>
      <c r="C1696" s="21" t="s">
        <v>324</v>
      </c>
      <c r="D1696" s="22" t="s">
        <v>9240</v>
      </c>
      <c r="E1696" s="23" t="str">
        <f>HYPERLINK("http://twitter.com/download/android","Twitter for Android")</f>
        <v>Twitter for Android</v>
      </c>
      <c r="F1696" s="19">
        <v>43035.203402777777</v>
      </c>
      <c r="G1696" s="9" t="s">
        <v>171</v>
      </c>
      <c r="H1696" s="35" t="s">
        <v>326</v>
      </c>
      <c r="I1696" s="25" t="s">
        <v>327</v>
      </c>
    </row>
    <row r="1697" spans="1:9" ht="120">
      <c r="A1697" s="19">
        <v>43543.07298611111</v>
      </c>
      <c r="B1697" s="20" t="str">
        <f t="shared" si="78"/>
        <v>@1maison_vie</v>
      </c>
      <c r="C1697" s="21" t="s">
        <v>324</v>
      </c>
      <c r="D1697" s="22" t="s">
        <v>9942</v>
      </c>
      <c r="E1697" s="23" t="str">
        <f t="shared" ref="E1697:E1703" si="80">HYPERLINK("http://twitter.com","Twitter Web Client")</f>
        <v>Twitter Web Client</v>
      </c>
      <c r="F1697" s="19">
        <v>43035.203402777777</v>
      </c>
      <c r="G1697" s="9" t="s">
        <v>171</v>
      </c>
      <c r="H1697" s="35" t="s">
        <v>326</v>
      </c>
      <c r="I1697" s="25" t="s">
        <v>327</v>
      </c>
    </row>
    <row r="1698" spans="1:9" ht="120">
      <c r="A1698" s="19">
        <v>43543.034375000003</v>
      </c>
      <c r="B1698" s="20" t="str">
        <f t="shared" si="78"/>
        <v>@1maison_vie</v>
      </c>
      <c r="C1698" s="21" t="s">
        <v>324</v>
      </c>
      <c r="D1698" s="22" t="s">
        <v>9960</v>
      </c>
      <c r="E1698" s="23" t="str">
        <f t="shared" si="80"/>
        <v>Twitter Web Client</v>
      </c>
      <c r="F1698" s="19">
        <v>43035.203402777777</v>
      </c>
      <c r="G1698" s="9" t="s">
        <v>171</v>
      </c>
      <c r="H1698" s="35" t="s">
        <v>326</v>
      </c>
      <c r="I1698" s="25" t="s">
        <v>327</v>
      </c>
    </row>
    <row r="1699" spans="1:9" ht="120">
      <c r="A1699" s="4">
        <v>43564.989780092597</v>
      </c>
      <c r="B1699" s="5" t="str">
        <f t="shared" si="78"/>
        <v>@1maison_vie</v>
      </c>
      <c r="C1699" s="6" t="s">
        <v>324</v>
      </c>
      <c r="D1699" s="7" t="s">
        <v>6352</v>
      </c>
      <c r="E1699" s="8" t="str">
        <f t="shared" si="80"/>
        <v>Twitter Web Client</v>
      </c>
      <c r="F1699" s="4">
        <v>43035.203402777777</v>
      </c>
      <c r="G1699" s="9" t="s">
        <v>171</v>
      </c>
      <c r="H1699" s="35" t="s">
        <v>326</v>
      </c>
      <c r="I1699" s="10" t="s">
        <v>327</v>
      </c>
    </row>
    <row r="1700" spans="1:9" ht="120">
      <c r="A1700" s="4">
        <v>43564.946747685186</v>
      </c>
      <c r="B1700" s="5" t="str">
        <f t="shared" si="78"/>
        <v>@1maison_vie</v>
      </c>
      <c r="C1700" s="6" t="s">
        <v>324</v>
      </c>
      <c r="D1700" s="7" t="s">
        <v>6377</v>
      </c>
      <c r="E1700" s="8" t="str">
        <f t="shared" si="80"/>
        <v>Twitter Web Client</v>
      </c>
      <c r="F1700" s="4">
        <v>43035.203402777777</v>
      </c>
      <c r="G1700" s="9" t="s">
        <v>171</v>
      </c>
      <c r="H1700" s="35" t="s">
        <v>326</v>
      </c>
      <c r="I1700" s="10" t="s">
        <v>327</v>
      </c>
    </row>
    <row r="1701" spans="1:9" ht="120">
      <c r="A1701" s="4">
        <v>43564.13145833333</v>
      </c>
      <c r="B1701" s="5" t="str">
        <f t="shared" si="78"/>
        <v>@1maison_vie</v>
      </c>
      <c r="C1701" s="6" t="s">
        <v>324</v>
      </c>
      <c r="D1701" s="7" t="s">
        <v>6770</v>
      </c>
      <c r="E1701" s="8" t="str">
        <f t="shared" si="80"/>
        <v>Twitter Web Client</v>
      </c>
      <c r="F1701" s="4">
        <v>43035.203402777777</v>
      </c>
      <c r="G1701" s="9" t="s">
        <v>171</v>
      </c>
      <c r="H1701" s="35" t="s">
        <v>326</v>
      </c>
      <c r="I1701" s="10" t="s">
        <v>327</v>
      </c>
    </row>
    <row r="1702" spans="1:9" ht="120">
      <c r="A1702" s="4">
        <v>43564.052754629629</v>
      </c>
      <c r="B1702" s="5" t="str">
        <f t="shared" si="78"/>
        <v>@1maison_vie</v>
      </c>
      <c r="C1702" s="6" t="s">
        <v>324</v>
      </c>
      <c r="D1702" s="7" t="s">
        <v>6799</v>
      </c>
      <c r="E1702" s="8" t="str">
        <f t="shared" si="80"/>
        <v>Twitter Web Client</v>
      </c>
      <c r="F1702" s="4">
        <v>43035.203402777777</v>
      </c>
      <c r="G1702" s="9" t="s">
        <v>171</v>
      </c>
      <c r="H1702" s="35" t="s">
        <v>326</v>
      </c>
      <c r="I1702" s="10" t="s">
        <v>327</v>
      </c>
    </row>
    <row r="1703" spans="1:9" ht="120">
      <c r="A1703" s="4">
        <v>43563.992395833338</v>
      </c>
      <c r="B1703" s="5" t="str">
        <f t="shared" si="78"/>
        <v>@1maison_vie</v>
      </c>
      <c r="C1703" s="6" t="s">
        <v>324</v>
      </c>
      <c r="D1703" s="7" t="s">
        <v>5827</v>
      </c>
      <c r="E1703" s="8" t="str">
        <f t="shared" si="80"/>
        <v>Twitter Web Client</v>
      </c>
      <c r="F1703" s="4">
        <v>43035.203402777777</v>
      </c>
      <c r="G1703" s="9" t="s">
        <v>171</v>
      </c>
      <c r="H1703" s="35" t="s">
        <v>326</v>
      </c>
      <c r="I1703" s="10" t="s">
        <v>327</v>
      </c>
    </row>
    <row r="1704" spans="1:9" ht="120">
      <c r="A1704" s="4">
        <v>43562.383518518516</v>
      </c>
      <c r="B1704" s="5" t="str">
        <f t="shared" si="78"/>
        <v>@1maison_vie</v>
      </c>
      <c r="C1704" s="6" t="s">
        <v>324</v>
      </c>
      <c r="D1704" s="7" t="s">
        <v>10694</v>
      </c>
      <c r="E1704" s="8" t="str">
        <f>HYPERLINK("http://twitter.com/download/android","Twitter for Android")</f>
        <v>Twitter for Android</v>
      </c>
      <c r="F1704" s="4">
        <v>43035.203402777777</v>
      </c>
      <c r="G1704" s="9" t="s">
        <v>171</v>
      </c>
      <c r="H1704" s="35" t="s">
        <v>326</v>
      </c>
      <c r="I1704" s="10" t="s">
        <v>327</v>
      </c>
    </row>
    <row r="1705" spans="1:9" ht="105">
      <c r="A1705" s="4">
        <v>43561.048194444447</v>
      </c>
      <c r="B1705" s="5" t="str">
        <f t="shared" si="78"/>
        <v>@1maison_vie</v>
      </c>
      <c r="C1705" s="6" t="s">
        <v>324</v>
      </c>
      <c r="D1705" s="7" t="s">
        <v>11107</v>
      </c>
      <c r="E1705" s="8" t="str">
        <f t="shared" ref="E1705:E1730" si="81">HYPERLINK("http://twitter.com","Twitter Web Client")</f>
        <v>Twitter Web Client</v>
      </c>
      <c r="F1705" s="4">
        <v>43035.203402777777</v>
      </c>
      <c r="G1705" s="9" t="s">
        <v>171</v>
      </c>
      <c r="H1705" s="35" t="s">
        <v>326</v>
      </c>
      <c r="I1705" s="10" t="s">
        <v>327</v>
      </c>
    </row>
    <row r="1706" spans="1:9" ht="120">
      <c r="A1706" s="4">
        <v>43560.990995370375</v>
      </c>
      <c r="B1706" s="5" t="str">
        <f t="shared" si="78"/>
        <v>@1maison_vie</v>
      </c>
      <c r="C1706" s="6" t="s">
        <v>324</v>
      </c>
      <c r="D1706" s="7" t="s">
        <v>11111</v>
      </c>
      <c r="E1706" s="8" t="str">
        <f t="shared" si="81"/>
        <v>Twitter Web Client</v>
      </c>
      <c r="F1706" s="4">
        <v>43035.203402777777</v>
      </c>
      <c r="G1706" s="9" t="s">
        <v>171</v>
      </c>
      <c r="H1706" s="35" t="s">
        <v>326</v>
      </c>
      <c r="I1706" s="10" t="s">
        <v>327</v>
      </c>
    </row>
    <row r="1707" spans="1:9" ht="120">
      <c r="A1707" s="12">
        <v>43580.027939814812</v>
      </c>
      <c r="B1707" s="13" t="str">
        <f t="shared" si="78"/>
        <v>@1maison_vie</v>
      </c>
      <c r="C1707" s="14" t="s">
        <v>324</v>
      </c>
      <c r="D1707" s="15" t="s">
        <v>325</v>
      </c>
      <c r="E1707" s="16" t="str">
        <f t="shared" si="81"/>
        <v>Twitter Web Client</v>
      </c>
      <c r="F1707" s="12">
        <v>43035.203402777777</v>
      </c>
      <c r="G1707" s="9" t="s">
        <v>171</v>
      </c>
      <c r="H1707" s="35" t="s">
        <v>326</v>
      </c>
      <c r="I1707" s="18" t="s">
        <v>327</v>
      </c>
    </row>
    <row r="1708" spans="1:9" ht="120">
      <c r="A1708" s="12">
        <v>43578.985821759255</v>
      </c>
      <c r="B1708" s="13" t="str">
        <f t="shared" si="78"/>
        <v>@1maison_vie</v>
      </c>
      <c r="C1708" s="14" t="s">
        <v>324</v>
      </c>
      <c r="D1708" s="15" t="s">
        <v>984</v>
      </c>
      <c r="E1708" s="16" t="str">
        <f t="shared" si="81"/>
        <v>Twitter Web Client</v>
      </c>
      <c r="F1708" s="12">
        <v>43035.203402777777</v>
      </c>
      <c r="G1708" s="9" t="s">
        <v>171</v>
      </c>
      <c r="H1708" s="35" t="s">
        <v>326</v>
      </c>
      <c r="I1708" s="18" t="s">
        <v>327</v>
      </c>
    </row>
    <row r="1709" spans="1:9" ht="120">
      <c r="A1709" s="12">
        <v>43578.267951388887</v>
      </c>
      <c r="B1709" s="13" t="str">
        <f t="shared" si="78"/>
        <v>@1maison_vie</v>
      </c>
      <c r="C1709" s="14" t="s">
        <v>324</v>
      </c>
      <c r="D1709" s="15" t="s">
        <v>1334</v>
      </c>
      <c r="E1709" s="16" t="str">
        <f t="shared" si="81"/>
        <v>Twitter Web Client</v>
      </c>
      <c r="F1709" s="12">
        <v>43035.203402777777</v>
      </c>
      <c r="G1709" s="9" t="s">
        <v>171</v>
      </c>
      <c r="H1709" s="35" t="s">
        <v>326</v>
      </c>
      <c r="I1709" s="18" t="s">
        <v>327</v>
      </c>
    </row>
    <row r="1710" spans="1:9" ht="120">
      <c r="A1710" s="12">
        <v>43578.125879629632</v>
      </c>
      <c r="B1710" s="13" t="str">
        <f t="shared" si="78"/>
        <v>@1maison_vie</v>
      </c>
      <c r="C1710" s="14" t="s">
        <v>324</v>
      </c>
      <c r="D1710" s="15" t="s">
        <v>1389</v>
      </c>
      <c r="E1710" s="16" t="str">
        <f t="shared" si="81"/>
        <v>Twitter Web Client</v>
      </c>
      <c r="F1710" s="12">
        <v>43035.203402777777</v>
      </c>
      <c r="G1710" s="9" t="s">
        <v>171</v>
      </c>
      <c r="H1710" s="35" t="s">
        <v>326</v>
      </c>
      <c r="I1710" s="18" t="s">
        <v>327</v>
      </c>
    </row>
    <row r="1711" spans="1:9" ht="120">
      <c r="A1711" s="12">
        <v>43578.016041666662</v>
      </c>
      <c r="B1711" s="13" t="str">
        <f t="shared" si="78"/>
        <v>@1maison_vie</v>
      </c>
      <c r="C1711" s="14" t="s">
        <v>324</v>
      </c>
      <c r="D1711" s="15" t="s">
        <v>1427</v>
      </c>
      <c r="E1711" s="16" t="str">
        <f t="shared" si="81"/>
        <v>Twitter Web Client</v>
      </c>
      <c r="F1711" s="12">
        <v>43035.203402777777</v>
      </c>
      <c r="G1711" s="9" t="s">
        <v>171</v>
      </c>
      <c r="H1711" s="35" t="s">
        <v>326</v>
      </c>
      <c r="I1711" s="18" t="s">
        <v>327</v>
      </c>
    </row>
    <row r="1712" spans="1:9" ht="120">
      <c r="A1712" s="12">
        <v>43577.167395833334</v>
      </c>
      <c r="B1712" s="13" t="str">
        <f t="shared" si="78"/>
        <v>@1maison_vie</v>
      </c>
      <c r="C1712" s="14" t="s">
        <v>324</v>
      </c>
      <c r="D1712" s="15" t="s">
        <v>1731</v>
      </c>
      <c r="E1712" s="16" t="str">
        <f t="shared" si="81"/>
        <v>Twitter Web Client</v>
      </c>
      <c r="F1712" s="12">
        <v>43035.203402777777</v>
      </c>
      <c r="G1712" s="9" t="s">
        <v>171</v>
      </c>
      <c r="H1712" s="35" t="s">
        <v>326</v>
      </c>
      <c r="I1712" s="18" t="s">
        <v>327</v>
      </c>
    </row>
    <row r="1713" spans="1:9" ht="120">
      <c r="A1713" s="12">
        <v>43576.955578703702</v>
      </c>
      <c r="B1713" s="13" t="str">
        <f t="shared" si="78"/>
        <v>@1maison_vie</v>
      </c>
      <c r="C1713" s="14" t="s">
        <v>324</v>
      </c>
      <c r="D1713" s="15" t="s">
        <v>1792</v>
      </c>
      <c r="E1713" s="16" t="str">
        <f t="shared" si="81"/>
        <v>Twitter Web Client</v>
      </c>
      <c r="F1713" s="12">
        <v>43035.203402777777</v>
      </c>
      <c r="G1713" s="9" t="s">
        <v>171</v>
      </c>
      <c r="H1713" s="35" t="s">
        <v>326</v>
      </c>
      <c r="I1713" s="18" t="s">
        <v>327</v>
      </c>
    </row>
    <row r="1714" spans="1:9" ht="120">
      <c r="A1714" s="12">
        <v>43575.227384259255</v>
      </c>
      <c r="B1714" s="13" t="str">
        <f t="shared" si="78"/>
        <v>@1maison_vie</v>
      </c>
      <c r="C1714" s="14" t="s">
        <v>324</v>
      </c>
      <c r="D1714" s="15" t="s">
        <v>2336</v>
      </c>
      <c r="E1714" s="16" t="str">
        <f t="shared" si="81"/>
        <v>Twitter Web Client</v>
      </c>
      <c r="F1714" s="12">
        <v>43035.203402777777</v>
      </c>
      <c r="G1714" s="9" t="s">
        <v>171</v>
      </c>
      <c r="H1714" s="35" t="s">
        <v>326</v>
      </c>
      <c r="I1714" s="18" t="s">
        <v>327</v>
      </c>
    </row>
    <row r="1715" spans="1:9" ht="120">
      <c r="A1715" s="12">
        <v>43575.130636574075</v>
      </c>
      <c r="B1715" s="13" t="str">
        <f t="shared" si="78"/>
        <v>@1maison_vie</v>
      </c>
      <c r="C1715" s="14" t="s">
        <v>324</v>
      </c>
      <c r="D1715" s="15" t="s">
        <v>2358</v>
      </c>
      <c r="E1715" s="16" t="str">
        <f t="shared" si="81"/>
        <v>Twitter Web Client</v>
      </c>
      <c r="F1715" s="12">
        <v>43035.203402777777</v>
      </c>
      <c r="G1715" s="9" t="s">
        <v>171</v>
      </c>
      <c r="H1715" s="35" t="s">
        <v>326</v>
      </c>
      <c r="I1715" s="18" t="s">
        <v>327</v>
      </c>
    </row>
    <row r="1716" spans="1:9" ht="105">
      <c r="A1716" s="12">
        <v>43573.067083333328</v>
      </c>
      <c r="B1716" s="13" t="str">
        <f t="shared" si="78"/>
        <v>@1maison_vie</v>
      </c>
      <c r="C1716" s="14" t="s">
        <v>324</v>
      </c>
      <c r="D1716" s="15" t="s">
        <v>3015</v>
      </c>
      <c r="E1716" s="16" t="str">
        <f t="shared" si="81"/>
        <v>Twitter Web Client</v>
      </c>
      <c r="F1716" s="12">
        <v>43035.203402777777</v>
      </c>
      <c r="G1716" s="9" t="s">
        <v>171</v>
      </c>
      <c r="H1716" s="35" t="s">
        <v>326</v>
      </c>
      <c r="I1716" s="18" t="s">
        <v>327</v>
      </c>
    </row>
    <row r="1717" spans="1:9" ht="120">
      <c r="A1717" s="12">
        <v>43572.031087962961</v>
      </c>
      <c r="B1717" s="13" t="str">
        <f t="shared" si="78"/>
        <v>@1maison_vie</v>
      </c>
      <c r="C1717" s="14" t="s">
        <v>324</v>
      </c>
      <c r="D1717" s="15" t="s">
        <v>3458</v>
      </c>
      <c r="E1717" s="16" t="str">
        <f t="shared" si="81"/>
        <v>Twitter Web Client</v>
      </c>
      <c r="F1717" s="12">
        <v>43035.203402777777</v>
      </c>
      <c r="G1717" s="9" t="s">
        <v>171</v>
      </c>
      <c r="H1717" s="35" t="s">
        <v>326</v>
      </c>
      <c r="I1717" s="18" t="s">
        <v>327</v>
      </c>
    </row>
    <row r="1718" spans="1:9" ht="105">
      <c r="A1718" s="12">
        <v>43571.972280092596</v>
      </c>
      <c r="B1718" s="13" t="str">
        <f t="shared" si="78"/>
        <v>@1maison_vie</v>
      </c>
      <c r="C1718" s="14" t="s">
        <v>324</v>
      </c>
      <c r="D1718" s="15" t="s">
        <v>3473</v>
      </c>
      <c r="E1718" s="16" t="str">
        <f t="shared" si="81"/>
        <v>Twitter Web Client</v>
      </c>
      <c r="F1718" s="12">
        <v>43035.203402777777</v>
      </c>
      <c r="G1718" s="9" t="s">
        <v>171</v>
      </c>
      <c r="H1718" s="35" t="s">
        <v>326</v>
      </c>
      <c r="I1718" s="18" t="s">
        <v>327</v>
      </c>
    </row>
    <row r="1719" spans="1:9" ht="120">
      <c r="A1719" s="12">
        <v>43571.122743055559</v>
      </c>
      <c r="B1719" s="13" t="str">
        <f t="shared" si="78"/>
        <v>@1maison_vie</v>
      </c>
      <c r="C1719" s="14" t="s">
        <v>324</v>
      </c>
      <c r="D1719" s="15" t="s">
        <v>3842</v>
      </c>
      <c r="E1719" s="16" t="str">
        <f t="shared" si="81"/>
        <v>Twitter Web Client</v>
      </c>
      <c r="F1719" s="12">
        <v>43035.203402777777</v>
      </c>
      <c r="G1719" s="9" t="s">
        <v>171</v>
      </c>
      <c r="H1719" s="35" t="s">
        <v>326</v>
      </c>
      <c r="I1719" s="18" t="s">
        <v>327</v>
      </c>
    </row>
    <row r="1720" spans="1:9" ht="120">
      <c r="A1720" s="12">
        <v>43571.064282407402</v>
      </c>
      <c r="B1720" s="13" t="str">
        <f t="shared" si="78"/>
        <v>@1maison_vie</v>
      </c>
      <c r="C1720" s="14" t="s">
        <v>324</v>
      </c>
      <c r="D1720" s="15" t="s">
        <v>3868</v>
      </c>
      <c r="E1720" s="16" t="str">
        <f t="shared" si="81"/>
        <v>Twitter Web Client</v>
      </c>
      <c r="F1720" s="12">
        <v>43035.203402777777</v>
      </c>
      <c r="G1720" s="9" t="s">
        <v>171</v>
      </c>
      <c r="H1720" s="35" t="s">
        <v>326</v>
      </c>
      <c r="I1720" s="18" t="s">
        <v>327</v>
      </c>
    </row>
    <row r="1721" spans="1:9" ht="120">
      <c r="A1721" s="12">
        <v>43570.185428240744</v>
      </c>
      <c r="B1721" s="13" t="str">
        <f t="shared" si="78"/>
        <v>@1maison_vie</v>
      </c>
      <c r="C1721" s="14" t="s">
        <v>324</v>
      </c>
      <c r="D1721" s="15" t="s">
        <v>4303</v>
      </c>
      <c r="E1721" s="16" t="str">
        <f t="shared" si="81"/>
        <v>Twitter Web Client</v>
      </c>
      <c r="F1721" s="12">
        <v>43035.203402777777</v>
      </c>
      <c r="G1721" s="9" t="s">
        <v>171</v>
      </c>
      <c r="H1721" s="35" t="s">
        <v>326</v>
      </c>
      <c r="I1721" s="18" t="s">
        <v>327</v>
      </c>
    </row>
    <row r="1722" spans="1:9" ht="120">
      <c r="A1722" s="12">
        <v>43570.006701388891</v>
      </c>
      <c r="B1722" s="13" t="str">
        <f t="shared" si="78"/>
        <v>@1maison_vie</v>
      </c>
      <c r="C1722" s="14" t="s">
        <v>324</v>
      </c>
      <c r="D1722" s="15" t="s">
        <v>4367</v>
      </c>
      <c r="E1722" s="16" t="str">
        <f t="shared" si="81"/>
        <v>Twitter Web Client</v>
      </c>
      <c r="F1722" s="12">
        <v>43035.203402777777</v>
      </c>
      <c r="G1722" s="9" t="s">
        <v>171</v>
      </c>
      <c r="H1722" s="35" t="s">
        <v>326</v>
      </c>
      <c r="I1722" s="18" t="s">
        <v>327</v>
      </c>
    </row>
    <row r="1723" spans="1:9" ht="135">
      <c r="A1723" s="12">
        <v>43569.060046296298</v>
      </c>
      <c r="B1723" s="13" t="str">
        <f t="shared" si="78"/>
        <v>@1maison_vie</v>
      </c>
      <c r="C1723" s="14" t="s">
        <v>324</v>
      </c>
      <c r="D1723" s="15" t="s">
        <v>4604</v>
      </c>
      <c r="E1723" s="16" t="str">
        <f t="shared" si="81"/>
        <v>Twitter Web Client</v>
      </c>
      <c r="F1723" s="12">
        <v>43035.203402777777</v>
      </c>
      <c r="G1723" s="9" t="s">
        <v>171</v>
      </c>
      <c r="H1723" s="35" t="s">
        <v>326</v>
      </c>
      <c r="I1723" s="18" t="s">
        <v>327</v>
      </c>
    </row>
    <row r="1724" spans="1:9" ht="105">
      <c r="A1724" s="12">
        <v>43568.991087962961</v>
      </c>
      <c r="B1724" s="13" t="str">
        <f t="shared" si="78"/>
        <v>@1maison_vie</v>
      </c>
      <c r="C1724" s="14" t="s">
        <v>324</v>
      </c>
      <c r="D1724" s="15" t="s">
        <v>4615</v>
      </c>
      <c r="E1724" s="16" t="str">
        <f t="shared" si="81"/>
        <v>Twitter Web Client</v>
      </c>
      <c r="F1724" s="12">
        <v>43035.203402777777</v>
      </c>
      <c r="G1724" s="9" t="s">
        <v>171</v>
      </c>
      <c r="H1724" s="35" t="s">
        <v>326</v>
      </c>
      <c r="I1724" s="18" t="s">
        <v>327</v>
      </c>
    </row>
    <row r="1725" spans="1:9" ht="120">
      <c r="A1725" s="12">
        <v>43568.94935185185</v>
      </c>
      <c r="B1725" s="13" t="str">
        <f t="shared" si="78"/>
        <v>@1maison_vie</v>
      </c>
      <c r="C1725" s="14" t="s">
        <v>324</v>
      </c>
      <c r="D1725" s="15" t="s">
        <v>4617</v>
      </c>
      <c r="E1725" s="16" t="str">
        <f t="shared" si="81"/>
        <v>Twitter Web Client</v>
      </c>
      <c r="F1725" s="12">
        <v>43035.203402777777</v>
      </c>
      <c r="G1725" s="9" t="s">
        <v>171</v>
      </c>
      <c r="H1725" s="35" t="s">
        <v>326</v>
      </c>
      <c r="I1725" s="18" t="s">
        <v>327</v>
      </c>
    </row>
    <row r="1726" spans="1:9" ht="105">
      <c r="A1726" s="12">
        <v>43567.991875</v>
      </c>
      <c r="B1726" s="13" t="str">
        <f t="shared" si="78"/>
        <v>@1maison_vie</v>
      </c>
      <c r="C1726" s="14" t="s">
        <v>324</v>
      </c>
      <c r="D1726" s="15" t="s">
        <v>4905</v>
      </c>
      <c r="E1726" s="16" t="str">
        <f t="shared" si="81"/>
        <v>Twitter Web Client</v>
      </c>
      <c r="F1726" s="12">
        <v>43035.203402777777</v>
      </c>
      <c r="G1726" s="9" t="s">
        <v>171</v>
      </c>
      <c r="H1726" s="35" t="s">
        <v>326</v>
      </c>
      <c r="I1726" s="18" t="s">
        <v>327</v>
      </c>
    </row>
    <row r="1727" spans="1:9" ht="105">
      <c r="A1727" s="12">
        <v>43566.065648148149</v>
      </c>
      <c r="B1727" s="13" t="str">
        <f t="shared" si="78"/>
        <v>@1maison_vie</v>
      </c>
      <c r="C1727" s="14" t="s">
        <v>324</v>
      </c>
      <c r="D1727" s="15" t="s">
        <v>5806</v>
      </c>
      <c r="E1727" s="16" t="str">
        <f t="shared" si="81"/>
        <v>Twitter Web Client</v>
      </c>
      <c r="F1727" s="12">
        <v>43035.203402777777</v>
      </c>
      <c r="G1727" s="9" t="s">
        <v>171</v>
      </c>
      <c r="H1727" s="35" t="s">
        <v>326</v>
      </c>
      <c r="I1727" s="18" t="s">
        <v>327</v>
      </c>
    </row>
    <row r="1728" spans="1:9" ht="120">
      <c r="A1728" s="12">
        <v>43565.979097222225</v>
      </c>
      <c r="B1728" s="13" t="str">
        <f t="shared" si="78"/>
        <v>@1maison_vie</v>
      </c>
      <c r="C1728" s="14" t="s">
        <v>324</v>
      </c>
      <c r="D1728" s="15" t="s">
        <v>5827</v>
      </c>
      <c r="E1728" s="16" t="str">
        <f t="shared" si="81"/>
        <v>Twitter Web Client</v>
      </c>
      <c r="F1728" s="12">
        <v>43035.203402777777</v>
      </c>
      <c r="G1728" s="9" t="s">
        <v>171</v>
      </c>
      <c r="H1728" s="35" t="s">
        <v>326</v>
      </c>
      <c r="I1728" s="18" t="s">
        <v>327</v>
      </c>
    </row>
    <row r="1729" spans="1:9" ht="75">
      <c r="A1729" s="19">
        <v>43542.464525462958</v>
      </c>
      <c r="B1729" s="20" t="str">
        <f>HYPERLINK("https://twitter.com/OffSideBooks","@OffSideBooks")</f>
        <v>@OffSideBooks</v>
      </c>
      <c r="C1729" s="21" t="s">
        <v>10155</v>
      </c>
      <c r="D1729" s="22" t="s">
        <v>10156</v>
      </c>
      <c r="E1729" s="23" t="str">
        <f t="shared" si="81"/>
        <v>Twitter Web Client</v>
      </c>
      <c r="F1729" s="19">
        <v>41553.236516203702</v>
      </c>
      <c r="G1729" s="9" t="s">
        <v>171</v>
      </c>
      <c r="H1729" s="35" t="s">
        <v>10157</v>
      </c>
      <c r="I1729" s="25" t="s">
        <v>10158</v>
      </c>
    </row>
    <row r="1730" spans="1:9" ht="75">
      <c r="A1730" s="4">
        <v>43563.091192129628</v>
      </c>
      <c r="B1730" s="5" t="str">
        <f>HYPERLINK("https://twitter.com/OffSideBooks","@OffSideBooks")</f>
        <v>@OffSideBooks</v>
      </c>
      <c r="C1730" s="6" t="s">
        <v>10155</v>
      </c>
      <c r="D1730" s="7" t="s">
        <v>10470</v>
      </c>
      <c r="E1730" s="8" t="str">
        <f t="shared" si="81"/>
        <v>Twitter Web Client</v>
      </c>
      <c r="F1730" s="4">
        <v>41553.236516203702</v>
      </c>
      <c r="G1730" s="9" t="s">
        <v>171</v>
      </c>
      <c r="H1730" s="35" t="s">
        <v>10157</v>
      </c>
      <c r="I1730" s="10" t="s">
        <v>10158</v>
      </c>
    </row>
    <row r="1731" spans="1:9" ht="75">
      <c r="A1731" s="12">
        <v>43574.29351851852</v>
      </c>
      <c r="B1731" s="13" t="str">
        <f>HYPERLINK("https://twitter.com/Carrigeenkk","@Carrigeenkk")</f>
        <v>@Carrigeenkk</v>
      </c>
      <c r="C1731" s="14" t="s">
        <v>2615</v>
      </c>
      <c r="D1731" s="15" t="s">
        <v>2616</v>
      </c>
      <c r="E1731" s="16" t="str">
        <f>HYPERLINK("http://instagram.com","Instagram")</f>
        <v>Instagram</v>
      </c>
      <c r="F1731" s="12">
        <v>41945.463553240741</v>
      </c>
      <c r="G1731" s="17" t="s">
        <v>171</v>
      </c>
      <c r="H1731" s="35" t="s">
        <v>2617</v>
      </c>
      <c r="I1731" s="18" t="s">
        <v>2618</v>
      </c>
    </row>
    <row r="1732" spans="1:9" ht="75">
      <c r="A1732" s="12">
        <v>43566.172812500001</v>
      </c>
      <c r="B1732" s="13" t="str">
        <f>HYPERLINK("https://twitter.com/Carrigeenkk","@Carrigeenkk")</f>
        <v>@Carrigeenkk</v>
      </c>
      <c r="C1732" s="14" t="s">
        <v>2615</v>
      </c>
      <c r="D1732" s="15" t="s">
        <v>5743</v>
      </c>
      <c r="E1732" s="16" t="str">
        <f>HYPERLINK("http://instagram.com","Instagram")</f>
        <v>Instagram</v>
      </c>
      <c r="F1732" s="12">
        <v>41945.463553240741</v>
      </c>
      <c r="G1732" s="17" t="s">
        <v>171</v>
      </c>
      <c r="H1732" s="35" t="s">
        <v>2617</v>
      </c>
      <c r="I1732" s="18" t="s">
        <v>2618</v>
      </c>
    </row>
    <row r="1733" spans="1:9" ht="75">
      <c r="A1733" s="12">
        <v>43567.249710648146</v>
      </c>
      <c r="B1733" s="13" t="str">
        <f>HYPERLINK("https://twitter.com/Lagganmorehouse","@Lagganmorehouse")</f>
        <v>@Lagganmorehouse</v>
      </c>
      <c r="C1733" s="14" t="s">
        <v>5195</v>
      </c>
      <c r="D1733" s="15" t="s">
        <v>5196</v>
      </c>
      <c r="E1733" s="16" t="str">
        <f>HYPERLINK("http://instagram.com","Instagram")</f>
        <v>Instagram</v>
      </c>
      <c r="F1733" s="12">
        <v>42878.279861111107</v>
      </c>
      <c r="G1733" s="17" t="s">
        <v>171</v>
      </c>
      <c r="H1733" s="35" t="s">
        <v>5197</v>
      </c>
      <c r="I1733" s="18" t="s">
        <v>5198</v>
      </c>
    </row>
    <row r="1734" spans="1:9" ht="75">
      <c r="A1734" s="19">
        <v>43551.688599537039</v>
      </c>
      <c r="B1734" s="20" t="str">
        <f t="shared" ref="B1734:B1765" si="82">HYPERLINK("https://twitter.com/KathyWalcott","@KathyWalcott")</f>
        <v>@KathyWalcott</v>
      </c>
      <c r="C1734" s="21" t="s">
        <v>86</v>
      </c>
      <c r="D1734" s="22" t="s">
        <v>469</v>
      </c>
      <c r="E1734" s="23" t="str">
        <f t="shared" ref="E1734:E1765" si="83">HYPERLINK("http://twitter.com/download/android","Twitter for Android")</f>
        <v>Twitter for Android</v>
      </c>
      <c r="F1734" s="19">
        <v>40852.383622685185</v>
      </c>
      <c r="G1734" s="9" t="s">
        <v>171</v>
      </c>
      <c r="H1734" s="35" t="s">
        <v>88</v>
      </c>
      <c r="I1734" s="25" t="s">
        <v>7046</v>
      </c>
    </row>
    <row r="1735" spans="1:9" ht="75">
      <c r="A1735" s="19">
        <v>43551.584710648152</v>
      </c>
      <c r="B1735" s="20" t="str">
        <f t="shared" si="82"/>
        <v>@KathyWalcott</v>
      </c>
      <c r="C1735" s="21" t="s">
        <v>86</v>
      </c>
      <c r="D1735" s="22" t="s">
        <v>7100</v>
      </c>
      <c r="E1735" s="23" t="str">
        <f t="shared" si="83"/>
        <v>Twitter for Android</v>
      </c>
      <c r="F1735" s="19">
        <v>40852.383622685185</v>
      </c>
      <c r="G1735" s="9" t="s">
        <v>171</v>
      </c>
      <c r="H1735" s="35" t="s">
        <v>88</v>
      </c>
      <c r="I1735" s="25" t="s">
        <v>7046</v>
      </c>
    </row>
    <row r="1736" spans="1:9" s="31" customFormat="1" ht="90">
      <c r="A1736" s="19">
        <v>43551.292962962965</v>
      </c>
      <c r="B1736" s="20" t="str">
        <f t="shared" si="82"/>
        <v>@KathyWalcott</v>
      </c>
      <c r="C1736" s="21" t="s">
        <v>86</v>
      </c>
      <c r="D1736" s="22" t="s">
        <v>87</v>
      </c>
      <c r="E1736" s="23" t="str">
        <f t="shared" si="83"/>
        <v>Twitter for Android</v>
      </c>
      <c r="F1736" s="19">
        <v>40852.383622685185</v>
      </c>
      <c r="G1736" s="9" t="s">
        <v>171</v>
      </c>
      <c r="H1736" s="35" t="s">
        <v>88</v>
      </c>
      <c r="I1736" s="25" t="s">
        <v>7046</v>
      </c>
    </row>
    <row r="1737" spans="1:9" s="31" customFormat="1" ht="75">
      <c r="A1737" s="19">
        <v>43550.75037037037</v>
      </c>
      <c r="B1737" s="20" t="str">
        <f t="shared" si="82"/>
        <v>@KathyWalcott</v>
      </c>
      <c r="C1737" s="21" t="s">
        <v>86</v>
      </c>
      <c r="D1737" s="22" t="s">
        <v>469</v>
      </c>
      <c r="E1737" s="23" t="str">
        <f t="shared" si="83"/>
        <v>Twitter for Android</v>
      </c>
      <c r="F1737" s="19">
        <v>40852.383622685185</v>
      </c>
      <c r="G1737" s="9" t="s">
        <v>171</v>
      </c>
      <c r="H1737" s="35" t="s">
        <v>88</v>
      </c>
      <c r="I1737" s="25" t="s">
        <v>7046</v>
      </c>
    </row>
    <row r="1738" spans="1:9" s="31" customFormat="1" ht="90">
      <c r="A1738" s="19">
        <v>43550.56385416667</v>
      </c>
      <c r="B1738" s="20" t="str">
        <f t="shared" si="82"/>
        <v>@KathyWalcott</v>
      </c>
      <c r="C1738" s="21" t="s">
        <v>86</v>
      </c>
      <c r="D1738" s="22" t="s">
        <v>87</v>
      </c>
      <c r="E1738" s="23" t="str">
        <f t="shared" si="83"/>
        <v>Twitter for Android</v>
      </c>
      <c r="F1738" s="19">
        <v>40852.383622685185</v>
      </c>
      <c r="G1738" s="9" t="s">
        <v>171</v>
      </c>
      <c r="H1738" s="35" t="s">
        <v>88</v>
      </c>
      <c r="I1738" s="25" t="s">
        <v>7046</v>
      </c>
    </row>
    <row r="1739" spans="1:9" s="31" customFormat="1" ht="75">
      <c r="A1739" s="19">
        <v>43550.229432870372</v>
      </c>
      <c r="B1739" s="20" t="str">
        <f t="shared" si="82"/>
        <v>@KathyWalcott</v>
      </c>
      <c r="C1739" s="21" t="s">
        <v>86</v>
      </c>
      <c r="D1739" s="22" t="s">
        <v>7100</v>
      </c>
      <c r="E1739" s="23" t="str">
        <f t="shared" si="83"/>
        <v>Twitter for Android</v>
      </c>
      <c r="F1739" s="19">
        <v>40852.383622685185</v>
      </c>
      <c r="G1739" s="9" t="s">
        <v>171</v>
      </c>
      <c r="H1739" s="35" t="s">
        <v>88</v>
      </c>
      <c r="I1739" s="25" t="s">
        <v>7046</v>
      </c>
    </row>
    <row r="1740" spans="1:9" s="31" customFormat="1" ht="75">
      <c r="A1740" s="19">
        <v>43549.750810185185</v>
      </c>
      <c r="B1740" s="20" t="str">
        <f t="shared" si="82"/>
        <v>@KathyWalcott</v>
      </c>
      <c r="C1740" s="21" t="s">
        <v>86</v>
      </c>
      <c r="D1740" s="22" t="s">
        <v>469</v>
      </c>
      <c r="E1740" s="23" t="str">
        <f t="shared" si="83"/>
        <v>Twitter for Android</v>
      </c>
      <c r="F1740" s="19">
        <v>40852.383622685185</v>
      </c>
      <c r="G1740" s="9" t="s">
        <v>171</v>
      </c>
      <c r="H1740" s="35" t="s">
        <v>88</v>
      </c>
      <c r="I1740" s="25" t="s">
        <v>7046</v>
      </c>
    </row>
    <row r="1741" spans="1:9" s="31" customFormat="1" ht="90">
      <c r="A1741" s="19">
        <v>43549.627488425926</v>
      </c>
      <c r="B1741" s="20" t="str">
        <f t="shared" si="82"/>
        <v>@KathyWalcott</v>
      </c>
      <c r="C1741" s="21" t="s">
        <v>86</v>
      </c>
      <c r="D1741" s="22" t="s">
        <v>87</v>
      </c>
      <c r="E1741" s="23" t="str">
        <f t="shared" si="83"/>
        <v>Twitter for Android</v>
      </c>
      <c r="F1741" s="19">
        <v>40852.383622685185</v>
      </c>
      <c r="G1741" s="9" t="s">
        <v>171</v>
      </c>
      <c r="H1741" s="35" t="s">
        <v>88</v>
      </c>
      <c r="I1741" s="25" t="s">
        <v>7046</v>
      </c>
    </row>
    <row r="1742" spans="1:9" s="31" customFormat="1" ht="75">
      <c r="A1742" s="19">
        <v>43548.750613425931</v>
      </c>
      <c r="B1742" s="20" t="str">
        <f t="shared" si="82"/>
        <v>@KathyWalcott</v>
      </c>
      <c r="C1742" s="21" t="s">
        <v>86</v>
      </c>
      <c r="D1742" s="22" t="s">
        <v>469</v>
      </c>
      <c r="E1742" s="23" t="str">
        <f t="shared" si="83"/>
        <v>Twitter for Android</v>
      </c>
      <c r="F1742" s="19">
        <v>40852.383622685185</v>
      </c>
      <c r="G1742" s="9" t="s">
        <v>171</v>
      </c>
      <c r="H1742" s="35" t="s">
        <v>88</v>
      </c>
      <c r="I1742" s="25" t="s">
        <v>7046</v>
      </c>
    </row>
    <row r="1743" spans="1:9" s="31" customFormat="1" ht="90">
      <c r="A1743" s="19">
        <v>43548.688321759255</v>
      </c>
      <c r="B1743" s="20" t="str">
        <f t="shared" si="82"/>
        <v>@KathyWalcott</v>
      </c>
      <c r="C1743" s="21" t="s">
        <v>86</v>
      </c>
      <c r="D1743" s="22" t="s">
        <v>87</v>
      </c>
      <c r="E1743" s="23" t="str">
        <f t="shared" si="83"/>
        <v>Twitter for Android</v>
      </c>
      <c r="F1743" s="19">
        <v>40852.383622685185</v>
      </c>
      <c r="G1743" s="9" t="s">
        <v>171</v>
      </c>
      <c r="H1743" s="35" t="s">
        <v>88</v>
      </c>
      <c r="I1743" s="25" t="s">
        <v>7046</v>
      </c>
    </row>
    <row r="1744" spans="1:9" s="31" customFormat="1" ht="90">
      <c r="A1744" s="19">
        <v>43547.752106481479</v>
      </c>
      <c r="B1744" s="20" t="str">
        <f t="shared" si="82"/>
        <v>@KathyWalcott</v>
      </c>
      <c r="C1744" s="21" t="s">
        <v>86</v>
      </c>
      <c r="D1744" s="22" t="s">
        <v>87</v>
      </c>
      <c r="E1744" s="23" t="str">
        <f t="shared" si="83"/>
        <v>Twitter for Android</v>
      </c>
      <c r="F1744" s="19">
        <v>40852.383622685185</v>
      </c>
      <c r="G1744" s="9" t="s">
        <v>171</v>
      </c>
      <c r="H1744" s="35" t="s">
        <v>88</v>
      </c>
      <c r="I1744" s="25" t="s">
        <v>7046</v>
      </c>
    </row>
    <row r="1745" spans="1:9" s="31" customFormat="1" ht="75">
      <c r="A1745" s="19">
        <v>43547.711006944446</v>
      </c>
      <c r="B1745" s="20" t="str">
        <f t="shared" si="82"/>
        <v>@KathyWalcott</v>
      </c>
      <c r="C1745" s="21" t="s">
        <v>86</v>
      </c>
      <c r="D1745" s="22" t="s">
        <v>469</v>
      </c>
      <c r="E1745" s="23" t="str">
        <f t="shared" si="83"/>
        <v>Twitter for Android</v>
      </c>
      <c r="F1745" s="19">
        <v>40852.383622685185</v>
      </c>
      <c r="G1745" s="9" t="s">
        <v>171</v>
      </c>
      <c r="H1745" s="35" t="s">
        <v>88</v>
      </c>
      <c r="I1745" s="25" t="s">
        <v>7046</v>
      </c>
    </row>
    <row r="1746" spans="1:9" s="31" customFormat="1" ht="75">
      <c r="A1746" s="19">
        <v>43546.750150462962</v>
      </c>
      <c r="B1746" s="20" t="str">
        <f t="shared" si="82"/>
        <v>@KathyWalcott</v>
      </c>
      <c r="C1746" s="21" t="s">
        <v>86</v>
      </c>
      <c r="D1746" s="22" t="s">
        <v>469</v>
      </c>
      <c r="E1746" s="23" t="str">
        <f t="shared" si="83"/>
        <v>Twitter for Android</v>
      </c>
      <c r="F1746" s="19">
        <v>40852.383622685185</v>
      </c>
      <c r="G1746" s="9" t="s">
        <v>171</v>
      </c>
      <c r="H1746" s="35" t="s">
        <v>88</v>
      </c>
      <c r="I1746" s="25" t="s">
        <v>7046</v>
      </c>
    </row>
    <row r="1747" spans="1:9" s="31" customFormat="1" ht="90">
      <c r="A1747" s="19">
        <v>43546.709768518514</v>
      </c>
      <c r="B1747" s="20" t="str">
        <f t="shared" si="82"/>
        <v>@KathyWalcott</v>
      </c>
      <c r="C1747" s="21" t="s">
        <v>86</v>
      </c>
      <c r="D1747" s="22" t="s">
        <v>87</v>
      </c>
      <c r="E1747" s="23" t="str">
        <f t="shared" si="83"/>
        <v>Twitter for Android</v>
      </c>
      <c r="F1747" s="19">
        <v>40852.383622685185</v>
      </c>
      <c r="G1747" s="9" t="s">
        <v>171</v>
      </c>
      <c r="H1747" s="35" t="s">
        <v>88</v>
      </c>
      <c r="I1747" s="25" t="s">
        <v>7046</v>
      </c>
    </row>
    <row r="1748" spans="1:9" s="31" customFormat="1" ht="75">
      <c r="A1748" s="19">
        <v>43546.168773148151</v>
      </c>
      <c r="B1748" s="20" t="str">
        <f t="shared" si="82"/>
        <v>@KathyWalcott</v>
      </c>
      <c r="C1748" s="21" t="s">
        <v>86</v>
      </c>
      <c r="D1748" s="22" t="s">
        <v>8946</v>
      </c>
      <c r="E1748" s="23" t="str">
        <f t="shared" si="83"/>
        <v>Twitter for Android</v>
      </c>
      <c r="F1748" s="19">
        <v>40852.383622685185</v>
      </c>
      <c r="G1748" s="9" t="s">
        <v>171</v>
      </c>
      <c r="H1748" s="35" t="s">
        <v>88</v>
      </c>
      <c r="I1748" s="25" t="s">
        <v>7046</v>
      </c>
    </row>
    <row r="1749" spans="1:9" s="31" customFormat="1" ht="60">
      <c r="A1749" s="19">
        <v>43546.167384259257</v>
      </c>
      <c r="B1749" s="20" t="str">
        <f t="shared" si="82"/>
        <v>@KathyWalcott</v>
      </c>
      <c r="C1749" s="21" t="s">
        <v>86</v>
      </c>
      <c r="D1749" s="22" t="s">
        <v>5228</v>
      </c>
      <c r="E1749" s="23" t="str">
        <f t="shared" si="83"/>
        <v>Twitter for Android</v>
      </c>
      <c r="F1749" s="19">
        <v>40852.383622685185</v>
      </c>
      <c r="G1749" s="9" t="s">
        <v>171</v>
      </c>
      <c r="H1749" s="35" t="s">
        <v>88</v>
      </c>
      <c r="I1749" s="25" t="s">
        <v>7046</v>
      </c>
    </row>
    <row r="1750" spans="1:9" s="31" customFormat="1" ht="75">
      <c r="A1750" s="19">
        <v>43545.752222222218</v>
      </c>
      <c r="B1750" s="20" t="str">
        <f t="shared" si="82"/>
        <v>@KathyWalcott</v>
      </c>
      <c r="C1750" s="21" t="s">
        <v>86</v>
      </c>
      <c r="D1750" s="22" t="s">
        <v>469</v>
      </c>
      <c r="E1750" s="23" t="str">
        <f t="shared" si="83"/>
        <v>Twitter for Android</v>
      </c>
      <c r="F1750" s="19">
        <v>40852.383622685185</v>
      </c>
      <c r="G1750" s="9" t="s">
        <v>171</v>
      </c>
      <c r="H1750" s="35" t="s">
        <v>88</v>
      </c>
      <c r="I1750" s="25" t="s">
        <v>7046</v>
      </c>
    </row>
    <row r="1751" spans="1:9" s="31" customFormat="1" ht="105">
      <c r="A1751" s="19">
        <v>43545.250694444447</v>
      </c>
      <c r="B1751" s="20" t="str">
        <f t="shared" si="82"/>
        <v>@KathyWalcott</v>
      </c>
      <c r="C1751" s="21" t="s">
        <v>86</v>
      </c>
      <c r="D1751" s="22" t="s">
        <v>9238</v>
      </c>
      <c r="E1751" s="23" t="str">
        <f t="shared" si="83"/>
        <v>Twitter for Android</v>
      </c>
      <c r="F1751" s="19">
        <v>40852.383622685185</v>
      </c>
      <c r="G1751" s="9" t="s">
        <v>171</v>
      </c>
      <c r="H1751" s="35" t="s">
        <v>88</v>
      </c>
      <c r="I1751" s="25" t="s">
        <v>7046</v>
      </c>
    </row>
    <row r="1752" spans="1:9" s="31" customFormat="1" ht="75">
      <c r="A1752" s="19">
        <v>43544.458009259259</v>
      </c>
      <c r="B1752" s="20" t="str">
        <f t="shared" si="82"/>
        <v>@KathyWalcott</v>
      </c>
      <c r="C1752" s="21" t="s">
        <v>86</v>
      </c>
      <c r="D1752" s="22" t="s">
        <v>469</v>
      </c>
      <c r="E1752" s="23" t="str">
        <f t="shared" si="83"/>
        <v>Twitter for Android</v>
      </c>
      <c r="F1752" s="19">
        <v>40852.383622685185</v>
      </c>
      <c r="G1752" s="9" t="s">
        <v>171</v>
      </c>
      <c r="H1752" s="35" t="s">
        <v>88</v>
      </c>
      <c r="I1752" s="25" t="s">
        <v>7046</v>
      </c>
    </row>
    <row r="1753" spans="1:9" s="31" customFormat="1" ht="90">
      <c r="A1753" s="19">
        <v>43544.292256944449</v>
      </c>
      <c r="B1753" s="20" t="str">
        <f t="shared" si="82"/>
        <v>@KathyWalcott</v>
      </c>
      <c r="C1753" s="21" t="s">
        <v>86</v>
      </c>
      <c r="D1753" s="22" t="s">
        <v>87</v>
      </c>
      <c r="E1753" s="23" t="str">
        <f t="shared" si="83"/>
        <v>Twitter for Android</v>
      </c>
      <c r="F1753" s="19">
        <v>40852.383622685185</v>
      </c>
      <c r="G1753" s="9" t="s">
        <v>171</v>
      </c>
      <c r="H1753" s="35" t="s">
        <v>88</v>
      </c>
      <c r="I1753" s="25" t="s">
        <v>7046</v>
      </c>
    </row>
    <row r="1754" spans="1:9" s="31" customFormat="1" ht="75">
      <c r="A1754" s="19">
        <v>43543.751157407409</v>
      </c>
      <c r="B1754" s="20" t="str">
        <f t="shared" si="82"/>
        <v>@KathyWalcott</v>
      </c>
      <c r="C1754" s="21" t="s">
        <v>86</v>
      </c>
      <c r="D1754" s="22" t="s">
        <v>469</v>
      </c>
      <c r="E1754" s="23" t="str">
        <f t="shared" si="83"/>
        <v>Twitter for Android</v>
      </c>
      <c r="F1754" s="19">
        <v>40852.383622685185</v>
      </c>
      <c r="G1754" s="9" t="s">
        <v>171</v>
      </c>
      <c r="H1754" s="35" t="s">
        <v>88</v>
      </c>
      <c r="I1754" s="25" t="s">
        <v>7046</v>
      </c>
    </row>
    <row r="1755" spans="1:9" s="31" customFormat="1" ht="90">
      <c r="A1755" s="19">
        <v>43543.250127314815</v>
      </c>
      <c r="B1755" s="20" t="str">
        <f t="shared" si="82"/>
        <v>@KathyWalcott</v>
      </c>
      <c r="C1755" s="21" t="s">
        <v>86</v>
      </c>
      <c r="D1755" s="22" t="s">
        <v>87</v>
      </c>
      <c r="E1755" s="23" t="str">
        <f t="shared" si="83"/>
        <v>Twitter for Android</v>
      </c>
      <c r="F1755" s="19">
        <v>40852.383622685185</v>
      </c>
      <c r="G1755" s="9" t="s">
        <v>171</v>
      </c>
      <c r="H1755" s="35" t="s">
        <v>88</v>
      </c>
      <c r="I1755" s="25" t="s">
        <v>7046</v>
      </c>
    </row>
    <row r="1756" spans="1:9" s="31" customFormat="1" ht="75">
      <c r="A1756" s="19">
        <v>43542.750034722223</v>
      </c>
      <c r="B1756" s="20" t="str">
        <f t="shared" si="82"/>
        <v>@KathyWalcott</v>
      </c>
      <c r="C1756" s="21" t="s">
        <v>86</v>
      </c>
      <c r="D1756" s="22" t="s">
        <v>469</v>
      </c>
      <c r="E1756" s="23" t="str">
        <f t="shared" si="83"/>
        <v>Twitter for Android</v>
      </c>
      <c r="F1756" s="19">
        <v>40852.383622685185</v>
      </c>
      <c r="G1756" s="9" t="s">
        <v>171</v>
      </c>
      <c r="H1756" s="35" t="s">
        <v>88</v>
      </c>
      <c r="I1756" s="25" t="s">
        <v>7046</v>
      </c>
    </row>
    <row r="1757" spans="1:9" s="31" customFormat="1" ht="90">
      <c r="A1757" s="19">
        <v>43542.670486111107</v>
      </c>
      <c r="B1757" s="20" t="str">
        <f t="shared" si="82"/>
        <v>@KathyWalcott</v>
      </c>
      <c r="C1757" s="21" t="s">
        <v>86</v>
      </c>
      <c r="D1757" s="22" t="s">
        <v>87</v>
      </c>
      <c r="E1757" s="23" t="str">
        <f t="shared" si="83"/>
        <v>Twitter for Android</v>
      </c>
      <c r="F1757" s="19">
        <v>40852.383622685185</v>
      </c>
      <c r="G1757" s="9" t="s">
        <v>171</v>
      </c>
      <c r="H1757" s="35" t="s">
        <v>88</v>
      </c>
      <c r="I1757" s="25" t="s">
        <v>7046</v>
      </c>
    </row>
    <row r="1758" spans="1:9" s="31" customFormat="1" ht="75">
      <c r="A1758" s="4">
        <v>43565.72934027778</v>
      </c>
      <c r="B1758" s="5" t="str">
        <f t="shared" si="82"/>
        <v>@KathyWalcott</v>
      </c>
      <c r="C1758" s="6" t="s">
        <v>86</v>
      </c>
      <c r="D1758" s="7" t="s">
        <v>469</v>
      </c>
      <c r="E1758" s="8" t="str">
        <f t="shared" si="83"/>
        <v>Twitter for Android</v>
      </c>
      <c r="F1758" s="4">
        <v>40852.383622685185</v>
      </c>
      <c r="G1758" s="9" t="s">
        <v>171</v>
      </c>
      <c r="H1758" s="35" t="s">
        <v>88</v>
      </c>
      <c r="I1758" s="10" t="s">
        <v>89</v>
      </c>
    </row>
    <row r="1759" spans="1:9" s="31" customFormat="1" ht="90">
      <c r="A1759" s="4">
        <v>43565.646064814813</v>
      </c>
      <c r="B1759" s="5" t="str">
        <f t="shared" si="82"/>
        <v>@KathyWalcott</v>
      </c>
      <c r="C1759" s="6" t="s">
        <v>86</v>
      </c>
      <c r="D1759" s="7" t="s">
        <v>87</v>
      </c>
      <c r="E1759" s="8" t="str">
        <f t="shared" si="83"/>
        <v>Twitter for Android</v>
      </c>
      <c r="F1759" s="4">
        <v>40852.383622685185</v>
      </c>
      <c r="G1759" s="9" t="s">
        <v>171</v>
      </c>
      <c r="H1759" s="35" t="s">
        <v>88</v>
      </c>
      <c r="I1759" s="10" t="s">
        <v>89</v>
      </c>
    </row>
    <row r="1760" spans="1:9" s="31" customFormat="1" ht="75">
      <c r="A1760" s="4">
        <v>43565.414375</v>
      </c>
      <c r="B1760" s="5" t="str">
        <f t="shared" si="82"/>
        <v>@KathyWalcott</v>
      </c>
      <c r="C1760" s="6" t="s">
        <v>86</v>
      </c>
      <c r="D1760" s="7" t="s">
        <v>4136</v>
      </c>
      <c r="E1760" s="8" t="str">
        <f t="shared" si="83"/>
        <v>Twitter for Android</v>
      </c>
      <c r="F1760" s="4">
        <v>40852.383622685185</v>
      </c>
      <c r="G1760" s="9" t="s">
        <v>171</v>
      </c>
      <c r="H1760" s="35" t="s">
        <v>88</v>
      </c>
      <c r="I1760" s="10" t="s">
        <v>89</v>
      </c>
    </row>
    <row r="1761" spans="1:9" s="31" customFormat="1" ht="75">
      <c r="A1761" s="4">
        <v>43564.750162037039</v>
      </c>
      <c r="B1761" s="5" t="str">
        <f t="shared" si="82"/>
        <v>@KathyWalcott</v>
      </c>
      <c r="C1761" s="6" t="s">
        <v>86</v>
      </c>
      <c r="D1761" s="7" t="s">
        <v>469</v>
      </c>
      <c r="E1761" s="8" t="str">
        <f t="shared" si="83"/>
        <v>Twitter for Android</v>
      </c>
      <c r="F1761" s="4">
        <v>40852.383622685185</v>
      </c>
      <c r="G1761" s="9" t="s">
        <v>171</v>
      </c>
      <c r="H1761" s="35" t="s">
        <v>88</v>
      </c>
      <c r="I1761" s="10" t="s">
        <v>89</v>
      </c>
    </row>
    <row r="1762" spans="1:9" s="31" customFormat="1" ht="75">
      <c r="A1762" s="4">
        <v>43564.506689814814</v>
      </c>
      <c r="B1762" s="5" t="str">
        <f t="shared" si="82"/>
        <v>@KathyWalcott</v>
      </c>
      <c r="C1762" s="6" t="s">
        <v>86</v>
      </c>
      <c r="D1762" s="7" t="s">
        <v>4136</v>
      </c>
      <c r="E1762" s="8" t="str">
        <f t="shared" si="83"/>
        <v>Twitter for Android</v>
      </c>
      <c r="F1762" s="4">
        <v>40852.383622685185</v>
      </c>
      <c r="G1762" s="9" t="s">
        <v>171</v>
      </c>
      <c r="H1762" s="35" t="s">
        <v>88</v>
      </c>
      <c r="I1762" s="10" t="s">
        <v>89</v>
      </c>
    </row>
    <row r="1763" spans="1:9" s="31" customFormat="1" ht="90">
      <c r="A1763" s="4">
        <v>43564.416747685187</v>
      </c>
      <c r="B1763" s="5" t="str">
        <f t="shared" si="82"/>
        <v>@KathyWalcott</v>
      </c>
      <c r="C1763" s="6" t="s">
        <v>86</v>
      </c>
      <c r="D1763" s="7" t="s">
        <v>87</v>
      </c>
      <c r="E1763" s="8" t="str">
        <f t="shared" si="83"/>
        <v>Twitter for Android</v>
      </c>
      <c r="F1763" s="4">
        <v>40852.383622685185</v>
      </c>
      <c r="G1763" s="9" t="s">
        <v>171</v>
      </c>
      <c r="H1763" s="35" t="s">
        <v>88</v>
      </c>
      <c r="I1763" s="10" t="s">
        <v>89</v>
      </c>
    </row>
    <row r="1764" spans="1:9" s="31" customFormat="1" ht="75">
      <c r="A1764" s="4">
        <v>43563.752118055556</v>
      </c>
      <c r="B1764" s="5" t="str">
        <f t="shared" si="82"/>
        <v>@KathyWalcott</v>
      </c>
      <c r="C1764" s="6" t="s">
        <v>86</v>
      </c>
      <c r="D1764" s="7" t="s">
        <v>469</v>
      </c>
      <c r="E1764" s="8" t="str">
        <f t="shared" si="83"/>
        <v>Twitter for Android</v>
      </c>
      <c r="F1764" s="4">
        <v>40852.383622685185</v>
      </c>
      <c r="G1764" s="9" t="s">
        <v>171</v>
      </c>
      <c r="H1764" s="35" t="s">
        <v>88</v>
      </c>
      <c r="I1764" s="10" t="s">
        <v>89</v>
      </c>
    </row>
    <row r="1765" spans="1:9" s="31" customFormat="1" ht="90">
      <c r="A1765" s="4">
        <v>43563.667754629627</v>
      </c>
      <c r="B1765" s="5" t="str">
        <f t="shared" si="82"/>
        <v>@KathyWalcott</v>
      </c>
      <c r="C1765" s="6" t="s">
        <v>86</v>
      </c>
      <c r="D1765" s="7" t="s">
        <v>87</v>
      </c>
      <c r="E1765" s="8" t="str">
        <f t="shared" si="83"/>
        <v>Twitter for Android</v>
      </c>
      <c r="F1765" s="4">
        <v>40852.383622685185</v>
      </c>
      <c r="G1765" s="9" t="s">
        <v>171</v>
      </c>
      <c r="H1765" s="35" t="s">
        <v>88</v>
      </c>
      <c r="I1765" s="10" t="s">
        <v>89</v>
      </c>
    </row>
    <row r="1766" spans="1:9" s="31" customFormat="1" ht="75">
      <c r="A1766" s="4">
        <v>43563.609178240746</v>
      </c>
      <c r="B1766" s="5" t="str">
        <f t="shared" ref="B1766:B1797" si="84">HYPERLINK("https://twitter.com/KathyWalcott","@KathyWalcott")</f>
        <v>@KathyWalcott</v>
      </c>
      <c r="C1766" s="6" t="s">
        <v>86</v>
      </c>
      <c r="D1766" s="7" t="s">
        <v>4136</v>
      </c>
      <c r="E1766" s="8" t="str">
        <f t="shared" ref="E1766:E1797" si="85">HYPERLINK("http://twitter.com/download/android","Twitter for Android")</f>
        <v>Twitter for Android</v>
      </c>
      <c r="F1766" s="4">
        <v>40852.383622685185</v>
      </c>
      <c r="G1766" s="9" t="s">
        <v>171</v>
      </c>
      <c r="H1766" s="35" t="s">
        <v>88</v>
      </c>
      <c r="I1766" s="10" t="s">
        <v>89</v>
      </c>
    </row>
    <row r="1767" spans="1:9" s="31" customFormat="1" ht="75">
      <c r="A1767" s="4">
        <v>43562.687557870369</v>
      </c>
      <c r="B1767" s="5" t="str">
        <f t="shared" si="84"/>
        <v>@KathyWalcott</v>
      </c>
      <c r="C1767" s="6" t="s">
        <v>86</v>
      </c>
      <c r="D1767" s="7" t="s">
        <v>469</v>
      </c>
      <c r="E1767" s="8" t="str">
        <f t="shared" si="85"/>
        <v>Twitter for Android</v>
      </c>
      <c r="F1767" s="4">
        <v>40852.383622685185</v>
      </c>
      <c r="G1767" s="9" t="s">
        <v>171</v>
      </c>
      <c r="H1767" s="35" t="s">
        <v>88</v>
      </c>
      <c r="I1767" s="10" t="s">
        <v>89</v>
      </c>
    </row>
    <row r="1768" spans="1:9" s="31" customFormat="1" ht="90">
      <c r="A1768" s="4">
        <v>43562.605763888889</v>
      </c>
      <c r="B1768" s="5" t="str">
        <f t="shared" si="84"/>
        <v>@KathyWalcott</v>
      </c>
      <c r="C1768" s="6" t="s">
        <v>86</v>
      </c>
      <c r="D1768" s="7" t="s">
        <v>87</v>
      </c>
      <c r="E1768" s="8" t="str">
        <f t="shared" si="85"/>
        <v>Twitter for Android</v>
      </c>
      <c r="F1768" s="4">
        <v>40852.383622685185</v>
      </c>
      <c r="G1768" s="9" t="s">
        <v>171</v>
      </c>
      <c r="H1768" s="35" t="s">
        <v>88</v>
      </c>
      <c r="I1768" s="10" t="s">
        <v>89</v>
      </c>
    </row>
    <row r="1769" spans="1:9" s="31" customFormat="1" ht="75">
      <c r="A1769" s="4">
        <v>43562.514837962968</v>
      </c>
      <c r="B1769" s="5" t="str">
        <f t="shared" si="84"/>
        <v>@KathyWalcott</v>
      </c>
      <c r="C1769" s="6" t="s">
        <v>86</v>
      </c>
      <c r="D1769" s="7" t="s">
        <v>4136</v>
      </c>
      <c r="E1769" s="8" t="str">
        <f t="shared" si="85"/>
        <v>Twitter for Android</v>
      </c>
      <c r="F1769" s="4">
        <v>40852.383622685185</v>
      </c>
      <c r="G1769" s="9" t="s">
        <v>171</v>
      </c>
      <c r="H1769" s="35" t="s">
        <v>88</v>
      </c>
      <c r="I1769" s="10" t="s">
        <v>89</v>
      </c>
    </row>
    <row r="1770" spans="1:9" s="31" customFormat="1" ht="75">
      <c r="A1770" s="4">
        <v>43562.463622685187</v>
      </c>
      <c r="B1770" s="5" t="str">
        <f t="shared" si="84"/>
        <v>@KathyWalcott</v>
      </c>
      <c r="C1770" s="6" t="s">
        <v>86</v>
      </c>
      <c r="D1770" s="7" t="s">
        <v>10675</v>
      </c>
      <c r="E1770" s="8" t="str">
        <f t="shared" si="85"/>
        <v>Twitter for Android</v>
      </c>
      <c r="F1770" s="4">
        <v>40852.383622685185</v>
      </c>
      <c r="G1770" s="9" t="s">
        <v>171</v>
      </c>
      <c r="H1770" s="35" t="s">
        <v>88</v>
      </c>
      <c r="I1770" s="10" t="s">
        <v>89</v>
      </c>
    </row>
    <row r="1771" spans="1:9" s="31" customFormat="1" ht="75">
      <c r="A1771" s="4">
        <v>43561.750138888892</v>
      </c>
      <c r="B1771" s="5" t="str">
        <f t="shared" si="84"/>
        <v>@KathyWalcott</v>
      </c>
      <c r="C1771" s="6" t="s">
        <v>86</v>
      </c>
      <c r="D1771" s="7" t="s">
        <v>469</v>
      </c>
      <c r="E1771" s="8" t="str">
        <f t="shared" si="85"/>
        <v>Twitter for Android</v>
      </c>
      <c r="F1771" s="4">
        <v>40852.383622685185</v>
      </c>
      <c r="G1771" s="9" t="s">
        <v>171</v>
      </c>
      <c r="H1771" s="35" t="s">
        <v>88</v>
      </c>
      <c r="I1771" s="10" t="s">
        <v>89</v>
      </c>
    </row>
    <row r="1772" spans="1:9" s="31" customFormat="1" ht="90">
      <c r="A1772" s="4">
        <v>43561.687800925924</v>
      </c>
      <c r="B1772" s="5" t="str">
        <f t="shared" si="84"/>
        <v>@KathyWalcott</v>
      </c>
      <c r="C1772" s="6" t="s">
        <v>86</v>
      </c>
      <c r="D1772" s="7" t="s">
        <v>87</v>
      </c>
      <c r="E1772" s="8" t="str">
        <f t="shared" si="85"/>
        <v>Twitter for Android</v>
      </c>
      <c r="F1772" s="4">
        <v>40852.383622685185</v>
      </c>
      <c r="G1772" s="9" t="s">
        <v>171</v>
      </c>
      <c r="H1772" s="35" t="s">
        <v>88</v>
      </c>
      <c r="I1772" s="10" t="s">
        <v>89</v>
      </c>
    </row>
    <row r="1773" spans="1:9" s="31" customFormat="1" ht="75">
      <c r="A1773" s="4">
        <v>43561.646585648152</v>
      </c>
      <c r="B1773" s="5" t="str">
        <f t="shared" si="84"/>
        <v>@KathyWalcott</v>
      </c>
      <c r="C1773" s="6" t="s">
        <v>86</v>
      </c>
      <c r="D1773" s="7" t="s">
        <v>4136</v>
      </c>
      <c r="E1773" s="8" t="str">
        <f t="shared" si="85"/>
        <v>Twitter for Android</v>
      </c>
      <c r="F1773" s="4">
        <v>40852.383622685185</v>
      </c>
      <c r="G1773" s="9" t="s">
        <v>171</v>
      </c>
      <c r="H1773" s="35" t="s">
        <v>88</v>
      </c>
      <c r="I1773" s="10" t="s">
        <v>89</v>
      </c>
    </row>
    <row r="1774" spans="1:9" s="31" customFormat="1" ht="75">
      <c r="A1774" s="4">
        <v>43560.775937500002</v>
      </c>
      <c r="B1774" s="5" t="str">
        <f t="shared" si="84"/>
        <v>@KathyWalcott</v>
      </c>
      <c r="C1774" s="6" t="s">
        <v>86</v>
      </c>
      <c r="D1774" s="7" t="s">
        <v>469</v>
      </c>
      <c r="E1774" s="8" t="str">
        <f t="shared" si="85"/>
        <v>Twitter for Android</v>
      </c>
      <c r="F1774" s="4">
        <v>40852.383622685185</v>
      </c>
      <c r="G1774" s="9" t="s">
        <v>171</v>
      </c>
      <c r="H1774" s="35" t="s">
        <v>88</v>
      </c>
      <c r="I1774" s="10" t="s">
        <v>89</v>
      </c>
    </row>
    <row r="1775" spans="1:9" s="31" customFormat="1" ht="75">
      <c r="A1775" s="4">
        <v>43560.291770833333</v>
      </c>
      <c r="B1775" s="5" t="str">
        <f t="shared" si="84"/>
        <v>@KathyWalcott</v>
      </c>
      <c r="C1775" s="6" t="s">
        <v>86</v>
      </c>
      <c r="D1775" s="7" t="s">
        <v>4136</v>
      </c>
      <c r="E1775" s="8" t="str">
        <f t="shared" si="85"/>
        <v>Twitter for Android</v>
      </c>
      <c r="F1775" s="4">
        <v>40852.383622685185</v>
      </c>
      <c r="G1775" s="9" t="s">
        <v>171</v>
      </c>
      <c r="H1775" s="35" t="s">
        <v>88</v>
      </c>
      <c r="I1775" s="10" t="s">
        <v>89</v>
      </c>
    </row>
    <row r="1776" spans="1:9" s="31" customFormat="1" ht="90">
      <c r="A1776" s="4">
        <v>43560.229421296295</v>
      </c>
      <c r="B1776" s="5" t="str">
        <f t="shared" si="84"/>
        <v>@KathyWalcott</v>
      </c>
      <c r="C1776" s="6" t="s">
        <v>86</v>
      </c>
      <c r="D1776" s="7" t="s">
        <v>87</v>
      </c>
      <c r="E1776" s="8" t="str">
        <f t="shared" si="85"/>
        <v>Twitter for Android</v>
      </c>
      <c r="F1776" s="4">
        <v>40852.383622685185</v>
      </c>
      <c r="G1776" s="9" t="s">
        <v>171</v>
      </c>
      <c r="H1776" s="35" t="s">
        <v>88</v>
      </c>
      <c r="I1776" s="10" t="s">
        <v>89</v>
      </c>
    </row>
    <row r="1777" spans="1:9" s="31" customFormat="1" ht="60">
      <c r="A1777" s="4">
        <v>43560.147939814815</v>
      </c>
      <c r="B1777" s="5" t="str">
        <f t="shared" si="84"/>
        <v>@KathyWalcott</v>
      </c>
      <c r="C1777" s="6" t="s">
        <v>86</v>
      </c>
      <c r="D1777" s="7" t="s">
        <v>2669</v>
      </c>
      <c r="E1777" s="8" t="str">
        <f t="shared" si="85"/>
        <v>Twitter for Android</v>
      </c>
      <c r="F1777" s="4">
        <v>40852.383622685185</v>
      </c>
      <c r="G1777" s="9" t="s">
        <v>171</v>
      </c>
      <c r="H1777" s="35" t="s">
        <v>88</v>
      </c>
      <c r="I1777" s="10" t="s">
        <v>89</v>
      </c>
    </row>
    <row r="1778" spans="1:9" s="31" customFormat="1" ht="60">
      <c r="A1778" s="4">
        <v>43560.146585648152</v>
      </c>
      <c r="B1778" s="5" t="str">
        <f t="shared" si="84"/>
        <v>@KathyWalcott</v>
      </c>
      <c r="C1778" s="6" t="s">
        <v>86</v>
      </c>
      <c r="D1778" s="7" t="s">
        <v>5228</v>
      </c>
      <c r="E1778" s="8" t="str">
        <f t="shared" si="85"/>
        <v>Twitter for Android</v>
      </c>
      <c r="F1778" s="4">
        <v>40852.383622685185</v>
      </c>
      <c r="G1778" s="9" t="s">
        <v>171</v>
      </c>
      <c r="H1778" s="35" t="s">
        <v>88</v>
      </c>
      <c r="I1778" s="10" t="s">
        <v>89</v>
      </c>
    </row>
    <row r="1779" spans="1:9" s="31" customFormat="1" ht="75">
      <c r="A1779" s="4">
        <v>43559.754606481481</v>
      </c>
      <c r="B1779" s="5" t="str">
        <f t="shared" si="84"/>
        <v>@KathyWalcott</v>
      </c>
      <c r="C1779" s="6" t="s">
        <v>86</v>
      </c>
      <c r="D1779" s="7" t="s">
        <v>469</v>
      </c>
      <c r="E1779" s="8" t="str">
        <f t="shared" si="85"/>
        <v>Twitter for Android</v>
      </c>
      <c r="F1779" s="4">
        <v>40852.383622685185</v>
      </c>
      <c r="G1779" s="9" t="s">
        <v>171</v>
      </c>
      <c r="H1779" s="35" t="s">
        <v>88</v>
      </c>
      <c r="I1779" s="10" t="s">
        <v>89</v>
      </c>
    </row>
    <row r="1780" spans="1:9" s="31" customFormat="1" ht="90">
      <c r="A1780" s="4">
        <v>43559.70988425926</v>
      </c>
      <c r="B1780" s="5" t="str">
        <f t="shared" si="84"/>
        <v>@KathyWalcott</v>
      </c>
      <c r="C1780" s="6" t="s">
        <v>86</v>
      </c>
      <c r="D1780" s="7" t="s">
        <v>87</v>
      </c>
      <c r="E1780" s="8" t="str">
        <f t="shared" si="85"/>
        <v>Twitter for Android</v>
      </c>
      <c r="F1780" s="4">
        <v>40852.383622685185</v>
      </c>
      <c r="G1780" s="9" t="s">
        <v>171</v>
      </c>
      <c r="H1780" s="35" t="s">
        <v>88</v>
      </c>
      <c r="I1780" s="10" t="s">
        <v>89</v>
      </c>
    </row>
    <row r="1781" spans="1:9" s="31" customFormat="1" ht="75">
      <c r="A1781" s="4">
        <v>43559.510740740741</v>
      </c>
      <c r="B1781" s="5" t="str">
        <f t="shared" si="84"/>
        <v>@KathyWalcott</v>
      </c>
      <c r="C1781" s="6" t="s">
        <v>86</v>
      </c>
      <c r="D1781" s="7" t="s">
        <v>4136</v>
      </c>
      <c r="E1781" s="8" t="str">
        <f t="shared" si="85"/>
        <v>Twitter for Android</v>
      </c>
      <c r="F1781" s="4">
        <v>40852.383622685185</v>
      </c>
      <c r="G1781" s="9" t="s">
        <v>171</v>
      </c>
      <c r="H1781" s="35" t="s">
        <v>88</v>
      </c>
      <c r="I1781" s="10" t="s">
        <v>89</v>
      </c>
    </row>
    <row r="1782" spans="1:9" s="31" customFormat="1" ht="75">
      <c r="A1782" s="4">
        <v>43558.733599537038</v>
      </c>
      <c r="B1782" s="5" t="str">
        <f t="shared" si="84"/>
        <v>@KathyWalcott</v>
      </c>
      <c r="C1782" s="6" t="s">
        <v>86</v>
      </c>
      <c r="D1782" s="7" t="s">
        <v>469</v>
      </c>
      <c r="E1782" s="8" t="str">
        <f t="shared" si="85"/>
        <v>Twitter for Android</v>
      </c>
      <c r="F1782" s="4">
        <v>40852.383622685185</v>
      </c>
      <c r="G1782" s="9" t="s">
        <v>171</v>
      </c>
      <c r="H1782" s="35" t="s">
        <v>88</v>
      </c>
      <c r="I1782" s="10" t="s">
        <v>89</v>
      </c>
    </row>
    <row r="1783" spans="1:9" s="31" customFormat="1" ht="90">
      <c r="A1783" s="4">
        <v>43558.421712962961</v>
      </c>
      <c r="B1783" s="5" t="str">
        <f t="shared" si="84"/>
        <v>@KathyWalcott</v>
      </c>
      <c r="C1783" s="6" t="s">
        <v>86</v>
      </c>
      <c r="D1783" s="7" t="s">
        <v>87</v>
      </c>
      <c r="E1783" s="8" t="str">
        <f t="shared" si="85"/>
        <v>Twitter for Android</v>
      </c>
      <c r="F1783" s="4">
        <v>40852.383622685185</v>
      </c>
      <c r="G1783" s="9" t="s">
        <v>171</v>
      </c>
      <c r="H1783" s="35" t="s">
        <v>88</v>
      </c>
      <c r="I1783" s="10" t="s">
        <v>89</v>
      </c>
    </row>
    <row r="1784" spans="1:9" s="31" customFormat="1" ht="75">
      <c r="A1784" s="4">
        <v>43558.291932870372</v>
      </c>
      <c r="B1784" s="5" t="str">
        <f t="shared" si="84"/>
        <v>@KathyWalcott</v>
      </c>
      <c r="C1784" s="6" t="s">
        <v>86</v>
      </c>
      <c r="D1784" s="7" t="s">
        <v>4136</v>
      </c>
      <c r="E1784" s="8" t="str">
        <f t="shared" si="85"/>
        <v>Twitter for Android</v>
      </c>
      <c r="F1784" s="4">
        <v>40852.383622685185</v>
      </c>
      <c r="G1784" s="9" t="s">
        <v>171</v>
      </c>
      <c r="H1784" s="35" t="s">
        <v>88</v>
      </c>
      <c r="I1784" s="10" t="s">
        <v>89</v>
      </c>
    </row>
    <row r="1785" spans="1:9" s="31" customFormat="1" ht="75">
      <c r="A1785" s="4">
        <v>43557.688437500001</v>
      </c>
      <c r="B1785" s="5" t="str">
        <f t="shared" si="84"/>
        <v>@KathyWalcott</v>
      </c>
      <c r="C1785" s="6" t="s">
        <v>86</v>
      </c>
      <c r="D1785" s="7" t="s">
        <v>469</v>
      </c>
      <c r="E1785" s="8" t="str">
        <f t="shared" si="85"/>
        <v>Twitter for Android</v>
      </c>
      <c r="F1785" s="4">
        <v>40852.383622685185</v>
      </c>
      <c r="G1785" s="9" t="s">
        <v>171</v>
      </c>
      <c r="H1785" s="35" t="s">
        <v>88</v>
      </c>
      <c r="I1785" s="10" t="s">
        <v>89</v>
      </c>
    </row>
    <row r="1786" spans="1:9" s="31" customFormat="1" ht="90">
      <c r="A1786" s="4">
        <v>43557.625486111108</v>
      </c>
      <c r="B1786" s="5" t="str">
        <f t="shared" si="84"/>
        <v>@KathyWalcott</v>
      </c>
      <c r="C1786" s="6" t="s">
        <v>86</v>
      </c>
      <c r="D1786" s="7" t="s">
        <v>87</v>
      </c>
      <c r="E1786" s="8" t="str">
        <f t="shared" si="85"/>
        <v>Twitter for Android</v>
      </c>
      <c r="F1786" s="4">
        <v>40852.383622685185</v>
      </c>
      <c r="G1786" s="9" t="s">
        <v>171</v>
      </c>
      <c r="H1786" s="35" t="s">
        <v>88</v>
      </c>
      <c r="I1786" s="10" t="s">
        <v>89</v>
      </c>
    </row>
    <row r="1787" spans="1:9" s="31" customFormat="1" ht="75">
      <c r="A1787" s="4">
        <v>43557.541712962964</v>
      </c>
      <c r="B1787" s="5" t="str">
        <f t="shared" si="84"/>
        <v>@KathyWalcott</v>
      </c>
      <c r="C1787" s="6" t="s">
        <v>86</v>
      </c>
      <c r="D1787" s="7" t="s">
        <v>4136</v>
      </c>
      <c r="E1787" s="8" t="str">
        <f t="shared" si="85"/>
        <v>Twitter for Android</v>
      </c>
      <c r="F1787" s="4">
        <v>40852.383622685185</v>
      </c>
      <c r="G1787" s="9" t="s">
        <v>171</v>
      </c>
      <c r="H1787" s="35" t="s">
        <v>88</v>
      </c>
      <c r="I1787" s="10" t="s">
        <v>89</v>
      </c>
    </row>
    <row r="1788" spans="1:9" s="31" customFormat="1" ht="75">
      <c r="A1788" s="4">
        <v>43556.7502662037</v>
      </c>
      <c r="B1788" s="5" t="str">
        <f t="shared" si="84"/>
        <v>@KathyWalcott</v>
      </c>
      <c r="C1788" s="6" t="s">
        <v>86</v>
      </c>
      <c r="D1788" s="7" t="s">
        <v>7100</v>
      </c>
      <c r="E1788" s="8" t="str">
        <f t="shared" si="85"/>
        <v>Twitter for Android</v>
      </c>
      <c r="F1788" s="4">
        <v>40852.383622685185</v>
      </c>
      <c r="G1788" s="9" t="s">
        <v>171</v>
      </c>
      <c r="H1788" s="35" t="s">
        <v>88</v>
      </c>
      <c r="I1788" s="10" t="s">
        <v>89</v>
      </c>
    </row>
    <row r="1789" spans="1:9" s="31" customFormat="1" ht="75">
      <c r="A1789" s="4">
        <v>43556.729745370365</v>
      </c>
      <c r="B1789" s="5" t="str">
        <f t="shared" si="84"/>
        <v>@KathyWalcott</v>
      </c>
      <c r="C1789" s="6" t="s">
        <v>86</v>
      </c>
      <c r="D1789" s="7" t="s">
        <v>469</v>
      </c>
      <c r="E1789" s="8" t="str">
        <f t="shared" si="85"/>
        <v>Twitter for Android</v>
      </c>
      <c r="F1789" s="4">
        <v>40852.383622685185</v>
      </c>
      <c r="G1789" s="9" t="s">
        <v>171</v>
      </c>
      <c r="H1789" s="35" t="s">
        <v>88</v>
      </c>
      <c r="I1789" s="10" t="s">
        <v>89</v>
      </c>
    </row>
    <row r="1790" spans="1:9" s="31" customFormat="1" ht="90">
      <c r="A1790" s="12">
        <v>43580.773032407407</v>
      </c>
      <c r="B1790" s="13" t="str">
        <f t="shared" si="84"/>
        <v>@KathyWalcott</v>
      </c>
      <c r="C1790" s="14" t="s">
        <v>86</v>
      </c>
      <c r="D1790" s="15" t="s">
        <v>87</v>
      </c>
      <c r="E1790" s="16" t="str">
        <f t="shared" si="85"/>
        <v>Twitter for Android</v>
      </c>
      <c r="F1790" s="12">
        <v>40852.841956018521</v>
      </c>
      <c r="G1790" s="9" t="s">
        <v>171</v>
      </c>
      <c r="H1790" s="35" t="s">
        <v>88</v>
      </c>
      <c r="I1790" s="18" t="s">
        <v>89</v>
      </c>
    </row>
    <row r="1791" spans="1:9" s="31" customFormat="1" ht="75">
      <c r="A1791" s="12">
        <v>43579.752858796295</v>
      </c>
      <c r="B1791" s="13" t="str">
        <f t="shared" si="84"/>
        <v>@KathyWalcott</v>
      </c>
      <c r="C1791" s="14" t="s">
        <v>86</v>
      </c>
      <c r="D1791" s="15" t="s">
        <v>469</v>
      </c>
      <c r="E1791" s="16" t="str">
        <f t="shared" si="85"/>
        <v>Twitter for Android</v>
      </c>
      <c r="F1791" s="12">
        <v>40852.383622685185</v>
      </c>
      <c r="G1791" s="9" t="s">
        <v>171</v>
      </c>
      <c r="H1791" s="35" t="s">
        <v>88</v>
      </c>
      <c r="I1791" s="18" t="s">
        <v>89</v>
      </c>
    </row>
    <row r="1792" spans="1:9" s="31" customFormat="1" ht="90">
      <c r="A1792" s="12">
        <v>43579.605023148149</v>
      </c>
      <c r="B1792" s="13" t="str">
        <f t="shared" si="84"/>
        <v>@KathyWalcott</v>
      </c>
      <c r="C1792" s="14" t="s">
        <v>86</v>
      </c>
      <c r="D1792" s="15" t="s">
        <v>87</v>
      </c>
      <c r="E1792" s="16" t="str">
        <f t="shared" si="85"/>
        <v>Twitter for Android</v>
      </c>
      <c r="F1792" s="12">
        <v>40852.383622685185</v>
      </c>
      <c r="G1792" s="9" t="s">
        <v>171</v>
      </c>
      <c r="H1792" s="35" t="s">
        <v>88</v>
      </c>
      <c r="I1792" s="18" t="s">
        <v>89</v>
      </c>
    </row>
    <row r="1793" spans="1:9" s="31" customFormat="1" ht="75">
      <c r="A1793" s="12">
        <v>43578.729212962964</v>
      </c>
      <c r="B1793" s="13" t="str">
        <f t="shared" si="84"/>
        <v>@KathyWalcott</v>
      </c>
      <c r="C1793" s="14" t="s">
        <v>86</v>
      </c>
      <c r="D1793" s="15" t="s">
        <v>1061</v>
      </c>
      <c r="E1793" s="16" t="str">
        <f t="shared" si="85"/>
        <v>Twitter for Android</v>
      </c>
      <c r="F1793" s="12">
        <v>40852.383622685185</v>
      </c>
      <c r="G1793" s="9" t="s">
        <v>171</v>
      </c>
      <c r="H1793" s="35" t="s">
        <v>88</v>
      </c>
      <c r="I1793" s="18" t="s">
        <v>89</v>
      </c>
    </row>
    <row r="1794" spans="1:9" s="31" customFormat="1" ht="90">
      <c r="A1794" s="12">
        <v>43578.6253587963</v>
      </c>
      <c r="B1794" s="13" t="str">
        <f t="shared" si="84"/>
        <v>@KathyWalcott</v>
      </c>
      <c r="C1794" s="14" t="s">
        <v>86</v>
      </c>
      <c r="D1794" s="15" t="s">
        <v>87</v>
      </c>
      <c r="E1794" s="16" t="str">
        <f t="shared" si="85"/>
        <v>Twitter for Android</v>
      </c>
      <c r="F1794" s="12">
        <v>40852.383622685185</v>
      </c>
      <c r="G1794" s="9" t="s">
        <v>171</v>
      </c>
      <c r="H1794" s="35" t="s">
        <v>88</v>
      </c>
      <c r="I1794" s="18" t="s">
        <v>89</v>
      </c>
    </row>
    <row r="1795" spans="1:9" s="31" customFormat="1" ht="90">
      <c r="A1795" s="12">
        <v>43577.292002314818</v>
      </c>
      <c r="B1795" s="13" t="str">
        <f t="shared" si="84"/>
        <v>@KathyWalcott</v>
      </c>
      <c r="C1795" s="14" t="s">
        <v>86</v>
      </c>
      <c r="D1795" s="15" t="s">
        <v>87</v>
      </c>
      <c r="E1795" s="16" t="str">
        <f t="shared" si="85"/>
        <v>Twitter for Android</v>
      </c>
      <c r="F1795" s="12">
        <v>40852.383622685185</v>
      </c>
      <c r="G1795" s="9" t="s">
        <v>171</v>
      </c>
      <c r="H1795" s="35" t="s">
        <v>88</v>
      </c>
      <c r="I1795" s="18" t="s">
        <v>89</v>
      </c>
    </row>
    <row r="1796" spans="1:9" s="31" customFormat="1" ht="75">
      <c r="A1796" s="12">
        <v>43576.750439814816</v>
      </c>
      <c r="B1796" s="13" t="str">
        <f t="shared" si="84"/>
        <v>@KathyWalcott</v>
      </c>
      <c r="C1796" s="14" t="s">
        <v>86</v>
      </c>
      <c r="D1796" s="15" t="s">
        <v>469</v>
      </c>
      <c r="E1796" s="16" t="str">
        <f t="shared" si="85"/>
        <v>Twitter for Android</v>
      </c>
      <c r="F1796" s="12">
        <v>40852.383622685185</v>
      </c>
      <c r="G1796" s="9" t="s">
        <v>171</v>
      </c>
      <c r="H1796" s="35" t="s">
        <v>88</v>
      </c>
      <c r="I1796" s="18" t="s">
        <v>89</v>
      </c>
    </row>
    <row r="1797" spans="1:9" s="31" customFormat="1" ht="90">
      <c r="A1797" s="12">
        <v>43576.667395833334</v>
      </c>
      <c r="B1797" s="13" t="str">
        <f t="shared" si="84"/>
        <v>@KathyWalcott</v>
      </c>
      <c r="C1797" s="14" t="s">
        <v>86</v>
      </c>
      <c r="D1797" s="15" t="s">
        <v>87</v>
      </c>
      <c r="E1797" s="16" t="str">
        <f t="shared" si="85"/>
        <v>Twitter for Android</v>
      </c>
      <c r="F1797" s="12">
        <v>40852.383622685185</v>
      </c>
      <c r="G1797" s="9" t="s">
        <v>171</v>
      </c>
      <c r="H1797" s="35" t="s">
        <v>88</v>
      </c>
      <c r="I1797" s="18" t="s">
        <v>89</v>
      </c>
    </row>
    <row r="1798" spans="1:9" s="31" customFormat="1" ht="75">
      <c r="A1798" s="12">
        <v>43575.750069444446</v>
      </c>
      <c r="B1798" s="13" t="str">
        <f t="shared" ref="B1798:B1827" si="86">HYPERLINK("https://twitter.com/KathyWalcott","@KathyWalcott")</f>
        <v>@KathyWalcott</v>
      </c>
      <c r="C1798" s="14" t="s">
        <v>86</v>
      </c>
      <c r="D1798" s="15" t="s">
        <v>469</v>
      </c>
      <c r="E1798" s="16" t="str">
        <f t="shared" ref="E1798:E1827" si="87">HYPERLINK("http://twitter.com/download/android","Twitter for Android")</f>
        <v>Twitter for Android</v>
      </c>
      <c r="F1798" s="12">
        <v>40852.383622685185</v>
      </c>
      <c r="G1798" s="9" t="s">
        <v>171</v>
      </c>
      <c r="H1798" s="35" t="s">
        <v>88</v>
      </c>
      <c r="I1798" s="18" t="s">
        <v>89</v>
      </c>
    </row>
    <row r="1799" spans="1:9" s="31" customFormat="1" ht="90">
      <c r="A1799" s="12">
        <v>43575.292187500003</v>
      </c>
      <c r="B1799" s="13" t="str">
        <f t="shared" si="86"/>
        <v>@KathyWalcott</v>
      </c>
      <c r="C1799" s="14" t="s">
        <v>86</v>
      </c>
      <c r="D1799" s="15" t="s">
        <v>87</v>
      </c>
      <c r="E1799" s="16" t="str">
        <f t="shared" si="87"/>
        <v>Twitter for Android</v>
      </c>
      <c r="F1799" s="12">
        <v>40852.383622685185</v>
      </c>
      <c r="G1799" s="9" t="s">
        <v>171</v>
      </c>
      <c r="H1799" s="35" t="s">
        <v>88</v>
      </c>
      <c r="I1799" s="18" t="s">
        <v>89</v>
      </c>
    </row>
    <row r="1800" spans="1:9" s="31" customFormat="1" ht="120">
      <c r="A1800" s="12">
        <v>43575.250254629631</v>
      </c>
      <c r="B1800" s="13" t="str">
        <f t="shared" si="86"/>
        <v>@KathyWalcott</v>
      </c>
      <c r="C1800" s="14" t="s">
        <v>86</v>
      </c>
      <c r="D1800" s="15" t="s">
        <v>2331</v>
      </c>
      <c r="E1800" s="16" t="str">
        <f t="shared" si="87"/>
        <v>Twitter for Android</v>
      </c>
      <c r="F1800" s="12">
        <v>40852.383622685185</v>
      </c>
      <c r="G1800" s="9" t="s">
        <v>171</v>
      </c>
      <c r="H1800" s="35" t="s">
        <v>88</v>
      </c>
      <c r="I1800" s="18" t="s">
        <v>89</v>
      </c>
    </row>
    <row r="1801" spans="1:9" s="31" customFormat="1" ht="75">
      <c r="A1801" s="12">
        <v>43574.66715277778</v>
      </c>
      <c r="B1801" s="13" t="str">
        <f t="shared" si="86"/>
        <v>@KathyWalcott</v>
      </c>
      <c r="C1801" s="14" t="s">
        <v>86</v>
      </c>
      <c r="D1801" s="15" t="s">
        <v>469</v>
      </c>
      <c r="E1801" s="16" t="str">
        <f t="shared" si="87"/>
        <v>Twitter for Android</v>
      </c>
      <c r="F1801" s="12">
        <v>40852.383622685185</v>
      </c>
      <c r="G1801" s="9" t="s">
        <v>171</v>
      </c>
      <c r="H1801" s="35" t="s">
        <v>88</v>
      </c>
      <c r="I1801" s="18" t="s">
        <v>89</v>
      </c>
    </row>
    <row r="1802" spans="1:9" s="31" customFormat="1" ht="90">
      <c r="A1802" s="12">
        <v>43574.292118055557</v>
      </c>
      <c r="B1802" s="13" t="str">
        <f t="shared" si="86"/>
        <v>@KathyWalcott</v>
      </c>
      <c r="C1802" s="14" t="s">
        <v>86</v>
      </c>
      <c r="D1802" s="15" t="s">
        <v>87</v>
      </c>
      <c r="E1802" s="16" t="str">
        <f t="shared" si="87"/>
        <v>Twitter for Android</v>
      </c>
      <c r="F1802" s="12">
        <v>40852.383622685185</v>
      </c>
      <c r="G1802" s="9" t="s">
        <v>171</v>
      </c>
      <c r="H1802" s="35" t="s">
        <v>88</v>
      </c>
      <c r="I1802" s="18" t="s">
        <v>89</v>
      </c>
    </row>
    <row r="1803" spans="1:9" s="31" customFormat="1" ht="60">
      <c r="A1803" s="12">
        <v>43574.148634259254</v>
      </c>
      <c r="B1803" s="13" t="str">
        <f t="shared" si="86"/>
        <v>@KathyWalcott</v>
      </c>
      <c r="C1803" s="14" t="s">
        <v>86</v>
      </c>
      <c r="D1803" s="15" t="s">
        <v>2669</v>
      </c>
      <c r="E1803" s="16" t="str">
        <f t="shared" si="87"/>
        <v>Twitter for Android</v>
      </c>
      <c r="F1803" s="12">
        <v>40852.383622685185</v>
      </c>
      <c r="G1803" s="9" t="s">
        <v>171</v>
      </c>
      <c r="H1803" s="35" t="s">
        <v>88</v>
      </c>
      <c r="I1803" s="18" t="s">
        <v>89</v>
      </c>
    </row>
    <row r="1804" spans="1:9" s="31" customFormat="1" ht="90">
      <c r="A1804" s="12">
        <v>43574.146550925929</v>
      </c>
      <c r="B1804" s="13" t="str">
        <f t="shared" si="86"/>
        <v>@KathyWalcott</v>
      </c>
      <c r="C1804" s="14" t="s">
        <v>86</v>
      </c>
      <c r="D1804" s="15" t="s">
        <v>2670</v>
      </c>
      <c r="E1804" s="16" t="str">
        <f t="shared" si="87"/>
        <v>Twitter for Android</v>
      </c>
      <c r="F1804" s="12">
        <v>40852.383622685185</v>
      </c>
      <c r="G1804" s="9" t="s">
        <v>171</v>
      </c>
      <c r="H1804" s="35" t="s">
        <v>88</v>
      </c>
      <c r="I1804" s="18" t="s">
        <v>89</v>
      </c>
    </row>
    <row r="1805" spans="1:9" s="31" customFormat="1" ht="75">
      <c r="A1805" s="12">
        <v>43573.751643518517</v>
      </c>
      <c r="B1805" s="13" t="str">
        <f t="shared" si="86"/>
        <v>@KathyWalcott</v>
      </c>
      <c r="C1805" s="14" t="s">
        <v>86</v>
      </c>
      <c r="D1805" s="15" t="s">
        <v>469</v>
      </c>
      <c r="E1805" s="16" t="str">
        <f t="shared" si="87"/>
        <v>Twitter for Android</v>
      </c>
      <c r="F1805" s="12">
        <v>40852.383622685185</v>
      </c>
      <c r="G1805" s="9" t="s">
        <v>171</v>
      </c>
      <c r="H1805" s="35" t="s">
        <v>88</v>
      </c>
      <c r="I1805" s="18" t="s">
        <v>89</v>
      </c>
    </row>
    <row r="1806" spans="1:9" s="31" customFormat="1" ht="90">
      <c r="A1806" s="12">
        <v>43573.500081018516</v>
      </c>
      <c r="B1806" s="13" t="str">
        <f t="shared" si="86"/>
        <v>@KathyWalcott</v>
      </c>
      <c r="C1806" s="14" t="s">
        <v>86</v>
      </c>
      <c r="D1806" s="15" t="s">
        <v>87</v>
      </c>
      <c r="E1806" s="16" t="str">
        <f t="shared" si="87"/>
        <v>Twitter for Android</v>
      </c>
      <c r="F1806" s="12">
        <v>40852.383622685185</v>
      </c>
      <c r="G1806" s="9" t="s">
        <v>171</v>
      </c>
      <c r="H1806" s="35" t="s">
        <v>88</v>
      </c>
      <c r="I1806" s="18" t="s">
        <v>89</v>
      </c>
    </row>
    <row r="1807" spans="1:9" s="31" customFormat="1" ht="75">
      <c r="A1807" s="12">
        <v>43572.729363425926</v>
      </c>
      <c r="B1807" s="13" t="str">
        <f t="shared" si="86"/>
        <v>@KathyWalcott</v>
      </c>
      <c r="C1807" s="14" t="s">
        <v>86</v>
      </c>
      <c r="D1807" s="15" t="s">
        <v>469</v>
      </c>
      <c r="E1807" s="16" t="str">
        <f t="shared" si="87"/>
        <v>Twitter for Android</v>
      </c>
      <c r="F1807" s="12">
        <v>40852.383622685185</v>
      </c>
      <c r="G1807" s="9" t="s">
        <v>171</v>
      </c>
      <c r="H1807" s="35" t="s">
        <v>88</v>
      </c>
      <c r="I1807" s="18" t="s">
        <v>89</v>
      </c>
    </row>
    <row r="1808" spans="1:9" s="31" customFormat="1" ht="90">
      <c r="A1808" s="12">
        <v>43572.208981481483</v>
      </c>
      <c r="B1808" s="13" t="str">
        <f t="shared" si="86"/>
        <v>@KathyWalcott</v>
      </c>
      <c r="C1808" s="14" t="s">
        <v>86</v>
      </c>
      <c r="D1808" s="15" t="s">
        <v>87</v>
      </c>
      <c r="E1808" s="16" t="str">
        <f t="shared" si="87"/>
        <v>Twitter for Android</v>
      </c>
      <c r="F1808" s="12">
        <v>40852.383622685185</v>
      </c>
      <c r="G1808" s="9" t="s">
        <v>171</v>
      </c>
      <c r="H1808" s="35" t="s">
        <v>88</v>
      </c>
      <c r="I1808" s="18" t="s">
        <v>89</v>
      </c>
    </row>
    <row r="1809" spans="1:9" s="31" customFormat="1" ht="75">
      <c r="A1809" s="12">
        <v>43571.710682870369</v>
      </c>
      <c r="B1809" s="13" t="str">
        <f t="shared" si="86"/>
        <v>@KathyWalcott</v>
      </c>
      <c r="C1809" s="14" t="s">
        <v>86</v>
      </c>
      <c r="D1809" s="15" t="s">
        <v>469</v>
      </c>
      <c r="E1809" s="16" t="str">
        <f t="shared" si="87"/>
        <v>Twitter for Android</v>
      </c>
      <c r="F1809" s="12">
        <v>40852.383622685185</v>
      </c>
      <c r="G1809" s="9" t="s">
        <v>171</v>
      </c>
      <c r="H1809" s="35" t="s">
        <v>88</v>
      </c>
      <c r="I1809" s="18" t="s">
        <v>89</v>
      </c>
    </row>
    <row r="1810" spans="1:9" s="31" customFormat="1" ht="90">
      <c r="A1810" s="12">
        <v>43571.583379629628</v>
      </c>
      <c r="B1810" s="13" t="str">
        <f t="shared" si="86"/>
        <v>@KathyWalcott</v>
      </c>
      <c r="C1810" s="14" t="s">
        <v>86</v>
      </c>
      <c r="D1810" s="15" t="s">
        <v>87</v>
      </c>
      <c r="E1810" s="16" t="str">
        <f t="shared" si="87"/>
        <v>Twitter for Android</v>
      </c>
      <c r="F1810" s="12">
        <v>40852.383622685185</v>
      </c>
      <c r="G1810" s="9" t="s">
        <v>171</v>
      </c>
      <c r="H1810" s="35" t="s">
        <v>88</v>
      </c>
      <c r="I1810" s="18" t="s">
        <v>89</v>
      </c>
    </row>
    <row r="1811" spans="1:9" s="31" customFormat="1" ht="75">
      <c r="A1811" s="12">
        <v>43570.731678240743</v>
      </c>
      <c r="B1811" s="13" t="str">
        <f t="shared" si="86"/>
        <v>@KathyWalcott</v>
      </c>
      <c r="C1811" s="14" t="s">
        <v>86</v>
      </c>
      <c r="D1811" s="15" t="s">
        <v>469</v>
      </c>
      <c r="E1811" s="16" t="str">
        <f t="shared" si="87"/>
        <v>Twitter for Android</v>
      </c>
      <c r="F1811" s="12">
        <v>40852.383622685185</v>
      </c>
      <c r="G1811" s="9" t="s">
        <v>171</v>
      </c>
      <c r="H1811" s="35" t="s">
        <v>88</v>
      </c>
      <c r="I1811" s="18" t="s">
        <v>89</v>
      </c>
    </row>
    <row r="1812" spans="1:9" s="31" customFormat="1" ht="90">
      <c r="A1812" s="12">
        <v>43570.708368055552</v>
      </c>
      <c r="B1812" s="13" t="str">
        <f t="shared" si="86"/>
        <v>@KathyWalcott</v>
      </c>
      <c r="C1812" s="14" t="s">
        <v>86</v>
      </c>
      <c r="D1812" s="15" t="s">
        <v>87</v>
      </c>
      <c r="E1812" s="16" t="str">
        <f t="shared" si="87"/>
        <v>Twitter for Android</v>
      </c>
      <c r="F1812" s="12">
        <v>40852.383622685185</v>
      </c>
      <c r="G1812" s="9" t="s">
        <v>171</v>
      </c>
      <c r="H1812" s="35" t="s">
        <v>88</v>
      </c>
      <c r="I1812" s="18" t="s">
        <v>89</v>
      </c>
    </row>
    <row r="1813" spans="1:9" s="31" customFormat="1" ht="75">
      <c r="A1813" s="12">
        <v>43570.458553240736</v>
      </c>
      <c r="B1813" s="13" t="str">
        <f t="shared" si="86"/>
        <v>@KathyWalcott</v>
      </c>
      <c r="C1813" s="14" t="s">
        <v>86</v>
      </c>
      <c r="D1813" s="15" t="s">
        <v>4136</v>
      </c>
      <c r="E1813" s="16" t="str">
        <f t="shared" si="87"/>
        <v>Twitter for Android</v>
      </c>
      <c r="F1813" s="12">
        <v>40852.383622685185</v>
      </c>
      <c r="G1813" s="9" t="s">
        <v>171</v>
      </c>
      <c r="H1813" s="35" t="s">
        <v>88</v>
      </c>
      <c r="I1813" s="18" t="s">
        <v>89</v>
      </c>
    </row>
    <row r="1814" spans="1:9" s="31" customFormat="1" ht="75">
      <c r="A1814" s="12">
        <v>43569.646053240736</v>
      </c>
      <c r="B1814" s="13" t="str">
        <f t="shared" si="86"/>
        <v>@KathyWalcott</v>
      </c>
      <c r="C1814" s="14" t="s">
        <v>86</v>
      </c>
      <c r="D1814" s="15" t="s">
        <v>469</v>
      </c>
      <c r="E1814" s="16" t="str">
        <f t="shared" si="87"/>
        <v>Twitter for Android</v>
      </c>
      <c r="F1814" s="12">
        <v>40852.383622685185</v>
      </c>
      <c r="G1814" s="9" t="s">
        <v>171</v>
      </c>
      <c r="H1814" s="35" t="s">
        <v>88</v>
      </c>
      <c r="I1814" s="18" t="s">
        <v>89</v>
      </c>
    </row>
    <row r="1815" spans="1:9" s="31" customFormat="1" ht="75">
      <c r="A1815" s="12">
        <v>43569.584479166668</v>
      </c>
      <c r="B1815" s="13" t="str">
        <f t="shared" si="86"/>
        <v>@KathyWalcott</v>
      </c>
      <c r="C1815" s="14" t="s">
        <v>86</v>
      </c>
      <c r="D1815" s="15" t="s">
        <v>4136</v>
      </c>
      <c r="E1815" s="16" t="str">
        <f t="shared" si="87"/>
        <v>Twitter for Android</v>
      </c>
      <c r="F1815" s="12">
        <v>40852.383622685185</v>
      </c>
      <c r="G1815" s="9" t="s">
        <v>171</v>
      </c>
      <c r="H1815" s="35" t="s">
        <v>88</v>
      </c>
      <c r="I1815" s="18" t="s">
        <v>89</v>
      </c>
    </row>
    <row r="1816" spans="1:9" s="31" customFormat="1" ht="90">
      <c r="A1816" s="12">
        <v>43569.291689814811</v>
      </c>
      <c r="B1816" s="13" t="str">
        <f t="shared" si="86"/>
        <v>@KathyWalcott</v>
      </c>
      <c r="C1816" s="14" t="s">
        <v>86</v>
      </c>
      <c r="D1816" s="15" t="s">
        <v>87</v>
      </c>
      <c r="E1816" s="16" t="str">
        <f t="shared" si="87"/>
        <v>Twitter for Android</v>
      </c>
      <c r="F1816" s="12">
        <v>40852.383622685185</v>
      </c>
      <c r="G1816" s="9" t="s">
        <v>171</v>
      </c>
      <c r="H1816" s="35" t="s">
        <v>88</v>
      </c>
      <c r="I1816" s="18" t="s">
        <v>89</v>
      </c>
    </row>
    <row r="1817" spans="1:9" s="31" customFormat="1" ht="75">
      <c r="A1817" s="12">
        <v>43568.691087962958</v>
      </c>
      <c r="B1817" s="13" t="str">
        <f t="shared" si="86"/>
        <v>@KathyWalcott</v>
      </c>
      <c r="C1817" s="14" t="s">
        <v>86</v>
      </c>
      <c r="D1817" s="15" t="s">
        <v>469</v>
      </c>
      <c r="E1817" s="16" t="str">
        <f t="shared" si="87"/>
        <v>Twitter for Android</v>
      </c>
      <c r="F1817" s="12">
        <v>40852.383622685185</v>
      </c>
      <c r="G1817" s="9" t="s">
        <v>171</v>
      </c>
      <c r="H1817" s="35" t="s">
        <v>88</v>
      </c>
      <c r="I1817" s="18" t="s">
        <v>89</v>
      </c>
    </row>
    <row r="1818" spans="1:9" s="31" customFormat="1" ht="90">
      <c r="A1818" s="12">
        <v>43568.562569444446</v>
      </c>
      <c r="B1818" s="13" t="str">
        <f t="shared" si="86"/>
        <v>@KathyWalcott</v>
      </c>
      <c r="C1818" s="14" t="s">
        <v>86</v>
      </c>
      <c r="D1818" s="15" t="s">
        <v>87</v>
      </c>
      <c r="E1818" s="16" t="str">
        <f t="shared" si="87"/>
        <v>Twitter for Android</v>
      </c>
      <c r="F1818" s="12">
        <v>40852.383622685185</v>
      </c>
      <c r="G1818" s="9" t="s">
        <v>171</v>
      </c>
      <c r="H1818" s="35" t="s">
        <v>88</v>
      </c>
      <c r="I1818" s="18" t="s">
        <v>89</v>
      </c>
    </row>
    <row r="1819" spans="1:9" s="31" customFormat="1" ht="75">
      <c r="A1819" s="12">
        <v>43568.291898148149</v>
      </c>
      <c r="B1819" s="13" t="str">
        <f t="shared" si="86"/>
        <v>@KathyWalcott</v>
      </c>
      <c r="C1819" s="14" t="s">
        <v>86</v>
      </c>
      <c r="D1819" s="15" t="s">
        <v>4136</v>
      </c>
      <c r="E1819" s="16" t="str">
        <f t="shared" si="87"/>
        <v>Twitter for Android</v>
      </c>
      <c r="F1819" s="12">
        <v>40852.383622685185</v>
      </c>
      <c r="G1819" s="9" t="s">
        <v>171</v>
      </c>
      <c r="H1819" s="35" t="s">
        <v>88</v>
      </c>
      <c r="I1819" s="18" t="s">
        <v>89</v>
      </c>
    </row>
    <row r="1820" spans="1:9" s="31" customFormat="1" ht="90">
      <c r="A1820" s="12">
        <v>43567.729155092587</v>
      </c>
      <c r="B1820" s="13" t="str">
        <f t="shared" si="86"/>
        <v>@KathyWalcott</v>
      </c>
      <c r="C1820" s="14" t="s">
        <v>86</v>
      </c>
      <c r="D1820" s="15" t="s">
        <v>87</v>
      </c>
      <c r="E1820" s="16" t="str">
        <f t="shared" si="87"/>
        <v>Twitter for Android</v>
      </c>
      <c r="F1820" s="12">
        <v>40852.383622685185</v>
      </c>
      <c r="G1820" s="9" t="s">
        <v>171</v>
      </c>
      <c r="H1820" s="35" t="s">
        <v>88</v>
      </c>
      <c r="I1820" s="18" t="s">
        <v>89</v>
      </c>
    </row>
    <row r="1821" spans="1:9" s="31" customFormat="1" ht="75">
      <c r="A1821" s="12">
        <v>43567.66777777778</v>
      </c>
      <c r="B1821" s="13" t="str">
        <f t="shared" si="86"/>
        <v>@KathyWalcott</v>
      </c>
      <c r="C1821" s="14" t="s">
        <v>86</v>
      </c>
      <c r="D1821" s="15" t="s">
        <v>469</v>
      </c>
      <c r="E1821" s="16" t="str">
        <f t="shared" si="87"/>
        <v>Twitter for Android</v>
      </c>
      <c r="F1821" s="12">
        <v>40852.383622685185</v>
      </c>
      <c r="G1821" s="9" t="s">
        <v>171</v>
      </c>
      <c r="H1821" s="35" t="s">
        <v>88</v>
      </c>
      <c r="I1821" s="18" t="s">
        <v>89</v>
      </c>
    </row>
    <row r="1822" spans="1:9" s="31" customFormat="1" ht="75">
      <c r="A1822" s="12">
        <v>43567.541944444441</v>
      </c>
      <c r="B1822" s="13" t="str">
        <f t="shared" si="86"/>
        <v>@KathyWalcott</v>
      </c>
      <c r="C1822" s="14" t="s">
        <v>86</v>
      </c>
      <c r="D1822" s="15" t="s">
        <v>4136</v>
      </c>
      <c r="E1822" s="16" t="str">
        <f t="shared" si="87"/>
        <v>Twitter for Android</v>
      </c>
      <c r="F1822" s="12">
        <v>40852.383622685185</v>
      </c>
      <c r="G1822" s="9" t="s">
        <v>171</v>
      </c>
      <c r="H1822" s="35" t="s">
        <v>88</v>
      </c>
      <c r="I1822" s="18" t="s">
        <v>89</v>
      </c>
    </row>
    <row r="1823" spans="1:9" s="31" customFormat="1" ht="60">
      <c r="A1823" s="12">
        <v>43567.149328703701</v>
      </c>
      <c r="B1823" s="13" t="str">
        <f t="shared" si="86"/>
        <v>@KathyWalcott</v>
      </c>
      <c r="C1823" s="14" t="s">
        <v>86</v>
      </c>
      <c r="D1823" s="15" t="s">
        <v>2669</v>
      </c>
      <c r="E1823" s="16" t="str">
        <f t="shared" si="87"/>
        <v>Twitter for Android</v>
      </c>
      <c r="F1823" s="12">
        <v>40852.383622685185</v>
      </c>
      <c r="G1823" s="9" t="s">
        <v>171</v>
      </c>
      <c r="H1823" s="35" t="s">
        <v>88</v>
      </c>
      <c r="I1823" s="18" t="s">
        <v>89</v>
      </c>
    </row>
    <row r="1824" spans="1:9" s="31" customFormat="1" ht="60">
      <c r="A1824" s="12">
        <v>43567.146956018521</v>
      </c>
      <c r="B1824" s="13" t="str">
        <f t="shared" si="86"/>
        <v>@KathyWalcott</v>
      </c>
      <c r="C1824" s="14" t="s">
        <v>86</v>
      </c>
      <c r="D1824" s="15" t="s">
        <v>5228</v>
      </c>
      <c r="E1824" s="16" t="str">
        <f t="shared" si="87"/>
        <v>Twitter for Android</v>
      </c>
      <c r="F1824" s="12">
        <v>40852.383622685185</v>
      </c>
      <c r="G1824" s="9" t="s">
        <v>171</v>
      </c>
      <c r="H1824" s="35" t="s">
        <v>88</v>
      </c>
      <c r="I1824" s="18" t="s">
        <v>89</v>
      </c>
    </row>
    <row r="1825" spans="1:9" s="31" customFormat="1" ht="75">
      <c r="A1825" s="12">
        <v>43566.708391203705</v>
      </c>
      <c r="B1825" s="13" t="str">
        <f t="shared" si="86"/>
        <v>@KathyWalcott</v>
      </c>
      <c r="C1825" s="14" t="s">
        <v>86</v>
      </c>
      <c r="D1825" s="15" t="s">
        <v>469</v>
      </c>
      <c r="E1825" s="16" t="str">
        <f t="shared" si="87"/>
        <v>Twitter for Android</v>
      </c>
      <c r="F1825" s="12">
        <v>40852.383622685185</v>
      </c>
      <c r="G1825" s="9" t="s">
        <v>171</v>
      </c>
      <c r="H1825" s="35" t="s">
        <v>88</v>
      </c>
      <c r="I1825" s="18" t="s">
        <v>89</v>
      </c>
    </row>
    <row r="1826" spans="1:9" s="31" customFormat="1" ht="90">
      <c r="A1826" s="12">
        <v>43566.666701388887</v>
      </c>
      <c r="B1826" s="13" t="str">
        <f t="shared" si="86"/>
        <v>@KathyWalcott</v>
      </c>
      <c r="C1826" s="14" t="s">
        <v>86</v>
      </c>
      <c r="D1826" s="15" t="s">
        <v>87</v>
      </c>
      <c r="E1826" s="16" t="str">
        <f t="shared" si="87"/>
        <v>Twitter for Android</v>
      </c>
      <c r="F1826" s="12">
        <v>40852.383622685185</v>
      </c>
      <c r="G1826" s="9" t="s">
        <v>171</v>
      </c>
      <c r="H1826" s="35" t="s">
        <v>88</v>
      </c>
      <c r="I1826" s="18" t="s">
        <v>89</v>
      </c>
    </row>
    <row r="1827" spans="1:9" s="31" customFormat="1" ht="75">
      <c r="A1827" s="12">
        <v>43566.291805555556</v>
      </c>
      <c r="B1827" s="13" t="str">
        <f t="shared" si="86"/>
        <v>@KathyWalcott</v>
      </c>
      <c r="C1827" s="14" t="s">
        <v>86</v>
      </c>
      <c r="D1827" s="15" t="s">
        <v>4136</v>
      </c>
      <c r="E1827" s="16" t="str">
        <f t="shared" si="87"/>
        <v>Twitter for Android</v>
      </c>
      <c r="F1827" s="12">
        <v>40852.383622685185</v>
      </c>
      <c r="G1827" s="9" t="s">
        <v>171</v>
      </c>
      <c r="H1827" s="35" t="s">
        <v>88</v>
      </c>
      <c r="I1827" s="18" t="s">
        <v>89</v>
      </c>
    </row>
    <row r="1828" spans="1:9" s="31" customFormat="1" ht="45">
      <c r="A1828" s="4">
        <v>43561.05740740741</v>
      </c>
      <c r="B1828" s="5" t="str">
        <f>HYPERLINK("https://twitter.com/JennyCampbellKl","@JennyCampbellKl")</f>
        <v>@JennyCampbellKl</v>
      </c>
      <c r="C1828" s="6" t="s">
        <v>11095</v>
      </c>
      <c r="D1828" s="7" t="s">
        <v>11096</v>
      </c>
      <c r="E1828" s="8" t="str">
        <f>HYPERLINK("http://twitter.com/download/iphone","Twitter for iPhone")</f>
        <v>Twitter for iPhone</v>
      </c>
      <c r="F1828" s="4">
        <v>40779.34920138889</v>
      </c>
      <c r="G1828" s="9" t="s">
        <v>171</v>
      </c>
      <c r="H1828" s="35" t="s">
        <v>11097</v>
      </c>
      <c r="I1828" s="10" t="s">
        <v>11098</v>
      </c>
    </row>
    <row r="1829" spans="1:9" s="31" customFormat="1" ht="75">
      <c r="A1829" s="19">
        <v>43550.191030092596</v>
      </c>
      <c r="B1829" s="20" t="str">
        <f t="shared" ref="B1829:B1834" si="88">HYPERLINK("https://twitter.com/stam_boulevard","@stam_boulevard")</f>
        <v>@stam_boulevard</v>
      </c>
      <c r="C1829" s="21" t="s">
        <v>2029</v>
      </c>
      <c r="D1829" s="22" t="s">
        <v>7799</v>
      </c>
      <c r="E1829" s="23" t="str">
        <f t="shared" ref="E1829:E1834" si="89">HYPERLINK("http://instagram.com","Instagram")</f>
        <v>Instagram</v>
      </c>
      <c r="F1829" s="19">
        <v>39885.557106481479</v>
      </c>
      <c r="G1829" s="17" t="s">
        <v>171</v>
      </c>
      <c r="H1829" s="35" t="s">
        <v>2031</v>
      </c>
      <c r="I1829" s="25" t="s">
        <v>2032</v>
      </c>
    </row>
    <row r="1830" spans="1:9" s="31" customFormat="1" ht="60">
      <c r="A1830" s="19">
        <v>43550.190150462964</v>
      </c>
      <c r="B1830" s="20" t="str">
        <f t="shared" si="88"/>
        <v>@stam_boulevard</v>
      </c>
      <c r="C1830" s="21" t="s">
        <v>2029</v>
      </c>
      <c r="D1830" s="22" t="s">
        <v>7800</v>
      </c>
      <c r="E1830" s="23" t="str">
        <f t="shared" si="89"/>
        <v>Instagram</v>
      </c>
      <c r="F1830" s="19">
        <v>39885.557106481479</v>
      </c>
      <c r="G1830" s="17" t="s">
        <v>171</v>
      </c>
      <c r="H1830" s="35" t="s">
        <v>2031</v>
      </c>
      <c r="I1830" s="25" t="s">
        <v>2032</v>
      </c>
    </row>
    <row r="1831" spans="1:9" s="31" customFormat="1" ht="45">
      <c r="A1831" s="4">
        <v>43564.421134259261</v>
      </c>
      <c r="B1831" s="5" t="str">
        <f t="shared" si="88"/>
        <v>@stam_boulevard</v>
      </c>
      <c r="C1831" s="6" t="s">
        <v>2029</v>
      </c>
      <c r="D1831" s="7" t="s">
        <v>6617</v>
      </c>
      <c r="E1831" s="8" t="str">
        <f t="shared" si="89"/>
        <v>Instagram</v>
      </c>
      <c r="F1831" s="4">
        <v>39885.557106481479</v>
      </c>
      <c r="G1831" s="17" t="s">
        <v>171</v>
      </c>
      <c r="H1831" s="35" t="s">
        <v>2031</v>
      </c>
      <c r="I1831" s="10" t="s">
        <v>2032</v>
      </c>
    </row>
    <row r="1832" spans="1:9" s="31" customFormat="1" ht="60">
      <c r="A1832" s="4">
        <v>43562.090694444443</v>
      </c>
      <c r="B1832" s="5" t="str">
        <f t="shared" si="88"/>
        <v>@stam_boulevard</v>
      </c>
      <c r="C1832" s="6" t="s">
        <v>2029</v>
      </c>
      <c r="D1832" s="7" t="s">
        <v>10753</v>
      </c>
      <c r="E1832" s="8" t="str">
        <f t="shared" si="89"/>
        <v>Instagram</v>
      </c>
      <c r="F1832" s="4">
        <v>39885.557106481479</v>
      </c>
      <c r="G1832" s="17" t="s">
        <v>171</v>
      </c>
      <c r="H1832" s="35" t="s">
        <v>2031</v>
      </c>
      <c r="I1832" s="10" t="s">
        <v>2032</v>
      </c>
    </row>
    <row r="1833" spans="1:9" s="31" customFormat="1" ht="75">
      <c r="A1833" s="4">
        <v>43560.490497685183</v>
      </c>
      <c r="B1833" s="5" t="str">
        <f t="shared" si="88"/>
        <v>@stam_boulevard</v>
      </c>
      <c r="C1833" s="6" t="s">
        <v>2029</v>
      </c>
      <c r="D1833" s="7" t="s">
        <v>11330</v>
      </c>
      <c r="E1833" s="8" t="str">
        <f t="shared" si="89"/>
        <v>Instagram</v>
      </c>
      <c r="F1833" s="4">
        <v>39885.557106481479</v>
      </c>
      <c r="G1833" s="17" t="s">
        <v>171</v>
      </c>
      <c r="H1833" s="35" t="s">
        <v>2031</v>
      </c>
      <c r="I1833" s="10" t="s">
        <v>2032</v>
      </c>
    </row>
    <row r="1834" spans="1:9" s="31" customFormat="1" ht="60">
      <c r="A1834" s="12">
        <v>43576.195451388892</v>
      </c>
      <c r="B1834" s="13" t="str">
        <f t="shared" si="88"/>
        <v>@stam_boulevard</v>
      </c>
      <c r="C1834" s="14" t="s">
        <v>2029</v>
      </c>
      <c r="D1834" s="15" t="s">
        <v>2030</v>
      </c>
      <c r="E1834" s="16" t="str">
        <f t="shared" si="89"/>
        <v>Instagram</v>
      </c>
      <c r="F1834" s="12">
        <v>39885.557106481479</v>
      </c>
      <c r="G1834" s="17" t="s">
        <v>171</v>
      </c>
      <c r="H1834" s="35" t="s">
        <v>2031</v>
      </c>
      <c r="I1834" s="18" t="s">
        <v>2032</v>
      </c>
    </row>
    <row r="1835" spans="1:9" s="31" customFormat="1" ht="60">
      <c r="A1835" s="19">
        <v>43550.191689814819</v>
      </c>
      <c r="B1835" s="20" t="str">
        <f>HYPERLINK("https://twitter.com/railsware","@railsware")</f>
        <v>@railsware</v>
      </c>
      <c r="C1835" s="21" t="s">
        <v>7795</v>
      </c>
      <c r="D1835" s="22" t="s">
        <v>7796</v>
      </c>
      <c r="E1835" s="23" t="str">
        <f>HYPERLINK("http://twitter.com","Twitter Web Client")</f>
        <v>Twitter Web Client</v>
      </c>
      <c r="F1835" s="19">
        <v>39916.365787037037</v>
      </c>
      <c r="G1835" s="17" t="s">
        <v>171</v>
      </c>
      <c r="H1835" s="35" t="s">
        <v>7797</v>
      </c>
      <c r="I1835" s="25" t="s">
        <v>7798</v>
      </c>
    </row>
    <row r="1836" spans="1:9" s="31" customFormat="1" ht="120">
      <c r="A1836" s="12">
        <v>43565.95103009259</v>
      </c>
      <c r="B1836" s="13" t="str">
        <f>HYPERLINK("https://twitter.com/onelazydev","@onelazydev")</f>
        <v>@onelazydev</v>
      </c>
      <c r="C1836" s="14" t="s">
        <v>5835</v>
      </c>
      <c r="D1836" s="15" t="s">
        <v>5836</v>
      </c>
      <c r="E1836" s="16" t="str">
        <f>HYPERLINK("http://twitter.com/download/android","Twitter for Android")</f>
        <v>Twitter for Android</v>
      </c>
      <c r="F1836" s="12">
        <v>43559.39875</v>
      </c>
      <c r="G1836" s="17" t="s">
        <v>171</v>
      </c>
      <c r="H1836" s="35" t="s">
        <v>5837</v>
      </c>
      <c r="I1836" s="18" t="s">
        <v>5838</v>
      </c>
    </row>
    <row r="1837" spans="1:9" s="31" customFormat="1" ht="45">
      <c r="A1837" s="12">
        <v>43567.041481481487</v>
      </c>
      <c r="B1837" s="13" t="str">
        <f>HYPERLINK("https://twitter.com/guinguette_gite","@guinguette_gite")</f>
        <v>@guinguette_gite</v>
      </c>
      <c r="C1837" s="14" t="s">
        <v>5264</v>
      </c>
      <c r="D1837" s="15" t="s">
        <v>5265</v>
      </c>
      <c r="E1837" s="16" t="str">
        <f>HYPERLINK("http://instagram.com","Instagram")</f>
        <v>Instagram</v>
      </c>
      <c r="F1837" s="12">
        <v>43502.101724537039</v>
      </c>
      <c r="G1837" s="17" t="s">
        <v>171</v>
      </c>
      <c r="H1837" s="35" t="s">
        <v>5266</v>
      </c>
      <c r="I1837" s="18" t="s">
        <v>5267</v>
      </c>
    </row>
    <row r="1838" spans="1:9" s="31" customFormat="1" ht="90">
      <c r="A1838" s="12">
        <v>43566.47152777778</v>
      </c>
      <c r="B1838" s="13" t="str">
        <f>HYPERLINK("https://twitter.com/ChezRentals","@ChezRentals")</f>
        <v>@ChezRentals</v>
      </c>
      <c r="C1838" s="14" t="s">
        <v>5507</v>
      </c>
      <c r="D1838" s="15" t="s">
        <v>5508</v>
      </c>
      <c r="E1838" s="16" t="str">
        <f>HYPERLINK("http://twitter.com/download/android","Twitter for Android")</f>
        <v>Twitter for Android</v>
      </c>
      <c r="F1838" s="12">
        <v>42242.699629629627</v>
      </c>
      <c r="G1838" s="17" t="s">
        <v>171</v>
      </c>
      <c r="H1838" s="35" t="s">
        <v>5509</v>
      </c>
      <c r="I1838" s="18" t="s">
        <v>5510</v>
      </c>
    </row>
    <row r="1839" spans="1:9" s="31" customFormat="1" ht="105">
      <c r="A1839" s="4">
        <v>43563.541608796295</v>
      </c>
      <c r="B1839" s="5" t="str">
        <f>HYPERLINK("https://twitter.com/genevalakesweb","@genevalakesweb")</f>
        <v>@genevalakesweb</v>
      </c>
      <c r="C1839" s="6" t="s">
        <v>1881</v>
      </c>
      <c r="D1839" s="7" t="s">
        <v>10242</v>
      </c>
      <c r="E1839" s="8" t="str">
        <f>HYPERLINK("http://twitter.com/download/iphone","Twitter for iPhone")</f>
        <v>Twitter for iPhone</v>
      </c>
      <c r="F1839" s="4">
        <v>43289.29005787037</v>
      </c>
      <c r="G1839" s="17" t="s">
        <v>171</v>
      </c>
      <c r="H1839" s="35" t="s">
        <v>1883</v>
      </c>
      <c r="I1839" s="10" t="s">
        <v>1884</v>
      </c>
    </row>
    <row r="1840" spans="1:9" s="31" customFormat="1" ht="120">
      <c r="A1840" s="12">
        <v>43576.651782407411</v>
      </c>
      <c r="B1840" s="13" t="str">
        <f>HYPERLINK("https://twitter.com/genevalakesweb","@genevalakesweb")</f>
        <v>@genevalakesweb</v>
      </c>
      <c r="C1840" s="14" t="s">
        <v>1881</v>
      </c>
      <c r="D1840" s="15" t="s">
        <v>1882</v>
      </c>
      <c r="E1840" s="16" t="str">
        <f>HYPERLINK("http://twitter.com/download/iphone","Twitter for iPhone")</f>
        <v>Twitter for iPhone</v>
      </c>
      <c r="F1840" s="12">
        <v>43289.29005787037</v>
      </c>
      <c r="G1840" s="17" t="s">
        <v>171</v>
      </c>
      <c r="H1840" s="35" t="s">
        <v>1883</v>
      </c>
      <c r="I1840" s="18" t="s">
        <v>1884</v>
      </c>
    </row>
    <row r="1841" spans="1:9" s="31" customFormat="1" ht="105">
      <c r="A1841" s="12">
        <v>43576.419907407406</v>
      </c>
      <c r="B1841" s="13" t="str">
        <f>HYPERLINK("https://twitter.com/genevalakesweb","@genevalakesweb")</f>
        <v>@genevalakesweb</v>
      </c>
      <c r="C1841" s="14" t="s">
        <v>1881</v>
      </c>
      <c r="D1841" s="15" t="s">
        <v>1955</v>
      </c>
      <c r="E1841" s="16" t="str">
        <f>HYPERLINK("http://twitter.com/download/iphone","Twitter for iPhone")</f>
        <v>Twitter for iPhone</v>
      </c>
      <c r="F1841" s="12">
        <v>43289.29005787037</v>
      </c>
      <c r="G1841" s="17" t="s">
        <v>171</v>
      </c>
      <c r="H1841" s="35" t="s">
        <v>1883</v>
      </c>
      <c r="I1841" s="18" t="s">
        <v>1884</v>
      </c>
    </row>
    <row r="1842" spans="1:9" s="31" customFormat="1" ht="60">
      <c r="A1842" s="4">
        <v>43557.162766203706</v>
      </c>
      <c r="B1842" s="5" t="str">
        <f>HYPERLINK("https://twitter.com/La_Flanerie","@La_Flanerie")</f>
        <v>@La_Flanerie</v>
      </c>
      <c r="C1842" s="6" t="s">
        <v>12632</v>
      </c>
      <c r="D1842" s="7" t="s">
        <v>12633</v>
      </c>
      <c r="E1842" s="8" t="str">
        <f>HYPERLINK("http://www.squarespace.com","Squarespace")</f>
        <v>Squarespace</v>
      </c>
      <c r="F1842" s="4">
        <v>42425.583611111113</v>
      </c>
      <c r="G1842" s="9" t="s">
        <v>171</v>
      </c>
      <c r="H1842" s="35" t="s">
        <v>12634</v>
      </c>
      <c r="I1842" s="10" t="s">
        <v>12635</v>
      </c>
    </row>
    <row r="1843" spans="1:9" s="31" customFormat="1" ht="60">
      <c r="A1843" s="12">
        <v>43567.492395833338</v>
      </c>
      <c r="B1843" s="13" t="str">
        <f>HYPERLINK("https://twitter.com/MatthewHirtes","@MatthewHirtes")</f>
        <v>@MatthewHirtes</v>
      </c>
      <c r="C1843" s="14" t="s">
        <v>5094</v>
      </c>
      <c r="D1843" s="15" t="s">
        <v>5095</v>
      </c>
      <c r="E1843" s="16" t="str">
        <f>HYPERLINK("https://buffer.com","Buffer")</f>
        <v>Buffer</v>
      </c>
      <c r="F1843" s="12">
        <v>39896.184652777782</v>
      </c>
      <c r="G1843" s="17" t="s">
        <v>171</v>
      </c>
      <c r="H1843" s="35" t="s">
        <v>5096</v>
      </c>
      <c r="I1843" s="18" t="s">
        <v>5097</v>
      </c>
    </row>
    <row r="1844" spans="1:9" s="31" customFormat="1" ht="105">
      <c r="A1844" s="19">
        <v>43543.137025462958</v>
      </c>
      <c r="B1844" s="20" t="str">
        <f>HYPERLINK("https://twitter.com/violent__heart","@violent__heart")</f>
        <v>@violent__heart</v>
      </c>
      <c r="C1844" s="21" t="s">
        <v>6831</v>
      </c>
      <c r="D1844" s="22" t="s">
        <v>9932</v>
      </c>
      <c r="E1844" s="23" t="str">
        <f>HYPERLINK("http://twitter.com/download/android","Twitter for Android")</f>
        <v>Twitter for Android</v>
      </c>
      <c r="F1844" s="19">
        <v>43259.549386574072</v>
      </c>
      <c r="G1844" s="17" t="s">
        <v>171</v>
      </c>
      <c r="H1844" s="35" t="s">
        <v>6833</v>
      </c>
      <c r="I1844" s="25" t="s">
        <v>6834</v>
      </c>
    </row>
    <row r="1845" spans="1:9" s="31" customFormat="1" ht="45">
      <c r="A1845" s="4">
        <v>43563.988715277781</v>
      </c>
      <c r="B1845" s="5" t="str">
        <f>HYPERLINK("https://twitter.com/violent__heart","@violent__heart")</f>
        <v>@violent__heart</v>
      </c>
      <c r="C1845" s="6" t="s">
        <v>6831</v>
      </c>
      <c r="D1845" s="7" t="s">
        <v>6832</v>
      </c>
      <c r="E1845" s="8" t="str">
        <f>HYPERLINK("http://twitter.com/download/android","Twitter for Android")</f>
        <v>Twitter for Android</v>
      </c>
      <c r="F1845" s="4">
        <v>43259.549386574072</v>
      </c>
      <c r="G1845" s="17" t="s">
        <v>171</v>
      </c>
      <c r="H1845" s="35" t="s">
        <v>6833</v>
      </c>
      <c r="I1845" s="10" t="s">
        <v>6834</v>
      </c>
    </row>
    <row r="1846" spans="1:9" s="31" customFormat="1" ht="105">
      <c r="A1846" s="12">
        <v>43578.39466435185</v>
      </c>
      <c r="B1846" s="13" t="str">
        <f>HYPERLINK("https://twitter.com/SuiteRossoeNero","@SuiteRossoeNero")</f>
        <v>@SuiteRossoeNero</v>
      </c>
      <c r="C1846" s="14" t="s">
        <v>1230</v>
      </c>
      <c r="D1846" s="15" t="s">
        <v>1231</v>
      </c>
      <c r="E1846" s="16" t="str">
        <f>HYPERLINK("http://twitter.com","Twitter Web Client")</f>
        <v>Twitter Web Client</v>
      </c>
      <c r="F1846" s="12">
        <v>42748.40325231482</v>
      </c>
      <c r="G1846" s="17" t="s">
        <v>171</v>
      </c>
      <c r="H1846" s="35" t="s">
        <v>1232</v>
      </c>
      <c r="I1846" s="18" t="s">
        <v>1233</v>
      </c>
    </row>
    <row r="1847" spans="1:9" s="31" customFormat="1" ht="15">
      <c r="A1847" s="12">
        <v>43575.511354166665</v>
      </c>
      <c r="B1847" s="13" t="str">
        <f>HYPERLINK("https://twitter.com/lisafountain91","@lisafountain91")</f>
        <v>@lisafountain91</v>
      </c>
      <c r="C1847" s="14" t="s">
        <v>2183</v>
      </c>
      <c r="D1847" s="15" t="s">
        <v>2184</v>
      </c>
      <c r="E1847" s="16" t="str">
        <f>HYPERLINK("http://twitter.com/download/android","Twitter for Android")</f>
        <v>Twitter for Android</v>
      </c>
      <c r="F1847" s="12">
        <v>40402.58494212963</v>
      </c>
      <c r="G1847" s="17" t="s">
        <v>171</v>
      </c>
      <c r="H1847" s="35" t="s">
        <v>2185</v>
      </c>
      <c r="I1847" s="18"/>
    </row>
    <row r="1848" spans="1:9" s="31" customFormat="1" ht="60">
      <c r="A1848" s="12">
        <v>43569.619826388887</v>
      </c>
      <c r="B1848" s="13" t="str">
        <f>HYPERLINK("https://twitter.com/imowan31","@imowan31")</f>
        <v>@imowan31</v>
      </c>
      <c r="C1848" s="14" t="s">
        <v>4457</v>
      </c>
      <c r="D1848" s="15" t="s">
        <v>4458</v>
      </c>
      <c r="E1848" s="16" t="str">
        <f>HYPERLINK("http://twitter.com/download/iphone","Twitter for iPhone")</f>
        <v>Twitter for iPhone</v>
      </c>
      <c r="F1848" s="12">
        <v>40339.416168981479</v>
      </c>
      <c r="G1848" s="17" t="s">
        <v>171</v>
      </c>
      <c r="H1848" s="35" t="s">
        <v>2185</v>
      </c>
      <c r="I1848" s="18" t="s">
        <v>4459</v>
      </c>
    </row>
    <row r="1849" spans="1:9" s="31" customFormat="1" ht="75">
      <c r="A1849" s="4">
        <v>43564.490787037037</v>
      </c>
      <c r="B1849" s="5" t="str">
        <f>HYPERLINK("https://twitter.com/richardjeaton","@richardjeaton")</f>
        <v>@richardjeaton</v>
      </c>
      <c r="C1849" s="6" t="s">
        <v>5605</v>
      </c>
      <c r="D1849" s="7" t="s">
        <v>6585</v>
      </c>
      <c r="E1849" s="8" t="str">
        <f>HYPERLINK("http://twitter.com","Twitter Web Client")</f>
        <v>Twitter Web Client</v>
      </c>
      <c r="F1849" s="4">
        <v>39763.369872685187</v>
      </c>
      <c r="G1849" s="17" t="s">
        <v>171</v>
      </c>
      <c r="H1849" s="35" t="s">
        <v>5607</v>
      </c>
      <c r="I1849" s="10" t="s">
        <v>5608</v>
      </c>
    </row>
    <row r="1850" spans="1:9" s="31" customFormat="1" ht="60">
      <c r="A1850" s="4">
        <v>43562.470092592594</v>
      </c>
      <c r="B1850" s="5" t="str">
        <f>HYPERLINK("https://twitter.com/richardjeaton","@richardjeaton")</f>
        <v>@richardjeaton</v>
      </c>
      <c r="C1850" s="6" t="s">
        <v>5605</v>
      </c>
      <c r="D1850" s="7" t="s">
        <v>10670</v>
      </c>
      <c r="E1850" s="8" t="str">
        <f>HYPERLINK("http://twitter.com","Twitter Web Client")</f>
        <v>Twitter Web Client</v>
      </c>
      <c r="F1850" s="4">
        <v>39763.369872685187</v>
      </c>
      <c r="G1850" s="17" t="s">
        <v>171</v>
      </c>
      <c r="H1850" s="35" t="s">
        <v>5607</v>
      </c>
      <c r="I1850" s="10" t="s">
        <v>5608</v>
      </c>
    </row>
    <row r="1851" spans="1:9" s="31" customFormat="1" ht="60">
      <c r="A1851" s="12">
        <v>43566.369606481487</v>
      </c>
      <c r="B1851" s="13" t="str">
        <f>HYPERLINK("https://twitter.com/richardjeaton","@richardjeaton")</f>
        <v>@richardjeaton</v>
      </c>
      <c r="C1851" s="14" t="s">
        <v>5605</v>
      </c>
      <c r="D1851" s="15" t="s">
        <v>5606</v>
      </c>
      <c r="E1851" s="16" t="str">
        <f>HYPERLINK("http://twitter.com","Twitter Web Client")</f>
        <v>Twitter Web Client</v>
      </c>
      <c r="F1851" s="12">
        <v>39763.369872685187</v>
      </c>
      <c r="G1851" s="17" t="s">
        <v>171</v>
      </c>
      <c r="H1851" s="35" t="s">
        <v>5607</v>
      </c>
      <c r="I1851" s="18" t="s">
        <v>5608</v>
      </c>
    </row>
    <row r="1852" spans="1:9" s="31" customFormat="1" ht="105">
      <c r="A1852" s="4">
        <v>43562.595439814817</v>
      </c>
      <c r="B1852" s="5" t="str">
        <f>HYPERLINK("https://twitter.com/VacationsMaroc","@VacationsMaroc")</f>
        <v>@VacationsMaroc</v>
      </c>
      <c r="C1852" s="6" t="s">
        <v>10639</v>
      </c>
      <c r="D1852" s="7" t="s">
        <v>10640</v>
      </c>
      <c r="E1852" s="8" t="str">
        <f>HYPERLINK("http://twitter.com/download/android","Twitter for Android")</f>
        <v>Twitter for Android</v>
      </c>
      <c r="F1852" s="4">
        <v>43250.695138888885</v>
      </c>
      <c r="G1852" s="17" t="s">
        <v>171</v>
      </c>
      <c r="H1852" s="35" t="s">
        <v>607</v>
      </c>
      <c r="I1852" s="10" t="s">
        <v>10641</v>
      </c>
    </row>
    <row r="1853" spans="1:9" s="31" customFormat="1" ht="105">
      <c r="A1853" s="12">
        <v>43579.515219907407</v>
      </c>
      <c r="B1853" s="13" t="str">
        <f>HYPERLINK("https://twitter.com/VonMemerty","@VonMemerty")</f>
        <v>@VonMemerty</v>
      </c>
      <c r="C1853" s="14" t="s">
        <v>605</v>
      </c>
      <c r="D1853" s="15" t="s">
        <v>606</v>
      </c>
      <c r="E1853" s="16" t="str">
        <f>HYPERLINK("https://ifttt.com","IFTTT")</f>
        <v>IFTTT</v>
      </c>
      <c r="F1853" s="12">
        <v>43141.854687500003</v>
      </c>
      <c r="G1853" s="17" t="s">
        <v>171</v>
      </c>
      <c r="H1853" s="35" t="s">
        <v>607</v>
      </c>
      <c r="I1853" s="18" t="s">
        <v>608</v>
      </c>
    </row>
    <row r="1854" spans="1:9" s="31" customFormat="1" ht="75">
      <c r="A1854" s="12">
        <v>43579.4222337963</v>
      </c>
      <c r="B1854" s="13" t="str">
        <f>HYPERLINK("https://twitter.com/VonMemerty","@VonMemerty")</f>
        <v>@VonMemerty</v>
      </c>
      <c r="C1854" s="14" t="s">
        <v>605</v>
      </c>
      <c r="D1854" s="15" t="s">
        <v>670</v>
      </c>
      <c r="E1854" s="16" t="str">
        <f>HYPERLINK("http://instagram.com","Instagram")</f>
        <v>Instagram</v>
      </c>
      <c r="F1854" s="12">
        <v>43141.854687500003</v>
      </c>
      <c r="G1854" s="17" t="s">
        <v>171</v>
      </c>
      <c r="H1854" s="35" t="s">
        <v>607</v>
      </c>
      <c r="I1854" s="18" t="s">
        <v>608</v>
      </c>
    </row>
    <row r="1855" spans="1:9" s="31" customFormat="1" ht="75">
      <c r="A1855" s="12">
        <v>43567.655671296292</v>
      </c>
      <c r="B1855" s="13" t="str">
        <f>HYPERLINK("https://twitter.com/VonMemerty","@VonMemerty")</f>
        <v>@VonMemerty</v>
      </c>
      <c r="C1855" s="14" t="s">
        <v>605</v>
      </c>
      <c r="D1855" s="15" t="s">
        <v>5017</v>
      </c>
      <c r="E1855" s="16" t="str">
        <f>HYPERLINK("http://instagram.com","Instagram")</f>
        <v>Instagram</v>
      </c>
      <c r="F1855" s="12">
        <v>43141.854687500003</v>
      </c>
      <c r="G1855" s="17" t="s">
        <v>171</v>
      </c>
      <c r="H1855" s="35" t="s">
        <v>607</v>
      </c>
      <c r="I1855" s="18" t="s">
        <v>608</v>
      </c>
    </row>
    <row r="1856" spans="1:9" s="31" customFormat="1" ht="105">
      <c r="A1856" s="4">
        <v>43563.354675925926</v>
      </c>
      <c r="B1856" s="5" t="str">
        <f>HYPERLINK("https://twitter.com/BellavistaLeric","@BellavistaLeric")</f>
        <v>@BellavistaLeric</v>
      </c>
      <c r="C1856" s="6" t="s">
        <v>10335</v>
      </c>
      <c r="D1856" s="7" t="s">
        <v>10336</v>
      </c>
      <c r="E1856" s="8" t="str">
        <f>HYPERLINK("https://ifttt.com","IFTTT")</f>
        <v>IFTTT</v>
      </c>
      <c r="F1856" s="4">
        <v>42521.337395833332</v>
      </c>
      <c r="G1856" s="9" t="s">
        <v>171</v>
      </c>
      <c r="H1856" s="35" t="s">
        <v>10337</v>
      </c>
      <c r="I1856" s="10" t="s">
        <v>10338</v>
      </c>
    </row>
    <row r="1857" spans="1:9" s="31" customFormat="1" ht="105">
      <c r="A1857" s="4">
        <v>43563.354641203703</v>
      </c>
      <c r="B1857" s="5" t="str">
        <f>HYPERLINK("https://twitter.com/BellavistaLeric","@BellavistaLeric")</f>
        <v>@BellavistaLeric</v>
      </c>
      <c r="C1857" s="6" t="s">
        <v>10335</v>
      </c>
      <c r="D1857" s="7" t="s">
        <v>10339</v>
      </c>
      <c r="E1857" s="8" t="str">
        <f>HYPERLINK("https://ifttt.com","IFTTT")</f>
        <v>IFTTT</v>
      </c>
      <c r="F1857" s="4">
        <v>42521.337395833332</v>
      </c>
      <c r="G1857" s="9" t="s">
        <v>171</v>
      </c>
      <c r="H1857" s="35" t="s">
        <v>10337</v>
      </c>
      <c r="I1857" s="10" t="s">
        <v>10338</v>
      </c>
    </row>
    <row r="1858" spans="1:9" s="31" customFormat="1" ht="45">
      <c r="A1858" s="12">
        <v>43572.338923611111</v>
      </c>
      <c r="B1858" s="13" t="str">
        <f>HYPERLINK("https://twitter.com/clivers1","@clivers1")</f>
        <v>@clivers1</v>
      </c>
      <c r="C1858" s="14" t="s">
        <v>3318</v>
      </c>
      <c r="D1858" s="15" t="s">
        <v>3319</v>
      </c>
      <c r="E1858" s="16" t="str">
        <f>HYPERLINK("http://twitter.com/download/android","Twitter for Android")</f>
        <v>Twitter for Android</v>
      </c>
      <c r="F1858" s="12">
        <v>40684.2658912037</v>
      </c>
      <c r="G1858" s="24" t="s">
        <v>171</v>
      </c>
      <c r="H1858" s="35" t="s">
        <v>3320</v>
      </c>
      <c r="I1858" s="18" t="s">
        <v>3321</v>
      </c>
    </row>
    <row r="1859" spans="1:9" s="31" customFormat="1" ht="45">
      <c r="A1859" s="4">
        <v>43562.191516203704</v>
      </c>
      <c r="B1859" s="5" t="str">
        <f>HYPERLINK("https://twitter.com/Cyprus_PropNews","@Cyprus_PropNews")</f>
        <v>@Cyprus_PropNews</v>
      </c>
      <c r="C1859" s="6" t="s">
        <v>10725</v>
      </c>
      <c r="D1859" s="7" t="s">
        <v>10726</v>
      </c>
      <c r="E1859" s="8" t="str">
        <f>HYPERLINK("http://publicize.wp.com/","WordPress.com")</f>
        <v>WordPress.com</v>
      </c>
      <c r="F1859" s="4">
        <v>40139.456180555557</v>
      </c>
      <c r="G1859" s="24" t="s">
        <v>171</v>
      </c>
      <c r="H1859" s="35" t="s">
        <v>10727</v>
      </c>
      <c r="I1859" s="10" t="s">
        <v>10728</v>
      </c>
    </row>
    <row r="1860" spans="1:9" s="31" customFormat="1" ht="105">
      <c r="A1860" s="4">
        <v>43558.030277777776</v>
      </c>
      <c r="B1860" s="5" t="str">
        <f>HYPERLINK("https://twitter.com/AAATrade","@AAATrade")</f>
        <v>@AAATrade</v>
      </c>
      <c r="C1860" s="6" t="s">
        <v>5199</v>
      </c>
      <c r="D1860" s="7" t="s">
        <v>12341</v>
      </c>
      <c r="E1860" s="8" t="str">
        <f>HYPERLINK("https://mobile.twitter.com","Twitter Web App")</f>
        <v>Twitter Web App</v>
      </c>
      <c r="F1860" s="4">
        <v>42073.3278125</v>
      </c>
      <c r="G1860" s="24" t="s">
        <v>171</v>
      </c>
      <c r="H1860" s="35" t="s">
        <v>5201</v>
      </c>
      <c r="I1860" s="10" t="s">
        <v>5202</v>
      </c>
    </row>
    <row r="1861" spans="1:9" s="31" customFormat="1" ht="105">
      <c r="A1861" s="12">
        <v>43567.242858796293</v>
      </c>
      <c r="B1861" s="13" t="str">
        <f>HYPERLINK("https://twitter.com/AAATrade","@AAATrade")</f>
        <v>@AAATrade</v>
      </c>
      <c r="C1861" s="14" t="s">
        <v>5199</v>
      </c>
      <c r="D1861" s="15" t="s">
        <v>5200</v>
      </c>
      <c r="E1861" s="16" t="str">
        <f>HYPERLINK("https://mobile.twitter.com","Twitter Web App")</f>
        <v>Twitter Web App</v>
      </c>
      <c r="F1861" s="12">
        <v>42073.3278125</v>
      </c>
      <c r="G1861" s="24" t="s">
        <v>171</v>
      </c>
      <c r="H1861" s="35" t="s">
        <v>5201</v>
      </c>
      <c r="I1861" s="18" t="s">
        <v>5202</v>
      </c>
    </row>
    <row r="1862" spans="1:9" s="31" customFormat="1" ht="105">
      <c r="A1862" s="12">
        <v>43566.114305555559</v>
      </c>
      <c r="B1862" s="13" t="str">
        <f>HYPERLINK("https://twitter.com/AAATrade","@AAATrade")</f>
        <v>@AAATrade</v>
      </c>
      <c r="C1862" s="14" t="s">
        <v>5199</v>
      </c>
      <c r="D1862" s="15" t="s">
        <v>5779</v>
      </c>
      <c r="E1862" s="16" t="str">
        <f>HYPERLINK("https://mobile.twitter.com","Twitter Web App")</f>
        <v>Twitter Web App</v>
      </c>
      <c r="F1862" s="12">
        <v>42073.3278125</v>
      </c>
      <c r="G1862" s="24" t="s">
        <v>171</v>
      </c>
      <c r="H1862" s="35" t="s">
        <v>5201</v>
      </c>
      <c r="I1862" s="18" t="s">
        <v>5202</v>
      </c>
    </row>
    <row r="1863" spans="1:9" s="31" customFormat="1" ht="45">
      <c r="A1863" s="19">
        <v>43546.032418981486</v>
      </c>
      <c r="B1863" s="20" t="str">
        <f>HYPERLINK("https://twitter.com/gegenhuber","@gegenhuber")</f>
        <v>@gegenhuber</v>
      </c>
      <c r="C1863" s="21" t="s">
        <v>8981</v>
      </c>
      <c r="D1863" s="22" t="s">
        <v>8982</v>
      </c>
      <c r="E1863" s="23" t="str">
        <f>HYPERLINK("http://twitter.com","Twitter Web Client")</f>
        <v>Twitter Web Client</v>
      </c>
      <c r="F1863" s="19">
        <v>39831.444895833338</v>
      </c>
      <c r="G1863" s="24" t="s">
        <v>171</v>
      </c>
      <c r="H1863" s="35" t="s">
        <v>8983</v>
      </c>
      <c r="I1863" s="25" t="s">
        <v>8984</v>
      </c>
    </row>
    <row r="1864" spans="1:9" s="31" customFormat="1" ht="105">
      <c r="A1864" s="19">
        <v>43547.272615740745</v>
      </c>
      <c r="B1864" s="20" t="str">
        <f>HYPERLINK("https://twitter.com/LisbonRunning","@LisbonRunning")</f>
        <v>@LisbonRunning</v>
      </c>
      <c r="C1864" s="21" t="s">
        <v>8603</v>
      </c>
      <c r="D1864" s="22" t="s">
        <v>8604</v>
      </c>
      <c r="E1864" s="23" t="str">
        <f>HYPERLINK("http://twitter.com","Twitter Web Client")</f>
        <v>Twitter Web Client</v>
      </c>
      <c r="F1864" s="19">
        <v>43527.193518518514</v>
      </c>
      <c r="G1864" s="24" t="s">
        <v>171</v>
      </c>
      <c r="H1864" s="35" t="s">
        <v>8605</v>
      </c>
      <c r="I1864" s="25" t="s">
        <v>8606</v>
      </c>
    </row>
    <row r="1865" spans="1:9" s="31" customFormat="1" ht="90">
      <c r="A1865" s="19">
        <v>43544.41128472222</v>
      </c>
      <c r="B1865" s="20" t="str">
        <f>HYPERLINK("https://twitter.com/LisbonRunning","@LisbonRunning")</f>
        <v>@LisbonRunning</v>
      </c>
      <c r="C1865" s="21" t="s">
        <v>8603</v>
      </c>
      <c r="D1865" s="22" t="s">
        <v>9476</v>
      </c>
      <c r="E1865" s="23" t="str">
        <f>HYPERLINK("http://twitter.com","Twitter Web Client")</f>
        <v>Twitter Web Client</v>
      </c>
      <c r="F1865" s="19">
        <v>43527.193518518514</v>
      </c>
      <c r="G1865" s="24" t="s">
        <v>171</v>
      </c>
      <c r="H1865" s="35" t="s">
        <v>8605</v>
      </c>
      <c r="I1865" s="25" t="s">
        <v>8606</v>
      </c>
    </row>
    <row r="1866" spans="1:9" s="31" customFormat="1" ht="105">
      <c r="A1866" s="19">
        <v>43544.24962962963</v>
      </c>
      <c r="B1866" s="20" t="str">
        <f>HYPERLINK("https://twitter.com/LisbonRunning","@LisbonRunning")</f>
        <v>@LisbonRunning</v>
      </c>
      <c r="C1866" s="21" t="s">
        <v>8603</v>
      </c>
      <c r="D1866" s="22" t="s">
        <v>9567</v>
      </c>
      <c r="E1866" s="23" t="str">
        <f>HYPERLINK("http://twitter.com/download/android","Twitter for Android")</f>
        <v>Twitter for Android</v>
      </c>
      <c r="F1866" s="19">
        <v>43527.193518518514</v>
      </c>
      <c r="G1866" s="24" t="s">
        <v>171</v>
      </c>
      <c r="H1866" s="35" t="s">
        <v>8605</v>
      </c>
      <c r="I1866" s="25" t="s">
        <v>8606</v>
      </c>
    </row>
    <row r="1867" spans="1:9" s="31" customFormat="1" ht="45">
      <c r="A1867" s="12">
        <v>43575.311180555553</v>
      </c>
      <c r="B1867" s="13" t="str">
        <f>HYPERLINK("https://twitter.com/smontgomery1980","@smontgomery1980")</f>
        <v>@smontgomery1980</v>
      </c>
      <c r="C1867" s="14" t="s">
        <v>2302</v>
      </c>
      <c r="D1867" s="15" t="s">
        <v>2303</v>
      </c>
      <c r="E1867" s="16" t="str">
        <f>HYPERLINK("http://twitter.com/download/iphone","Twitter for iPhone")</f>
        <v>Twitter for iPhone</v>
      </c>
      <c r="F1867" s="12">
        <v>41305.161180555559</v>
      </c>
      <c r="G1867" s="17" t="s">
        <v>171</v>
      </c>
      <c r="H1867" s="35" t="s">
        <v>2304</v>
      </c>
      <c r="I1867" s="18" t="s">
        <v>2305</v>
      </c>
    </row>
    <row r="1868" spans="1:9" s="31" customFormat="1" ht="60">
      <c r="A1868" s="4">
        <v>43562.482118055559</v>
      </c>
      <c r="B1868" s="5" t="str">
        <f>HYPERLINK("https://twitter.com/CarlKNorman","@CarlKNorman")</f>
        <v>@CarlKNorman</v>
      </c>
      <c r="C1868" s="6" t="s">
        <v>10659</v>
      </c>
      <c r="D1868" s="7" t="s">
        <v>10660</v>
      </c>
      <c r="E1868" s="8" t="str">
        <f>HYPERLINK("http://instagram.com","Instagram")</f>
        <v>Instagram</v>
      </c>
      <c r="F1868" s="4">
        <v>40968.503194444442</v>
      </c>
      <c r="G1868" s="17" t="s">
        <v>171</v>
      </c>
      <c r="H1868" s="35" t="s">
        <v>10661</v>
      </c>
      <c r="I1868" s="10" t="s">
        <v>10662</v>
      </c>
    </row>
    <row r="1869" spans="1:9" s="31" customFormat="1" ht="45">
      <c r="A1869" s="19">
        <v>43547.363344907411</v>
      </c>
      <c r="B1869" s="20" t="str">
        <f>HYPERLINK("https://twitter.com/HostSoSimple","@HostSoSimple")</f>
        <v>@HostSoSimple</v>
      </c>
      <c r="C1869" s="21" t="s">
        <v>2306</v>
      </c>
      <c r="D1869" s="22" t="s">
        <v>8579</v>
      </c>
      <c r="E1869" s="23" t="str">
        <f>HYPERLINK("http://twitter.com","Twitter Web Client")</f>
        <v>Twitter Web Client</v>
      </c>
      <c r="F1869" s="19">
        <v>42573.653009259258</v>
      </c>
      <c r="G1869" s="17" t="s">
        <v>171</v>
      </c>
      <c r="H1869" s="35" t="s">
        <v>2095</v>
      </c>
      <c r="I1869" s="25" t="s">
        <v>2308</v>
      </c>
    </row>
    <row r="1870" spans="1:9" s="31" customFormat="1" ht="75">
      <c r="A1870" s="19">
        <v>43546.07984953704</v>
      </c>
      <c r="B1870" s="20" t="str">
        <f>HYPERLINK("https://twitter.com/DreamCleanLpool","@DreamCleanLpool")</f>
        <v>@DreamCleanLpool</v>
      </c>
      <c r="C1870" s="21" t="s">
        <v>8968</v>
      </c>
      <c r="D1870" s="22" t="s">
        <v>8969</v>
      </c>
      <c r="E1870" s="23" t="str">
        <f>HYPERLINK("http://instagram.com","Instagram")</f>
        <v>Instagram</v>
      </c>
      <c r="F1870" s="19">
        <v>43337.65797453704</v>
      </c>
      <c r="G1870" s="17" t="s">
        <v>171</v>
      </c>
      <c r="H1870" s="35" t="s">
        <v>2095</v>
      </c>
      <c r="I1870" s="25" t="s">
        <v>8970</v>
      </c>
    </row>
    <row r="1871" spans="1:9" s="31" customFormat="1" ht="90">
      <c r="A1871" s="19">
        <v>43545.203541666662</v>
      </c>
      <c r="B1871" s="20" t="str">
        <f>HYPERLINK("https://twitter.com/HostSoSimple","@HostSoSimple")</f>
        <v>@HostSoSimple</v>
      </c>
      <c r="C1871" s="21" t="s">
        <v>2306</v>
      </c>
      <c r="D1871" s="22" t="s">
        <v>9255</v>
      </c>
      <c r="E1871" s="23" t="str">
        <f>HYPERLINK("http://twitter.com","Twitter Web Client")</f>
        <v>Twitter Web Client</v>
      </c>
      <c r="F1871" s="19">
        <v>42573.653009259258</v>
      </c>
      <c r="G1871" s="17" t="s">
        <v>171</v>
      </c>
      <c r="H1871" s="35" t="s">
        <v>2095</v>
      </c>
      <c r="I1871" s="25" t="s">
        <v>2308</v>
      </c>
    </row>
    <row r="1872" spans="1:9" s="31" customFormat="1" ht="45">
      <c r="A1872" s="4">
        <v>43563.411550925928</v>
      </c>
      <c r="B1872" s="5" t="str">
        <f>HYPERLINK("https://twitter.com/HostSoSimple","@HostSoSimple")</f>
        <v>@HostSoSimple</v>
      </c>
      <c r="C1872" s="6" t="s">
        <v>2306</v>
      </c>
      <c r="D1872" s="7" t="s">
        <v>10304</v>
      </c>
      <c r="E1872" s="8" t="str">
        <f>HYPERLINK("http://twitter.com","Twitter Web Client")</f>
        <v>Twitter Web Client</v>
      </c>
      <c r="F1872" s="4">
        <v>42573.653009259258</v>
      </c>
      <c r="G1872" s="17" t="s">
        <v>171</v>
      </c>
      <c r="H1872" s="35" t="s">
        <v>2095</v>
      </c>
      <c r="I1872" s="10" t="s">
        <v>2308</v>
      </c>
    </row>
    <row r="1873" spans="1:9" s="31" customFormat="1" ht="90">
      <c r="A1873" s="4">
        <v>43560.092893518522</v>
      </c>
      <c r="B1873" s="5" t="str">
        <f>HYPERLINK("https://twitter.com/HostSoSimple","@HostSoSimple")</f>
        <v>@HostSoSimple</v>
      </c>
      <c r="C1873" s="6" t="s">
        <v>2306</v>
      </c>
      <c r="D1873" s="7" t="s">
        <v>11607</v>
      </c>
      <c r="E1873" s="8" t="str">
        <f>HYPERLINK("http://twitter.com","Twitter Web Client")</f>
        <v>Twitter Web Client</v>
      </c>
      <c r="F1873" s="4">
        <v>42573.653009259258</v>
      </c>
      <c r="G1873" s="17" t="s">
        <v>171</v>
      </c>
      <c r="H1873" s="35" t="s">
        <v>2095</v>
      </c>
      <c r="I1873" s="10" t="s">
        <v>2308</v>
      </c>
    </row>
    <row r="1874" spans="1:9" s="31" customFormat="1" ht="75">
      <c r="A1874" s="12">
        <v>43575.943101851852</v>
      </c>
      <c r="B1874" s="13" t="str">
        <f>HYPERLINK("https://twitter.com/thewordsbychris","@thewordsbychris")</f>
        <v>@thewordsbychris</v>
      </c>
      <c r="C1874" s="14" t="s">
        <v>2093</v>
      </c>
      <c r="D1874" s="15" t="s">
        <v>2094</v>
      </c>
      <c r="E1874" s="16" t="str">
        <f>HYPERLINK("http://twitter.com/download/iphone","Twitter for iPhone")</f>
        <v>Twitter for iPhone</v>
      </c>
      <c r="F1874" s="12">
        <v>41199.552685185183</v>
      </c>
      <c r="G1874" s="17" t="s">
        <v>171</v>
      </c>
      <c r="H1874" s="35" t="s">
        <v>2095</v>
      </c>
      <c r="I1874" s="18" t="s">
        <v>2096</v>
      </c>
    </row>
    <row r="1875" spans="1:9" s="31" customFormat="1" ht="60">
      <c r="A1875" s="12">
        <v>43575.310185185182</v>
      </c>
      <c r="B1875" s="13" t="str">
        <f>HYPERLINK("https://twitter.com/HostSoSimple","@HostSoSimple")</f>
        <v>@HostSoSimple</v>
      </c>
      <c r="C1875" s="14" t="s">
        <v>2306</v>
      </c>
      <c r="D1875" s="15" t="s">
        <v>2307</v>
      </c>
      <c r="E1875" s="16" t="str">
        <f>HYPERLINK("http://twitter.com","Twitter Web Client")</f>
        <v>Twitter Web Client</v>
      </c>
      <c r="F1875" s="12">
        <v>42573.653009259258</v>
      </c>
      <c r="G1875" s="17" t="s">
        <v>171</v>
      </c>
      <c r="H1875" s="35" t="s">
        <v>2095</v>
      </c>
      <c r="I1875" s="18" t="s">
        <v>2308</v>
      </c>
    </row>
    <row r="1876" spans="1:9" s="31" customFormat="1" ht="60">
      <c r="A1876" s="12">
        <v>43574.225127314814</v>
      </c>
      <c r="B1876" s="13" t="str">
        <f>HYPERLINK("https://twitter.com/HostSoSimple","@HostSoSimple")</f>
        <v>@HostSoSimple</v>
      </c>
      <c r="C1876" s="14" t="s">
        <v>2306</v>
      </c>
      <c r="D1876" s="15" t="s">
        <v>2651</v>
      </c>
      <c r="E1876" s="16" t="str">
        <f>HYPERLINK("http://twitter.com","Twitter Web Client")</f>
        <v>Twitter Web Client</v>
      </c>
      <c r="F1876" s="12">
        <v>42573.653009259258</v>
      </c>
      <c r="G1876" s="17" t="s">
        <v>171</v>
      </c>
      <c r="H1876" s="35" t="s">
        <v>2095</v>
      </c>
      <c r="I1876" s="18" t="s">
        <v>2308</v>
      </c>
    </row>
    <row r="1877" spans="1:9" s="31" customFormat="1" ht="45">
      <c r="A1877" s="12">
        <v>43570.288437499999</v>
      </c>
      <c r="B1877" s="13" t="str">
        <f>HYPERLINK("https://twitter.com/HostSoSimple","@HostSoSimple")</f>
        <v>@HostSoSimple</v>
      </c>
      <c r="C1877" s="14" t="s">
        <v>2306</v>
      </c>
      <c r="D1877" s="15" t="s">
        <v>4259</v>
      </c>
      <c r="E1877" s="16" t="str">
        <f>HYPERLINK("http://twitter.com","Twitter Web Client")</f>
        <v>Twitter Web Client</v>
      </c>
      <c r="F1877" s="12">
        <v>42573.653009259258</v>
      </c>
      <c r="G1877" s="17" t="s">
        <v>171</v>
      </c>
      <c r="H1877" s="35" t="s">
        <v>2095</v>
      </c>
      <c r="I1877" s="18" t="s">
        <v>2308</v>
      </c>
    </row>
    <row r="1878" spans="1:9" s="31" customFormat="1" ht="60">
      <c r="A1878" s="12">
        <v>43569.003495370373</v>
      </c>
      <c r="B1878" s="13" t="str">
        <f>HYPERLINK("https://twitter.com/dolocaldigital","@dolocaldigital")</f>
        <v>@dolocaldigital</v>
      </c>
      <c r="C1878" s="14" t="s">
        <v>4608</v>
      </c>
      <c r="D1878" s="15" t="s">
        <v>4609</v>
      </c>
      <c r="E1878" s="16" t="str">
        <f>HYPERLINK("https://ifttt.com","IFTTT")</f>
        <v>IFTTT</v>
      </c>
      <c r="F1878" s="12">
        <v>41327.477905092594</v>
      </c>
      <c r="G1878" s="17" t="s">
        <v>171</v>
      </c>
      <c r="H1878" s="35" t="s">
        <v>2095</v>
      </c>
      <c r="I1878" s="18" t="s">
        <v>4610</v>
      </c>
    </row>
    <row r="1879" spans="1:9" s="31" customFormat="1" ht="45">
      <c r="A1879" s="12">
        <v>43566.278391203705</v>
      </c>
      <c r="B1879" s="13" t="str">
        <f>HYPERLINK("https://twitter.com/HostSoSimple","@HostSoSimple")</f>
        <v>@HostSoSimple</v>
      </c>
      <c r="C1879" s="14" t="s">
        <v>2306</v>
      </c>
      <c r="D1879" s="15" t="s">
        <v>5690</v>
      </c>
      <c r="E1879" s="16" t="str">
        <f>HYPERLINK("http://twitter.com","Twitter Web Client")</f>
        <v>Twitter Web Client</v>
      </c>
      <c r="F1879" s="12">
        <v>42573.653009259258</v>
      </c>
      <c r="G1879" s="17" t="s">
        <v>171</v>
      </c>
      <c r="H1879" s="35" t="s">
        <v>2095</v>
      </c>
      <c r="I1879" s="18" t="s">
        <v>2308</v>
      </c>
    </row>
    <row r="1880" spans="1:9" s="31" customFormat="1" ht="60">
      <c r="A1880" s="4">
        <v>43564.389953703707</v>
      </c>
      <c r="B1880" s="5" t="str">
        <f>HYPERLINK("https://twitter.com/Conwy_PM","@Conwy_PM")</f>
        <v>@Conwy_PM</v>
      </c>
      <c r="C1880" s="6" t="s">
        <v>6636</v>
      </c>
      <c r="D1880" s="7" t="s">
        <v>6637</v>
      </c>
      <c r="E1880" s="8" t="str">
        <f>HYPERLINK("http://instagram.com","Instagram")</f>
        <v>Instagram</v>
      </c>
      <c r="F1880" s="4">
        <v>42750.067337962959</v>
      </c>
      <c r="G1880" s="17" t="s">
        <v>171</v>
      </c>
      <c r="H1880" s="35" t="s">
        <v>6638</v>
      </c>
      <c r="I1880" s="10" t="s">
        <v>6639</v>
      </c>
    </row>
    <row r="1881" spans="1:9" s="31" customFormat="1" ht="60">
      <c r="A1881" s="12">
        <v>43575.072916666672</v>
      </c>
      <c r="B1881" s="13" t="str">
        <f>HYPERLINK("https://twitter.com/ignaty","@ignaty")</f>
        <v>@ignaty</v>
      </c>
      <c r="C1881" s="14" t="s">
        <v>2374</v>
      </c>
      <c r="D1881" s="15" t="s">
        <v>405</v>
      </c>
      <c r="E1881" s="16" t="str">
        <f>HYPERLINK("https://buffer.com","Buffer")</f>
        <v>Buffer</v>
      </c>
      <c r="F1881" s="12">
        <v>39947.153506944444</v>
      </c>
      <c r="G1881" s="17" t="s">
        <v>171</v>
      </c>
      <c r="H1881" s="35" t="s">
        <v>2375</v>
      </c>
      <c r="I1881" s="18" t="s">
        <v>2376</v>
      </c>
    </row>
    <row r="1882" spans="1:9" s="31" customFormat="1" ht="45">
      <c r="A1882" s="19">
        <v>43551.324988425928</v>
      </c>
      <c r="B1882" s="20" t="str">
        <f>HYPERLINK("https://twitter.com/Skyetrip_HQ","@Skyetrip_HQ")</f>
        <v>@Skyetrip_HQ</v>
      </c>
      <c r="C1882" s="21" t="s">
        <v>7311</v>
      </c>
      <c r="D1882" s="22" t="s">
        <v>7312</v>
      </c>
      <c r="E1882" s="23" t="str">
        <f>HYPERLINK("http://twitter.com","Twitter Web Client")</f>
        <v>Twitter Web Client</v>
      </c>
      <c r="F1882" s="19">
        <v>43337.68241898148</v>
      </c>
      <c r="G1882" s="17" t="s">
        <v>171</v>
      </c>
      <c r="H1882" s="35" t="s">
        <v>95</v>
      </c>
      <c r="I1882" s="25" t="s">
        <v>7313</v>
      </c>
    </row>
    <row r="1883" spans="1:9" s="31" customFormat="1" ht="60">
      <c r="A1883" s="19">
        <v>43551.180555555555</v>
      </c>
      <c r="B1883" s="20" t="str">
        <f>HYPERLINK("https://twitter.com/Storeys_london","@Storeys_london")</f>
        <v>@Storeys_london</v>
      </c>
      <c r="C1883" s="21" t="s">
        <v>4346</v>
      </c>
      <c r="D1883" s="22" t="s">
        <v>7406</v>
      </c>
      <c r="E1883" s="23" t="str">
        <f>HYPERLINK("https://about.twitter.com/products/tweetdeck","TweetDeck")</f>
        <v>TweetDeck</v>
      </c>
      <c r="F1883" s="19">
        <v>42821.979490740741</v>
      </c>
      <c r="G1883" s="17" t="s">
        <v>171</v>
      </c>
      <c r="H1883" s="35" t="s">
        <v>95</v>
      </c>
      <c r="I1883" s="25" t="s">
        <v>4348</v>
      </c>
    </row>
    <row r="1884" spans="1:9" s="31" customFormat="1" ht="45">
      <c r="A1884" s="19">
        <v>43550.101979166662</v>
      </c>
      <c r="B1884" s="20" t="str">
        <f>HYPERLINK("https://twitter.com/Just_Entr","@Just_Entr")</f>
        <v>@Just_Entr</v>
      </c>
      <c r="C1884" s="21" t="s">
        <v>7834</v>
      </c>
      <c r="D1884" s="22" t="s">
        <v>7835</v>
      </c>
      <c r="E1884" s="23" t="str">
        <f>HYPERLINK("https://buffer.com","Buffer")</f>
        <v>Buffer</v>
      </c>
      <c r="F1884" s="19">
        <v>42037.547013888892</v>
      </c>
      <c r="G1884" s="17" t="s">
        <v>171</v>
      </c>
      <c r="H1884" s="35" t="s">
        <v>95</v>
      </c>
      <c r="I1884" s="25" t="s">
        <v>7836</v>
      </c>
    </row>
    <row r="1885" spans="1:9" s="31" customFormat="1" ht="45">
      <c r="A1885" s="19">
        <v>43550.084085648152</v>
      </c>
      <c r="B1885" s="20" t="str">
        <f>HYPERLINK("https://twitter.com/yiorgos_pap","@yiorgos_pap")</f>
        <v>@yiorgos_pap</v>
      </c>
      <c r="C1885" s="21" t="s">
        <v>7848</v>
      </c>
      <c r="D1885" s="22" t="s">
        <v>7849</v>
      </c>
      <c r="E1885" s="23" t="str">
        <f>HYPERLINK("http://twitter.com","Twitter Web Client")</f>
        <v>Twitter Web Client</v>
      </c>
      <c r="F1885" s="19">
        <v>41437.347395833334</v>
      </c>
      <c r="G1885" s="17" t="s">
        <v>171</v>
      </c>
      <c r="H1885" s="35" t="s">
        <v>95</v>
      </c>
      <c r="I1885" s="25" t="s">
        <v>7850</v>
      </c>
    </row>
    <row r="1886" spans="1:9" s="31" customFormat="1" ht="60">
      <c r="A1886" s="19">
        <v>43549.469259259262</v>
      </c>
      <c r="B1886" s="20" t="str">
        <f>HYPERLINK("https://twitter.com/HikapeeTheatre","@HikapeeTheatre")</f>
        <v>@HikapeeTheatre</v>
      </c>
      <c r="C1886" s="21" t="s">
        <v>8017</v>
      </c>
      <c r="D1886" s="22" t="s">
        <v>8018</v>
      </c>
      <c r="E1886" s="23" t="str">
        <f>HYPERLINK("http://twitter.com/download/iphone","Twitter for iPhone")</f>
        <v>Twitter for iPhone</v>
      </c>
      <c r="F1886" s="19">
        <v>41809.62023148148</v>
      </c>
      <c r="G1886" s="17" t="s">
        <v>171</v>
      </c>
      <c r="H1886" s="35" t="s">
        <v>95</v>
      </c>
      <c r="I1886" s="25" t="s">
        <v>8019</v>
      </c>
    </row>
    <row r="1887" spans="1:9" s="31" customFormat="1" ht="105">
      <c r="A1887" s="19">
        <v>43549.324999999997</v>
      </c>
      <c r="B1887" s="20" t="str">
        <f>HYPERLINK("https://twitter.com/sbcInsurTech","@sbcInsurTech")</f>
        <v>@sbcInsurTech</v>
      </c>
      <c r="C1887" s="21" t="s">
        <v>8091</v>
      </c>
      <c r="D1887" s="22" t="s">
        <v>8092</v>
      </c>
      <c r="E1887" s="23" t="str">
        <f>HYPERLINK("https://buffer.com","Buffer")</f>
        <v>Buffer</v>
      </c>
      <c r="F1887" s="19">
        <v>42163.394363425927</v>
      </c>
      <c r="G1887" s="17" t="s">
        <v>171</v>
      </c>
      <c r="H1887" s="35" t="s">
        <v>95</v>
      </c>
      <c r="I1887" s="25" t="s">
        <v>8093</v>
      </c>
    </row>
    <row r="1888" spans="1:9" s="31" customFormat="1" ht="90">
      <c r="A1888" s="19">
        <v>43545.958344907413</v>
      </c>
      <c r="B1888" s="20" t="str">
        <f>HYPERLINK("https://twitter.com/Andy_Clayton","@Andy_Clayton")</f>
        <v>@Andy_Clayton</v>
      </c>
      <c r="C1888" s="21" t="s">
        <v>8991</v>
      </c>
      <c r="D1888" s="22" t="s">
        <v>8992</v>
      </c>
      <c r="E1888" s="23" t="str">
        <f>HYPERLINK("http://www.linkedin.com/","LinkedIn")</f>
        <v>LinkedIn</v>
      </c>
      <c r="F1888" s="19">
        <v>40029.013171296298</v>
      </c>
      <c r="G1888" s="17" t="s">
        <v>171</v>
      </c>
      <c r="H1888" s="35" t="s">
        <v>95</v>
      </c>
      <c r="I1888" s="25" t="s">
        <v>8993</v>
      </c>
    </row>
    <row r="1889" spans="1:9" s="31" customFormat="1" ht="60">
      <c r="A1889" s="19">
        <v>43545.228136574078</v>
      </c>
      <c r="B1889" s="20" t="str">
        <f>HYPERLINK("https://twitter.com/homesgofast","@homesgofast")</f>
        <v>@homesgofast</v>
      </c>
      <c r="C1889" s="20" t="s">
        <v>9241</v>
      </c>
      <c r="D1889" s="22" t="s">
        <v>9242</v>
      </c>
      <c r="E1889" s="23" t="str">
        <f>HYPERLINK("http://twitter.com","Twitter Web Client")</f>
        <v>Twitter Web Client</v>
      </c>
      <c r="F1889" s="19">
        <v>39831.029224537036</v>
      </c>
      <c r="G1889" s="17" t="s">
        <v>171</v>
      </c>
      <c r="H1889" s="35" t="s">
        <v>95</v>
      </c>
      <c r="I1889" s="25" t="s">
        <v>9243</v>
      </c>
    </row>
    <row r="1890" spans="1:9" s="31" customFormat="1" ht="75">
      <c r="A1890" s="19">
        <v>43544.344375000001</v>
      </c>
      <c r="B1890" s="20" t="str">
        <f>HYPERLINK("https://twitter.com/Panos0007","@Panos0007")</f>
        <v>@Panos0007</v>
      </c>
      <c r="C1890" s="21" t="s">
        <v>9512</v>
      </c>
      <c r="D1890" s="22" t="s">
        <v>9513</v>
      </c>
      <c r="E1890" s="23" t="str">
        <f>HYPERLINK("http://www.linkedin.com/","LinkedIn")</f>
        <v>LinkedIn</v>
      </c>
      <c r="F1890" s="19">
        <v>39943.955034722225</v>
      </c>
      <c r="G1890" s="17" t="s">
        <v>171</v>
      </c>
      <c r="H1890" s="35" t="s">
        <v>95</v>
      </c>
      <c r="I1890" s="25" t="s">
        <v>9514</v>
      </c>
    </row>
    <row r="1891" spans="1:9" s="31" customFormat="1" ht="45">
      <c r="A1891" s="19">
        <v>43544.28025462963</v>
      </c>
      <c r="B1891" s="20" t="str">
        <f>HYPERLINK("https://twitter.com/Prop4MediaUK","@Prop4MediaUK")</f>
        <v>@Prop4MediaUK</v>
      </c>
      <c r="C1891" s="21" t="s">
        <v>9558</v>
      </c>
      <c r="D1891" s="22" t="s">
        <v>9559</v>
      </c>
      <c r="E1891" s="23" t="str">
        <f>HYPERLINK("https://about.twitter.com/products/tweetdeck","TweetDeck")</f>
        <v>TweetDeck</v>
      </c>
      <c r="F1891" s="19">
        <v>40170.322858796295</v>
      </c>
      <c r="G1891" s="17" t="s">
        <v>171</v>
      </c>
      <c r="H1891" s="35" t="s">
        <v>95</v>
      </c>
      <c r="I1891" s="25" t="s">
        <v>9560</v>
      </c>
    </row>
    <row r="1892" spans="1:9" s="31" customFormat="1" ht="60">
      <c r="A1892" s="19">
        <v>43544.083402777775</v>
      </c>
      <c r="B1892" s="20" t="str">
        <f>HYPERLINK("https://twitter.com/_sebastianmay","@_sebastianmay")</f>
        <v>@_sebastianmay</v>
      </c>
      <c r="C1892" s="21" t="s">
        <v>2382</v>
      </c>
      <c r="D1892" s="22" t="s">
        <v>2383</v>
      </c>
      <c r="E1892" s="23" t="str">
        <f>HYPERLINK("https://ifttt.com","IFTTT")</f>
        <v>IFTTT</v>
      </c>
      <c r="F1892" s="19">
        <v>40372.298564814817</v>
      </c>
      <c r="G1892" s="17" t="s">
        <v>171</v>
      </c>
      <c r="H1892" s="35" t="s">
        <v>95</v>
      </c>
      <c r="I1892" s="25" t="s">
        <v>2384</v>
      </c>
    </row>
    <row r="1893" spans="1:9" s="31" customFormat="1" ht="90">
      <c r="A1893" s="19">
        <v>43543.32711805556</v>
      </c>
      <c r="B1893" s="20" t="str">
        <f>HYPERLINK("https://twitter.com/Andy_Clayton","@Andy_Clayton")</f>
        <v>@Andy_Clayton</v>
      </c>
      <c r="C1893" s="21" t="s">
        <v>8991</v>
      </c>
      <c r="D1893" s="22" t="s">
        <v>8992</v>
      </c>
      <c r="E1893" s="23" t="str">
        <f>HYPERLINK("http://www.linkedin.com/","LinkedIn")</f>
        <v>LinkedIn</v>
      </c>
      <c r="F1893" s="19">
        <v>40029.013171296298</v>
      </c>
      <c r="G1893" s="17" t="s">
        <v>171</v>
      </c>
      <c r="H1893" s="35" t="s">
        <v>95</v>
      </c>
      <c r="I1893" s="25" t="s">
        <v>8993</v>
      </c>
    </row>
    <row r="1894" spans="1:9" s="31" customFormat="1" ht="45">
      <c r="A1894" s="19">
        <v>43543.257071759261</v>
      </c>
      <c r="B1894" s="20" t="str">
        <f>HYPERLINK("https://twitter.com/EstatesIT","@EstatesIT")</f>
        <v>@EstatesIT</v>
      </c>
      <c r="C1894" s="21" t="s">
        <v>302</v>
      </c>
      <c r="D1894" s="22" t="s">
        <v>9882</v>
      </c>
      <c r="E1894" s="23" t="str">
        <f>HYPERLINK("https://www.hootsuite.com","Hootsuite Inc.")</f>
        <v>Hootsuite Inc.</v>
      </c>
      <c r="F1894" s="19">
        <v>40490.108634259261</v>
      </c>
      <c r="G1894" s="17" t="s">
        <v>171</v>
      </c>
      <c r="H1894" s="35" t="s">
        <v>95</v>
      </c>
      <c r="I1894" s="25" t="s">
        <v>304</v>
      </c>
    </row>
    <row r="1895" spans="1:9" s="31" customFormat="1" ht="45">
      <c r="A1895" s="19">
        <v>43542.579861111109</v>
      </c>
      <c r="B1895" s="20" t="str">
        <f>HYPERLINK("https://twitter.com/ADJBlog","@ADJBlog")</f>
        <v>@ADJBlog</v>
      </c>
      <c r="C1895" s="21" t="s">
        <v>1031</v>
      </c>
      <c r="D1895" s="22" t="s">
        <v>10091</v>
      </c>
      <c r="E1895" s="23" t="str">
        <f>HYPERLINK("https://buffer.com","Buffer")</f>
        <v>Buffer</v>
      </c>
      <c r="F1895" s="19">
        <v>40074.371446759258</v>
      </c>
      <c r="G1895" s="17" t="s">
        <v>171</v>
      </c>
      <c r="H1895" s="35" t="s">
        <v>95</v>
      </c>
      <c r="I1895" s="25" t="s">
        <v>1033</v>
      </c>
    </row>
    <row r="1896" spans="1:9" s="31" customFormat="1" ht="45">
      <c r="A1896" s="4">
        <v>43565.4375</v>
      </c>
      <c r="B1896" s="5" t="str">
        <f>HYPERLINK("https://twitter.com/aawsat_eng","@aawsat_eng")</f>
        <v>@aawsat_eng</v>
      </c>
      <c r="C1896" s="6" t="s">
        <v>6092</v>
      </c>
      <c r="D1896" s="7" t="s">
        <v>6093</v>
      </c>
      <c r="E1896" s="8" t="str">
        <f>HYPERLINK("https://about.twitter.com/products/tweetdeck","TweetDeck")</f>
        <v>TweetDeck</v>
      </c>
      <c r="F1896" s="4">
        <v>40520.679155092592</v>
      </c>
      <c r="G1896" s="17" t="s">
        <v>171</v>
      </c>
      <c r="H1896" s="35" t="s">
        <v>95</v>
      </c>
      <c r="I1896" s="10" t="s">
        <v>6094</v>
      </c>
    </row>
    <row r="1897" spans="1:9" s="31" customFormat="1" ht="60">
      <c r="A1897" s="4">
        <v>43565.093333333338</v>
      </c>
      <c r="B1897" s="5" t="str">
        <f>HYPERLINK("https://twitter.com/The_NewArab","@The_NewArab")</f>
        <v>@The_NewArab</v>
      </c>
      <c r="C1897" s="6" t="s">
        <v>6288</v>
      </c>
      <c r="D1897" s="7" t="s">
        <v>6289</v>
      </c>
      <c r="E1897" s="8" t="str">
        <f>HYPERLINK("http://www.socialflow.com","SocialFlow")</f>
        <v>SocialFlow</v>
      </c>
      <c r="F1897" s="4">
        <v>41707.142569444448</v>
      </c>
      <c r="G1897" s="17" t="s">
        <v>171</v>
      </c>
      <c r="H1897" s="35" t="s">
        <v>95</v>
      </c>
      <c r="I1897" s="10" t="s">
        <v>6290</v>
      </c>
    </row>
    <row r="1898" spans="1:9" s="31" customFormat="1" ht="60">
      <c r="A1898" s="4">
        <v>43565.090381944443</v>
      </c>
      <c r="B1898" s="5" t="str">
        <f>HYPERLINK("https://twitter.com/martinvanwezel","@martinvanwezel")</f>
        <v>@martinvanwezel</v>
      </c>
      <c r="C1898" s="6" t="s">
        <v>6291</v>
      </c>
      <c r="D1898" s="7" t="s">
        <v>6292</v>
      </c>
      <c r="E1898" s="8" t="str">
        <f>HYPERLINK("http://twitter.com","Twitter Web Client")</f>
        <v>Twitter Web Client</v>
      </c>
      <c r="F1898" s="4">
        <v>40798.433113425926</v>
      </c>
      <c r="G1898" s="17" t="s">
        <v>171</v>
      </c>
      <c r="H1898" s="35" t="s">
        <v>95</v>
      </c>
      <c r="I1898" s="10" t="s">
        <v>6293</v>
      </c>
    </row>
    <row r="1899" spans="1:9" s="31" customFormat="1" ht="45">
      <c r="A1899" s="4">
        <v>43565.007002314815</v>
      </c>
      <c r="B1899" s="5" t="str">
        <f>HYPERLINK("https://twitter.com/Andrew_Campling","@Andrew_Campling")</f>
        <v>@Andrew_Campling</v>
      </c>
      <c r="C1899" s="6" t="s">
        <v>158</v>
      </c>
      <c r="D1899" s="7" t="s">
        <v>6345</v>
      </c>
      <c r="E1899" s="8" t="str">
        <f>HYPERLINK("https://www.hootsuite.com","Hootsuite Inc.")</f>
        <v>Hootsuite Inc.</v>
      </c>
      <c r="F1899" s="4">
        <v>39899.048576388886</v>
      </c>
      <c r="G1899" s="17" t="s">
        <v>171</v>
      </c>
      <c r="H1899" s="35" t="s">
        <v>95</v>
      </c>
      <c r="I1899" s="10" t="s">
        <v>160</v>
      </c>
    </row>
    <row r="1900" spans="1:9" s="31" customFormat="1" ht="90">
      <c r="A1900" s="4">
        <v>43564.97042824074</v>
      </c>
      <c r="B1900" s="5" t="str">
        <f>HYPERLINK("https://twitter.com/clarefarrell","@clarefarrell")</f>
        <v>@clarefarrell</v>
      </c>
      <c r="C1900" s="6" t="s">
        <v>6355</v>
      </c>
      <c r="D1900" s="7" t="s">
        <v>6356</v>
      </c>
      <c r="E1900" s="8" t="str">
        <f>HYPERLINK("http://twitter.com/download/android","Twitter for Android")</f>
        <v>Twitter for Android</v>
      </c>
      <c r="F1900" s="4">
        <v>39168.075231481482</v>
      </c>
      <c r="G1900" s="17" t="s">
        <v>171</v>
      </c>
      <c r="H1900" s="35" t="s">
        <v>95</v>
      </c>
      <c r="I1900" s="10" t="s">
        <v>6357</v>
      </c>
    </row>
    <row r="1901" spans="1:9" s="31" customFormat="1" ht="45">
      <c r="A1901" s="4">
        <v>43564.968148148153</v>
      </c>
      <c r="B1901" s="5" t="str">
        <f>HYPERLINK("https://twitter.com/clarefarrell","@clarefarrell")</f>
        <v>@clarefarrell</v>
      </c>
      <c r="C1901" s="6" t="s">
        <v>6355</v>
      </c>
      <c r="D1901" s="7" t="s">
        <v>6358</v>
      </c>
      <c r="E1901" s="8" t="str">
        <f>HYPERLINK("http://twitter.com/download/android","Twitter for Android")</f>
        <v>Twitter for Android</v>
      </c>
      <c r="F1901" s="4">
        <v>39168.075231481482</v>
      </c>
      <c r="G1901" s="17" t="s">
        <v>171</v>
      </c>
      <c r="H1901" s="35" t="s">
        <v>95</v>
      </c>
      <c r="I1901" s="10" t="s">
        <v>6357</v>
      </c>
    </row>
    <row r="1902" spans="1:9" s="31" customFormat="1" ht="45">
      <c r="A1902" s="4">
        <v>43564.257106481484</v>
      </c>
      <c r="B1902" s="5" t="str">
        <f>HYPERLINK("https://twitter.com/EstatesIT","@EstatesIT")</f>
        <v>@EstatesIT</v>
      </c>
      <c r="C1902" s="6" t="s">
        <v>302</v>
      </c>
      <c r="D1902" s="7" t="s">
        <v>6711</v>
      </c>
      <c r="E1902" s="8" t="str">
        <f>HYPERLINK("https://www.hootsuite.com","Hootsuite Inc.")</f>
        <v>Hootsuite Inc.</v>
      </c>
      <c r="F1902" s="4">
        <v>40490.108634259261</v>
      </c>
      <c r="G1902" s="17" t="s">
        <v>171</v>
      </c>
      <c r="H1902" s="35" t="s">
        <v>95</v>
      </c>
      <c r="I1902" s="10" t="s">
        <v>304</v>
      </c>
    </row>
    <row r="1903" spans="1:9" s="31" customFormat="1" ht="45">
      <c r="A1903" s="4">
        <v>43564.177233796298</v>
      </c>
      <c r="B1903" s="5" t="str">
        <f>HYPERLINK("https://twitter.com/Realiseliveltd","@Realiseliveltd")</f>
        <v>@Realiseliveltd</v>
      </c>
      <c r="C1903" s="6" t="s">
        <v>3847</v>
      </c>
      <c r="D1903" s="7" t="s">
        <v>6755</v>
      </c>
      <c r="E1903" s="8" t="str">
        <f>HYPERLINK("https://www.hootsuite.com","Hootsuite Inc.")</f>
        <v>Hootsuite Inc.</v>
      </c>
      <c r="F1903" s="4">
        <v>40772.510868055557</v>
      </c>
      <c r="G1903" s="17" t="s">
        <v>171</v>
      </c>
      <c r="H1903" s="35" t="s">
        <v>95</v>
      </c>
      <c r="I1903" s="10" t="s">
        <v>3849</v>
      </c>
    </row>
    <row r="1904" spans="1:9" s="31" customFormat="1" ht="105">
      <c r="A1904" s="4">
        <v>43563.078888888893</v>
      </c>
      <c r="B1904" s="5" t="str">
        <f>HYPERLINK("https://twitter.com/KarenRoberts4","@KarenRoberts4")</f>
        <v>@KarenRoberts4</v>
      </c>
      <c r="C1904" s="6" t="s">
        <v>10473</v>
      </c>
      <c r="D1904" s="7" t="s">
        <v>10474</v>
      </c>
      <c r="E1904" s="8" t="str">
        <f>HYPERLINK("http://twitter.com","Twitter Web Client")</f>
        <v>Twitter Web Client</v>
      </c>
      <c r="F1904" s="4">
        <v>40680.317106481481</v>
      </c>
      <c r="G1904" s="17" t="s">
        <v>171</v>
      </c>
      <c r="H1904" s="35" t="s">
        <v>95</v>
      </c>
      <c r="I1904" s="10" t="s">
        <v>10475</v>
      </c>
    </row>
    <row r="1905" spans="1:9" s="31" customFormat="1" ht="105">
      <c r="A1905" s="4">
        <v>43562.083819444444</v>
      </c>
      <c r="B1905" s="5" t="str">
        <f>HYPERLINK("https://twitter.com/londontoolkit","@londontoolkit")</f>
        <v>@londontoolkit</v>
      </c>
      <c r="C1905" s="6" t="s">
        <v>10754</v>
      </c>
      <c r="D1905" s="7" t="s">
        <v>10755</v>
      </c>
      <c r="E1905" s="8" t="str">
        <f>HYPERLINK("https://www.hootsuite.com","Hootsuite Inc.")</f>
        <v>Hootsuite Inc.</v>
      </c>
      <c r="F1905" s="4">
        <v>41442.496527777781</v>
      </c>
      <c r="G1905" s="17" t="s">
        <v>171</v>
      </c>
      <c r="H1905" s="35" t="s">
        <v>95</v>
      </c>
      <c r="I1905" s="10" t="s">
        <v>10756</v>
      </c>
    </row>
    <row r="1906" spans="1:9" s="31" customFormat="1" ht="60">
      <c r="A1906" s="4">
        <v>43561.631296296298</v>
      </c>
      <c r="B1906" s="5" t="str">
        <f>HYPERLINK("https://twitter.com/juliet_gough","@juliet_gough")</f>
        <v>@juliet_gough</v>
      </c>
      <c r="C1906" s="6" t="s">
        <v>10897</v>
      </c>
      <c r="D1906" s="7" t="s">
        <v>10898</v>
      </c>
      <c r="E1906" s="8" t="str">
        <f>HYPERLINK("http://twitter.com/download/iphone","Twitter for iPhone")</f>
        <v>Twitter for iPhone</v>
      </c>
      <c r="F1906" s="4">
        <v>39907.56590277778</v>
      </c>
      <c r="G1906" s="17" t="s">
        <v>171</v>
      </c>
      <c r="H1906" s="35" t="s">
        <v>95</v>
      </c>
      <c r="I1906" s="10" t="s">
        <v>10899</v>
      </c>
    </row>
    <row r="1907" spans="1:9" s="31" customFormat="1" ht="30">
      <c r="A1907" s="4">
        <v>43561.081261574072</v>
      </c>
      <c r="B1907" s="5" t="str">
        <f>HYPERLINK("https://twitter.com/emmarigby88","@emmarigby88")</f>
        <v>@emmarigby88</v>
      </c>
      <c r="C1907" s="6" t="s">
        <v>11077</v>
      </c>
      <c r="D1907" s="7" t="s">
        <v>11078</v>
      </c>
      <c r="E1907" s="8" t="str">
        <f>HYPERLINK("http://instagram.com","Instagram")</f>
        <v>Instagram</v>
      </c>
      <c r="F1907" s="4">
        <v>40573.374780092592</v>
      </c>
      <c r="G1907" s="17" t="s">
        <v>171</v>
      </c>
      <c r="H1907" s="35" t="s">
        <v>95</v>
      </c>
      <c r="I1907" s="10" t="s">
        <v>11079</v>
      </c>
    </row>
    <row r="1908" spans="1:9" s="31" customFormat="1" ht="60">
      <c r="A1908" s="4">
        <v>43560.488043981481</v>
      </c>
      <c r="B1908" s="5" t="str">
        <f>HYPERLINK("https://twitter.com/LittleBolideG","@LittleBolideG")</f>
        <v>@LittleBolideG</v>
      </c>
      <c r="C1908" s="6" t="s">
        <v>11338</v>
      </c>
      <c r="D1908" s="7" t="s">
        <v>11339</v>
      </c>
      <c r="E1908" s="8" t="str">
        <f>HYPERLINK("http://twitter.com/download/iphone","Twitter for iPhone")</f>
        <v>Twitter for iPhone</v>
      </c>
      <c r="F1908" s="4">
        <v>39987.517407407409</v>
      </c>
      <c r="G1908" s="17" t="s">
        <v>171</v>
      </c>
      <c r="H1908" s="35" t="s">
        <v>95</v>
      </c>
      <c r="I1908" s="10" t="s">
        <v>11340</v>
      </c>
    </row>
    <row r="1909" spans="1:9" s="31" customFormat="1" ht="60">
      <c r="A1909" s="4">
        <v>43560.416678240741</v>
      </c>
      <c r="B1909" s="5" t="str">
        <f>HYPERLINK("https://twitter.com/EasyvoyageUK","@EasyvoyageUK")</f>
        <v>@EasyvoyageUK</v>
      </c>
      <c r="C1909" s="6" t="s">
        <v>11394</v>
      </c>
      <c r="D1909" s="7" t="s">
        <v>11395</v>
      </c>
      <c r="E1909" s="8" t="str">
        <f>HYPERLINK("https://about.twitter.com/products/tweetdeck","TweetDeck")</f>
        <v>TweetDeck</v>
      </c>
      <c r="F1909" s="4">
        <v>39883.328773148147</v>
      </c>
      <c r="G1909" s="17" t="s">
        <v>171</v>
      </c>
      <c r="H1909" s="35" t="s">
        <v>95</v>
      </c>
      <c r="I1909" s="10" t="s">
        <v>11396</v>
      </c>
    </row>
    <row r="1910" spans="1:9" s="31" customFormat="1" ht="60">
      <c r="A1910" s="4">
        <v>43560.34375</v>
      </c>
      <c r="B1910" s="5" t="str">
        <f>HYPERLINK("https://twitter.com/EasyvoyageUK","@EasyvoyageUK")</f>
        <v>@EasyvoyageUK</v>
      </c>
      <c r="C1910" s="6" t="s">
        <v>11394</v>
      </c>
      <c r="D1910" s="7" t="s">
        <v>11395</v>
      </c>
      <c r="E1910" s="8" t="str">
        <f>HYPERLINK("https://about.twitter.com/products/tweetdeck","TweetDeck")</f>
        <v>TweetDeck</v>
      </c>
      <c r="F1910" s="4">
        <v>39883.328773148147</v>
      </c>
      <c r="G1910" s="17" t="s">
        <v>171</v>
      </c>
      <c r="H1910" s="35" t="s">
        <v>95</v>
      </c>
      <c r="I1910" s="10" t="s">
        <v>11396</v>
      </c>
    </row>
    <row r="1911" spans="1:9" s="31" customFormat="1" ht="90">
      <c r="A1911" s="4">
        <v>43560.247465277775</v>
      </c>
      <c r="B1911" s="5" t="str">
        <f>HYPERLINK("https://twitter.com/frank_meehan","@frank_meehan")</f>
        <v>@frank_meehan</v>
      </c>
      <c r="C1911" s="6" t="s">
        <v>11543</v>
      </c>
      <c r="D1911" s="7" t="s">
        <v>11544</v>
      </c>
      <c r="E1911" s="8" t="str">
        <f>HYPERLINK("http://twitter.com/download/iphone","Twitter for iPhone")</f>
        <v>Twitter for iPhone</v>
      </c>
      <c r="F1911" s="4">
        <v>39858.135277777779</v>
      </c>
      <c r="G1911" s="17" t="s">
        <v>171</v>
      </c>
      <c r="H1911" s="35" t="s">
        <v>95</v>
      </c>
      <c r="I1911" s="10" t="s">
        <v>11545</v>
      </c>
    </row>
    <row r="1912" spans="1:9" s="31" customFormat="1" ht="45">
      <c r="A1912" s="4">
        <v>43560.21539351852</v>
      </c>
      <c r="B1912" s="5" t="str">
        <f>HYPERLINK("https://twitter.com/EstatesIT","@EstatesIT")</f>
        <v>@EstatesIT</v>
      </c>
      <c r="C1912" s="6" t="s">
        <v>302</v>
      </c>
      <c r="D1912" s="7" t="s">
        <v>11566</v>
      </c>
      <c r="E1912" s="8" t="str">
        <f>HYPERLINK("https://www.hootsuite.com","Hootsuite Inc.")</f>
        <v>Hootsuite Inc.</v>
      </c>
      <c r="F1912" s="4">
        <v>40490.108634259261</v>
      </c>
      <c r="G1912" s="17" t="s">
        <v>171</v>
      </c>
      <c r="H1912" s="35" t="s">
        <v>95</v>
      </c>
      <c r="I1912" s="10" t="s">
        <v>304</v>
      </c>
    </row>
    <row r="1913" spans="1:9" s="31" customFormat="1" ht="30">
      <c r="A1913" s="4">
        <v>43559.147199074076</v>
      </c>
      <c r="B1913" s="5" t="str">
        <f>HYPERLINK("https://twitter.com/TBTCelebrity","@TBTCelebrity")</f>
        <v>@TBTCelebrity</v>
      </c>
      <c r="C1913" s="6" t="s">
        <v>11931</v>
      </c>
      <c r="D1913" s="7" t="s">
        <v>11932</v>
      </c>
      <c r="E1913" s="8" t="str">
        <f>HYPERLINK("http://twitter.com","Twitter Web Client")</f>
        <v>Twitter Web Client</v>
      </c>
      <c r="F1913" s="4">
        <v>41214.037523148145</v>
      </c>
      <c r="G1913" s="17" t="s">
        <v>171</v>
      </c>
      <c r="H1913" s="35" t="s">
        <v>95</v>
      </c>
      <c r="I1913" s="10" t="s">
        <v>11933</v>
      </c>
    </row>
    <row r="1914" spans="1:9" s="31" customFormat="1" ht="45">
      <c r="A1914" s="4">
        <v>43558.433819444443</v>
      </c>
      <c r="B1914" s="5" t="str">
        <f>HYPERLINK("https://twitter.com/darkleadership1","@darkleadership1")</f>
        <v>@darkleadership1</v>
      </c>
      <c r="C1914" s="6" t="s">
        <v>12192</v>
      </c>
      <c r="D1914" s="7" t="s">
        <v>12135</v>
      </c>
      <c r="E1914" s="8" t="str">
        <f>HYPERLINK("https://paper.li","Paper.li")</f>
        <v>Paper.li</v>
      </c>
      <c r="F1914" s="4">
        <v>43548.305844907409</v>
      </c>
      <c r="G1914" s="17" t="s">
        <v>171</v>
      </c>
      <c r="H1914" s="35" t="s">
        <v>95</v>
      </c>
      <c r="I1914" s="10" t="s">
        <v>12193</v>
      </c>
    </row>
    <row r="1915" spans="1:9" s="31" customFormat="1" ht="75">
      <c r="A1915" s="4">
        <v>43558.184976851851</v>
      </c>
      <c r="B1915" s="5" t="str">
        <f>HYPERLINK("https://twitter.com/3xrien","@3xrien")</f>
        <v>@3xrien</v>
      </c>
      <c r="C1915" s="6" t="s">
        <v>12296</v>
      </c>
      <c r="D1915" s="7" t="s">
        <v>12297</v>
      </c>
      <c r="E1915" s="8" t="str">
        <f>HYPERLINK("http://instagram.com","Instagram")</f>
        <v>Instagram</v>
      </c>
      <c r="F1915" s="4">
        <v>40104.891805555555</v>
      </c>
      <c r="G1915" s="17" t="s">
        <v>171</v>
      </c>
      <c r="H1915" s="35" t="s">
        <v>95</v>
      </c>
      <c r="I1915" s="10" t="s">
        <v>12298</v>
      </c>
    </row>
    <row r="1916" spans="1:9" s="31" customFormat="1" ht="75">
      <c r="A1916" s="4">
        <v>43558.183703703704</v>
      </c>
      <c r="B1916" s="5" t="str">
        <f>HYPERLINK("https://twitter.com/3xrien","@3xrien")</f>
        <v>@3xrien</v>
      </c>
      <c r="C1916" s="6" t="s">
        <v>12296</v>
      </c>
      <c r="D1916" s="7" t="s">
        <v>12297</v>
      </c>
      <c r="E1916" s="8" t="str">
        <f>HYPERLINK("http://instagram.com","Instagram")</f>
        <v>Instagram</v>
      </c>
      <c r="F1916" s="4">
        <v>40104.891805555555</v>
      </c>
      <c r="G1916" s="17" t="s">
        <v>171</v>
      </c>
      <c r="H1916" s="35" t="s">
        <v>95</v>
      </c>
      <c r="I1916" s="10" t="s">
        <v>12298</v>
      </c>
    </row>
    <row r="1917" spans="1:9" s="31" customFormat="1" ht="75">
      <c r="A1917" s="4">
        <v>43558.181504629625</v>
      </c>
      <c r="B1917" s="5" t="str">
        <f>HYPERLINK("https://twitter.com/3xrien","@3xrien")</f>
        <v>@3xrien</v>
      </c>
      <c r="C1917" s="6" t="s">
        <v>12296</v>
      </c>
      <c r="D1917" s="7" t="s">
        <v>12297</v>
      </c>
      <c r="E1917" s="8" t="str">
        <f>HYPERLINK("http://instagram.com","Instagram")</f>
        <v>Instagram</v>
      </c>
      <c r="F1917" s="4">
        <v>40104.891805555555</v>
      </c>
      <c r="G1917" s="17" t="s">
        <v>171</v>
      </c>
      <c r="H1917" s="35" t="s">
        <v>95</v>
      </c>
      <c r="I1917" s="10" t="s">
        <v>12298</v>
      </c>
    </row>
    <row r="1918" spans="1:9" s="31" customFormat="1" ht="45">
      <c r="A1918" s="4">
        <v>43557.573645833334</v>
      </c>
      <c r="B1918" s="5" t="str">
        <f>HYPERLINK("https://twitter.com/JonNortonme","@JonNortonme")</f>
        <v>@JonNortonme</v>
      </c>
      <c r="C1918" s="6" t="s">
        <v>12468</v>
      </c>
      <c r="D1918" s="7" t="s">
        <v>12469</v>
      </c>
      <c r="E1918" s="8" t="str">
        <f>HYPERLINK("https://about.twitter.com/products/tweetdeck","TweetDeck")</f>
        <v>TweetDeck</v>
      </c>
      <c r="F1918" s="4">
        <v>40325.599594907406</v>
      </c>
      <c r="G1918" s="17" t="s">
        <v>171</v>
      </c>
      <c r="H1918" s="35" t="s">
        <v>12470</v>
      </c>
      <c r="I1918" s="10" t="s">
        <v>12471</v>
      </c>
    </row>
    <row r="1919" spans="1:9" s="31" customFormat="1" ht="120">
      <c r="A1919" s="4">
        <v>43557.474409722221</v>
      </c>
      <c r="B1919" s="5" t="str">
        <f>HYPERLINK("https://twitter.com/michaelbach1","@michaelbach1")</f>
        <v>@michaelbach1</v>
      </c>
      <c r="C1919" s="6" t="s">
        <v>12504</v>
      </c>
      <c r="D1919" s="7" t="s">
        <v>12505</v>
      </c>
      <c r="E1919" s="8" t="str">
        <f>HYPERLINK("http://twitter.com/#!/download/ipad","Twitter for iPad")</f>
        <v>Twitter for iPad</v>
      </c>
      <c r="F1919" s="4">
        <v>40583.344710648147</v>
      </c>
      <c r="G1919" s="17" t="s">
        <v>171</v>
      </c>
      <c r="H1919" s="35" t="s">
        <v>95</v>
      </c>
      <c r="I1919" s="10"/>
    </row>
    <row r="1920" spans="1:9" s="31" customFormat="1" ht="45">
      <c r="A1920" s="4">
        <v>43557.13894675926</v>
      </c>
      <c r="B1920" s="5" t="str">
        <f>HYPERLINK("https://twitter.com/Andrew_Campling","@Andrew_Campling")</f>
        <v>@Andrew_Campling</v>
      </c>
      <c r="C1920" s="6" t="s">
        <v>158</v>
      </c>
      <c r="D1920" s="7" t="s">
        <v>12644</v>
      </c>
      <c r="E1920" s="8" t="str">
        <f>HYPERLINK("https://www.hootsuite.com","Hootsuite Inc.")</f>
        <v>Hootsuite Inc.</v>
      </c>
      <c r="F1920" s="4">
        <v>39899.048576388886</v>
      </c>
      <c r="G1920" s="17" t="s">
        <v>171</v>
      </c>
      <c r="H1920" s="35" t="s">
        <v>95</v>
      </c>
      <c r="I1920" s="10" t="s">
        <v>160</v>
      </c>
    </row>
    <row r="1921" spans="1:9" s="31" customFormat="1" ht="75">
      <c r="A1921" s="4">
        <v>43557.12563657407</v>
      </c>
      <c r="B1921" s="5" t="str">
        <f>HYPERLINK("https://twitter.com/LokcomNetworks","@LokcomNetworks")</f>
        <v>@LokcomNetworks</v>
      </c>
      <c r="C1921" s="6" t="s">
        <v>12649</v>
      </c>
      <c r="D1921" s="7" t="s">
        <v>12650</v>
      </c>
      <c r="E1921" s="8" t="str">
        <f>HYPERLINK("https://www.hootsuite.com","Hootsuite Inc.")</f>
        <v>Hootsuite Inc.</v>
      </c>
      <c r="F1921" s="4">
        <v>42930.075520833328</v>
      </c>
      <c r="G1921" s="17" t="s">
        <v>171</v>
      </c>
      <c r="H1921" s="35" t="s">
        <v>95</v>
      </c>
      <c r="I1921" s="10" t="s">
        <v>12651</v>
      </c>
    </row>
    <row r="1922" spans="1:9" s="31" customFormat="1" ht="75">
      <c r="A1922" s="4">
        <v>43557.070023148146</v>
      </c>
      <c r="B1922" s="5" t="str">
        <f>HYPERLINK("https://twitter.com/KerryH_Photo","@KerryH_Photo")</f>
        <v>@KerryH_Photo</v>
      </c>
      <c r="C1922" s="6" t="s">
        <v>3844</v>
      </c>
      <c r="D1922" s="7" t="s">
        <v>12657</v>
      </c>
      <c r="E1922" s="8" t="str">
        <f>HYPERLINK("https://ifttt.com","IFTTT")</f>
        <v>IFTTT</v>
      </c>
      <c r="F1922" s="4">
        <v>40363.324606481481</v>
      </c>
      <c r="G1922" s="17" t="s">
        <v>171</v>
      </c>
      <c r="H1922" s="35" t="s">
        <v>95</v>
      </c>
      <c r="I1922" s="10" t="s">
        <v>3846</v>
      </c>
    </row>
    <row r="1923" spans="1:9" s="31" customFormat="1" ht="90">
      <c r="A1923" s="12">
        <v>43580.746886574074</v>
      </c>
      <c r="B1923" s="13" t="str">
        <f>HYPERLINK("https://twitter.com/WeAreKnapsac","@WeAreKnapsac")</f>
        <v>@WeAreKnapsac</v>
      </c>
      <c r="C1923" s="14" t="s">
        <v>93</v>
      </c>
      <c r="D1923" s="15" t="s">
        <v>94</v>
      </c>
      <c r="E1923" s="16" t="str">
        <f>HYPERLINK("http://twitter.com","Twitter Web Client")</f>
        <v>Twitter Web Client</v>
      </c>
      <c r="F1923" s="12">
        <v>43119.62777777778</v>
      </c>
      <c r="G1923" s="17" t="s">
        <v>171</v>
      </c>
      <c r="H1923" s="35" t="s">
        <v>95</v>
      </c>
      <c r="I1923" s="18" t="s">
        <v>96</v>
      </c>
    </row>
    <row r="1924" spans="1:9" s="31" customFormat="1" ht="45">
      <c r="A1924" s="12">
        <v>43580.720891203702</v>
      </c>
      <c r="B1924" s="13" t="str">
        <f>HYPERLINK("https://twitter.com/nadianizar","@nadianizar")</f>
        <v>@nadianizar</v>
      </c>
      <c r="C1924" s="14" t="s">
        <v>132</v>
      </c>
      <c r="D1924" s="15" t="s">
        <v>133</v>
      </c>
      <c r="E1924" s="16" t="str">
        <f>HYPERLINK("http://twitter.com","Twitter Web Client")</f>
        <v>Twitter Web Client</v>
      </c>
      <c r="F1924" s="12">
        <v>40140.752280092594</v>
      </c>
      <c r="G1924" s="17" t="s">
        <v>171</v>
      </c>
      <c r="H1924" s="35" t="s">
        <v>95</v>
      </c>
      <c r="I1924" s="18" t="s">
        <v>134</v>
      </c>
    </row>
    <row r="1925" spans="1:9" s="31" customFormat="1" ht="45">
      <c r="A1925" s="12">
        <v>43580.659803240742</v>
      </c>
      <c r="B1925" s="13" t="str">
        <f>HYPERLINK("https://twitter.com/Andrew_Campling","@Andrew_Campling")</f>
        <v>@Andrew_Campling</v>
      </c>
      <c r="C1925" s="14" t="s">
        <v>158</v>
      </c>
      <c r="D1925" s="15" t="s">
        <v>159</v>
      </c>
      <c r="E1925" s="16" t="str">
        <f>HYPERLINK("https://www.hootsuite.com","Hootsuite Inc.")</f>
        <v>Hootsuite Inc.</v>
      </c>
      <c r="F1925" s="12">
        <v>39899.506909722222</v>
      </c>
      <c r="G1925" s="17" t="s">
        <v>171</v>
      </c>
      <c r="H1925" s="35" t="s">
        <v>95</v>
      </c>
      <c r="I1925" s="18" t="s">
        <v>160</v>
      </c>
    </row>
    <row r="1926" spans="1:9" s="31" customFormat="1" ht="45">
      <c r="A1926" s="12">
        <v>43580.148854166662</v>
      </c>
      <c r="B1926" s="13" t="str">
        <f>HYPERLINK("https://twitter.com/TomCLindsay","@TomCLindsay")</f>
        <v>@TomCLindsay</v>
      </c>
      <c r="C1926" s="14" t="s">
        <v>221</v>
      </c>
      <c r="D1926" s="15" t="s">
        <v>222</v>
      </c>
      <c r="E1926" s="16" t="str">
        <f>HYPERLINK("http://twitter.com","Twitter Web Client")</f>
        <v>Twitter Web Client</v>
      </c>
      <c r="F1926" s="12">
        <v>41370.252256944441</v>
      </c>
      <c r="G1926" s="17" t="s">
        <v>171</v>
      </c>
      <c r="H1926" s="35" t="s">
        <v>95</v>
      </c>
      <c r="I1926" s="18" t="s">
        <v>223</v>
      </c>
    </row>
    <row r="1927" spans="1:9" s="31" customFormat="1" ht="30">
      <c r="A1927" s="12">
        <v>43580.144317129627</v>
      </c>
      <c r="B1927" s="13" t="str">
        <f>HYPERLINK("https://twitter.com/TheBarefootWay","@TheBarefootWay")</f>
        <v>@TheBarefootWay</v>
      </c>
      <c r="C1927" s="14" t="s">
        <v>228</v>
      </c>
      <c r="D1927" s="15" t="s">
        <v>229</v>
      </c>
      <c r="E1927" s="16" t="str">
        <f>HYPERLINK("http://twitter.com","Twitter Web Client")</f>
        <v>Twitter Web Client</v>
      </c>
      <c r="F1927" s="12">
        <v>41011.318020833336</v>
      </c>
      <c r="G1927" s="17" t="s">
        <v>171</v>
      </c>
      <c r="H1927" s="35" t="s">
        <v>95</v>
      </c>
      <c r="I1927" s="18" t="s">
        <v>230</v>
      </c>
    </row>
    <row r="1928" spans="1:9" s="31" customFormat="1" ht="90">
      <c r="A1928" s="12">
        <v>43580.125497685185</v>
      </c>
      <c r="B1928" s="13" t="str">
        <f>HYPERLINK("https://twitter.com/chrisjeavans","@chrisjeavans")</f>
        <v>@chrisjeavans</v>
      </c>
      <c r="C1928" s="14" t="s">
        <v>267</v>
      </c>
      <c r="D1928" s="15" t="s">
        <v>268</v>
      </c>
      <c r="E1928" s="16" t="str">
        <f>HYPERLINK("https://mobile.twitter.com","Twitter Web App")</f>
        <v>Twitter Web App</v>
      </c>
      <c r="F1928" s="12">
        <v>39849.406145833331</v>
      </c>
      <c r="G1928" s="17" t="s">
        <v>171</v>
      </c>
      <c r="H1928" s="35" t="s">
        <v>95</v>
      </c>
      <c r="I1928" s="18" t="s">
        <v>269</v>
      </c>
    </row>
    <row r="1929" spans="1:9" s="31" customFormat="1" ht="45">
      <c r="A1929" s="12">
        <v>43580.069502314815</v>
      </c>
      <c r="B1929" s="13" t="str">
        <f>HYPERLINK("https://twitter.com/EstatesIT","@EstatesIT")</f>
        <v>@EstatesIT</v>
      </c>
      <c r="C1929" s="14" t="s">
        <v>302</v>
      </c>
      <c r="D1929" s="15" t="s">
        <v>303</v>
      </c>
      <c r="E1929" s="16" t="str">
        <f>HYPERLINK("https://www.hootsuite.com","Hootsuite Inc.")</f>
        <v>Hootsuite Inc.</v>
      </c>
      <c r="F1929" s="12">
        <v>40490.108634259261</v>
      </c>
      <c r="G1929" s="17" t="s">
        <v>171</v>
      </c>
      <c r="H1929" s="35" t="s">
        <v>95</v>
      </c>
      <c r="I1929" s="18" t="s">
        <v>304</v>
      </c>
    </row>
    <row r="1930" spans="1:9" s="31" customFormat="1" ht="45">
      <c r="A1930" s="12">
        <v>43580.01394675926</v>
      </c>
      <c r="B1930" s="13" t="str">
        <f>HYPERLINK("https://twitter.com/Andrew_Campling","@Andrew_Campling")</f>
        <v>@Andrew_Campling</v>
      </c>
      <c r="C1930" s="14" t="s">
        <v>158</v>
      </c>
      <c r="D1930" s="15" t="s">
        <v>74</v>
      </c>
      <c r="E1930" s="16" t="str">
        <f>HYPERLINK("https://www.hootsuite.com","Hootsuite Inc.")</f>
        <v>Hootsuite Inc.</v>
      </c>
      <c r="F1930" s="12">
        <v>39899.048576388886</v>
      </c>
      <c r="G1930" s="17" t="s">
        <v>171</v>
      </c>
      <c r="H1930" s="35" t="s">
        <v>95</v>
      </c>
      <c r="I1930" s="18" t="s">
        <v>160</v>
      </c>
    </row>
    <row r="1931" spans="1:9" s="31" customFormat="1" ht="45">
      <c r="A1931" s="12">
        <v>43580.010925925926</v>
      </c>
      <c r="B1931" s="13" t="str">
        <f>HYPERLINK("https://twitter.com/ukoutsourcing","@ukoutsourcing")</f>
        <v>@ukoutsourcing</v>
      </c>
      <c r="C1931" s="14" t="s">
        <v>330</v>
      </c>
      <c r="D1931" s="15" t="s">
        <v>331</v>
      </c>
      <c r="E1931" s="16" t="str">
        <f>HYPERLINK("https://www.hootsuite.com","Hootsuite Inc.")</f>
        <v>Hootsuite Inc.</v>
      </c>
      <c r="F1931" s="12">
        <v>40106.002546296295</v>
      </c>
      <c r="G1931" s="17" t="s">
        <v>171</v>
      </c>
      <c r="H1931" s="35" t="s">
        <v>95</v>
      </c>
      <c r="I1931" s="18" t="s">
        <v>332</v>
      </c>
    </row>
    <row r="1932" spans="1:9" s="31" customFormat="1" ht="30">
      <c r="A1932" s="12">
        <v>43578.790995370371</v>
      </c>
      <c r="B1932" s="13" t="str">
        <f>HYPERLINK("https://twitter.com/ADJBlog","@ADJBlog")</f>
        <v>@ADJBlog</v>
      </c>
      <c r="C1932" s="14" t="s">
        <v>1031</v>
      </c>
      <c r="D1932" s="15" t="s">
        <v>1032</v>
      </c>
      <c r="E1932" s="16" t="str">
        <f>HYPERLINK("https://buffer.com","Buffer")</f>
        <v>Buffer</v>
      </c>
      <c r="F1932" s="12">
        <v>40074.371446759258</v>
      </c>
      <c r="G1932" s="17" t="s">
        <v>171</v>
      </c>
      <c r="H1932" s="35" t="s">
        <v>95</v>
      </c>
      <c r="I1932" s="18" t="s">
        <v>1033</v>
      </c>
    </row>
    <row r="1933" spans="1:9" s="31" customFormat="1" ht="105">
      <c r="A1933" s="12">
        <v>43578.377893518518</v>
      </c>
      <c r="B1933" s="13" t="str">
        <f>HYPERLINK("https://twitter.com/Mortgage_Knott","@Mortgage_Knott")</f>
        <v>@Mortgage_Knott</v>
      </c>
      <c r="C1933" s="14" t="s">
        <v>1256</v>
      </c>
      <c r="D1933" s="15" t="s">
        <v>1257</v>
      </c>
      <c r="E1933" s="16" t="str">
        <f>HYPERLINK("http://www.linkedin.com/","LinkedIn")</f>
        <v>LinkedIn</v>
      </c>
      <c r="F1933" s="12">
        <v>40128.292048611111</v>
      </c>
      <c r="G1933" s="17" t="s">
        <v>171</v>
      </c>
      <c r="H1933" s="35" t="s">
        <v>95</v>
      </c>
      <c r="I1933" s="18" t="s">
        <v>1258</v>
      </c>
    </row>
    <row r="1934" spans="1:9" s="31" customFormat="1" ht="45">
      <c r="A1934" s="12">
        <v>43578.281296296293</v>
      </c>
      <c r="B1934" s="13" t="str">
        <f>HYPERLINK("https://twitter.com/tierneylilly","@tierneylilly")</f>
        <v>@tierneylilly</v>
      </c>
      <c r="C1934" s="14" t="s">
        <v>1325</v>
      </c>
      <c r="D1934" s="15" t="s">
        <v>1326</v>
      </c>
      <c r="E1934" s="16" t="str">
        <f>HYPERLINK("https://buffer.com","Buffer")</f>
        <v>Buffer</v>
      </c>
      <c r="F1934" s="12">
        <v>43539.435439814813</v>
      </c>
      <c r="G1934" s="17" t="s">
        <v>171</v>
      </c>
      <c r="H1934" s="35" t="s">
        <v>95</v>
      </c>
      <c r="I1934" s="18" t="s">
        <v>1327</v>
      </c>
    </row>
    <row r="1935" spans="1:9" s="31" customFormat="1" ht="60">
      <c r="A1935" s="12">
        <v>43575.042766203704</v>
      </c>
      <c r="B1935" s="13" t="str">
        <f>HYPERLINK("https://twitter.com/_sebastianmay","@_sebastianmay")</f>
        <v>@_sebastianmay</v>
      </c>
      <c r="C1935" s="14" t="s">
        <v>2382</v>
      </c>
      <c r="D1935" s="15" t="s">
        <v>2383</v>
      </c>
      <c r="E1935" s="16" t="str">
        <f>HYPERLINK("https://ifttt.com","IFTTT")</f>
        <v>IFTTT</v>
      </c>
      <c r="F1935" s="12">
        <v>40372.298564814817</v>
      </c>
      <c r="G1935" s="17" t="s">
        <v>171</v>
      </c>
      <c r="H1935" s="35" t="s">
        <v>95</v>
      </c>
      <c r="I1935" s="18" t="s">
        <v>2384</v>
      </c>
    </row>
    <row r="1936" spans="1:9" s="31" customFormat="1" ht="45">
      <c r="A1936" s="12">
        <v>43573.458541666667</v>
      </c>
      <c r="B1936" s="13" t="str">
        <f>HYPERLINK("https://twitter.com/JoFrancoLondon","@JoFrancoLondon")</f>
        <v>@JoFrancoLondon</v>
      </c>
      <c r="C1936" s="14" t="s">
        <v>2853</v>
      </c>
      <c r="D1936" s="15" t="s">
        <v>2854</v>
      </c>
      <c r="E1936" s="16" t="str">
        <f>HYPERLINK("http://instagram.com","Instagram")</f>
        <v>Instagram</v>
      </c>
      <c r="F1936" s="12">
        <v>39911.511990740742</v>
      </c>
      <c r="G1936" s="17" t="s">
        <v>171</v>
      </c>
      <c r="H1936" s="35" t="s">
        <v>95</v>
      </c>
      <c r="I1936" s="18"/>
    </row>
    <row r="1937" spans="1:9" s="31" customFormat="1" ht="120">
      <c r="A1937" s="12">
        <v>43571.224444444444</v>
      </c>
      <c r="B1937" s="13" t="str">
        <f>HYPERLINK("https://twitter.com/Kierbro","@Kierbro")</f>
        <v>@Kierbro</v>
      </c>
      <c r="C1937" s="14" t="s">
        <v>3778</v>
      </c>
      <c r="D1937" s="15" t="s">
        <v>3779</v>
      </c>
      <c r="E1937" s="16" t="str">
        <f>HYPERLINK("http://twitter.com/download/iphone","Twitter for iPhone")</f>
        <v>Twitter for iPhone</v>
      </c>
      <c r="F1937" s="12">
        <v>39846.458935185183</v>
      </c>
      <c r="G1937" s="17" t="s">
        <v>171</v>
      </c>
      <c r="H1937" s="35" t="s">
        <v>95</v>
      </c>
      <c r="I1937" s="18" t="s">
        <v>3780</v>
      </c>
    </row>
    <row r="1938" spans="1:9" s="31" customFormat="1" ht="105">
      <c r="A1938" s="12">
        <v>43571.111574074079</v>
      </c>
      <c r="B1938" s="13" t="str">
        <f>HYPERLINK("https://twitter.com/KerryH_Photo","@KerryH_Photo")</f>
        <v>@KerryH_Photo</v>
      </c>
      <c r="C1938" s="14" t="s">
        <v>3844</v>
      </c>
      <c r="D1938" s="15" t="s">
        <v>3845</v>
      </c>
      <c r="E1938" s="16" t="str">
        <f>HYPERLINK("https://ifttt.com","IFTTT")</f>
        <v>IFTTT</v>
      </c>
      <c r="F1938" s="12">
        <v>40363.324606481481</v>
      </c>
      <c r="G1938" s="17" t="s">
        <v>171</v>
      </c>
      <c r="H1938" s="35" t="s">
        <v>95</v>
      </c>
      <c r="I1938" s="18" t="s">
        <v>3846</v>
      </c>
    </row>
    <row r="1939" spans="1:9" s="31" customFormat="1" ht="60">
      <c r="A1939" s="12">
        <v>43571.10769675926</v>
      </c>
      <c r="B1939" s="13" t="str">
        <f>HYPERLINK("https://twitter.com/Realiseliveltd","@Realiseliveltd")</f>
        <v>@Realiseliveltd</v>
      </c>
      <c r="C1939" s="14" t="s">
        <v>3847</v>
      </c>
      <c r="D1939" s="15" t="s">
        <v>3848</v>
      </c>
      <c r="E1939" s="16" t="str">
        <f>HYPERLINK("https://www.hootsuite.com","Hootsuite Inc.")</f>
        <v>Hootsuite Inc.</v>
      </c>
      <c r="F1939" s="12">
        <v>40772.510868055557</v>
      </c>
      <c r="G1939" s="17" t="s">
        <v>171</v>
      </c>
      <c r="H1939" s="35" t="s">
        <v>95</v>
      </c>
      <c r="I1939" s="18" t="s">
        <v>3849</v>
      </c>
    </row>
    <row r="1940" spans="1:9" s="31" customFormat="1" ht="45">
      <c r="A1940" s="12">
        <v>43570.598020833335</v>
      </c>
      <c r="B1940" s="13" t="str">
        <f>HYPERLINK("https://twitter.com/alexander_low","@alexander_low")</f>
        <v>@alexander_low</v>
      </c>
      <c r="C1940" s="14" t="s">
        <v>4031</v>
      </c>
      <c r="D1940" s="15" t="s">
        <v>4032</v>
      </c>
      <c r="E1940" s="16" t="str">
        <f>HYPERLINK("https://buffer.com","Buffer")</f>
        <v>Buffer</v>
      </c>
      <c r="F1940" s="12">
        <v>42092.549050925925</v>
      </c>
      <c r="G1940" s="17" t="s">
        <v>171</v>
      </c>
      <c r="H1940" s="35" t="s">
        <v>95</v>
      </c>
      <c r="I1940" s="18" t="s">
        <v>4033</v>
      </c>
    </row>
    <row r="1941" spans="1:9" s="31" customFormat="1" ht="30">
      <c r="A1941" s="12">
        <v>43570.427048611113</v>
      </c>
      <c r="B1941" s="13" t="str">
        <f>HYPERLINK("https://twitter.com/bennemes","@bennemes")</f>
        <v>@bennemes</v>
      </c>
      <c r="C1941" s="14" t="s">
        <v>4159</v>
      </c>
      <c r="D1941" s="15" t="s">
        <v>4160</v>
      </c>
      <c r="E1941" s="16" t="str">
        <f>HYPERLINK("http://twitter.com/download/android","Twitter for Android")</f>
        <v>Twitter for Android</v>
      </c>
      <c r="F1941" s="12">
        <v>39805.098912037036</v>
      </c>
      <c r="G1941" s="17" t="s">
        <v>171</v>
      </c>
      <c r="H1941" s="35" t="s">
        <v>95</v>
      </c>
      <c r="I1941" s="18" t="s">
        <v>4161</v>
      </c>
    </row>
    <row r="1942" spans="1:9" s="31" customFormat="1" ht="60">
      <c r="A1942" s="12">
        <v>43570.063888888893</v>
      </c>
      <c r="B1942" s="13" t="str">
        <f>HYPERLINK("https://twitter.com/Storeys_london","@Storeys_london")</f>
        <v>@Storeys_london</v>
      </c>
      <c r="C1942" s="14" t="s">
        <v>4346</v>
      </c>
      <c r="D1942" s="15" t="s">
        <v>4347</v>
      </c>
      <c r="E1942" s="16" t="str">
        <f>HYPERLINK("https://about.twitter.com/products/tweetdeck","TweetDeck")</f>
        <v>TweetDeck</v>
      </c>
      <c r="F1942" s="12">
        <v>42821.979490740741</v>
      </c>
      <c r="G1942" s="17" t="s">
        <v>171</v>
      </c>
      <c r="H1942" s="35" t="s">
        <v>95</v>
      </c>
      <c r="I1942" s="18" t="s">
        <v>4348</v>
      </c>
    </row>
    <row r="1943" spans="1:9" s="31" customFormat="1" ht="30">
      <c r="A1943" s="12">
        <v>43569.538194444445</v>
      </c>
      <c r="B1943" s="13" t="str">
        <f>HYPERLINK("https://twitter.com/ADJBlog","@ADJBlog")</f>
        <v>@ADJBlog</v>
      </c>
      <c r="C1943" s="14" t="s">
        <v>1031</v>
      </c>
      <c r="D1943" s="15" t="s">
        <v>4487</v>
      </c>
      <c r="E1943" s="16" t="str">
        <f>HYPERLINK("https://buffer.com","Buffer")</f>
        <v>Buffer</v>
      </c>
      <c r="F1943" s="12">
        <v>40074.371446759258</v>
      </c>
      <c r="G1943" s="17" t="s">
        <v>171</v>
      </c>
      <c r="H1943" s="35" t="s">
        <v>95</v>
      </c>
      <c r="I1943" s="18" t="s">
        <v>1033</v>
      </c>
    </row>
    <row r="1944" spans="1:9" s="31" customFormat="1" ht="30">
      <c r="A1944" s="12">
        <v>43568.379861111112</v>
      </c>
      <c r="B1944" s="13" t="str">
        <f>HYPERLINK("https://twitter.com/ADJBlog","@ADJBlog")</f>
        <v>@ADJBlog</v>
      </c>
      <c r="C1944" s="14" t="s">
        <v>1031</v>
      </c>
      <c r="D1944" s="15" t="s">
        <v>4801</v>
      </c>
      <c r="E1944" s="16" t="str">
        <f>HYPERLINK("https://buffer.com","Buffer")</f>
        <v>Buffer</v>
      </c>
      <c r="F1944" s="12">
        <v>40074.371446759258</v>
      </c>
      <c r="G1944" s="17" t="s">
        <v>171</v>
      </c>
      <c r="H1944" s="35" t="s">
        <v>95</v>
      </c>
      <c r="I1944" s="18" t="s">
        <v>1033</v>
      </c>
    </row>
    <row r="1945" spans="1:9" s="31" customFormat="1" ht="45">
      <c r="A1945" s="12">
        <v>43567.302175925928</v>
      </c>
      <c r="B1945" s="13" t="str">
        <f>HYPERLINK("https://twitter.com/DArceyEmma","@DArceyEmma")</f>
        <v>@DArceyEmma</v>
      </c>
      <c r="C1945" s="14" t="s">
        <v>5178</v>
      </c>
      <c r="D1945" s="15" t="s">
        <v>5179</v>
      </c>
      <c r="E1945" s="16" t="str">
        <f>HYPERLINK("http://twitter.com/download/iphone","Twitter for iPhone")</f>
        <v>Twitter for iPhone</v>
      </c>
      <c r="F1945" s="12">
        <v>41710.108969907407</v>
      </c>
      <c r="G1945" s="17" t="s">
        <v>171</v>
      </c>
      <c r="H1945" s="35" t="s">
        <v>95</v>
      </c>
      <c r="I1945" s="18" t="s">
        <v>5180</v>
      </c>
    </row>
    <row r="1946" spans="1:9" s="31" customFormat="1" ht="30">
      <c r="A1946" s="4">
        <v>43559.600416666668</v>
      </c>
      <c r="B1946" s="5" t="str">
        <f>HYPERLINK("https://twitter.com/stillsafe","@stillsafe")</f>
        <v>@stillsafe</v>
      </c>
      <c r="C1946" s="6" t="s">
        <v>11750</v>
      </c>
      <c r="D1946" s="7" t="s">
        <v>11751</v>
      </c>
      <c r="E1946" s="8" t="str">
        <f>HYPERLINK("http://twitter.com/download/android","Twitter for Android")</f>
        <v>Twitter for Android</v>
      </c>
      <c r="F1946" s="4">
        <v>39857.409548611111</v>
      </c>
      <c r="G1946" s="17" t="s">
        <v>171</v>
      </c>
      <c r="H1946" s="35" t="s">
        <v>11752</v>
      </c>
      <c r="I1946" s="10" t="s">
        <v>11753</v>
      </c>
    </row>
    <row r="1947" spans="1:9" s="31" customFormat="1" ht="45">
      <c r="A1947" s="12">
        <v>43576.042037037041</v>
      </c>
      <c r="B1947" s="13" t="str">
        <f>HYPERLINK("https://twitter.com/ArthurProperty","@ArthurProperty")</f>
        <v>@ArthurProperty</v>
      </c>
      <c r="C1947" s="14" t="s">
        <v>2066</v>
      </c>
      <c r="D1947" s="15" t="s">
        <v>2067</v>
      </c>
      <c r="E1947" s="16" t="str">
        <f>HYPERLINK("https://www.hootsuite.com","Hootsuite Inc.")</f>
        <v>Hootsuite Inc.</v>
      </c>
      <c r="F1947" s="12">
        <v>41472.366249999999</v>
      </c>
      <c r="G1947" s="17" t="s">
        <v>171</v>
      </c>
      <c r="H1947" s="35" t="s">
        <v>2068</v>
      </c>
      <c r="I1947" s="18" t="s">
        <v>2069</v>
      </c>
    </row>
    <row r="1948" spans="1:9" s="31" customFormat="1" ht="105">
      <c r="A1948" s="4">
        <v>43564.325648148151</v>
      </c>
      <c r="B1948" s="5" t="str">
        <f>HYPERLINK("https://twitter.com/Malcahtweets","@Malcahtweets")</f>
        <v>@Malcahtweets</v>
      </c>
      <c r="C1948" s="6" t="s">
        <v>6685</v>
      </c>
      <c r="D1948" s="7" t="s">
        <v>6686</v>
      </c>
      <c r="E1948" s="8" t="str">
        <f>HYPERLINK("http://twitter.com/download/android","Twitter for Android")</f>
        <v>Twitter for Android</v>
      </c>
      <c r="F1948" s="4">
        <v>40192.599363425928</v>
      </c>
      <c r="G1948" s="17" t="s">
        <v>171</v>
      </c>
      <c r="H1948" s="35" t="s">
        <v>6687</v>
      </c>
      <c r="I1948" s="10" t="s">
        <v>6688</v>
      </c>
    </row>
    <row r="1949" spans="1:9" s="31" customFormat="1" ht="45">
      <c r="A1949" s="19">
        <v>43549.322083333333</v>
      </c>
      <c r="B1949" s="20" t="str">
        <f>HYPERLINK("https://twitter.com/DamianSheridan9","@DamianSheridan9")</f>
        <v>@DamianSheridan9</v>
      </c>
      <c r="C1949" s="21" t="s">
        <v>8094</v>
      </c>
      <c r="D1949" s="22" t="s">
        <v>8095</v>
      </c>
      <c r="E1949" s="23" t="str">
        <f>HYPERLINK("http://twitter.com","Twitter Web Client")</f>
        <v>Twitter Web Client</v>
      </c>
      <c r="F1949" s="19">
        <v>40382.120833333334</v>
      </c>
      <c r="G1949" s="17" t="s">
        <v>171</v>
      </c>
      <c r="H1949" s="35" t="s">
        <v>8096</v>
      </c>
      <c r="I1949" s="25" t="s">
        <v>8097</v>
      </c>
    </row>
    <row r="1950" spans="1:9" s="31" customFormat="1" ht="60">
      <c r="A1950" s="19">
        <v>43550.36310185185</v>
      </c>
      <c r="B1950" s="20" t="str">
        <f>HYPERLINK("https://twitter.com/ArtisAliveBlog","@ArtisAliveBlog")</f>
        <v>@ArtisAliveBlog</v>
      </c>
      <c r="C1950" s="21" t="s">
        <v>7706</v>
      </c>
      <c r="D1950" s="22" t="s">
        <v>7707</v>
      </c>
      <c r="E1950" s="23" t="str">
        <f>HYPERLINK("http://twitter.com","Twitter Web Client")</f>
        <v>Twitter Web Client</v>
      </c>
      <c r="F1950" s="19">
        <v>40280.388472222221</v>
      </c>
      <c r="G1950" s="17" t="s">
        <v>171</v>
      </c>
      <c r="H1950" s="35" t="s">
        <v>7708</v>
      </c>
      <c r="I1950" s="25" t="s">
        <v>7709</v>
      </c>
    </row>
    <row r="1951" spans="1:9" s="31" customFormat="1" ht="45">
      <c r="A1951" s="19">
        <v>43542.486620370371</v>
      </c>
      <c r="B1951" s="20" t="str">
        <f>HYPERLINK("https://twitter.com/ArtisAliveBlog","@ArtisAliveBlog")</f>
        <v>@ArtisAliveBlog</v>
      </c>
      <c r="C1951" s="21" t="s">
        <v>7706</v>
      </c>
      <c r="D1951" s="22" t="s">
        <v>10145</v>
      </c>
      <c r="E1951" s="23" t="str">
        <f>HYPERLINK("http://twitter.com","Twitter Web Client")</f>
        <v>Twitter Web Client</v>
      </c>
      <c r="F1951" s="19">
        <v>40280.388472222221</v>
      </c>
      <c r="G1951" s="17" t="s">
        <v>171</v>
      </c>
      <c r="H1951" s="35" t="s">
        <v>7708</v>
      </c>
      <c r="I1951" s="25" t="s">
        <v>7709</v>
      </c>
    </row>
    <row r="1952" spans="1:9" s="31" customFormat="1" ht="60">
      <c r="A1952" s="4">
        <v>43560.208807870367</v>
      </c>
      <c r="B1952" s="5" t="str">
        <f>HYPERLINK("https://twitter.com/HowardKennedy","@HowardKennedy")</f>
        <v>@HowardKennedy</v>
      </c>
      <c r="C1952" s="6" t="s">
        <v>11567</v>
      </c>
      <c r="D1952" s="7" t="s">
        <v>11568</v>
      </c>
      <c r="E1952" s="8" t="str">
        <f>HYPERLINK("https://www.hootsuite.com","Hootsuite Inc.")</f>
        <v>Hootsuite Inc.</v>
      </c>
      <c r="F1952" s="4">
        <v>40525.380856481483</v>
      </c>
      <c r="G1952" s="17" t="s">
        <v>171</v>
      </c>
      <c r="H1952" s="35" t="s">
        <v>11569</v>
      </c>
      <c r="I1952" s="10" t="s">
        <v>11570</v>
      </c>
    </row>
    <row r="1953" spans="1:9" s="31" customFormat="1" ht="75">
      <c r="A1953" s="4">
        <v>43560.093888888892</v>
      </c>
      <c r="B1953" s="5" t="str">
        <f>HYPERLINK("https://twitter.com/HowardKennedy","@HowardKennedy")</f>
        <v>@HowardKennedy</v>
      </c>
      <c r="C1953" s="6" t="s">
        <v>11567</v>
      </c>
      <c r="D1953" s="7" t="s">
        <v>11606</v>
      </c>
      <c r="E1953" s="8" t="str">
        <f>HYPERLINK("https://www.hootsuite.com","Hootsuite Inc.")</f>
        <v>Hootsuite Inc.</v>
      </c>
      <c r="F1953" s="4">
        <v>40525.380856481483</v>
      </c>
      <c r="G1953" s="17" t="s">
        <v>171</v>
      </c>
      <c r="H1953" s="35" t="s">
        <v>11569</v>
      </c>
      <c r="I1953" s="10" t="s">
        <v>11570</v>
      </c>
    </row>
    <row r="1954" spans="1:9" s="31" customFormat="1" ht="120">
      <c r="A1954" s="4">
        <v>43559.030358796299</v>
      </c>
      <c r="B1954" s="5" t="str">
        <f>HYPERLINK("https://twitter.com/BenPerniha","@BenPerniha")</f>
        <v>@BenPerniha</v>
      </c>
      <c r="C1954" s="6" t="s">
        <v>11969</v>
      </c>
      <c r="D1954" s="7" t="s">
        <v>11970</v>
      </c>
      <c r="E1954" s="8" t="str">
        <f>HYPERLINK("http://twitter.com/download/iphone","Twitter for iPhone")</f>
        <v>Twitter for iPhone</v>
      </c>
      <c r="F1954" s="4">
        <v>40301.638877314814</v>
      </c>
      <c r="G1954" s="17" t="s">
        <v>171</v>
      </c>
      <c r="H1954" s="35" t="s">
        <v>11971</v>
      </c>
      <c r="I1954" s="10" t="s">
        <v>11972</v>
      </c>
    </row>
    <row r="1955" spans="1:9" s="31" customFormat="1" ht="105">
      <c r="A1955" s="4">
        <v>43558.408425925925</v>
      </c>
      <c r="B1955" s="5" t="str">
        <f>HYPERLINK("https://twitter.com/BenPerniha","@BenPerniha")</f>
        <v>@BenPerniha</v>
      </c>
      <c r="C1955" s="6" t="s">
        <v>11969</v>
      </c>
      <c r="D1955" s="7" t="s">
        <v>12211</v>
      </c>
      <c r="E1955" s="8" t="str">
        <f>HYPERLINK("http://twitter.com/download/iphone","Twitter for iPhone")</f>
        <v>Twitter for iPhone</v>
      </c>
      <c r="F1955" s="4">
        <v>40301.638877314814</v>
      </c>
      <c r="G1955" s="17" t="s">
        <v>171</v>
      </c>
      <c r="H1955" s="35" t="s">
        <v>11971</v>
      </c>
      <c r="I1955" s="10" t="s">
        <v>11972</v>
      </c>
    </row>
    <row r="1956" spans="1:9" s="31" customFormat="1" ht="105">
      <c r="A1956" s="4">
        <v>43557.396307870367</v>
      </c>
      <c r="B1956" s="5" t="str">
        <f>HYPERLINK("https://twitter.com/BenPerniha","@BenPerniha")</f>
        <v>@BenPerniha</v>
      </c>
      <c r="C1956" s="6" t="s">
        <v>11969</v>
      </c>
      <c r="D1956" s="7" t="s">
        <v>12211</v>
      </c>
      <c r="E1956" s="8" t="str">
        <f>HYPERLINK("http://twitter.com/download/iphone","Twitter for iPhone")</f>
        <v>Twitter for iPhone</v>
      </c>
      <c r="F1956" s="4">
        <v>40301.638877314814</v>
      </c>
      <c r="G1956" s="17" t="s">
        <v>171</v>
      </c>
      <c r="H1956" s="35" t="s">
        <v>11971</v>
      </c>
      <c r="I1956" s="10" t="s">
        <v>11972</v>
      </c>
    </row>
    <row r="1957" spans="1:9" s="31" customFormat="1" ht="105">
      <c r="A1957" s="4">
        <v>43556.951840277776</v>
      </c>
      <c r="B1957" s="5" t="str">
        <f>HYPERLINK("https://twitter.com/BenPerniha","@BenPerniha")</f>
        <v>@BenPerniha</v>
      </c>
      <c r="C1957" s="6" t="s">
        <v>11969</v>
      </c>
      <c r="D1957" s="7" t="s">
        <v>12211</v>
      </c>
      <c r="E1957" s="8" t="str">
        <f>HYPERLINK("http://twitter.com/download/iphone","Twitter for iPhone")</f>
        <v>Twitter for iPhone</v>
      </c>
      <c r="F1957" s="4">
        <v>40301.638877314814</v>
      </c>
      <c r="G1957" s="17" t="s">
        <v>171</v>
      </c>
      <c r="H1957" s="35" t="s">
        <v>11971</v>
      </c>
      <c r="I1957" s="10" t="s">
        <v>11972</v>
      </c>
    </row>
    <row r="1958" spans="1:9" s="31" customFormat="1" ht="30">
      <c r="A1958" s="19">
        <v>43546.455960648149</v>
      </c>
      <c r="B1958" s="20" t="str">
        <f>HYPERLINK("https://twitter.com/steveswindells","@steveswindells")</f>
        <v>@steveswindells</v>
      </c>
      <c r="C1958" s="21" t="s">
        <v>6603</v>
      </c>
      <c r="D1958" s="22" t="s">
        <v>8841</v>
      </c>
      <c r="E1958" s="23" t="str">
        <f>HYPERLINK("http://instagram.com","Instagram")</f>
        <v>Instagram</v>
      </c>
      <c r="F1958" s="19">
        <v>39915.367627314816</v>
      </c>
      <c r="G1958" s="17" t="s">
        <v>171</v>
      </c>
      <c r="H1958" s="35" t="s">
        <v>6605</v>
      </c>
      <c r="I1958" s="25" t="s">
        <v>6606</v>
      </c>
    </row>
    <row r="1959" spans="1:9" s="31" customFormat="1" ht="90">
      <c r="A1959" s="4">
        <v>43564.448738425926</v>
      </c>
      <c r="B1959" s="5" t="str">
        <f>HYPERLINK("https://twitter.com/steveswindells","@steveswindells")</f>
        <v>@steveswindells</v>
      </c>
      <c r="C1959" s="6" t="s">
        <v>6603</v>
      </c>
      <c r="D1959" s="7" t="s">
        <v>6604</v>
      </c>
      <c r="E1959" s="8" t="str">
        <f>HYPERLINK("http://instagram.com","Instagram")</f>
        <v>Instagram</v>
      </c>
      <c r="F1959" s="4">
        <v>39915.367627314816</v>
      </c>
      <c r="G1959" s="17" t="s">
        <v>171</v>
      </c>
      <c r="H1959" s="35" t="s">
        <v>6605</v>
      </c>
      <c r="I1959" s="10" t="s">
        <v>6606</v>
      </c>
    </row>
    <row r="1960" spans="1:9" s="31" customFormat="1" ht="45">
      <c r="A1960" s="12">
        <v>43578.378194444449</v>
      </c>
      <c r="B1960" s="13" t="str">
        <f>HYPERLINK("https://twitter.com/Corfu49081","@Corfu49081")</f>
        <v>@Corfu49081</v>
      </c>
      <c r="C1960" s="14" t="s">
        <v>1252</v>
      </c>
      <c r="D1960" s="15" t="s">
        <v>1253</v>
      </c>
      <c r="E1960" s="16" t="str">
        <f>HYPERLINK("http://twitter.com","Twitter Web Client")</f>
        <v>Twitter Web Client</v>
      </c>
      <c r="F1960" s="12">
        <v>39860.036863425928</v>
      </c>
      <c r="G1960" s="17" t="s">
        <v>171</v>
      </c>
      <c r="H1960" s="35" t="s">
        <v>1254</v>
      </c>
      <c r="I1960" s="18" t="s">
        <v>1255</v>
      </c>
    </row>
    <row r="1961" spans="1:9" s="31" customFormat="1" ht="60">
      <c r="A1961" s="12">
        <v>43577.540706018517</v>
      </c>
      <c r="B1961" s="13" t="str">
        <f>HYPERLINK("https://twitter.com/Corfu49081","@Corfu49081")</f>
        <v>@Corfu49081</v>
      </c>
      <c r="C1961" s="14" t="s">
        <v>1252</v>
      </c>
      <c r="D1961" s="15" t="s">
        <v>1583</v>
      </c>
      <c r="E1961" s="16" t="str">
        <f>HYPERLINK("http://twitter.com","Twitter Web Client")</f>
        <v>Twitter Web Client</v>
      </c>
      <c r="F1961" s="12">
        <v>39860.036863425928</v>
      </c>
      <c r="G1961" s="17" t="s">
        <v>171</v>
      </c>
      <c r="H1961" s="35" t="s">
        <v>1254</v>
      </c>
      <c r="I1961" s="18" t="s">
        <v>1255</v>
      </c>
    </row>
    <row r="1962" spans="1:9" s="31" customFormat="1" ht="60">
      <c r="A1962" s="4">
        <v>43561.216319444444</v>
      </c>
      <c r="B1962" s="5" t="str">
        <f>HYPERLINK("https://twitter.com/SerenaChaudhry","@SerenaChaudhry")</f>
        <v>@SerenaChaudhry</v>
      </c>
      <c r="C1962" s="6" t="s">
        <v>11023</v>
      </c>
      <c r="D1962" s="7" t="s">
        <v>11024</v>
      </c>
      <c r="E1962" s="8" t="str">
        <f>HYPERLINK("http://twitter.com/download/iphone","Twitter for iPhone")</f>
        <v>Twitter for iPhone</v>
      </c>
      <c r="F1962" s="4">
        <v>39875.204016203701</v>
      </c>
      <c r="G1962" s="17" t="s">
        <v>171</v>
      </c>
      <c r="H1962" s="35" t="s">
        <v>11025</v>
      </c>
      <c r="I1962" s="10" t="s">
        <v>11026</v>
      </c>
    </row>
    <row r="1963" spans="1:9" s="31" customFormat="1" ht="75">
      <c r="A1963" s="4">
        <v>43564.046018518522</v>
      </c>
      <c r="B1963" s="5" t="str">
        <f>HYPERLINK("https://twitter.com/cherish7steps","@cherish7steps")</f>
        <v>@cherish7steps</v>
      </c>
      <c r="C1963" s="6" t="s">
        <v>6806</v>
      </c>
      <c r="D1963" s="7" t="s">
        <v>6807</v>
      </c>
      <c r="E1963" s="8" t="str">
        <f>HYPERLINK("http://instagram.com","Instagram")</f>
        <v>Instagram</v>
      </c>
      <c r="F1963" s="4">
        <v>41830.599664351852</v>
      </c>
      <c r="G1963" s="17" t="s">
        <v>171</v>
      </c>
      <c r="H1963" s="35" t="s">
        <v>6808</v>
      </c>
      <c r="I1963" s="10"/>
    </row>
    <row r="1964" spans="1:9" s="31" customFormat="1" ht="105">
      <c r="A1964" s="4">
        <v>43558.482546296298</v>
      </c>
      <c r="B1964" s="5" t="str">
        <f>HYPERLINK("https://twitter.com/Androulla_14","@Androulla_14")</f>
        <v>@Androulla_14</v>
      </c>
      <c r="C1964" s="6" t="s">
        <v>799</v>
      </c>
      <c r="D1964" s="7" t="s">
        <v>12166</v>
      </c>
      <c r="E1964" s="8" t="str">
        <f>HYPERLINK("http://twitter.com","Twitter Web Client")</f>
        <v>Twitter Web Client</v>
      </c>
      <c r="F1964" s="4">
        <v>40502.415335648147</v>
      </c>
      <c r="G1964" s="17" t="s">
        <v>171</v>
      </c>
      <c r="H1964" s="35" t="s">
        <v>801</v>
      </c>
      <c r="I1964" s="10" t="s">
        <v>802</v>
      </c>
    </row>
    <row r="1965" spans="1:9" s="31" customFormat="1" ht="120">
      <c r="A1965" s="12">
        <v>43579.290706018517</v>
      </c>
      <c r="B1965" s="13" t="str">
        <f>HYPERLINK("https://twitter.com/Androulla_14","@Androulla_14")</f>
        <v>@Androulla_14</v>
      </c>
      <c r="C1965" s="14" t="s">
        <v>799</v>
      </c>
      <c r="D1965" s="15" t="s">
        <v>800</v>
      </c>
      <c r="E1965" s="16" t="str">
        <f>HYPERLINK("http://twitter.com/download/android","Twitter for Android")</f>
        <v>Twitter for Android</v>
      </c>
      <c r="F1965" s="12">
        <v>40502.415335648147</v>
      </c>
      <c r="G1965" s="17" t="s">
        <v>171</v>
      </c>
      <c r="H1965" s="35" t="s">
        <v>801</v>
      </c>
      <c r="I1965" s="18" t="s">
        <v>802</v>
      </c>
    </row>
    <row r="1966" spans="1:9" s="31" customFormat="1" ht="105">
      <c r="A1966" s="19">
        <v>43551.474027777775</v>
      </c>
      <c r="B1966" s="20" t="str">
        <f>HYPERLINK("https://twitter.com/admirjk","@admirjk")</f>
        <v>@admirjk</v>
      </c>
      <c r="C1966" s="21" t="s">
        <v>7168</v>
      </c>
      <c r="D1966" s="22" t="s">
        <v>7169</v>
      </c>
      <c r="E1966" s="23" t="str">
        <f>HYPERLINK("http://twitter.com/download/iphone","Twitter for iPhone")</f>
        <v>Twitter for iPhone</v>
      </c>
      <c r="F1966" s="19">
        <v>41826.461944444447</v>
      </c>
      <c r="G1966" s="17" t="s">
        <v>171</v>
      </c>
      <c r="H1966" s="35" t="s">
        <v>72</v>
      </c>
      <c r="I1966" s="25" t="s">
        <v>7170</v>
      </c>
    </row>
    <row r="1967" spans="1:9" s="31" customFormat="1" ht="45">
      <c r="A1967" s="19">
        <v>43551.468530092592</v>
      </c>
      <c r="B1967" s="20" t="str">
        <f>HYPERLINK("https://twitter.com/KrisNaudts","@KrisNaudts")</f>
        <v>@KrisNaudts</v>
      </c>
      <c r="C1967" s="21" t="s">
        <v>7174</v>
      </c>
      <c r="D1967" s="22" t="s">
        <v>7175</v>
      </c>
      <c r="E1967" s="23" t="str">
        <f>HYPERLINK("http://twitter.com/download/iphone","Twitter for iPhone")</f>
        <v>Twitter for iPhone</v>
      </c>
      <c r="F1967" s="19">
        <v>43486.107974537037</v>
      </c>
      <c r="G1967" s="17" t="s">
        <v>171</v>
      </c>
      <c r="H1967" s="35" t="s">
        <v>72</v>
      </c>
      <c r="I1967" s="25" t="s">
        <v>7176</v>
      </c>
    </row>
    <row r="1968" spans="1:9" s="31" customFormat="1" ht="60">
      <c r="A1968" s="19">
        <v>43551.229166666672</v>
      </c>
      <c r="B1968" s="20" t="str">
        <f>HYPERLINK("https://twitter.com/Nestangel_UK","@Nestangel_UK")</f>
        <v>@Nestangel_UK</v>
      </c>
      <c r="C1968" s="21" t="s">
        <v>180</v>
      </c>
      <c r="D1968" s="22" t="s">
        <v>7389</v>
      </c>
      <c r="E1968" s="23" t="str">
        <f>HYPERLINK("https://about.twitter.com/products/tweetdeck","TweetDeck")</f>
        <v>TweetDeck</v>
      </c>
      <c r="F1968" s="19">
        <v>43481.18378472222</v>
      </c>
      <c r="G1968" s="17" t="s">
        <v>171</v>
      </c>
      <c r="H1968" s="35" t="s">
        <v>72</v>
      </c>
      <c r="I1968" s="25" t="s">
        <v>7390</v>
      </c>
    </row>
    <row r="1969" spans="1:9" s="31" customFormat="1" ht="90">
      <c r="A1969" s="19">
        <v>43551.087326388893</v>
      </c>
      <c r="B1969" s="20" t="str">
        <f>HYPERLINK("https://twitter.com/Flamingo_Lets","@Flamingo_Lets")</f>
        <v>@Flamingo_Lets</v>
      </c>
      <c r="C1969" s="21" t="s">
        <v>952</v>
      </c>
      <c r="D1969" s="22" t="s">
        <v>7441</v>
      </c>
      <c r="E1969" s="23" t="str">
        <f>HYPERLINK("http://twitter.com","Twitter Web Client")</f>
        <v>Twitter Web Client</v>
      </c>
      <c r="F1969" s="19">
        <v>43350.19321759259</v>
      </c>
      <c r="G1969" s="17" t="s">
        <v>171</v>
      </c>
      <c r="H1969" s="35" t="s">
        <v>72</v>
      </c>
      <c r="I1969" s="25" t="s">
        <v>954</v>
      </c>
    </row>
    <row r="1970" spans="1:9" s="31" customFormat="1" ht="45">
      <c r="A1970" s="19">
        <v>43550.492013888885</v>
      </c>
      <c r="B1970" s="20" t="str">
        <f>HYPERLINK("https://twitter.com/chrissy_yoga","@chrissy_yoga")</f>
        <v>@chrissy_yoga</v>
      </c>
      <c r="C1970" s="21" t="s">
        <v>7643</v>
      </c>
      <c r="D1970" s="22" t="s">
        <v>7644</v>
      </c>
      <c r="E1970" s="23" t="str">
        <f>HYPERLINK("http://twitter.com/download/android","Twitter for Android")</f>
        <v>Twitter for Android</v>
      </c>
      <c r="F1970" s="19">
        <v>43413.160555555558</v>
      </c>
      <c r="G1970" s="17" t="s">
        <v>171</v>
      </c>
      <c r="H1970" s="35" t="s">
        <v>72</v>
      </c>
      <c r="I1970" s="25" t="s">
        <v>7645</v>
      </c>
    </row>
    <row r="1971" spans="1:9" s="31" customFormat="1" ht="60">
      <c r="A1971" s="19">
        <v>43550.490972222222</v>
      </c>
      <c r="B1971" s="20" t="str">
        <f>HYPERLINK("https://twitter.com/KleenePristine","@KleenePristine")</f>
        <v>@KleenePristine</v>
      </c>
      <c r="C1971" s="21" t="s">
        <v>7646</v>
      </c>
      <c r="D1971" s="22" t="s">
        <v>7647</v>
      </c>
      <c r="E1971" s="23" t="str">
        <f>HYPERLINK("https://about.twitter.com/products/tweetdeck","TweetDeck")</f>
        <v>TweetDeck</v>
      </c>
      <c r="F1971" s="19">
        <v>43486.260370370372</v>
      </c>
      <c r="G1971" s="17" t="s">
        <v>171</v>
      </c>
      <c r="H1971" s="35" t="s">
        <v>72</v>
      </c>
      <c r="I1971" s="25" t="s">
        <v>7648</v>
      </c>
    </row>
    <row r="1972" spans="1:9" s="31" customFormat="1" ht="45">
      <c r="A1972" s="19">
        <v>43549.408333333333</v>
      </c>
      <c r="B1972" s="20" t="str">
        <f>HYPERLINK("https://twitter.com/fora_space","@fora_space")</f>
        <v>@fora_space</v>
      </c>
      <c r="C1972" s="21" t="s">
        <v>8048</v>
      </c>
      <c r="D1972" s="22" t="s">
        <v>8049</v>
      </c>
      <c r="E1972" s="23" t="str">
        <f>HYPERLINK("https://sproutsocial.com","Sprout Social")</f>
        <v>Sprout Social</v>
      </c>
      <c r="F1972" s="19">
        <v>42571.364074074074</v>
      </c>
      <c r="G1972" s="17" t="s">
        <v>171</v>
      </c>
      <c r="H1972" s="35" t="s">
        <v>72</v>
      </c>
      <c r="I1972" s="25" t="s">
        <v>8050</v>
      </c>
    </row>
    <row r="1973" spans="1:9" s="31" customFormat="1" ht="75">
      <c r="A1973" s="19">
        <v>43549.379872685182</v>
      </c>
      <c r="B1973" s="20" t="str">
        <f>HYPERLINK("https://twitter.com/loungingeagle","@loungingeagle")</f>
        <v>@loungingeagle</v>
      </c>
      <c r="C1973" s="21" t="s">
        <v>8067</v>
      </c>
      <c r="D1973" s="22" t="s">
        <v>8068</v>
      </c>
      <c r="E1973" s="23" t="str">
        <f>HYPERLINK("http://twitter.com","Twitter Web Client")</f>
        <v>Twitter Web Client</v>
      </c>
      <c r="F1973" s="19">
        <v>41019.152442129627</v>
      </c>
      <c r="G1973" s="17" t="s">
        <v>171</v>
      </c>
      <c r="H1973" s="35" t="s">
        <v>72</v>
      </c>
      <c r="I1973" s="25"/>
    </row>
    <row r="1974" spans="1:9" s="31" customFormat="1" ht="60">
      <c r="A1974" s="19">
        <v>43549.230775462958</v>
      </c>
      <c r="B1974" s="20" t="str">
        <f>HYPERLINK("https://twitter.com/Nestangel_UK","@Nestangel_UK")</f>
        <v>@Nestangel_UK</v>
      </c>
      <c r="C1974" s="21" t="s">
        <v>180</v>
      </c>
      <c r="D1974" s="22" t="s">
        <v>8126</v>
      </c>
      <c r="E1974" s="23" t="str">
        <f>HYPERLINK("http://twitter.com","Twitter Web Client")</f>
        <v>Twitter Web Client</v>
      </c>
      <c r="F1974" s="19">
        <v>43481.18378472222</v>
      </c>
      <c r="G1974" s="17" t="s">
        <v>171</v>
      </c>
      <c r="H1974" s="35" t="s">
        <v>72</v>
      </c>
      <c r="I1974" s="25" t="s">
        <v>7390</v>
      </c>
    </row>
    <row r="1975" spans="1:9" s="31" customFormat="1" ht="90">
      <c r="A1975" s="19">
        <v>43549.084768518514</v>
      </c>
      <c r="B1975" s="20" t="str">
        <f>HYPERLINK("https://twitter.com/Flamingo_Lets","@Flamingo_Lets")</f>
        <v>@Flamingo_Lets</v>
      </c>
      <c r="C1975" s="21" t="s">
        <v>952</v>
      </c>
      <c r="D1975" s="22" t="s">
        <v>8177</v>
      </c>
      <c r="E1975" s="23" t="str">
        <f>HYPERLINK("http://twitter.com","Twitter Web Client")</f>
        <v>Twitter Web Client</v>
      </c>
      <c r="F1975" s="19">
        <v>43350.19321759259</v>
      </c>
      <c r="G1975" s="17" t="s">
        <v>171</v>
      </c>
      <c r="H1975" s="35" t="s">
        <v>72</v>
      </c>
      <c r="I1975" s="25" t="s">
        <v>954</v>
      </c>
    </row>
    <row r="1976" spans="1:9" s="31" customFormat="1" ht="90">
      <c r="A1976" s="19">
        <v>43549.044444444444</v>
      </c>
      <c r="B1976" s="20" t="str">
        <f>HYPERLINK("https://twitter.com/vfachinetto","@vfachinetto")</f>
        <v>@vfachinetto</v>
      </c>
      <c r="C1976" s="21" t="s">
        <v>8179</v>
      </c>
      <c r="D1976" s="22" t="s">
        <v>8180</v>
      </c>
      <c r="E1976" s="23" t="str">
        <f>HYPERLINK("https://buffer.com","Buffer")</f>
        <v>Buffer</v>
      </c>
      <c r="F1976" s="19">
        <v>40065.415335648147</v>
      </c>
      <c r="G1976" s="17" t="s">
        <v>171</v>
      </c>
      <c r="H1976" s="35" t="s">
        <v>72</v>
      </c>
      <c r="I1976" s="25" t="s">
        <v>8181</v>
      </c>
    </row>
    <row r="1977" spans="1:9" s="31" customFormat="1" ht="75">
      <c r="A1977" s="19">
        <v>43547.343912037039</v>
      </c>
      <c r="B1977" s="20" t="str">
        <f>HYPERLINK("https://twitter.com/natashaccollins","@natashaccollins")</f>
        <v>@natashaccollins</v>
      </c>
      <c r="C1977" s="21" t="s">
        <v>8585</v>
      </c>
      <c r="D1977" s="22" t="s">
        <v>8586</v>
      </c>
      <c r="E1977" s="23" t="str">
        <f>HYPERLINK("https://www.hootsuite.com","Hootsuite Inc.")</f>
        <v>Hootsuite Inc.</v>
      </c>
      <c r="F1977" s="19">
        <v>42197.346458333333</v>
      </c>
      <c r="G1977" s="17" t="s">
        <v>171</v>
      </c>
      <c r="H1977" s="35" t="s">
        <v>72</v>
      </c>
      <c r="I1977" s="25" t="s">
        <v>8587</v>
      </c>
    </row>
    <row r="1978" spans="1:9" s="31" customFormat="1" ht="60">
      <c r="A1978" s="19">
        <v>43546.843796296293</v>
      </c>
      <c r="B1978" s="20" t="str">
        <f>HYPERLINK("https://twitter.com/natashaccollins","@natashaccollins")</f>
        <v>@natashaccollins</v>
      </c>
      <c r="C1978" s="21" t="s">
        <v>8585</v>
      </c>
      <c r="D1978" s="22" t="s">
        <v>8717</v>
      </c>
      <c r="E1978" s="23" t="str">
        <f>HYPERLINK("https://www.hootsuite.com","Hootsuite Inc.")</f>
        <v>Hootsuite Inc.</v>
      </c>
      <c r="F1978" s="19">
        <v>42197.346458333333</v>
      </c>
      <c r="G1978" s="17" t="s">
        <v>171</v>
      </c>
      <c r="H1978" s="35" t="s">
        <v>72</v>
      </c>
      <c r="I1978" s="25" t="s">
        <v>8587</v>
      </c>
    </row>
    <row r="1979" spans="1:9" s="31" customFormat="1" ht="75">
      <c r="A1979" s="19">
        <v>43546.667094907403</v>
      </c>
      <c r="B1979" s="20" t="str">
        <f>HYPERLINK("https://twitter.com/jessicacadams","@jessicacadams")</f>
        <v>@jessicacadams</v>
      </c>
      <c r="C1979" s="21" t="s">
        <v>8765</v>
      </c>
      <c r="D1979" s="22" t="s">
        <v>8766</v>
      </c>
      <c r="E1979" s="23" t="str">
        <f>HYPERLINK("https://www.hootsuite.com","Hootsuite Inc.")</f>
        <v>Hootsuite Inc.</v>
      </c>
      <c r="F1979" s="19">
        <v>39574.697465277779</v>
      </c>
      <c r="G1979" s="17" t="s">
        <v>171</v>
      </c>
      <c r="H1979" s="35" t="s">
        <v>72</v>
      </c>
      <c r="I1979" s="25" t="s">
        <v>8767</v>
      </c>
    </row>
    <row r="1980" spans="1:9" s="31" customFormat="1" ht="45">
      <c r="A1980" s="19">
        <v>43546.334791666668</v>
      </c>
      <c r="B1980" s="20" t="str">
        <f>HYPERLINK("https://twitter.com/natashaccollins","@natashaccollins")</f>
        <v>@natashaccollins</v>
      </c>
      <c r="C1980" s="21" t="s">
        <v>8585</v>
      </c>
      <c r="D1980" s="22" t="s">
        <v>8907</v>
      </c>
      <c r="E1980" s="23" t="str">
        <f>HYPERLINK("https://www.hootsuite.com","Hootsuite Inc.")</f>
        <v>Hootsuite Inc.</v>
      </c>
      <c r="F1980" s="19">
        <v>42197.346458333333</v>
      </c>
      <c r="G1980" s="17" t="s">
        <v>171</v>
      </c>
      <c r="H1980" s="35" t="s">
        <v>72</v>
      </c>
      <c r="I1980" s="25" t="s">
        <v>8587</v>
      </c>
    </row>
    <row r="1981" spans="1:9" s="31" customFormat="1" ht="75">
      <c r="A1981" s="19">
        <v>43546.236493055556</v>
      </c>
      <c r="B1981" s="20" t="str">
        <f>HYPERLINK("https://twitter.com/Nestangel_UK","@Nestangel_UK")</f>
        <v>@Nestangel_UK</v>
      </c>
      <c r="C1981" s="21" t="s">
        <v>180</v>
      </c>
      <c r="D1981" s="22" t="s">
        <v>8927</v>
      </c>
      <c r="E1981" s="23" t="str">
        <f>HYPERLINK("http://twitter.com","Twitter Web Client")</f>
        <v>Twitter Web Client</v>
      </c>
      <c r="F1981" s="19">
        <v>43481.18378472222</v>
      </c>
      <c r="G1981" s="17" t="s">
        <v>171</v>
      </c>
      <c r="H1981" s="35" t="s">
        <v>72</v>
      </c>
      <c r="I1981" s="25" t="s">
        <v>7390</v>
      </c>
    </row>
    <row r="1982" spans="1:9" s="31" customFormat="1" ht="45">
      <c r="A1982" s="19">
        <v>43546.208379629628</v>
      </c>
      <c r="B1982" s="20" t="str">
        <f>HYPERLINK("https://twitter.com/iam_mattharris","@iam_mattharris")</f>
        <v>@iam_mattharris</v>
      </c>
      <c r="C1982" s="21" t="s">
        <v>8936</v>
      </c>
      <c r="D1982" s="22" t="s">
        <v>8937</v>
      </c>
      <c r="E1982" s="23" t="str">
        <f>HYPERLINK("https://buffer.com","Buffer")</f>
        <v>Buffer</v>
      </c>
      <c r="F1982" s="19">
        <v>41459.696250000001</v>
      </c>
      <c r="G1982" s="17" t="s">
        <v>171</v>
      </c>
      <c r="H1982" s="35" t="s">
        <v>72</v>
      </c>
      <c r="I1982" s="25" t="s">
        <v>8938</v>
      </c>
    </row>
    <row r="1983" spans="1:9" s="31" customFormat="1" ht="90">
      <c r="A1983" s="19">
        <v>43546.204305555555</v>
      </c>
      <c r="B1983" s="20" t="str">
        <f>HYPERLINK("https://twitter.com/tdtd_uk","@tdtd_uk")</f>
        <v>@tdtd_uk</v>
      </c>
      <c r="C1983" s="21" t="s">
        <v>8939</v>
      </c>
      <c r="D1983" s="22" t="s">
        <v>8940</v>
      </c>
      <c r="E1983" s="23" t="str">
        <f>HYPERLINK("http://twitter.com","Twitter Web Client")</f>
        <v>Twitter Web Client</v>
      </c>
      <c r="F1983" s="19">
        <v>42661.353379629625</v>
      </c>
      <c r="G1983" s="17" t="s">
        <v>171</v>
      </c>
      <c r="H1983" s="35" t="s">
        <v>72</v>
      </c>
      <c r="I1983" s="25" t="s">
        <v>8941</v>
      </c>
    </row>
    <row r="1984" spans="1:9" s="31" customFormat="1" ht="90">
      <c r="A1984" s="19">
        <v>43546.10224537037</v>
      </c>
      <c r="B1984" s="20" t="str">
        <f>HYPERLINK("https://twitter.com/Flamingo_Lets","@Flamingo_Lets")</f>
        <v>@Flamingo_Lets</v>
      </c>
      <c r="C1984" s="21" t="s">
        <v>952</v>
      </c>
      <c r="D1984" s="22" t="s">
        <v>8960</v>
      </c>
      <c r="E1984" s="23" t="str">
        <f>HYPERLINK("http://twitter.com","Twitter Web Client")</f>
        <v>Twitter Web Client</v>
      </c>
      <c r="F1984" s="19">
        <v>43350.19321759259</v>
      </c>
      <c r="G1984" s="17" t="s">
        <v>171</v>
      </c>
      <c r="H1984" s="35" t="s">
        <v>72</v>
      </c>
      <c r="I1984" s="25" t="s">
        <v>954</v>
      </c>
    </row>
    <row r="1985" spans="1:9" s="31" customFormat="1" ht="60">
      <c r="A1985" s="19">
        <v>43545.266446759255</v>
      </c>
      <c r="B1985" s="20" t="str">
        <f>HYPERLINK("https://twitter.com/HayleyLaws","@HayleyLaws")</f>
        <v>@HayleyLaws</v>
      </c>
      <c r="C1985" s="21" t="s">
        <v>9225</v>
      </c>
      <c r="D1985" s="22" t="s">
        <v>9226</v>
      </c>
      <c r="E1985" s="23" t="str">
        <f>HYPERLINK("http://twitter.com/download/iphone","Twitter for iPhone")</f>
        <v>Twitter for iPhone</v>
      </c>
      <c r="F1985" s="19">
        <v>41372.418090277773</v>
      </c>
      <c r="G1985" s="17" t="s">
        <v>171</v>
      </c>
      <c r="H1985" s="35" t="s">
        <v>72</v>
      </c>
      <c r="I1985" s="25" t="s">
        <v>9227</v>
      </c>
    </row>
    <row r="1986" spans="1:9" s="31" customFormat="1" ht="60">
      <c r="A1986" s="19">
        <v>43545.077592592592</v>
      </c>
      <c r="B1986" s="20" t="str">
        <f>HYPERLINK("https://twitter.com/Flamingo_Lets","@Flamingo_Lets")</f>
        <v>@Flamingo_Lets</v>
      </c>
      <c r="C1986" s="21" t="s">
        <v>952</v>
      </c>
      <c r="D1986" s="22" t="s">
        <v>9284</v>
      </c>
      <c r="E1986" s="23" t="str">
        <f>HYPERLINK("http://twitter.com","Twitter Web Client")</f>
        <v>Twitter Web Client</v>
      </c>
      <c r="F1986" s="19">
        <v>43350.19321759259</v>
      </c>
      <c r="G1986" s="17" t="s">
        <v>171</v>
      </c>
      <c r="H1986" s="35" t="s">
        <v>72</v>
      </c>
      <c r="I1986" s="25" t="s">
        <v>954</v>
      </c>
    </row>
    <row r="1987" spans="1:9" s="31" customFormat="1" ht="30">
      <c r="A1987" s="19">
        <v>43544.461805555555</v>
      </c>
      <c r="B1987" s="20" t="str">
        <f>HYPERLINK("https://twitter.com/KleenePristine","@KleenePristine")</f>
        <v>@KleenePristine</v>
      </c>
      <c r="C1987" s="21" t="s">
        <v>7646</v>
      </c>
      <c r="D1987" s="22" t="s">
        <v>9452</v>
      </c>
      <c r="E1987" s="23" t="str">
        <f>HYPERLINK("https://about.twitter.com/products/tweetdeck","TweetDeck")</f>
        <v>TweetDeck</v>
      </c>
      <c r="F1987" s="19">
        <v>43486.260370370372</v>
      </c>
      <c r="G1987" s="17" t="s">
        <v>171</v>
      </c>
      <c r="H1987" s="35" t="s">
        <v>72</v>
      </c>
      <c r="I1987" s="25" t="s">
        <v>7648</v>
      </c>
    </row>
    <row r="1988" spans="1:9" s="31" customFormat="1" ht="60">
      <c r="A1988" s="19">
        <v>43544.290995370371</v>
      </c>
      <c r="B1988" s="20" t="str">
        <f>HYPERLINK("https://twitter.com/LondonLovesProp","@LondonLovesProp")</f>
        <v>@LondonLovesProp</v>
      </c>
      <c r="C1988" s="21" t="s">
        <v>9552</v>
      </c>
      <c r="D1988" s="22" t="s">
        <v>9553</v>
      </c>
      <c r="E1988" s="23" t="str">
        <f>HYPERLINK("https://londonlovesproperty.com","London Loves Property")</f>
        <v>London Loves Property</v>
      </c>
      <c r="F1988" s="19">
        <v>42655.310023148151</v>
      </c>
      <c r="G1988" s="17" t="s">
        <v>171</v>
      </c>
      <c r="H1988" s="35" t="s">
        <v>72</v>
      </c>
      <c r="I1988" s="25" t="s">
        <v>9554</v>
      </c>
    </row>
    <row r="1989" spans="1:9" s="31" customFormat="1" ht="75">
      <c r="A1989" s="19">
        <v>43544.219155092593</v>
      </c>
      <c r="B1989" s="20" t="str">
        <f>HYPERLINK("https://twitter.com/Nestangel_UK","@Nestangel_UK")</f>
        <v>@Nestangel_UK</v>
      </c>
      <c r="C1989" s="21" t="s">
        <v>180</v>
      </c>
      <c r="D1989" s="22" t="s">
        <v>9578</v>
      </c>
      <c r="E1989" s="23" t="str">
        <f>HYPERLINK("http://twitter.com","Twitter Web Client")</f>
        <v>Twitter Web Client</v>
      </c>
      <c r="F1989" s="19">
        <v>43481.18378472222</v>
      </c>
      <c r="G1989" s="17" t="s">
        <v>171</v>
      </c>
      <c r="H1989" s="35" t="s">
        <v>72</v>
      </c>
      <c r="I1989" s="25" t="s">
        <v>7390</v>
      </c>
    </row>
    <row r="1990" spans="1:9" s="31" customFormat="1" ht="90">
      <c r="A1990" s="19">
        <v>43544.130578703705</v>
      </c>
      <c r="B1990" s="20" t="str">
        <f>HYPERLINK("https://twitter.com/akashghosh12345","@akashghosh12345")</f>
        <v>@akashghosh12345</v>
      </c>
      <c r="C1990" s="21" t="s">
        <v>9607</v>
      </c>
      <c r="D1990" s="22" t="s">
        <v>9608</v>
      </c>
      <c r="E1990" s="23" t="str">
        <f>HYPERLINK("http://twitter.com/download/iphone","Twitter for iPhone")</f>
        <v>Twitter for iPhone</v>
      </c>
      <c r="F1990" s="19">
        <v>42557.973344907412</v>
      </c>
      <c r="G1990" s="17" t="s">
        <v>171</v>
      </c>
      <c r="H1990" s="35" t="s">
        <v>72</v>
      </c>
      <c r="I1990" s="25" t="s">
        <v>9609</v>
      </c>
    </row>
    <row r="1991" spans="1:9" s="31" customFormat="1" ht="105">
      <c r="A1991" s="19">
        <v>43544.119062500002</v>
      </c>
      <c r="B1991" s="20" t="str">
        <f>HYPERLINK("https://twitter.com/resihut","@resihut")</f>
        <v>@resihut</v>
      </c>
      <c r="C1991" s="21" t="s">
        <v>101</v>
      </c>
      <c r="D1991" s="22" t="s">
        <v>9611</v>
      </c>
      <c r="E1991" s="23" t="str">
        <f>HYPERLINK("http://twitter.com","Twitter Web Client")</f>
        <v>Twitter Web Client</v>
      </c>
      <c r="F1991" s="19">
        <v>43508.287569444445</v>
      </c>
      <c r="G1991" s="17" t="s">
        <v>171</v>
      </c>
      <c r="H1991" s="35" t="s">
        <v>72</v>
      </c>
      <c r="I1991" s="25" t="s">
        <v>103</v>
      </c>
    </row>
    <row r="1992" spans="1:9" s="31" customFormat="1" ht="105">
      <c r="A1992" s="19">
        <v>43544.093298611115</v>
      </c>
      <c r="B1992" s="20" t="str">
        <f>HYPERLINK("https://twitter.com/Flamingo_Lets","@Flamingo_Lets")</f>
        <v>@Flamingo_Lets</v>
      </c>
      <c r="C1992" s="21" t="s">
        <v>952</v>
      </c>
      <c r="D1992" s="22" t="s">
        <v>9618</v>
      </c>
      <c r="E1992" s="23" t="str">
        <f>HYPERLINK("http://twitter.com","Twitter Web Client")</f>
        <v>Twitter Web Client</v>
      </c>
      <c r="F1992" s="19">
        <v>43350.19321759259</v>
      </c>
      <c r="G1992" s="17" t="s">
        <v>171</v>
      </c>
      <c r="H1992" s="35" t="s">
        <v>72</v>
      </c>
      <c r="I1992" s="25" t="s">
        <v>954</v>
      </c>
    </row>
    <row r="1993" spans="1:9" s="31" customFormat="1" ht="45">
      <c r="A1993" s="19">
        <v>43543.208726851852</v>
      </c>
      <c r="B1993" s="20" t="str">
        <f>HYPERLINK("https://twitter.com/CatalaCslt","@CatalaCslt")</f>
        <v>@CatalaCslt</v>
      </c>
      <c r="C1993" s="21" t="s">
        <v>9902</v>
      </c>
      <c r="D1993" s="22" t="s">
        <v>9903</v>
      </c>
      <c r="E1993" s="23" t="str">
        <f>HYPERLINK("https://buffer.com","Buffer")</f>
        <v>Buffer</v>
      </c>
      <c r="F1993" s="19">
        <v>43412.174490740741</v>
      </c>
      <c r="G1993" s="17" t="s">
        <v>171</v>
      </c>
      <c r="H1993" s="35" t="s">
        <v>72</v>
      </c>
      <c r="I1993" s="25" t="s">
        <v>9904</v>
      </c>
    </row>
    <row r="1994" spans="1:9" s="31" customFormat="1" ht="75">
      <c r="A1994" s="19">
        <v>43543.153981481482</v>
      </c>
      <c r="B1994" s="20" t="str">
        <f>HYPERLINK("https://twitter.com/_KeyNest","@_KeyNest")</f>
        <v>@_KeyNest</v>
      </c>
      <c r="C1994" s="21" t="s">
        <v>70</v>
      </c>
      <c r="D1994" s="22" t="s">
        <v>9924</v>
      </c>
      <c r="E1994" s="23" t="str">
        <f>HYPERLINK("http://twitter.com/download/iphone","Twitter for iPhone")</f>
        <v>Twitter for iPhone</v>
      </c>
      <c r="F1994" s="19">
        <v>42450.579814814817</v>
      </c>
      <c r="G1994" s="17" t="s">
        <v>171</v>
      </c>
      <c r="H1994" s="35" t="s">
        <v>72</v>
      </c>
      <c r="I1994" s="25" t="s">
        <v>9925</v>
      </c>
    </row>
    <row r="1995" spans="1:9" s="31" customFormat="1" ht="75">
      <c r="A1995" s="19">
        <v>43543.08493055556</v>
      </c>
      <c r="B1995" s="20" t="str">
        <f>HYPERLINK("https://twitter.com/Flamingo_Lets","@Flamingo_Lets")</f>
        <v>@Flamingo_Lets</v>
      </c>
      <c r="C1995" s="21" t="s">
        <v>952</v>
      </c>
      <c r="D1995" s="22" t="s">
        <v>9939</v>
      </c>
      <c r="E1995" s="23" t="str">
        <f>HYPERLINK("http://twitter.com","Twitter Web Client")</f>
        <v>Twitter Web Client</v>
      </c>
      <c r="F1995" s="19">
        <v>43350.19321759259</v>
      </c>
      <c r="G1995" s="17" t="s">
        <v>171</v>
      </c>
      <c r="H1995" s="35" t="s">
        <v>72</v>
      </c>
      <c r="I1995" s="25" t="s">
        <v>954</v>
      </c>
    </row>
    <row r="1996" spans="1:9" s="31" customFormat="1" ht="60">
      <c r="A1996" s="19">
        <v>43543.072951388887</v>
      </c>
      <c r="B1996" s="20" t="str">
        <f>HYPERLINK("https://twitter.com/MIHProperty","@MIHProperty")</f>
        <v>@MIHProperty</v>
      </c>
      <c r="C1996" s="21" t="s">
        <v>9943</v>
      </c>
      <c r="D1996" s="22" t="s">
        <v>9944</v>
      </c>
      <c r="E1996" s="23" t="str">
        <f>HYPERLINK("https://buffer.com","Buffer")</f>
        <v>Buffer</v>
      </c>
      <c r="F1996" s="19">
        <v>42782.046296296292</v>
      </c>
      <c r="G1996" s="17" t="s">
        <v>171</v>
      </c>
      <c r="H1996" s="35" t="s">
        <v>72</v>
      </c>
      <c r="I1996" s="25" t="s">
        <v>9945</v>
      </c>
    </row>
    <row r="1997" spans="1:9" s="31" customFormat="1" ht="60">
      <c r="A1997" s="4">
        <v>43565.453263888892</v>
      </c>
      <c r="B1997" s="5" t="str">
        <f>HYPERLINK("https://twitter.com/JustCarolineH","@JustCarolineH")</f>
        <v>@JustCarolineH</v>
      </c>
      <c r="C1997" s="6" t="s">
        <v>6077</v>
      </c>
      <c r="D1997" s="7" t="s">
        <v>6078</v>
      </c>
      <c r="E1997" s="8" t="str">
        <f>HYPERLINK("http://instagram.com","Instagram")</f>
        <v>Instagram</v>
      </c>
      <c r="F1997" s="4">
        <v>40584.446435185186</v>
      </c>
      <c r="G1997" s="17" t="s">
        <v>171</v>
      </c>
      <c r="H1997" s="35" t="s">
        <v>72</v>
      </c>
      <c r="I1997" s="10" t="s">
        <v>6079</v>
      </c>
    </row>
    <row r="1998" spans="1:9" s="31" customFormat="1" ht="45">
      <c r="A1998" s="4">
        <v>43565.23033564815</v>
      </c>
      <c r="B1998" s="5" t="str">
        <f>HYPERLINK("https://twitter.com/marlin_app","@marlin_app")</f>
        <v>@marlin_app</v>
      </c>
      <c r="C1998" s="6" t="s">
        <v>6224</v>
      </c>
      <c r="D1998" s="7" t="s">
        <v>6225</v>
      </c>
      <c r="E1998" s="8" t="str">
        <f>HYPERLINK("http://twitter.com","Twitter Web Client")</f>
        <v>Twitter Web Client</v>
      </c>
      <c r="F1998" s="4">
        <v>43381.488750000004</v>
      </c>
      <c r="G1998" s="17" t="s">
        <v>171</v>
      </c>
      <c r="H1998" s="35" t="s">
        <v>72</v>
      </c>
      <c r="I1998" s="10" t="s">
        <v>6226</v>
      </c>
    </row>
    <row r="1999" spans="1:9" s="31" customFormat="1" ht="60">
      <c r="A1999" s="4">
        <v>43565.225775462968</v>
      </c>
      <c r="B1999" s="5" t="str">
        <f>HYPERLINK("https://twitter.com/IsraelBritain","@IsraelBritain")</f>
        <v>@IsraelBritain</v>
      </c>
      <c r="C1999" s="6" t="s">
        <v>6227</v>
      </c>
      <c r="D1999" s="7" t="s">
        <v>6228</v>
      </c>
      <c r="E1999" s="8" t="str">
        <f>HYPERLINK("http://twitter.com","Twitter Web Client")</f>
        <v>Twitter Web Client</v>
      </c>
      <c r="F1999" s="4">
        <v>42472.105486111112</v>
      </c>
      <c r="G1999" s="17" t="s">
        <v>171</v>
      </c>
      <c r="H1999" s="35" t="s">
        <v>72</v>
      </c>
      <c r="I1999" s="10" t="s">
        <v>6229</v>
      </c>
    </row>
    <row r="2000" spans="1:9" s="31" customFormat="1" ht="105">
      <c r="A2000" s="4">
        <v>43565.177083333328</v>
      </c>
      <c r="B2000" s="5" t="str">
        <f>HYPERLINK("https://twitter.com/Nestangel_UK","@Nestangel_UK")</f>
        <v>@Nestangel_UK</v>
      </c>
      <c r="C2000" s="6" t="s">
        <v>180</v>
      </c>
      <c r="D2000" s="7" t="s">
        <v>6257</v>
      </c>
      <c r="E2000" s="8" t="str">
        <f>HYPERLINK("https://about.twitter.com/products/tweetdeck","TweetDeck")</f>
        <v>TweetDeck</v>
      </c>
      <c r="F2000" s="4">
        <v>43481.18378472222</v>
      </c>
      <c r="G2000" s="17" t="s">
        <v>171</v>
      </c>
      <c r="H2000" s="35" t="s">
        <v>72</v>
      </c>
      <c r="I2000" s="10" t="s">
        <v>7390</v>
      </c>
    </row>
    <row r="2001" spans="1:9" s="31" customFormat="1" ht="105">
      <c r="A2001" s="4">
        <v>43565.043842592597</v>
      </c>
      <c r="B2001" s="5" t="str">
        <f>HYPERLINK("https://twitter.com/Flamingo_Lets","@Flamingo_Lets")</f>
        <v>@Flamingo_Lets</v>
      </c>
      <c r="C2001" s="6" t="s">
        <v>952</v>
      </c>
      <c r="D2001" s="7" t="s">
        <v>6332</v>
      </c>
      <c r="E2001" s="8" t="str">
        <f>HYPERLINK("http://twitter.com","Twitter Web Client")</f>
        <v>Twitter Web Client</v>
      </c>
      <c r="F2001" s="4">
        <v>43350.19321759259</v>
      </c>
      <c r="G2001" s="17" t="s">
        <v>171</v>
      </c>
      <c r="H2001" s="35" t="s">
        <v>72</v>
      </c>
      <c r="I2001" s="10" t="s">
        <v>954</v>
      </c>
    </row>
    <row r="2002" spans="1:9" s="31" customFormat="1" ht="60">
      <c r="A2002" s="4">
        <v>43564.136944444443</v>
      </c>
      <c r="B2002" s="5" t="str">
        <f>HYPERLINK("https://twitter.com/itsrainymilli","@itsrainymilli")</f>
        <v>@itsrainymilli</v>
      </c>
      <c r="C2002" s="6" t="s">
        <v>6767</v>
      </c>
      <c r="D2002" s="7" t="s">
        <v>6768</v>
      </c>
      <c r="E2002" s="8" t="str">
        <f>HYPERLINK("http://www.linkedin.com/","LinkedIn")</f>
        <v>LinkedIn</v>
      </c>
      <c r="F2002" s="4">
        <v>40706.18104166667</v>
      </c>
      <c r="G2002" s="17" t="s">
        <v>171</v>
      </c>
      <c r="H2002" s="35" t="s">
        <v>72</v>
      </c>
      <c r="I2002" s="10" t="s">
        <v>6769</v>
      </c>
    </row>
    <row r="2003" spans="1:9" s="31" customFormat="1" ht="30">
      <c r="A2003" s="4">
        <v>43564.086550925931</v>
      </c>
      <c r="B2003" s="5" t="str">
        <f>HYPERLINK("https://twitter.com/OfficialAishh_","@OfficialAishh_")</f>
        <v>@OfficialAishh_</v>
      </c>
      <c r="C2003" s="6" t="s">
        <v>6787</v>
      </c>
      <c r="D2003" s="7" t="s">
        <v>6788</v>
      </c>
      <c r="E2003" s="8" t="str">
        <f>HYPERLINK("http://twitter.com/download/iphone","Twitter for iPhone")</f>
        <v>Twitter for iPhone</v>
      </c>
      <c r="F2003" s="4">
        <v>40643.252314814818</v>
      </c>
      <c r="G2003" s="17" t="s">
        <v>171</v>
      </c>
      <c r="H2003" s="35" t="s">
        <v>72</v>
      </c>
      <c r="I2003" s="10" t="s">
        <v>6789</v>
      </c>
    </row>
    <row r="2004" spans="1:9" s="31" customFormat="1" ht="90">
      <c r="A2004" s="4">
        <v>43564.063796296294</v>
      </c>
      <c r="B2004" s="5" t="str">
        <f>HYPERLINK("https://twitter.com/Flamingo_Lets","@Flamingo_Lets")</f>
        <v>@Flamingo_Lets</v>
      </c>
      <c r="C2004" s="6" t="s">
        <v>952</v>
      </c>
      <c r="D2004" s="7" t="s">
        <v>6795</v>
      </c>
      <c r="E2004" s="8" t="str">
        <f>HYPERLINK("http://twitter.com","Twitter Web Client")</f>
        <v>Twitter Web Client</v>
      </c>
      <c r="F2004" s="4">
        <v>43350.19321759259</v>
      </c>
      <c r="G2004" s="17" t="s">
        <v>171</v>
      </c>
      <c r="H2004" s="35" t="s">
        <v>72</v>
      </c>
      <c r="I2004" s="10" t="s">
        <v>954</v>
      </c>
    </row>
    <row r="2005" spans="1:9" s="31" customFormat="1" ht="75">
      <c r="A2005" s="4">
        <v>43563.977187500001</v>
      </c>
      <c r="B2005" s="5" t="str">
        <f>HYPERLINK("https://twitter.com/casterazucar","@casterazucar")</f>
        <v>@casterazucar</v>
      </c>
      <c r="C2005" s="6" t="s">
        <v>730</v>
      </c>
      <c r="D2005" s="7" t="s">
        <v>6839</v>
      </c>
      <c r="E2005" s="8" t="str">
        <f>HYPERLINK("http://twitter.com/download/android","Twitter for Android")</f>
        <v>Twitter for Android</v>
      </c>
      <c r="F2005" s="4">
        <v>40921.670451388891</v>
      </c>
      <c r="G2005" s="17" t="s">
        <v>171</v>
      </c>
      <c r="H2005" s="35" t="s">
        <v>72</v>
      </c>
      <c r="I2005" s="10" t="s">
        <v>732</v>
      </c>
    </row>
    <row r="2006" spans="1:9" s="31" customFormat="1" ht="105">
      <c r="A2006" s="4">
        <v>43563.499247685184</v>
      </c>
      <c r="B2006" s="5" t="str">
        <f>HYPERLINK("https://twitter.com/scout_trend","@scout_trend")</f>
        <v>@scout_trend</v>
      </c>
      <c r="C2006" s="6" t="s">
        <v>10265</v>
      </c>
      <c r="D2006" s="7" t="s">
        <v>10266</v>
      </c>
      <c r="E2006" s="8" t="str">
        <f>HYPERLINK("http://twitter.com","Twitter Web Client")</f>
        <v>Twitter Web Client</v>
      </c>
      <c r="F2006" s="4">
        <v>43515.025624999995</v>
      </c>
      <c r="G2006" s="17" t="s">
        <v>171</v>
      </c>
      <c r="H2006" s="35" t="s">
        <v>72</v>
      </c>
      <c r="I2006" s="10" t="s">
        <v>10267</v>
      </c>
    </row>
    <row r="2007" spans="1:9" s="31" customFormat="1" ht="105">
      <c r="A2007" s="4">
        <v>43563.375057870369</v>
      </c>
      <c r="B2007" s="5" t="str">
        <f>HYPERLINK("https://twitter.com/paybase","@paybase")</f>
        <v>@paybase</v>
      </c>
      <c r="C2007" s="6" t="s">
        <v>10325</v>
      </c>
      <c r="D2007" s="7" t="s">
        <v>10326</v>
      </c>
      <c r="E2007" s="8" t="str">
        <f>HYPERLINK("https://mobile.twitter.com","Twitter Web App")</f>
        <v>Twitter Web App</v>
      </c>
      <c r="F2007" s="4">
        <v>42878.31459490741</v>
      </c>
      <c r="G2007" s="17" t="s">
        <v>171</v>
      </c>
      <c r="H2007" s="35" t="s">
        <v>72</v>
      </c>
      <c r="I2007" s="10" t="s">
        <v>10327</v>
      </c>
    </row>
    <row r="2008" spans="1:9" s="31" customFormat="1" ht="45">
      <c r="A2008" s="4">
        <v>43563.229432870372</v>
      </c>
      <c r="B2008" s="5" t="str">
        <f>HYPERLINK("https://twitter.com/globalhelpswap","@globalhelpswap")</f>
        <v>@globalhelpswap</v>
      </c>
      <c r="C2008" s="6" t="s">
        <v>10423</v>
      </c>
      <c r="D2008" s="7" t="s">
        <v>10424</v>
      </c>
      <c r="E2008" s="8" t="str">
        <f>HYPERLINK("http://postplanner.com","Post Planner Inc.")</f>
        <v>Post Planner Inc.</v>
      </c>
      <c r="F2008" s="4">
        <v>40867.82849537037</v>
      </c>
      <c r="G2008" s="17" t="s">
        <v>171</v>
      </c>
      <c r="H2008" s="35" t="s">
        <v>72</v>
      </c>
      <c r="I2008" s="10" t="s">
        <v>10425</v>
      </c>
    </row>
    <row r="2009" spans="1:9" s="31" customFormat="1" ht="75">
      <c r="A2009" s="4">
        <v>43563.190601851849</v>
      </c>
      <c r="B2009" s="5" t="str">
        <f>HYPERLINK("https://twitter.com/Nestangel_UK","@Nestangel_UK")</f>
        <v>@Nestangel_UK</v>
      </c>
      <c r="C2009" s="6" t="s">
        <v>180</v>
      </c>
      <c r="D2009" s="7" t="s">
        <v>10437</v>
      </c>
      <c r="E2009" s="8" t="str">
        <f>HYPERLINK("http://twitter.com","Twitter Web Client")</f>
        <v>Twitter Web Client</v>
      </c>
      <c r="F2009" s="4">
        <v>43481.18378472222</v>
      </c>
      <c r="G2009" s="17" t="s">
        <v>171</v>
      </c>
      <c r="H2009" s="35" t="s">
        <v>72</v>
      </c>
      <c r="I2009" s="10" t="s">
        <v>7390</v>
      </c>
    </row>
    <row r="2010" spans="1:9" s="31" customFormat="1" ht="90">
      <c r="A2010" s="4">
        <v>43563.109085648146</v>
      </c>
      <c r="B2010" s="5" t="str">
        <f>HYPERLINK("https://twitter.com/Flamingo_Lets","@Flamingo_Lets")</f>
        <v>@Flamingo_Lets</v>
      </c>
      <c r="C2010" s="6" t="s">
        <v>952</v>
      </c>
      <c r="D2010" s="7" t="s">
        <v>10457</v>
      </c>
      <c r="E2010" s="8" t="str">
        <f>HYPERLINK("http://twitter.com","Twitter Web Client")</f>
        <v>Twitter Web Client</v>
      </c>
      <c r="F2010" s="4">
        <v>43350.19321759259</v>
      </c>
      <c r="G2010" s="17" t="s">
        <v>171</v>
      </c>
      <c r="H2010" s="35" t="s">
        <v>72</v>
      </c>
      <c r="I2010" s="10" t="s">
        <v>954</v>
      </c>
    </row>
    <row r="2011" spans="1:9" s="31" customFormat="1" ht="75">
      <c r="A2011" s="4">
        <v>43560.177094907413</v>
      </c>
      <c r="B2011" s="5" t="str">
        <f>HYPERLINK("https://twitter.com/Nestangel_UK","@Nestangel_UK")</f>
        <v>@Nestangel_UK</v>
      </c>
      <c r="C2011" s="6" t="s">
        <v>180</v>
      </c>
      <c r="D2011" s="7" t="s">
        <v>11582</v>
      </c>
      <c r="E2011" s="8" t="str">
        <f>HYPERLINK("https://about.twitter.com/products/tweetdeck","TweetDeck")</f>
        <v>TweetDeck</v>
      </c>
      <c r="F2011" s="4">
        <v>43481.18378472222</v>
      </c>
      <c r="G2011" s="17" t="s">
        <v>171</v>
      </c>
      <c r="H2011" s="35" t="s">
        <v>72</v>
      </c>
      <c r="I2011" s="10" t="s">
        <v>7390</v>
      </c>
    </row>
    <row r="2012" spans="1:9" s="31" customFormat="1" ht="105">
      <c r="A2012" s="4">
        <v>43560.100995370369</v>
      </c>
      <c r="B2012" s="5" t="str">
        <f>HYPERLINK("https://twitter.com/Flamingo_Lets","@Flamingo_Lets")</f>
        <v>@Flamingo_Lets</v>
      </c>
      <c r="C2012" s="6" t="s">
        <v>952</v>
      </c>
      <c r="D2012" s="7" t="s">
        <v>11605</v>
      </c>
      <c r="E2012" s="8" t="str">
        <f>HYPERLINK("http://twitter.com","Twitter Web Client")</f>
        <v>Twitter Web Client</v>
      </c>
      <c r="F2012" s="4">
        <v>43350.19321759259</v>
      </c>
      <c r="G2012" s="17" t="s">
        <v>171</v>
      </c>
      <c r="H2012" s="35" t="s">
        <v>72</v>
      </c>
      <c r="I2012" s="10" t="s">
        <v>954</v>
      </c>
    </row>
    <row r="2013" spans="1:9" s="31" customFormat="1" ht="105">
      <c r="A2013" s="4">
        <v>43559.340671296297</v>
      </c>
      <c r="B2013" s="5" t="str">
        <f>HYPERLINK("https://twitter.com/happyguestco","@happyguestco")</f>
        <v>@happyguestco</v>
      </c>
      <c r="C2013" s="5" t="s">
        <v>5686</v>
      </c>
      <c r="D2013" s="7" t="s">
        <v>11880</v>
      </c>
      <c r="E2013" s="8" t="str">
        <f>HYPERLINK("https://www.later.com","LaterMedia")</f>
        <v>LaterMedia</v>
      </c>
      <c r="F2013" s="4">
        <v>42556.238032407404</v>
      </c>
      <c r="G2013" s="17" t="s">
        <v>171</v>
      </c>
      <c r="H2013" s="35" t="s">
        <v>72</v>
      </c>
      <c r="I2013" s="10" t="s">
        <v>5688</v>
      </c>
    </row>
    <row r="2014" spans="1:9" s="31" customFormat="1" ht="30">
      <c r="A2014" s="4">
        <v>43559.255254629628</v>
      </c>
      <c r="B2014" s="5" t="str">
        <f>HYPERLINK("https://twitter.com/smartthumb","@smartthumb")</f>
        <v>@smartthumb</v>
      </c>
      <c r="C2014" s="6" t="s">
        <v>11901</v>
      </c>
      <c r="D2014" s="7" t="s">
        <v>11751</v>
      </c>
      <c r="E2014" s="8" t="str">
        <f>HYPERLINK("http://twitter.com/download/iphone","Twitter for iPhone")</f>
        <v>Twitter for iPhone</v>
      </c>
      <c r="F2014" s="4">
        <v>40582.276238425926</v>
      </c>
      <c r="G2014" s="17" t="s">
        <v>171</v>
      </c>
      <c r="H2014" s="35" t="s">
        <v>72</v>
      </c>
      <c r="I2014" s="10" t="s">
        <v>11902</v>
      </c>
    </row>
    <row r="2015" spans="1:9" s="31" customFormat="1" ht="45">
      <c r="A2015" s="4">
        <v>43559.188738425924</v>
      </c>
      <c r="B2015" s="5" t="str">
        <f>HYPERLINK("https://twitter.com/seb_bw","@seb_bw")</f>
        <v>@seb_bw</v>
      </c>
      <c r="C2015" s="6" t="s">
        <v>11914</v>
      </c>
      <c r="D2015" s="7" t="s">
        <v>11915</v>
      </c>
      <c r="E2015" s="8" t="str">
        <f>HYPERLINK("http://twitter.com","Twitter Web Client")</f>
        <v>Twitter Web Client</v>
      </c>
      <c r="F2015" s="4">
        <v>39951.521435185183</v>
      </c>
      <c r="G2015" s="17" t="s">
        <v>171</v>
      </c>
      <c r="H2015" s="35" t="s">
        <v>72</v>
      </c>
      <c r="I2015" s="10" t="s">
        <v>11916</v>
      </c>
    </row>
    <row r="2016" spans="1:9" s="31" customFormat="1" ht="45">
      <c r="A2016" s="4">
        <v>43559.134027777778</v>
      </c>
      <c r="B2016" s="5" t="str">
        <f>HYPERLINK("https://twitter.com/_KeyNest","@_KeyNest")</f>
        <v>@_KeyNest</v>
      </c>
      <c r="C2016" s="6" t="s">
        <v>70</v>
      </c>
      <c r="D2016" s="7" t="s">
        <v>11935</v>
      </c>
      <c r="E2016" s="8" t="str">
        <f>HYPERLINK("https://buffer.com","Buffer")</f>
        <v>Buffer</v>
      </c>
      <c r="F2016" s="4">
        <v>42450.579814814817</v>
      </c>
      <c r="G2016" s="17" t="s">
        <v>171</v>
      </c>
      <c r="H2016" s="35" t="s">
        <v>72</v>
      </c>
      <c r="I2016" s="10" t="s">
        <v>73</v>
      </c>
    </row>
    <row r="2017" spans="1:9" s="31" customFormat="1" ht="120">
      <c r="A2017" s="4">
        <v>43559.029421296298</v>
      </c>
      <c r="B2017" s="5" t="str">
        <f>HYPERLINK("https://twitter.com/WDetergents","@WDetergents")</f>
        <v>@WDetergents</v>
      </c>
      <c r="C2017" s="6" t="s">
        <v>11973</v>
      </c>
      <c r="D2017" s="7" t="s">
        <v>11970</v>
      </c>
      <c r="E2017" s="8" t="str">
        <f>HYPERLINK("http://twitter.com/download/iphone","Twitter for iPhone")</f>
        <v>Twitter for iPhone</v>
      </c>
      <c r="F2017" s="4">
        <v>43535.639027777783</v>
      </c>
      <c r="G2017" s="17" t="s">
        <v>171</v>
      </c>
      <c r="H2017" s="35" t="s">
        <v>72</v>
      </c>
      <c r="I2017" s="10" t="s">
        <v>11974</v>
      </c>
    </row>
    <row r="2018" spans="1:9" s="31" customFormat="1" ht="60">
      <c r="A2018" s="4">
        <v>43558.757511574076</v>
      </c>
      <c r="B2018" s="5" t="str">
        <f>HYPERLINK("https://twitter.com/AGameWithChums","@AGameWithChums")</f>
        <v>@AGameWithChums</v>
      </c>
      <c r="C2018" s="6" t="s">
        <v>12045</v>
      </c>
      <c r="D2018" s="7" t="s">
        <v>12046</v>
      </c>
      <c r="E2018" s="8" t="str">
        <f>HYPERLINK("http://twitter.com","Twitter Web Client")</f>
        <v>Twitter Web Client</v>
      </c>
      <c r="F2018" s="4">
        <v>42805.23228009259</v>
      </c>
      <c r="G2018" s="17" t="s">
        <v>171</v>
      </c>
      <c r="H2018" s="35" t="s">
        <v>72</v>
      </c>
      <c r="I2018" s="10" t="s">
        <v>12047</v>
      </c>
    </row>
    <row r="2019" spans="1:9" s="31" customFormat="1" ht="75">
      <c r="A2019" s="4">
        <v>43558.602326388893</v>
      </c>
      <c r="B2019" s="5" t="str">
        <f>HYPERLINK("https://twitter.com/zarashabrina","@zarashabrina")</f>
        <v>@zarashabrina</v>
      </c>
      <c r="C2019" s="6" t="s">
        <v>12107</v>
      </c>
      <c r="D2019" s="7" t="s">
        <v>12108</v>
      </c>
      <c r="E2019" s="8" t="str">
        <f>HYPERLINK("http://twitter.com/download/iphone","Twitter for iPhone")</f>
        <v>Twitter for iPhone</v>
      </c>
      <c r="F2019" s="4">
        <v>40051.373958333337</v>
      </c>
      <c r="G2019" s="17" t="s">
        <v>171</v>
      </c>
      <c r="H2019" s="35" t="s">
        <v>72</v>
      </c>
      <c r="I2019" s="10" t="s">
        <v>12109</v>
      </c>
    </row>
    <row r="2020" spans="1:9" s="31" customFormat="1" ht="45">
      <c r="A2020" s="4">
        <v>43558.465636574074</v>
      </c>
      <c r="B2020" s="5" t="str">
        <f>HYPERLINK("https://twitter.com/HenryHolme","@HenryHolme")</f>
        <v>@HenryHolme</v>
      </c>
      <c r="C2020" s="6" t="s">
        <v>12167</v>
      </c>
      <c r="D2020" s="7" t="s">
        <v>12168</v>
      </c>
      <c r="E2020" s="8" t="str">
        <f>HYPERLINK("http://twitter.com/download/android","Twitter for Android")</f>
        <v>Twitter for Android</v>
      </c>
      <c r="F2020" s="4">
        <v>40727.662152777775</v>
      </c>
      <c r="G2020" s="17" t="s">
        <v>171</v>
      </c>
      <c r="H2020" s="35" t="s">
        <v>72</v>
      </c>
      <c r="I2020" s="10" t="s">
        <v>12169</v>
      </c>
    </row>
    <row r="2021" spans="1:9" s="31" customFormat="1" ht="105">
      <c r="A2021" s="4">
        <v>43558.407650462963</v>
      </c>
      <c r="B2021" s="5" t="str">
        <f>HYPERLINK("https://twitter.com/WDetergents","@WDetergents")</f>
        <v>@WDetergents</v>
      </c>
      <c r="C2021" s="6" t="s">
        <v>11973</v>
      </c>
      <c r="D2021" s="7" t="s">
        <v>12212</v>
      </c>
      <c r="E2021" s="8" t="str">
        <f>HYPERLINK("http://twitter.com/download/iphone","Twitter for iPhone")</f>
        <v>Twitter for iPhone</v>
      </c>
      <c r="F2021" s="4">
        <v>43535.639027777783</v>
      </c>
      <c r="G2021" s="17" t="s">
        <v>171</v>
      </c>
      <c r="H2021" s="35" t="s">
        <v>72</v>
      </c>
      <c r="I2021" s="10" t="s">
        <v>11974</v>
      </c>
    </row>
    <row r="2022" spans="1:9" s="31" customFormat="1" ht="45">
      <c r="A2022" s="4">
        <v>43558.398182870369</v>
      </c>
      <c r="B2022" s="5" t="str">
        <f>HYPERLINK("https://twitter.com/domarncreative1","@domarncreative1")</f>
        <v>@domarncreative1</v>
      </c>
      <c r="C2022" s="6" t="s">
        <v>12213</v>
      </c>
      <c r="D2022" s="7" t="s">
        <v>12214</v>
      </c>
      <c r="E2022" s="8" t="str">
        <f>HYPERLINK("http://twitter.com","Twitter Web Client")</f>
        <v>Twitter Web Client</v>
      </c>
      <c r="F2022" s="4">
        <v>42101.355624999997</v>
      </c>
      <c r="G2022" s="17" t="s">
        <v>171</v>
      </c>
      <c r="H2022" s="35" t="s">
        <v>72</v>
      </c>
      <c r="I2022" s="10" t="s">
        <v>12215</v>
      </c>
    </row>
    <row r="2023" spans="1:9" s="31" customFormat="1" ht="105">
      <c r="A2023" s="4">
        <v>43558.206018518518</v>
      </c>
      <c r="B2023" s="5" t="str">
        <f>HYPERLINK("https://twitter.com/Nestangel_UK","@Nestangel_UK")</f>
        <v>@Nestangel_UK</v>
      </c>
      <c r="C2023" s="6" t="s">
        <v>180</v>
      </c>
      <c r="D2023" s="7" t="s">
        <v>12285</v>
      </c>
      <c r="E2023" s="8" t="str">
        <f>HYPERLINK("http://twitter.com","Twitter Web Client")</f>
        <v>Twitter Web Client</v>
      </c>
      <c r="F2023" s="4">
        <v>43481.18378472222</v>
      </c>
      <c r="G2023" s="17" t="s">
        <v>171</v>
      </c>
      <c r="H2023" s="35" t="s">
        <v>72</v>
      </c>
      <c r="I2023" s="10" t="s">
        <v>7390</v>
      </c>
    </row>
    <row r="2024" spans="1:9" s="31" customFormat="1" ht="60">
      <c r="A2024" s="4">
        <v>43558.125821759255</v>
      </c>
      <c r="B2024" s="5" t="str">
        <f>HYPERLINK("https://twitter.com/andersen_ev","@andersen_ev")</f>
        <v>@andersen_ev</v>
      </c>
      <c r="C2024" s="6" t="s">
        <v>12312</v>
      </c>
      <c r="D2024" s="7" t="s">
        <v>12313</v>
      </c>
      <c r="E2024" s="8" t="str">
        <f>HYPERLINK("https://www.hootsuite.com","Hootsuite Inc.")</f>
        <v>Hootsuite Inc.</v>
      </c>
      <c r="F2024" s="4">
        <v>42860.562094907407</v>
      </c>
      <c r="G2024" s="17" t="s">
        <v>171</v>
      </c>
      <c r="H2024" s="35" t="s">
        <v>72</v>
      </c>
      <c r="I2024" s="10" t="s">
        <v>12314</v>
      </c>
    </row>
    <row r="2025" spans="1:9" s="31" customFormat="1" ht="45">
      <c r="A2025" s="4">
        <v>43557.97892361111</v>
      </c>
      <c r="B2025" s="5" t="str">
        <f>HYPERLINK("https://twitter.com/TheNoctrader","@TheNoctrader")</f>
        <v>@TheNoctrader</v>
      </c>
      <c r="C2025" s="6" t="s">
        <v>12349</v>
      </c>
      <c r="D2025" s="7" t="s">
        <v>12350</v>
      </c>
      <c r="E2025" s="8" t="str">
        <f>HYPERLINK("http://twitter.com","Twitter Web Client")</f>
        <v>Twitter Web Client</v>
      </c>
      <c r="F2025" s="4">
        <v>43157.631631944445</v>
      </c>
      <c r="G2025" s="17" t="s">
        <v>171</v>
      </c>
      <c r="H2025" s="35" t="s">
        <v>72</v>
      </c>
      <c r="I2025" s="10" t="s">
        <v>12351</v>
      </c>
    </row>
    <row r="2026" spans="1:9" s="31" customFormat="1" ht="105">
      <c r="A2026" s="4">
        <v>43557.396840277783</v>
      </c>
      <c r="B2026" s="5" t="str">
        <f>HYPERLINK("https://twitter.com/WDetergents","@WDetergents")</f>
        <v>@WDetergents</v>
      </c>
      <c r="C2026" s="6" t="s">
        <v>11973</v>
      </c>
      <c r="D2026" s="7" t="s">
        <v>12211</v>
      </c>
      <c r="E2026" s="8" t="str">
        <f>HYPERLINK("http://twitter.com/download/iphone","Twitter for iPhone")</f>
        <v>Twitter for iPhone</v>
      </c>
      <c r="F2026" s="4">
        <v>43535.639027777783</v>
      </c>
      <c r="G2026" s="17" t="s">
        <v>171</v>
      </c>
      <c r="H2026" s="35" t="s">
        <v>72</v>
      </c>
      <c r="I2026" s="10" t="s">
        <v>11974</v>
      </c>
    </row>
    <row r="2027" spans="1:9" s="31" customFormat="1" ht="75">
      <c r="A2027" s="4">
        <v>43557.303113425922</v>
      </c>
      <c r="B2027" s="5" t="str">
        <f>HYPERLINK("https://twitter.com/TechGritsNews","@TechGritsNews")</f>
        <v>@TechGritsNews</v>
      </c>
      <c r="C2027" s="6" t="s">
        <v>12571</v>
      </c>
      <c r="D2027" s="7" t="s">
        <v>12572</v>
      </c>
      <c r="E2027" s="8" t="str">
        <f>HYPERLINK("http://twitter.com","Twitter Web Client")</f>
        <v>Twitter Web Client</v>
      </c>
      <c r="F2027" s="4">
        <v>43503.874386574069</v>
      </c>
      <c r="G2027" s="17" t="s">
        <v>171</v>
      </c>
      <c r="H2027" s="35" t="s">
        <v>72</v>
      </c>
      <c r="I2027" s="10" t="s">
        <v>12573</v>
      </c>
    </row>
    <row r="2028" spans="1:9" s="31" customFormat="1" ht="75">
      <c r="A2028" s="4">
        <v>43557.283148148148</v>
      </c>
      <c r="B2028" s="5" t="str">
        <f>HYPERLINK("https://twitter.com/marlin_app","@marlin_app")</f>
        <v>@marlin_app</v>
      </c>
      <c r="C2028" s="6" t="s">
        <v>6224</v>
      </c>
      <c r="D2028" s="7" t="s">
        <v>12591</v>
      </c>
      <c r="E2028" s="8" t="str">
        <f>HYPERLINK("http://twitter.com","Twitter Web Client")</f>
        <v>Twitter Web Client</v>
      </c>
      <c r="F2028" s="4">
        <v>43381.488750000004</v>
      </c>
      <c r="G2028" s="17" t="s">
        <v>171</v>
      </c>
      <c r="H2028" s="35" t="s">
        <v>72</v>
      </c>
      <c r="I2028" s="10" t="s">
        <v>6226</v>
      </c>
    </row>
    <row r="2029" spans="1:9" s="31" customFormat="1" ht="60">
      <c r="A2029" s="4">
        <v>43557.0003125</v>
      </c>
      <c r="B2029" s="5" t="str">
        <f>HYPERLINK("https://twitter.com/CEWComms","@CEWComms")</f>
        <v>@CEWComms</v>
      </c>
      <c r="C2029" s="6" t="s">
        <v>4200</v>
      </c>
      <c r="D2029" s="7" t="s">
        <v>12683</v>
      </c>
      <c r="E2029" s="8" t="str">
        <f>HYPERLINK("https://buffer.com","Buffer")</f>
        <v>Buffer</v>
      </c>
      <c r="F2029" s="4">
        <v>42704.325613425928</v>
      </c>
      <c r="G2029" s="17" t="s">
        <v>171</v>
      </c>
      <c r="H2029" s="35" t="s">
        <v>72</v>
      </c>
      <c r="I2029" s="10" t="s">
        <v>4202</v>
      </c>
    </row>
    <row r="2030" spans="1:9" s="31" customFormat="1" ht="105">
      <c r="A2030" s="4">
        <v>43556.951111111106</v>
      </c>
      <c r="B2030" s="5" t="str">
        <f>HYPERLINK("https://twitter.com/WDetergents","@WDetergents")</f>
        <v>@WDetergents</v>
      </c>
      <c r="C2030" s="6" t="s">
        <v>11973</v>
      </c>
      <c r="D2030" s="7" t="s">
        <v>12211</v>
      </c>
      <c r="E2030" s="8" t="str">
        <f>HYPERLINK("http://twitter.com/download/iphone","Twitter for iPhone")</f>
        <v>Twitter for iPhone</v>
      </c>
      <c r="F2030" s="4">
        <v>43535.639027777783</v>
      </c>
      <c r="G2030" s="17" t="s">
        <v>171</v>
      </c>
      <c r="H2030" s="35" t="s">
        <v>72</v>
      </c>
      <c r="I2030" s="10" t="s">
        <v>11974</v>
      </c>
    </row>
    <row r="2031" spans="1:9" s="31" customFormat="1" ht="75">
      <c r="A2031" s="12">
        <v>43580.790439814809</v>
      </c>
      <c r="B2031" s="13" t="str">
        <f>HYPERLINK("https://twitter.com/_KeyNest","@_KeyNest")</f>
        <v>@_KeyNest</v>
      </c>
      <c r="C2031" s="14" t="s">
        <v>70</v>
      </c>
      <c r="D2031" s="15" t="s">
        <v>71</v>
      </c>
      <c r="E2031" s="16" t="str">
        <f>HYPERLINK("http://twitter.com","Twitter Web Client")</f>
        <v>Twitter Web Client</v>
      </c>
      <c r="F2031" s="12">
        <v>42451.038148148145</v>
      </c>
      <c r="G2031" s="17" t="s">
        <v>171</v>
      </c>
      <c r="H2031" s="35" t="s">
        <v>72</v>
      </c>
      <c r="I2031" s="18" t="s">
        <v>73</v>
      </c>
    </row>
    <row r="2032" spans="1:9" s="31" customFormat="1" ht="75">
      <c r="A2032" s="12">
        <v>43580.741793981477</v>
      </c>
      <c r="B2032" s="13" t="str">
        <f>HYPERLINK("https://twitter.com/resihut","@resihut")</f>
        <v>@resihut</v>
      </c>
      <c r="C2032" s="14" t="s">
        <v>101</v>
      </c>
      <c r="D2032" s="15" t="s">
        <v>102</v>
      </c>
      <c r="E2032" s="16" t="str">
        <f>HYPERLINK("http://twitter.com","Twitter Web Client")</f>
        <v>Twitter Web Client</v>
      </c>
      <c r="F2032" s="12">
        <v>43508.787569444445</v>
      </c>
      <c r="G2032" s="17" t="s">
        <v>171</v>
      </c>
      <c r="H2032" s="35" t="s">
        <v>72</v>
      </c>
      <c r="I2032" s="18" t="s">
        <v>103</v>
      </c>
    </row>
    <row r="2033" spans="1:9" s="31" customFormat="1" ht="45">
      <c r="A2033" s="12">
        <v>43580.725983796292</v>
      </c>
      <c r="B2033" s="13" t="str">
        <f>HYPERLINK("https://twitter.com/adrianpgibson","@adrianpgibson")</f>
        <v>@adrianpgibson</v>
      </c>
      <c r="C2033" s="14" t="s">
        <v>120</v>
      </c>
      <c r="D2033" s="15" t="s">
        <v>121</v>
      </c>
      <c r="E2033" s="16" t="str">
        <f>HYPERLINK("http://twitter.com/download/iphone","Twitter for iPhone")</f>
        <v>Twitter for iPhone</v>
      </c>
      <c r="F2033" s="12">
        <v>40684.510312500002</v>
      </c>
      <c r="G2033" s="17" t="s">
        <v>171</v>
      </c>
      <c r="H2033" s="35" t="s">
        <v>72</v>
      </c>
      <c r="I2033" s="18" t="s">
        <v>122</v>
      </c>
    </row>
    <row r="2034" spans="1:9" s="31" customFormat="1" ht="60">
      <c r="A2034" s="12">
        <v>43580.645833333328</v>
      </c>
      <c r="B2034" s="13" t="str">
        <f>HYPERLINK("https://twitter.com/Nestangel_UK","@Nestangel_UK")</f>
        <v>@Nestangel_UK</v>
      </c>
      <c r="C2034" s="14" t="s">
        <v>180</v>
      </c>
      <c r="D2034" s="15" t="s">
        <v>181</v>
      </c>
      <c r="E2034" s="16" t="str">
        <f>HYPERLINK("https://about.twitter.com/products/tweetdeck","TweetDeck")</f>
        <v>TweetDeck</v>
      </c>
      <c r="F2034" s="12">
        <v>43481.68378472222</v>
      </c>
      <c r="G2034" s="17" t="s">
        <v>171</v>
      </c>
      <c r="H2034" s="35" t="s">
        <v>72</v>
      </c>
      <c r="I2034" s="18" t="s">
        <v>182</v>
      </c>
    </row>
    <row r="2035" spans="1:9" s="31" customFormat="1" ht="45">
      <c r="A2035" s="12">
        <v>43580.636238425926</v>
      </c>
      <c r="B2035" s="13" t="str">
        <f>HYPERLINK("https://twitter.com/_KeyNest","@_KeyNest")</f>
        <v>@_KeyNest</v>
      </c>
      <c r="C2035" s="14" t="s">
        <v>70</v>
      </c>
      <c r="D2035" s="15" t="s">
        <v>195</v>
      </c>
      <c r="E2035" s="16" t="str">
        <f>HYPERLINK("http://twitter.com","Twitter Web Client")</f>
        <v>Twitter Web Client</v>
      </c>
      <c r="F2035" s="12">
        <v>42451.038148148145</v>
      </c>
      <c r="G2035" s="17" t="s">
        <v>171</v>
      </c>
      <c r="H2035" s="35" t="s">
        <v>72</v>
      </c>
      <c r="I2035" s="18" t="s">
        <v>73</v>
      </c>
    </row>
    <row r="2036" spans="1:9" s="31" customFormat="1" ht="45">
      <c r="A2036" s="12">
        <v>43580.031909722224</v>
      </c>
      <c r="B2036" s="13" t="str">
        <f>HYPERLINK("https://twitter.com/davi326","@davi326")</f>
        <v>@davi326</v>
      </c>
      <c r="C2036" s="14" t="s">
        <v>321</v>
      </c>
      <c r="D2036" s="15" t="s">
        <v>322</v>
      </c>
      <c r="E2036" s="16" t="str">
        <f>HYPERLINK("http://twitter.com/download/iphone","Twitter for iPhone")</f>
        <v>Twitter for iPhone</v>
      </c>
      <c r="F2036" s="12">
        <v>40158.03670138889</v>
      </c>
      <c r="G2036" s="17" t="s">
        <v>171</v>
      </c>
      <c r="H2036" s="35" t="s">
        <v>72</v>
      </c>
      <c r="I2036" s="18" t="s">
        <v>323</v>
      </c>
    </row>
    <row r="2037" spans="1:9" s="31" customFormat="1" ht="45">
      <c r="A2037" s="12">
        <v>43579.615752314814</v>
      </c>
      <c r="B2037" s="13" t="str">
        <f>HYPERLINK("https://twitter.com/remawilkens","@remawilkens")</f>
        <v>@remawilkens</v>
      </c>
      <c r="C2037" s="14" t="s">
        <v>542</v>
      </c>
      <c r="D2037" s="15" t="s">
        <v>543</v>
      </c>
      <c r="E2037" s="16" t="str">
        <f>HYPERLINK("http://twitter.com/download/iphone","Twitter for iPhone")</f>
        <v>Twitter for iPhone</v>
      </c>
      <c r="F2037" s="12">
        <v>39871.259629629625</v>
      </c>
      <c r="G2037" s="17" t="s">
        <v>171</v>
      </c>
      <c r="H2037" s="35" t="s">
        <v>72</v>
      </c>
      <c r="I2037" s="18" t="s">
        <v>544</v>
      </c>
    </row>
    <row r="2038" spans="1:9" s="31" customFormat="1" ht="60">
      <c r="A2038" s="12">
        <v>43579.362916666665</v>
      </c>
      <c r="B2038" s="13" t="str">
        <f>HYPERLINK("https://twitter.com/casterazucar","@casterazucar")</f>
        <v>@casterazucar</v>
      </c>
      <c r="C2038" s="14" t="s">
        <v>730</v>
      </c>
      <c r="D2038" s="15" t="s">
        <v>731</v>
      </c>
      <c r="E2038" s="16" t="str">
        <f>HYPERLINK("http://twitter.com","Twitter Web Client")</f>
        <v>Twitter Web Client</v>
      </c>
      <c r="F2038" s="12">
        <v>40921.670451388891</v>
      </c>
      <c r="G2038" s="17" t="s">
        <v>171</v>
      </c>
      <c r="H2038" s="35" t="s">
        <v>72</v>
      </c>
      <c r="I2038" s="18" t="s">
        <v>732</v>
      </c>
    </row>
    <row r="2039" spans="1:9" s="31" customFormat="1" ht="75">
      <c r="A2039" s="12">
        <v>43579.181099537032</v>
      </c>
      <c r="B2039" s="13" t="str">
        <f>HYPERLINK("https://twitter.com/Nestangel_UK","@Nestangel_UK")</f>
        <v>@Nestangel_UK</v>
      </c>
      <c r="C2039" s="14" t="s">
        <v>180</v>
      </c>
      <c r="D2039" s="15" t="s">
        <v>877</v>
      </c>
      <c r="E2039" s="16" t="str">
        <f>HYPERLINK("http://twitter.com","Twitter Web Client")</f>
        <v>Twitter Web Client</v>
      </c>
      <c r="F2039" s="12">
        <v>43481.18378472222</v>
      </c>
      <c r="G2039" s="17" t="s">
        <v>171</v>
      </c>
      <c r="H2039" s="35" t="s">
        <v>72</v>
      </c>
      <c r="I2039" s="18" t="s">
        <v>182</v>
      </c>
    </row>
    <row r="2040" spans="1:9" s="31" customFormat="1" ht="105">
      <c r="A2040" s="12">
        <v>43579.04451388889</v>
      </c>
      <c r="B2040" s="13" t="str">
        <f>HYPERLINK("https://twitter.com/Flamingo_Lets","@Flamingo_Lets")</f>
        <v>@Flamingo_Lets</v>
      </c>
      <c r="C2040" s="14" t="s">
        <v>952</v>
      </c>
      <c r="D2040" s="15" t="s">
        <v>953</v>
      </c>
      <c r="E2040" s="16" t="str">
        <f>HYPERLINK("http://twitter.com","Twitter Web Client")</f>
        <v>Twitter Web Client</v>
      </c>
      <c r="F2040" s="12">
        <v>43350.19321759259</v>
      </c>
      <c r="G2040" s="17" t="s">
        <v>171</v>
      </c>
      <c r="H2040" s="35" t="s">
        <v>72</v>
      </c>
      <c r="I2040" s="18" t="s">
        <v>954</v>
      </c>
    </row>
    <row r="2041" spans="1:9" s="31" customFormat="1" ht="75">
      <c r="A2041" s="12">
        <v>43576.432083333333</v>
      </c>
      <c r="B2041" s="13" t="str">
        <f>HYPERLINK("https://twitter.com/DrewG75","@DrewG75")</f>
        <v>@DrewG75</v>
      </c>
      <c r="C2041" s="14" t="s">
        <v>1944</v>
      </c>
      <c r="D2041" s="15" t="s">
        <v>1945</v>
      </c>
      <c r="E2041" s="16" t="str">
        <f>HYPERLINK("http://instagram.com","Instagram")</f>
        <v>Instagram</v>
      </c>
      <c r="F2041" s="12">
        <v>39953.72451388889</v>
      </c>
      <c r="G2041" s="17" t="s">
        <v>171</v>
      </c>
      <c r="H2041" s="35" t="s">
        <v>72</v>
      </c>
      <c r="I2041" s="18" t="s">
        <v>1946</v>
      </c>
    </row>
    <row r="2042" spans="1:9" s="31" customFormat="1" ht="75">
      <c r="A2042" s="12">
        <v>43576.358425925922</v>
      </c>
      <c r="B2042" s="13" t="str">
        <f>HYPERLINK("https://twitter.com/JasonAAlmeida","@JasonAAlmeida")</f>
        <v>@JasonAAlmeida</v>
      </c>
      <c r="C2042" s="14" t="s">
        <v>1975</v>
      </c>
      <c r="D2042" s="15" t="s">
        <v>1976</v>
      </c>
      <c r="E2042" s="16" t="str">
        <f>HYPERLINK("http://instagram.com","Instagram")</f>
        <v>Instagram</v>
      </c>
      <c r="F2042" s="12">
        <v>41815.684050925927</v>
      </c>
      <c r="G2042" s="17" t="s">
        <v>171</v>
      </c>
      <c r="H2042" s="35" t="s">
        <v>72</v>
      </c>
      <c r="I2042" s="18" t="s">
        <v>1977</v>
      </c>
    </row>
    <row r="2043" spans="1:9" s="31" customFormat="1" ht="90">
      <c r="A2043" s="12">
        <v>43575.038298611107</v>
      </c>
      <c r="B2043" s="13" t="str">
        <f>HYPERLINK("https://twitter.com/resihut","@resihut")</f>
        <v>@resihut</v>
      </c>
      <c r="C2043" s="14" t="s">
        <v>101</v>
      </c>
      <c r="D2043" s="15" t="s">
        <v>2385</v>
      </c>
      <c r="E2043" s="16" t="str">
        <f>HYPERLINK("http://twitter.com","Twitter Web Client")</f>
        <v>Twitter Web Client</v>
      </c>
      <c r="F2043" s="12">
        <v>43508.287569444445</v>
      </c>
      <c r="G2043" s="17" t="s">
        <v>171</v>
      </c>
      <c r="H2043" s="35" t="s">
        <v>72</v>
      </c>
      <c r="I2043" s="18" t="s">
        <v>103</v>
      </c>
    </row>
    <row r="2044" spans="1:9" s="31" customFormat="1" ht="75">
      <c r="A2044" s="12">
        <v>43574.1875</v>
      </c>
      <c r="B2044" s="13" t="str">
        <f>HYPERLINK("https://twitter.com/Nestangel_UK","@Nestangel_UK")</f>
        <v>@Nestangel_UK</v>
      </c>
      <c r="C2044" s="14" t="s">
        <v>180</v>
      </c>
      <c r="D2044" s="15" t="s">
        <v>2657</v>
      </c>
      <c r="E2044" s="16" t="str">
        <f>HYPERLINK("https://about.twitter.com/products/tweetdeck","TweetDeck")</f>
        <v>TweetDeck</v>
      </c>
      <c r="F2044" s="12">
        <v>43481.18378472222</v>
      </c>
      <c r="G2044" s="17" t="s">
        <v>171</v>
      </c>
      <c r="H2044" s="35" t="s">
        <v>72</v>
      </c>
      <c r="I2044" s="18" t="s">
        <v>182</v>
      </c>
    </row>
    <row r="2045" spans="1:9" s="31" customFormat="1" ht="75">
      <c r="A2045" s="12">
        <v>43573.110567129625</v>
      </c>
      <c r="B2045" s="13" t="str">
        <f>HYPERLINK("https://twitter.com/cleanandlinen","@cleanandlinen")</f>
        <v>@cleanandlinen</v>
      </c>
      <c r="C2045" s="14" t="s">
        <v>3002</v>
      </c>
      <c r="D2045" s="15" t="s">
        <v>3003</v>
      </c>
      <c r="E2045" s="16" t="str">
        <f>HYPERLINK("http://instagram.com","Instagram")</f>
        <v>Instagram</v>
      </c>
      <c r="F2045" s="12">
        <v>43270.654652777783</v>
      </c>
      <c r="G2045" s="17" t="s">
        <v>171</v>
      </c>
      <c r="H2045" s="35" t="s">
        <v>72</v>
      </c>
      <c r="I2045" s="18" t="s">
        <v>3004</v>
      </c>
    </row>
    <row r="2046" spans="1:9" s="31" customFormat="1" ht="90">
      <c r="A2046" s="12">
        <v>43572.986550925925</v>
      </c>
      <c r="B2046" s="13" t="str">
        <f>HYPERLINK("https://twitter.com/Magdalena_Goleb","@Magdalena_Goleb")</f>
        <v>@Magdalena_Goleb</v>
      </c>
      <c r="C2046" s="14" t="s">
        <v>3038</v>
      </c>
      <c r="D2046" s="15" t="s">
        <v>3039</v>
      </c>
      <c r="E2046" s="16" t="str">
        <f>HYPERLINK("http://twitter.com/download/iphone","Twitter for iPhone")</f>
        <v>Twitter for iPhone</v>
      </c>
      <c r="F2046" s="12">
        <v>43151.267928240741</v>
      </c>
      <c r="G2046" s="17" t="s">
        <v>171</v>
      </c>
      <c r="H2046" s="35" t="s">
        <v>72</v>
      </c>
      <c r="I2046" s="18" t="s">
        <v>3040</v>
      </c>
    </row>
    <row r="2047" spans="1:9" s="31" customFormat="1" ht="60">
      <c r="A2047" s="12">
        <v>43572.372986111106</v>
      </c>
      <c r="B2047" s="13" t="str">
        <f>HYPERLINK("https://twitter.com/Nestangel_UK","@Nestangel_UK")</f>
        <v>@Nestangel_UK</v>
      </c>
      <c r="C2047" s="14" t="s">
        <v>180</v>
      </c>
      <c r="D2047" s="15" t="s">
        <v>3290</v>
      </c>
      <c r="E2047" s="16" t="str">
        <f>HYPERLINK("http://twitter.com","Twitter Web Client")</f>
        <v>Twitter Web Client</v>
      </c>
      <c r="F2047" s="12">
        <v>43481.18378472222</v>
      </c>
      <c r="G2047" s="17" t="s">
        <v>171</v>
      </c>
      <c r="H2047" s="35" t="s">
        <v>72</v>
      </c>
      <c r="I2047" s="18" t="s">
        <v>182</v>
      </c>
    </row>
    <row r="2048" spans="1:9" s="31" customFormat="1" ht="105">
      <c r="A2048" s="12">
        <v>43572.0627662037</v>
      </c>
      <c r="B2048" s="13" t="str">
        <f>HYPERLINK("https://twitter.com/Flamingo_Lets","@Flamingo_Lets")</f>
        <v>@Flamingo_Lets</v>
      </c>
      <c r="C2048" s="14" t="s">
        <v>952</v>
      </c>
      <c r="D2048" s="15" t="s">
        <v>3445</v>
      </c>
      <c r="E2048" s="16" t="str">
        <f>HYPERLINK("http://twitter.com","Twitter Web Client")</f>
        <v>Twitter Web Client</v>
      </c>
      <c r="F2048" s="12">
        <v>43350.19321759259</v>
      </c>
      <c r="G2048" s="17" t="s">
        <v>171</v>
      </c>
      <c r="H2048" s="35" t="s">
        <v>72</v>
      </c>
      <c r="I2048" s="18" t="s">
        <v>954</v>
      </c>
    </row>
    <row r="2049" spans="1:9" s="31" customFormat="1" ht="90">
      <c r="A2049" s="12">
        <v>43571.060636574075</v>
      </c>
      <c r="B2049" s="13" t="str">
        <f>HYPERLINK("https://twitter.com/Flamingo_Lets","@Flamingo_Lets")</f>
        <v>@Flamingo_Lets</v>
      </c>
      <c r="C2049" s="14" t="s">
        <v>952</v>
      </c>
      <c r="D2049" s="15" t="s">
        <v>3871</v>
      </c>
      <c r="E2049" s="16" t="str">
        <f>HYPERLINK("http://twitter.com","Twitter Web Client")</f>
        <v>Twitter Web Client</v>
      </c>
      <c r="F2049" s="12">
        <v>43350.19321759259</v>
      </c>
      <c r="G2049" s="17" t="s">
        <v>171</v>
      </c>
      <c r="H2049" s="35" t="s">
        <v>72</v>
      </c>
      <c r="I2049" s="18" t="s">
        <v>954</v>
      </c>
    </row>
    <row r="2050" spans="1:9" s="31" customFormat="1" ht="45">
      <c r="A2050" s="12">
        <v>43570.854976851857</v>
      </c>
      <c r="B2050" s="13" t="str">
        <f>HYPERLINK("https://twitter.com/FurtherAfrica","@FurtherAfrica")</f>
        <v>@FurtherAfrica</v>
      </c>
      <c r="C2050" s="14" t="s">
        <v>3955</v>
      </c>
      <c r="D2050" s="15" t="s">
        <v>3956</v>
      </c>
      <c r="E2050" s="16" t="str">
        <f>HYPERLINK("http://publicize.wp.com/","WordPress.com")</f>
        <v>WordPress.com</v>
      </c>
      <c r="F2050" s="12">
        <v>42299.671666666662</v>
      </c>
      <c r="G2050" s="17" t="s">
        <v>171</v>
      </c>
      <c r="H2050" s="35" t="s">
        <v>72</v>
      </c>
      <c r="I2050" s="18" t="s">
        <v>3957</v>
      </c>
    </row>
    <row r="2051" spans="1:9" s="31" customFormat="1" ht="45">
      <c r="A2051" s="12">
        <v>43570.58865740741</v>
      </c>
      <c r="B2051" s="13" t="str">
        <f>HYPERLINK("https://twitter.com/Phil_O_Keefe","@Phil_O_Keefe")</f>
        <v>@Phil_O_Keefe</v>
      </c>
      <c r="C2051" s="14" t="s">
        <v>4038</v>
      </c>
      <c r="D2051" s="15" t="s">
        <v>4039</v>
      </c>
      <c r="E2051" s="16" t="str">
        <f>HYPERLINK("http://twitter.com/download/android","Twitter for Android")</f>
        <v>Twitter for Android</v>
      </c>
      <c r="F2051" s="12">
        <v>41172.667118055557</v>
      </c>
      <c r="G2051" s="17" t="s">
        <v>171</v>
      </c>
      <c r="H2051" s="35" t="s">
        <v>72</v>
      </c>
      <c r="I2051" s="18" t="s">
        <v>4040</v>
      </c>
    </row>
    <row r="2052" spans="1:9" s="31" customFormat="1" ht="75">
      <c r="A2052" s="12">
        <v>43570.375555555554</v>
      </c>
      <c r="B2052" s="13" t="str">
        <f>HYPERLINK("https://twitter.com/CEWComms","@CEWComms")</f>
        <v>@CEWComms</v>
      </c>
      <c r="C2052" s="14" t="s">
        <v>4200</v>
      </c>
      <c r="D2052" s="15" t="s">
        <v>4201</v>
      </c>
      <c r="E2052" s="16" t="str">
        <f>HYPERLINK("https://buffer.com","Buffer")</f>
        <v>Buffer</v>
      </c>
      <c r="F2052" s="12">
        <v>42704.325613425928</v>
      </c>
      <c r="G2052" s="17" t="s">
        <v>171</v>
      </c>
      <c r="H2052" s="35" t="s">
        <v>72</v>
      </c>
      <c r="I2052" s="18" t="s">
        <v>4202</v>
      </c>
    </row>
    <row r="2053" spans="1:9" s="31" customFormat="1" ht="45">
      <c r="A2053" s="12">
        <v>43570.274826388893</v>
      </c>
      <c r="B2053" s="13" t="str">
        <f>HYPERLINK("https://twitter.com/MadeDeals","@MadeDeals")</f>
        <v>@MadeDeals</v>
      </c>
      <c r="C2053" s="14" t="s">
        <v>4266</v>
      </c>
      <c r="D2053" s="15" t="s">
        <v>4267</v>
      </c>
      <c r="E2053" s="16" t="str">
        <f>HYPERLINK("http://twitter.com","Twitter Web Client")</f>
        <v>Twitter Web Client</v>
      </c>
      <c r="F2053" s="12">
        <v>42973.705925925926</v>
      </c>
      <c r="G2053" s="17" t="s">
        <v>171</v>
      </c>
      <c r="H2053" s="35" t="s">
        <v>72</v>
      </c>
      <c r="I2053" s="18" t="s">
        <v>4268</v>
      </c>
    </row>
    <row r="2054" spans="1:9" s="31" customFormat="1" ht="60">
      <c r="A2054" s="12">
        <v>43570.1875</v>
      </c>
      <c r="B2054" s="13" t="str">
        <f>HYPERLINK("https://twitter.com/Nestangel_UK","@Nestangel_UK")</f>
        <v>@Nestangel_UK</v>
      </c>
      <c r="C2054" s="14" t="s">
        <v>180</v>
      </c>
      <c r="D2054" s="15" t="s">
        <v>4302</v>
      </c>
      <c r="E2054" s="16" t="str">
        <f>HYPERLINK("https://about.twitter.com/products/tweetdeck","TweetDeck")</f>
        <v>TweetDeck</v>
      </c>
      <c r="F2054" s="12">
        <v>43481.18378472222</v>
      </c>
      <c r="G2054" s="17" t="s">
        <v>171</v>
      </c>
      <c r="H2054" s="35" t="s">
        <v>72</v>
      </c>
      <c r="I2054" s="18" t="s">
        <v>182</v>
      </c>
    </row>
    <row r="2055" spans="1:9" s="31" customFormat="1" ht="60">
      <c r="A2055" s="12">
        <v>43570.055219907408</v>
      </c>
      <c r="B2055" s="13" t="str">
        <f>HYPERLINK("https://twitter.com/Flamingo_Lets","@Flamingo_Lets")</f>
        <v>@Flamingo_Lets</v>
      </c>
      <c r="C2055" s="14" t="s">
        <v>952</v>
      </c>
      <c r="D2055" s="15" t="s">
        <v>4354</v>
      </c>
      <c r="E2055" s="16" t="str">
        <f>HYPERLINK("http://twitter.com","Twitter Web Client")</f>
        <v>Twitter Web Client</v>
      </c>
      <c r="F2055" s="12">
        <v>43350.19321759259</v>
      </c>
      <c r="G2055" s="17" t="s">
        <v>171</v>
      </c>
      <c r="H2055" s="35" t="s">
        <v>72</v>
      </c>
      <c r="I2055" s="18" t="s">
        <v>954</v>
      </c>
    </row>
    <row r="2056" spans="1:9" s="31" customFormat="1" ht="60">
      <c r="A2056" s="12">
        <v>43570.040648148148</v>
      </c>
      <c r="B2056" s="13" t="str">
        <f>HYPERLINK("https://twitter.com/KatieandDeanDo","@KatieandDeanDo")</f>
        <v>@KatieandDeanDo</v>
      </c>
      <c r="C2056" s="14" t="s">
        <v>4356</v>
      </c>
      <c r="D2056" s="15" t="s">
        <v>4357</v>
      </c>
      <c r="E2056" s="16" t="str">
        <f>HYPERLINK("http://twitter.com/download/iphone","Twitter for iPhone")</f>
        <v>Twitter for iPhone</v>
      </c>
      <c r="F2056" s="12">
        <v>43505.009594907402</v>
      </c>
      <c r="G2056" s="17" t="s">
        <v>171</v>
      </c>
      <c r="H2056" s="35" t="s">
        <v>72</v>
      </c>
      <c r="I2056" s="18" t="s">
        <v>4358</v>
      </c>
    </row>
    <row r="2057" spans="1:9" s="31" customFormat="1" ht="75">
      <c r="A2057" s="12">
        <v>43569.630995370375</v>
      </c>
      <c r="B2057" s="13" t="str">
        <f>HYPERLINK("https://twitter.com/TristanMcKenna8","@TristanMcKenna8")</f>
        <v>@TristanMcKenna8</v>
      </c>
      <c r="C2057" s="14" t="s">
        <v>4450</v>
      </c>
      <c r="D2057" s="15" t="s">
        <v>4451</v>
      </c>
      <c r="E2057" s="16" t="str">
        <f>HYPERLINK("http://twitter.com/download/iphone","Twitter for iPhone")</f>
        <v>Twitter for iPhone</v>
      </c>
      <c r="F2057" s="12">
        <v>43216.609085648146</v>
      </c>
      <c r="G2057" s="17" t="s">
        <v>171</v>
      </c>
      <c r="H2057" s="35" t="s">
        <v>72</v>
      </c>
      <c r="I2057" s="18" t="s">
        <v>4452</v>
      </c>
    </row>
    <row r="2058" spans="1:9" s="31" customFormat="1" ht="75">
      <c r="A2058" s="12">
        <v>43568.708078703705</v>
      </c>
      <c r="B2058" s="13" t="str">
        <f>HYPERLINK("https://twitter.com/olivier_UK","@olivier_UK")</f>
        <v>@olivier_UK</v>
      </c>
      <c r="C2058" s="14" t="s">
        <v>4665</v>
      </c>
      <c r="D2058" s="15" t="s">
        <v>4666</v>
      </c>
      <c r="E2058" s="16" t="str">
        <f>HYPERLINK("https://ifttt.com","IFTTT")</f>
        <v>IFTTT</v>
      </c>
      <c r="F2058" s="12">
        <v>39904.713946759257</v>
      </c>
      <c r="G2058" s="17" t="s">
        <v>171</v>
      </c>
      <c r="H2058" s="35" t="s">
        <v>72</v>
      </c>
      <c r="I2058" s="18" t="s">
        <v>4667</v>
      </c>
    </row>
    <row r="2059" spans="1:9" s="31" customFormat="1" ht="15">
      <c r="A2059" s="12">
        <v>43568.151863425926</v>
      </c>
      <c r="B2059" s="13" t="str">
        <f>HYPERLINK("https://twitter.com/hotelierhype","@hotelierhype")</f>
        <v>@hotelierhype</v>
      </c>
      <c r="C2059" s="14" t="s">
        <v>4858</v>
      </c>
      <c r="D2059" s="15" t="s">
        <v>4859</v>
      </c>
      <c r="E2059" s="16" t="str">
        <f>HYPERLINK("http://twitter.com","Twitter Web Client")</f>
        <v>Twitter Web Client</v>
      </c>
      <c r="F2059" s="12">
        <v>42826.103483796294</v>
      </c>
      <c r="G2059" s="17" t="s">
        <v>171</v>
      </c>
      <c r="H2059" s="35" t="s">
        <v>72</v>
      </c>
      <c r="I2059" s="18" t="s">
        <v>4860</v>
      </c>
    </row>
    <row r="2060" spans="1:9" s="31" customFormat="1" ht="120">
      <c r="A2060" s="12">
        <v>43568.102986111116</v>
      </c>
      <c r="B2060" s="13" t="str">
        <f>HYPERLINK("https://twitter.com/scribblestu","@scribblestu")</f>
        <v>@scribblestu</v>
      </c>
      <c r="C2060" s="14" t="s">
        <v>4873</v>
      </c>
      <c r="D2060" s="15" t="s">
        <v>4874</v>
      </c>
      <c r="E2060" s="16" t="str">
        <f>HYPERLINK("http://twitter.com/download/iphone","Twitter for iPhone")</f>
        <v>Twitter for iPhone</v>
      </c>
      <c r="F2060" s="12">
        <v>43060.16070601852</v>
      </c>
      <c r="G2060" s="17" t="s">
        <v>171</v>
      </c>
      <c r="H2060" s="35" t="s">
        <v>72</v>
      </c>
      <c r="I2060" s="18" t="s">
        <v>4875</v>
      </c>
    </row>
    <row r="2061" spans="1:9" s="31" customFormat="1" ht="90">
      <c r="A2061" s="12">
        <v>43568.027662037042</v>
      </c>
      <c r="B2061" s="13" t="str">
        <f>HYPERLINK("https://twitter.com/gjbrandon","@gjbrandon")</f>
        <v>@gjbrandon</v>
      </c>
      <c r="C2061" s="14" t="s">
        <v>4896</v>
      </c>
      <c r="D2061" s="15" t="s">
        <v>4897</v>
      </c>
      <c r="E2061" s="16" t="str">
        <f>HYPERLINK("http://twitter.com/download/android","Twitter for Android")</f>
        <v>Twitter for Android</v>
      </c>
      <c r="F2061" s="12">
        <v>40152.24083333333</v>
      </c>
      <c r="G2061" s="17" t="s">
        <v>171</v>
      </c>
      <c r="H2061" s="35" t="s">
        <v>72</v>
      </c>
      <c r="I2061" s="18" t="s">
        <v>4898</v>
      </c>
    </row>
    <row r="2062" spans="1:9" s="31" customFormat="1" ht="60">
      <c r="A2062" s="12">
        <v>43567.186261574076</v>
      </c>
      <c r="B2062" s="13" t="str">
        <f>HYPERLINK("https://twitter.com/Nestangel_UK","@Nestangel_UK")</f>
        <v>@Nestangel_UK</v>
      </c>
      <c r="C2062" s="14" t="s">
        <v>180</v>
      </c>
      <c r="D2062" s="15" t="s">
        <v>5216</v>
      </c>
      <c r="E2062" s="16" t="str">
        <f>HYPERLINK("http://twitter.com","Twitter Web Client")</f>
        <v>Twitter Web Client</v>
      </c>
      <c r="F2062" s="12">
        <v>43481.18378472222</v>
      </c>
      <c r="G2062" s="17" t="s">
        <v>171</v>
      </c>
      <c r="H2062" s="35" t="s">
        <v>72</v>
      </c>
      <c r="I2062" s="18" t="s">
        <v>182</v>
      </c>
    </row>
    <row r="2063" spans="1:9" s="31" customFormat="1" ht="90">
      <c r="A2063" s="12">
        <v>43566.381215277783</v>
      </c>
      <c r="B2063" s="13" t="str">
        <f>HYPERLINK("https://twitter.com/cobbyco","@cobbyco")</f>
        <v>@cobbyco</v>
      </c>
      <c r="C2063" s="14" t="s">
        <v>5583</v>
      </c>
      <c r="D2063" s="15" t="s">
        <v>5584</v>
      </c>
      <c r="E2063" s="16" t="str">
        <f>HYPERLINK("http://twitter.com/download/iphone","Twitter for iPhone")</f>
        <v>Twitter for iPhone</v>
      </c>
      <c r="F2063" s="12">
        <v>39718.428240740745</v>
      </c>
      <c r="G2063" s="17" t="s">
        <v>171</v>
      </c>
      <c r="H2063" s="35" t="s">
        <v>72</v>
      </c>
      <c r="I2063" s="18" t="s">
        <v>5585</v>
      </c>
    </row>
    <row r="2064" spans="1:9" s="31" customFormat="1" ht="105">
      <c r="A2064" s="12">
        <v>43566.296365740738</v>
      </c>
      <c r="B2064" s="13" t="str">
        <f>HYPERLINK("https://twitter.com/alex_limpert","@alex_limpert")</f>
        <v>@alex_limpert</v>
      </c>
      <c r="C2064" s="14" t="s">
        <v>5670</v>
      </c>
      <c r="D2064" s="15" t="s">
        <v>5671</v>
      </c>
      <c r="E2064" s="16" t="str">
        <f>HYPERLINK("http://twitter.com","Twitter Web Client")</f>
        <v>Twitter Web Client</v>
      </c>
      <c r="F2064" s="12">
        <v>41431.289942129632</v>
      </c>
      <c r="G2064" s="17" t="s">
        <v>171</v>
      </c>
      <c r="H2064" s="35" t="s">
        <v>72</v>
      </c>
      <c r="I2064" s="18" t="s">
        <v>5672</v>
      </c>
    </row>
    <row r="2065" spans="1:9" s="31" customFormat="1" ht="120">
      <c r="A2065" s="12">
        <v>43566.280624999999</v>
      </c>
      <c r="B2065" s="13" t="str">
        <f>HYPERLINK("https://twitter.com/happyguestco","@happyguestco")</f>
        <v>@happyguestco</v>
      </c>
      <c r="C2065" s="13" t="s">
        <v>5686</v>
      </c>
      <c r="D2065" s="15" t="s">
        <v>5687</v>
      </c>
      <c r="E2065" s="16" t="str">
        <f>HYPERLINK("https://www.later.com","LaterMedia")</f>
        <v>LaterMedia</v>
      </c>
      <c r="F2065" s="12">
        <v>42556.238032407404</v>
      </c>
      <c r="G2065" s="17" t="s">
        <v>171</v>
      </c>
      <c r="H2065" s="35" t="s">
        <v>72</v>
      </c>
      <c r="I2065" s="18" t="s">
        <v>5688</v>
      </c>
    </row>
    <row r="2066" spans="1:9" s="31" customFormat="1" ht="45">
      <c r="A2066" s="12">
        <v>43566.212685185186</v>
      </c>
      <c r="B2066" s="13" t="str">
        <f>HYPERLINK("https://twitter.com/Nestangel_UK","@Nestangel_UK")</f>
        <v>@Nestangel_UK</v>
      </c>
      <c r="C2066" s="14" t="s">
        <v>180</v>
      </c>
      <c r="D2066" s="15" t="s">
        <v>5724</v>
      </c>
      <c r="E2066" s="16" t="str">
        <f>HYPERLINK("http://twitter.com","Twitter Web Client")</f>
        <v>Twitter Web Client</v>
      </c>
      <c r="F2066" s="12">
        <v>43481.18378472222</v>
      </c>
      <c r="G2066" s="17" t="s">
        <v>171</v>
      </c>
      <c r="H2066" s="35" t="s">
        <v>72</v>
      </c>
      <c r="I2066" s="18" t="s">
        <v>182</v>
      </c>
    </row>
    <row r="2067" spans="1:9" s="31" customFormat="1" ht="45">
      <c r="A2067" s="12">
        <v>43566.203009259261</v>
      </c>
      <c r="B2067" s="13" t="str">
        <f>HYPERLINK("https://twitter.com/Rho_Day","@Rho_Day")</f>
        <v>@Rho_Day</v>
      </c>
      <c r="C2067" s="14" t="s">
        <v>5728</v>
      </c>
      <c r="D2067" s="15" t="s">
        <v>5729</v>
      </c>
      <c r="E2067" s="16" t="str">
        <f>HYPERLINK("http://twitter.com/download/iphone","Twitter for iPhone")</f>
        <v>Twitter for iPhone</v>
      </c>
      <c r="F2067" s="12">
        <v>41633.448564814811</v>
      </c>
      <c r="G2067" s="17" t="s">
        <v>171</v>
      </c>
      <c r="H2067" s="35" t="s">
        <v>72</v>
      </c>
      <c r="I2067" s="18" t="s">
        <v>5730</v>
      </c>
    </row>
    <row r="2068" spans="1:9" s="31" customFormat="1" ht="105">
      <c r="A2068" s="12">
        <v>43566.10087962963</v>
      </c>
      <c r="B2068" s="13" t="str">
        <f>HYPERLINK("https://twitter.com/csapogi","@csapogi")</f>
        <v>@csapogi</v>
      </c>
      <c r="C2068" s="14" t="s">
        <v>5792</v>
      </c>
      <c r="D2068" s="15" t="s">
        <v>5793</v>
      </c>
      <c r="E2068" s="16" t="str">
        <f>HYPERLINK("http://twitter.com","Twitter Web Client")</f>
        <v>Twitter Web Client</v>
      </c>
      <c r="F2068" s="12">
        <v>40654.093055555553</v>
      </c>
      <c r="G2068" s="17" t="s">
        <v>171</v>
      </c>
      <c r="H2068" s="35" t="s">
        <v>72</v>
      </c>
      <c r="I2068" s="18" t="s">
        <v>5794</v>
      </c>
    </row>
    <row r="2069" spans="1:9" s="31" customFormat="1" ht="105">
      <c r="A2069" s="12">
        <v>43566.097407407404</v>
      </c>
      <c r="B2069" s="13" t="str">
        <f>HYPERLINK("https://twitter.com/Flamingo_Lets","@Flamingo_Lets")</f>
        <v>@Flamingo_Lets</v>
      </c>
      <c r="C2069" s="14" t="s">
        <v>952</v>
      </c>
      <c r="D2069" s="15" t="s">
        <v>5798</v>
      </c>
      <c r="E2069" s="16" t="str">
        <f>HYPERLINK("http://twitter.com","Twitter Web Client")</f>
        <v>Twitter Web Client</v>
      </c>
      <c r="F2069" s="12">
        <v>43350.19321759259</v>
      </c>
      <c r="G2069" s="17" t="s">
        <v>171</v>
      </c>
      <c r="H2069" s="35" t="s">
        <v>72</v>
      </c>
      <c r="I2069" s="18" t="s">
        <v>954</v>
      </c>
    </row>
    <row r="2070" spans="1:9" s="31" customFormat="1" ht="60">
      <c r="A2070" s="12">
        <v>43566.0002662037</v>
      </c>
      <c r="B2070" s="13" t="str">
        <f>HYPERLINK("https://twitter.com/CEWComms","@CEWComms")</f>
        <v>@CEWComms</v>
      </c>
      <c r="C2070" s="14" t="s">
        <v>4200</v>
      </c>
      <c r="D2070" s="15" t="s">
        <v>5826</v>
      </c>
      <c r="E2070" s="16" t="str">
        <f>HYPERLINK("https://buffer.com","Buffer")</f>
        <v>Buffer</v>
      </c>
      <c r="F2070" s="12">
        <v>42704.325613425928</v>
      </c>
      <c r="G2070" s="17" t="s">
        <v>171</v>
      </c>
      <c r="H2070" s="35" t="s">
        <v>72</v>
      </c>
      <c r="I2070" s="18" t="s">
        <v>4202</v>
      </c>
    </row>
    <row r="2071" spans="1:9" s="31" customFormat="1" ht="105">
      <c r="A2071" s="12">
        <v>43565.177083333328</v>
      </c>
      <c r="B2071" s="13" t="str">
        <f>HYPERLINK("https://twitter.com/Nestangel_UK","@Nestangel_UK")</f>
        <v>@Nestangel_UK</v>
      </c>
      <c r="C2071" s="14" t="s">
        <v>180</v>
      </c>
      <c r="D2071" s="15" t="s">
        <v>6257</v>
      </c>
      <c r="E2071" s="16" t="str">
        <f>HYPERLINK("https://about.twitter.com/products/tweetdeck","TweetDeck")</f>
        <v>TweetDeck</v>
      </c>
      <c r="F2071" s="12">
        <v>43481.18378472222</v>
      </c>
      <c r="G2071" s="17" t="s">
        <v>171</v>
      </c>
      <c r="H2071" s="35" t="s">
        <v>72</v>
      </c>
      <c r="I2071" s="18" t="s">
        <v>182</v>
      </c>
    </row>
    <row r="2072" spans="1:9" s="31" customFormat="1" ht="90">
      <c r="A2072" s="19">
        <v>43550.156412037039</v>
      </c>
      <c r="B2072" s="20" t="str">
        <f>HYPERLINK("https://twitter.com/TravelsTropical","@TravelsTropical")</f>
        <v>@TravelsTropical</v>
      </c>
      <c r="C2072" s="21" t="s">
        <v>7810</v>
      </c>
      <c r="D2072" s="22" t="s">
        <v>7811</v>
      </c>
      <c r="E2072" s="23" t="str">
        <f>HYPERLINK("http://twitter.com/download/android","Twitter for Android")</f>
        <v>Twitter for Android</v>
      </c>
      <c r="F2072" s="19">
        <v>43461.747164351851</v>
      </c>
      <c r="G2072" s="17" t="s">
        <v>171</v>
      </c>
      <c r="H2072" s="35" t="s">
        <v>7812</v>
      </c>
      <c r="I2072" s="25" t="s">
        <v>7813</v>
      </c>
    </row>
    <row r="2073" spans="1:9" s="31" customFormat="1" ht="105">
      <c r="A2073" s="12">
        <v>43574.166180555556</v>
      </c>
      <c r="B2073" s="13" t="str">
        <f>HYPERLINK("https://twitter.com/mORGANICo_cOM","@mORGANICo_cOM")</f>
        <v>@mORGANICo_cOM</v>
      </c>
      <c r="C2073" s="14" t="s">
        <v>2658</v>
      </c>
      <c r="D2073" s="15" t="s">
        <v>2659</v>
      </c>
      <c r="E2073" s="16" t="str">
        <f>HYPERLINK("http://twitter.com/download/iphone","Twitter for iPhone")</f>
        <v>Twitter for iPhone</v>
      </c>
      <c r="F2073" s="12">
        <v>39870.314872685187</v>
      </c>
      <c r="G2073" s="17" t="s">
        <v>171</v>
      </c>
      <c r="H2073" s="35" t="s">
        <v>2660</v>
      </c>
      <c r="I2073" s="18" t="s">
        <v>2661</v>
      </c>
    </row>
    <row r="2074" spans="1:9" s="31" customFormat="1" ht="45">
      <c r="A2074" s="4">
        <v>43560.604444444441</v>
      </c>
      <c r="B2074" s="5" t="str">
        <f>HYPERLINK("https://twitter.com/ianbeckett","@ianbeckett")</f>
        <v>@ianbeckett</v>
      </c>
      <c r="C2074" s="6" t="s">
        <v>2296</v>
      </c>
      <c r="D2074" s="7" t="s">
        <v>11257</v>
      </c>
      <c r="E2074" s="8" t="str">
        <f>HYPERLINK("https://about.twitter.com/products/tweetdeck","TweetDeck")</f>
        <v>TweetDeck</v>
      </c>
      <c r="F2074" s="4">
        <v>39563.702685185184</v>
      </c>
      <c r="G2074" s="17" t="s">
        <v>171</v>
      </c>
      <c r="H2074" s="35" t="s">
        <v>2298</v>
      </c>
      <c r="I2074" s="10" t="s">
        <v>2299</v>
      </c>
    </row>
    <row r="2075" spans="1:9" s="31" customFormat="1" ht="60">
      <c r="A2075" s="12">
        <v>43575.322534722218</v>
      </c>
      <c r="B2075" s="13" t="str">
        <f>HYPERLINK("https://twitter.com/ianbeckett","@ianbeckett")</f>
        <v>@ianbeckett</v>
      </c>
      <c r="C2075" s="14" t="s">
        <v>2296</v>
      </c>
      <c r="D2075" s="15" t="s">
        <v>2297</v>
      </c>
      <c r="E2075" s="16" t="str">
        <f>HYPERLINK("http://tapbots.com/tweetbot","Tweetbot for iΟS")</f>
        <v>Tweetbot for iΟS</v>
      </c>
      <c r="F2075" s="12">
        <v>39563.702685185184</v>
      </c>
      <c r="G2075" s="17" t="s">
        <v>171</v>
      </c>
      <c r="H2075" s="35" t="s">
        <v>2298</v>
      </c>
      <c r="I2075" s="18" t="s">
        <v>2299</v>
      </c>
    </row>
    <row r="2076" spans="1:9" s="31" customFormat="1" ht="45">
      <c r="A2076" s="12">
        <v>43570.097291666665</v>
      </c>
      <c r="B2076" s="13" t="str">
        <f>HYPERLINK("https://twitter.com/TheLancetOncol","@TheLancetOncol")</f>
        <v>@TheLancetOncol</v>
      </c>
      <c r="C2076" s="14" t="s">
        <v>4334</v>
      </c>
      <c r="D2076" s="15" t="s">
        <v>4335</v>
      </c>
      <c r="E2076" s="16" t="str">
        <f>HYPERLINK("https://www.hootsuite.com","Hootsuite Inc.")</f>
        <v>Hootsuite Inc.</v>
      </c>
      <c r="F2076" s="12">
        <v>39988.119803240741</v>
      </c>
      <c r="G2076" s="17" t="s">
        <v>171</v>
      </c>
      <c r="H2076" s="35" t="s">
        <v>4336</v>
      </c>
      <c r="I2076" s="18" t="s">
        <v>4337</v>
      </c>
    </row>
    <row r="2077" spans="1:9" s="31" customFormat="1" ht="75">
      <c r="A2077" s="4">
        <v>43559.389791666668</v>
      </c>
      <c r="B2077" s="5" t="str">
        <f>HYPERLINK("https://twitter.com/siemenshometeam","@siemenshometeam")</f>
        <v>@siemenshometeam</v>
      </c>
      <c r="C2077" s="6" t="s">
        <v>11853</v>
      </c>
      <c r="D2077" s="7" t="s">
        <v>11854</v>
      </c>
      <c r="E2077" s="8" t="str">
        <f>HYPERLINK("http://instagram.com","Instagram")</f>
        <v>Instagram</v>
      </c>
      <c r="F2077" s="4">
        <v>42239.377962962964</v>
      </c>
      <c r="G2077" s="17" t="s">
        <v>171</v>
      </c>
      <c r="H2077" s="35" t="s">
        <v>11855</v>
      </c>
      <c r="I2077" s="10" t="s">
        <v>11856</v>
      </c>
    </row>
    <row r="2078" spans="1:9" s="31" customFormat="1" ht="60">
      <c r="A2078" s="12">
        <v>43579.042766203704</v>
      </c>
      <c r="B2078" s="13" t="str">
        <f>HYPERLINK("https://twitter.com/AnabodeApp","@AnabodeApp")</f>
        <v>@AnabodeApp</v>
      </c>
      <c r="C2078" s="14" t="s">
        <v>956</v>
      </c>
      <c r="D2078" s="15" t="s">
        <v>957</v>
      </c>
      <c r="E2078" s="16" t="str">
        <f>HYPERLINK("http://twitter.com","Twitter Web Client")</f>
        <v>Twitter Web Client</v>
      </c>
      <c r="F2078" s="12">
        <v>42562.284918981481</v>
      </c>
      <c r="G2078" s="17" t="s">
        <v>171</v>
      </c>
      <c r="H2078" s="35" t="s">
        <v>958</v>
      </c>
      <c r="I2078" s="18" t="s">
        <v>959</v>
      </c>
    </row>
    <row r="2079" spans="1:9" s="31" customFormat="1" ht="90">
      <c r="A2079" s="19">
        <v>43551.208761574075</v>
      </c>
      <c r="B2079" s="20" t="str">
        <f>HYPERLINK("https://twitter.com/GUARDHOG","@GUARDHOG")</f>
        <v>@GUARDHOG</v>
      </c>
      <c r="C2079" s="21" t="s">
        <v>6299</v>
      </c>
      <c r="D2079" s="22" t="s">
        <v>7397</v>
      </c>
      <c r="E2079" s="23" t="str">
        <f>HYPERLINK("https://www.hootsuite.com","Hootsuite Inc.")</f>
        <v>Hootsuite Inc.</v>
      </c>
      <c r="F2079" s="19">
        <v>42529.102314814816</v>
      </c>
      <c r="G2079" s="17" t="s">
        <v>171</v>
      </c>
      <c r="H2079" s="35" t="s">
        <v>921</v>
      </c>
      <c r="I2079" s="25" t="s">
        <v>6301</v>
      </c>
    </row>
    <row r="2080" spans="1:9" s="31" customFormat="1" ht="90">
      <c r="A2080" s="19">
        <v>43549.118055555555</v>
      </c>
      <c r="B2080" s="20" t="str">
        <f>HYPERLINK("https://twitter.com/Furl_Home","@Furl_Home")</f>
        <v>@Furl_Home</v>
      </c>
      <c r="C2080" s="21" t="s">
        <v>8161</v>
      </c>
      <c r="D2080" s="22" t="s">
        <v>8162</v>
      </c>
      <c r="E2080" s="23" t="str">
        <f>HYPERLINK("https://buffer.com","Buffer")</f>
        <v>Buffer</v>
      </c>
      <c r="F2080" s="19">
        <v>39924.013206018521</v>
      </c>
      <c r="G2080" s="17" t="s">
        <v>171</v>
      </c>
      <c r="H2080" s="35" t="s">
        <v>921</v>
      </c>
      <c r="I2080" s="25" t="s">
        <v>8163</v>
      </c>
    </row>
    <row r="2081" spans="1:9" s="31" customFormat="1" ht="105">
      <c r="A2081" s="4">
        <v>43565.08258101852</v>
      </c>
      <c r="B2081" s="5" t="str">
        <f>HYPERLINK("https://twitter.com/GUARDHOG","@GUARDHOG")</f>
        <v>@GUARDHOG</v>
      </c>
      <c r="C2081" s="6" t="s">
        <v>6299</v>
      </c>
      <c r="D2081" s="7" t="s">
        <v>6300</v>
      </c>
      <c r="E2081" s="8" t="str">
        <f>HYPERLINK("http://twitter.com","Twitter Web Client")</f>
        <v>Twitter Web Client</v>
      </c>
      <c r="F2081" s="4">
        <v>42529.102314814816</v>
      </c>
      <c r="G2081" s="17" t="s">
        <v>171</v>
      </c>
      <c r="H2081" s="35" t="s">
        <v>921</v>
      </c>
      <c r="I2081" s="10" t="s">
        <v>6301</v>
      </c>
    </row>
    <row r="2082" spans="1:9" s="31" customFormat="1" ht="75">
      <c r="A2082" s="4">
        <v>43560.010416666672</v>
      </c>
      <c r="B2082" s="5" t="str">
        <f>HYPERLINK("https://twitter.com/PortlandDesign","@PortlandDesign")</f>
        <v>@PortlandDesign</v>
      </c>
      <c r="C2082" s="6" t="s">
        <v>11637</v>
      </c>
      <c r="D2082" s="7" t="s">
        <v>11638</v>
      </c>
      <c r="E2082" s="8" t="str">
        <f>HYPERLINK("https://about.twitter.com/products/tweetdeck","TweetDeck")</f>
        <v>TweetDeck</v>
      </c>
      <c r="F2082" s="4">
        <v>40198.280474537038</v>
      </c>
      <c r="G2082" s="17" t="s">
        <v>171</v>
      </c>
      <c r="H2082" s="35" t="s">
        <v>921</v>
      </c>
      <c r="I2082" s="10" t="s">
        <v>11639</v>
      </c>
    </row>
    <row r="2083" spans="1:9" s="31" customFormat="1" ht="45">
      <c r="A2083" s="4">
        <v>43559.034814814819</v>
      </c>
      <c r="B2083" s="5" t="str">
        <f>HYPERLINK("https://twitter.com/rkleiner_GE","@rkleiner_GE")</f>
        <v>@rkleiner_GE</v>
      </c>
      <c r="C2083" s="6" t="s">
        <v>11966</v>
      </c>
      <c r="D2083" s="7" t="s">
        <v>11967</v>
      </c>
      <c r="E2083" s="8" t="str">
        <f>HYPERLINK("https://www.hootsuite.com","Hootsuite Inc.")</f>
        <v>Hootsuite Inc.</v>
      </c>
      <c r="F2083" s="4">
        <v>40770.238530092596</v>
      </c>
      <c r="G2083" s="17" t="s">
        <v>171</v>
      </c>
      <c r="H2083" s="35" t="s">
        <v>921</v>
      </c>
      <c r="I2083" s="10" t="s">
        <v>11968</v>
      </c>
    </row>
    <row r="2084" spans="1:9" s="31" customFormat="1" ht="45">
      <c r="A2084" s="4">
        <v>43558.209039351852</v>
      </c>
      <c r="B2084" s="5" t="str">
        <f>HYPERLINK("https://twitter.com/StylistMagazine","@StylistMagazine")</f>
        <v>@StylistMagazine</v>
      </c>
      <c r="C2084" s="6" t="s">
        <v>12278</v>
      </c>
      <c r="D2084" s="7" t="s">
        <v>12279</v>
      </c>
      <c r="E2084" s="8" t="str">
        <f>HYPERLINK("https://buffer.com","Buffer")</f>
        <v>Buffer</v>
      </c>
      <c r="F2084" s="4">
        <v>40000.268969907411</v>
      </c>
      <c r="G2084" s="17" t="s">
        <v>171</v>
      </c>
      <c r="H2084" s="35" t="s">
        <v>921</v>
      </c>
      <c r="I2084" s="10" t="s">
        <v>12280</v>
      </c>
    </row>
    <row r="2085" spans="1:9" s="31" customFormat="1" ht="45">
      <c r="A2085" s="4">
        <v>43558.175706018519</v>
      </c>
      <c r="B2085" s="5" t="str">
        <f>HYPERLINK("https://twitter.com/StylistMagazine","@StylistMagazine")</f>
        <v>@StylistMagazine</v>
      </c>
      <c r="C2085" s="6" t="s">
        <v>12278</v>
      </c>
      <c r="D2085" s="7" t="s">
        <v>12301</v>
      </c>
      <c r="E2085" s="8" t="str">
        <f>HYPERLINK("https://buffer.com","Buffer")</f>
        <v>Buffer</v>
      </c>
      <c r="F2085" s="4">
        <v>40000.268969907411</v>
      </c>
      <c r="G2085" s="17" t="s">
        <v>171</v>
      </c>
      <c r="H2085" s="35" t="s">
        <v>921</v>
      </c>
      <c r="I2085" s="10" t="s">
        <v>12280</v>
      </c>
    </row>
    <row r="2086" spans="1:9" s="31" customFormat="1" ht="45">
      <c r="A2086" s="4">
        <v>43558.005300925928</v>
      </c>
      <c r="B2086" s="5" t="str">
        <f>HYPERLINK("https://twitter.com/StylistMagazine","@StylistMagazine")</f>
        <v>@StylistMagazine</v>
      </c>
      <c r="C2086" s="6" t="s">
        <v>12278</v>
      </c>
      <c r="D2086" s="7" t="s">
        <v>12346</v>
      </c>
      <c r="E2086" s="8" t="str">
        <f>HYPERLINK("https://buffer.com","Buffer")</f>
        <v>Buffer</v>
      </c>
      <c r="F2086" s="4">
        <v>40000.268969907411</v>
      </c>
      <c r="G2086" s="17" t="s">
        <v>171</v>
      </c>
      <c r="H2086" s="35" t="s">
        <v>921</v>
      </c>
      <c r="I2086" s="10" t="s">
        <v>12280</v>
      </c>
    </row>
    <row r="2087" spans="1:9" s="31" customFormat="1" ht="105">
      <c r="A2087" s="4">
        <v>43557.083437499998</v>
      </c>
      <c r="B2087" s="5" t="str">
        <f>HYPERLINK("https://twitter.com/GUARDHOG","@GUARDHOG")</f>
        <v>@GUARDHOG</v>
      </c>
      <c r="C2087" s="6" t="s">
        <v>6299</v>
      </c>
      <c r="D2087" s="7" t="s">
        <v>12656</v>
      </c>
      <c r="E2087" s="8" t="str">
        <f>HYPERLINK("https://www.hootsuite.com","Hootsuite Inc.")</f>
        <v>Hootsuite Inc.</v>
      </c>
      <c r="F2087" s="4">
        <v>42529.102314814816</v>
      </c>
      <c r="G2087" s="17" t="s">
        <v>171</v>
      </c>
      <c r="H2087" s="35" t="s">
        <v>921</v>
      </c>
      <c r="I2087" s="10" t="s">
        <v>6301</v>
      </c>
    </row>
    <row r="2088" spans="1:9" s="31" customFormat="1" ht="75">
      <c r="A2088" s="12">
        <v>43579.12195601852</v>
      </c>
      <c r="B2088" s="13" t="str">
        <f>HYPERLINK("https://twitter.com/123reg","@123reg")</f>
        <v>@123reg</v>
      </c>
      <c r="C2088" s="14" t="s">
        <v>919</v>
      </c>
      <c r="D2088" s="15" t="s">
        <v>920</v>
      </c>
      <c r="E2088" s="16" t="str">
        <f>HYPERLINK("http://twitter.com","Twitter Web Client")</f>
        <v>Twitter Web Client</v>
      </c>
      <c r="F2088" s="12">
        <v>39828.090729166666</v>
      </c>
      <c r="G2088" s="17" t="s">
        <v>171</v>
      </c>
      <c r="H2088" s="35" t="s">
        <v>921</v>
      </c>
      <c r="I2088" s="18" t="s">
        <v>922</v>
      </c>
    </row>
    <row r="2089" spans="1:9" s="31" customFormat="1" ht="60">
      <c r="A2089" s="12">
        <v>43573.366770833338</v>
      </c>
      <c r="B2089" s="13" t="str">
        <f>HYPERLINK("https://twitter.com/InlinePolicy","@InlinePolicy")</f>
        <v>@InlinePolicy</v>
      </c>
      <c r="C2089" s="14" t="s">
        <v>2917</v>
      </c>
      <c r="D2089" s="15" t="s">
        <v>2918</v>
      </c>
      <c r="E2089" s="16" t="str">
        <f>HYPERLINK("http://www.hubspot.com/","HubSpot")</f>
        <v>HubSpot</v>
      </c>
      <c r="F2089" s="12">
        <v>41722.370486111111</v>
      </c>
      <c r="G2089" s="17" t="s">
        <v>171</v>
      </c>
      <c r="H2089" s="35" t="s">
        <v>921</v>
      </c>
      <c r="I2089" s="18" t="s">
        <v>2919</v>
      </c>
    </row>
    <row r="2090" spans="1:9" s="31" customFormat="1" ht="45">
      <c r="A2090" s="12">
        <v>43569.534039351856</v>
      </c>
      <c r="B2090" s="13" t="str">
        <f>HYPERLINK("https://twitter.com/kingdomOFdress","@kingdomOFdress")</f>
        <v>@kingdomOFdress</v>
      </c>
      <c r="C2090" s="14" t="s">
        <v>4488</v>
      </c>
      <c r="D2090" s="15" t="s">
        <v>4489</v>
      </c>
      <c r="E2090" s="16" t="str">
        <f>HYPERLINK("https://buffer.com","Buffer")</f>
        <v>Buffer</v>
      </c>
      <c r="F2090" s="12">
        <v>41693.367025462961</v>
      </c>
      <c r="G2090" s="17" t="s">
        <v>171</v>
      </c>
      <c r="H2090" s="35" t="s">
        <v>921</v>
      </c>
      <c r="I2090" s="18" t="s">
        <v>4490</v>
      </c>
    </row>
    <row r="2091" spans="1:9" s="31" customFormat="1" ht="60">
      <c r="A2091" s="12">
        <v>43569.408229166671</v>
      </c>
      <c r="B2091" s="13" t="str">
        <f>HYPERLINK("https://twitter.com/ClareGillbanks","@ClareGillbanks")</f>
        <v>@ClareGillbanks</v>
      </c>
      <c r="C2091" s="14" t="s">
        <v>4515</v>
      </c>
      <c r="D2091" s="15" t="s">
        <v>4516</v>
      </c>
      <c r="E2091" s="16" t="str">
        <f>HYPERLINK("http://www.linkedin.com/","LinkedIn")</f>
        <v>LinkedIn</v>
      </c>
      <c r="F2091" s="12">
        <v>39693.26153935185</v>
      </c>
      <c r="G2091" s="17" t="s">
        <v>171</v>
      </c>
      <c r="H2091" s="35" t="s">
        <v>921</v>
      </c>
      <c r="I2091" s="18" t="s">
        <v>4517</v>
      </c>
    </row>
    <row r="2092" spans="1:9" s="31" customFormat="1" ht="45">
      <c r="A2092" s="19">
        <v>43547.067407407405</v>
      </c>
      <c r="B2092" s="20" t="str">
        <f>HYPERLINK("https://twitter.com/ThegoldenmoonC","@ThegoldenmoonC")</f>
        <v>@ThegoldenmoonC</v>
      </c>
      <c r="C2092" s="20" t="s">
        <v>1382</v>
      </c>
      <c r="D2092" s="22" t="s">
        <v>8659</v>
      </c>
      <c r="E2092" s="23" t="str">
        <f>HYPERLINK("http://www.facebook.com/twitter","Facebook")</f>
        <v>Facebook</v>
      </c>
      <c r="F2092" s="19">
        <v>42586.033703703702</v>
      </c>
      <c r="G2092" s="17" t="s">
        <v>171</v>
      </c>
      <c r="H2092" s="35" t="s">
        <v>272</v>
      </c>
      <c r="I2092" s="25" t="s">
        <v>1384</v>
      </c>
    </row>
    <row r="2093" spans="1:9" s="31" customFormat="1" ht="45">
      <c r="A2093" s="4">
        <v>43565.545844907407</v>
      </c>
      <c r="B2093" s="5" t="str">
        <f>HYPERLINK("https://twitter.com/iamgedster","@iamgedster")</f>
        <v>@iamgedster</v>
      </c>
      <c r="C2093" s="6" t="s">
        <v>6032</v>
      </c>
      <c r="D2093" s="7" t="s">
        <v>6033</v>
      </c>
      <c r="E2093" s="8" t="str">
        <f>HYPERLINK("https://buffer.com","Buffer")</f>
        <v>Buffer</v>
      </c>
      <c r="F2093" s="4">
        <v>40939.322083333333</v>
      </c>
      <c r="G2093" s="17" t="s">
        <v>171</v>
      </c>
      <c r="H2093" s="35" t="s">
        <v>272</v>
      </c>
      <c r="I2093" s="10" t="s">
        <v>6034</v>
      </c>
    </row>
    <row r="2094" spans="1:9" s="31" customFormat="1" ht="120">
      <c r="A2094" s="4">
        <v>43564.111574074079</v>
      </c>
      <c r="B2094" s="5" t="str">
        <f>HYPERLINK("https://twitter.com/ThegoldenmoonC","@ThegoldenmoonC")</f>
        <v>@ThegoldenmoonC</v>
      </c>
      <c r="C2094" s="5" t="s">
        <v>1382</v>
      </c>
      <c r="D2094" s="7" t="s">
        <v>6780</v>
      </c>
      <c r="E2094" s="8" t="str">
        <f>HYPERLINK("http://twitter.com","Twitter Web Client")</f>
        <v>Twitter Web Client</v>
      </c>
      <c r="F2094" s="4">
        <v>42586.033703703702</v>
      </c>
      <c r="G2094" s="17" t="s">
        <v>171</v>
      </c>
      <c r="H2094" s="35" t="s">
        <v>272</v>
      </c>
      <c r="I2094" s="10" t="s">
        <v>1384</v>
      </c>
    </row>
    <row r="2095" spans="1:9" s="31" customFormat="1" ht="45">
      <c r="A2095" s="4">
        <v>43564.048981481479</v>
      </c>
      <c r="B2095" s="5" t="str">
        <f>HYPERLINK("https://twitter.com/LA_Today","@LA_Today")</f>
        <v>@LA_Today</v>
      </c>
      <c r="C2095" s="6" t="s">
        <v>6800</v>
      </c>
      <c r="D2095" s="7" t="s">
        <v>6801</v>
      </c>
      <c r="E2095" s="8" t="str">
        <f>HYPERLINK("https://www.hootsuite.com","Hootsuite Inc.")</f>
        <v>Hootsuite Inc.</v>
      </c>
      <c r="F2095" s="4">
        <v>40617.105185185181</v>
      </c>
      <c r="G2095" s="17" t="s">
        <v>171</v>
      </c>
      <c r="H2095" s="35" t="s">
        <v>272</v>
      </c>
      <c r="I2095" s="10" t="s">
        <v>6802</v>
      </c>
    </row>
    <row r="2096" spans="1:9" s="31" customFormat="1" ht="90">
      <c r="A2096" s="4">
        <v>43559.12128472222</v>
      </c>
      <c r="B2096" s="5" t="str">
        <f>HYPERLINK("https://twitter.com/ThegoldenmoonC","@ThegoldenmoonC")</f>
        <v>@ThegoldenmoonC</v>
      </c>
      <c r="C2096" s="5" t="s">
        <v>1382</v>
      </c>
      <c r="D2096" s="7" t="s">
        <v>11939</v>
      </c>
      <c r="E2096" s="8" t="str">
        <f>HYPERLINK("http://twitter.com","Twitter Web Client")</f>
        <v>Twitter Web Client</v>
      </c>
      <c r="F2096" s="4">
        <v>42586.033703703702</v>
      </c>
      <c r="G2096" s="17" t="s">
        <v>171</v>
      </c>
      <c r="H2096" s="35" t="s">
        <v>272</v>
      </c>
      <c r="I2096" s="10" t="s">
        <v>1384</v>
      </c>
    </row>
    <row r="2097" spans="1:9" s="31" customFormat="1" ht="105">
      <c r="A2097" s="4">
        <v>43557.366099537037</v>
      </c>
      <c r="B2097" s="5" t="str">
        <f>HYPERLINK("https://twitter.com/ThegoldenmoonC","@ThegoldenmoonC")</f>
        <v>@ThegoldenmoonC</v>
      </c>
      <c r="C2097" s="5" t="s">
        <v>1382</v>
      </c>
      <c r="D2097" s="7" t="s">
        <v>12541</v>
      </c>
      <c r="E2097" s="8" t="str">
        <f>HYPERLINK("http://twitter.com","Twitter Web Client")</f>
        <v>Twitter Web Client</v>
      </c>
      <c r="F2097" s="4">
        <v>42586.033703703702</v>
      </c>
      <c r="G2097" s="17" t="s">
        <v>171</v>
      </c>
      <c r="H2097" s="35" t="s">
        <v>272</v>
      </c>
      <c r="I2097" s="10" t="s">
        <v>1384</v>
      </c>
    </row>
    <row r="2098" spans="1:9" s="31" customFormat="1" ht="75">
      <c r="A2098" s="12">
        <v>43580.116840277777</v>
      </c>
      <c r="B2098" s="13" t="str">
        <f>HYPERLINK("https://twitter.com/invstreams","@invstreams")</f>
        <v>@invstreams</v>
      </c>
      <c r="C2098" s="14" t="s">
        <v>270</v>
      </c>
      <c r="D2098" s="15" t="s">
        <v>271</v>
      </c>
      <c r="E2098" s="16" t="str">
        <f>HYPERLINK("https://sproutsocial.com","Sprout Social")</f>
        <v>Sprout Social</v>
      </c>
      <c r="F2098" s="12">
        <v>41486.281134259261</v>
      </c>
      <c r="G2098" s="17" t="s">
        <v>171</v>
      </c>
      <c r="H2098" s="35" t="s">
        <v>272</v>
      </c>
      <c r="I2098" s="18" t="s">
        <v>273</v>
      </c>
    </row>
    <row r="2099" spans="1:9" s="31" customFormat="1" ht="105">
      <c r="A2099" s="12">
        <v>43578.1328125</v>
      </c>
      <c r="B2099" s="13" t="str">
        <f>HYPERLINK("https://twitter.com/ThegoldenmoonC","@ThegoldenmoonC")</f>
        <v>@ThegoldenmoonC</v>
      </c>
      <c r="C2099" s="13" t="s">
        <v>1382</v>
      </c>
      <c r="D2099" s="15" t="s">
        <v>1383</v>
      </c>
      <c r="E2099" s="16" t="str">
        <f>HYPERLINK("http://www.facebook.com/twitter","Facebook")</f>
        <v>Facebook</v>
      </c>
      <c r="F2099" s="12">
        <v>42586.033703703702</v>
      </c>
      <c r="G2099" s="17" t="s">
        <v>171</v>
      </c>
      <c r="H2099" s="35" t="s">
        <v>272</v>
      </c>
      <c r="I2099" s="18" t="s">
        <v>1384</v>
      </c>
    </row>
    <row r="2100" spans="1:9" s="31" customFormat="1" ht="120">
      <c r="A2100" s="12">
        <v>43578.116076388891</v>
      </c>
      <c r="B2100" s="13" t="str">
        <f>HYPERLINK("https://twitter.com/ThegoldenmoonC","@ThegoldenmoonC")</f>
        <v>@ThegoldenmoonC</v>
      </c>
      <c r="C2100" s="13" t="s">
        <v>1382</v>
      </c>
      <c r="D2100" s="15" t="s">
        <v>1394</v>
      </c>
      <c r="E2100" s="16" t="str">
        <f>HYPERLINK("http://twitter.com","Twitter Web Client")</f>
        <v>Twitter Web Client</v>
      </c>
      <c r="F2100" s="12">
        <v>42586.033703703702</v>
      </c>
      <c r="G2100" s="17" t="s">
        <v>171</v>
      </c>
      <c r="H2100" s="35" t="s">
        <v>272</v>
      </c>
      <c r="I2100" s="18" t="s">
        <v>1384</v>
      </c>
    </row>
    <row r="2101" spans="1:9" s="31" customFormat="1" ht="105">
      <c r="A2101" s="12">
        <v>43575.837141203709</v>
      </c>
      <c r="B2101" s="13" t="str">
        <f>HYPERLINK("https://twitter.com/gfmio","@gfmio")</f>
        <v>@gfmio</v>
      </c>
      <c r="C2101" s="14" t="s">
        <v>2108</v>
      </c>
      <c r="D2101" s="15" t="s">
        <v>2109</v>
      </c>
      <c r="E2101" s="16" t="str">
        <f>HYPERLINK("http://twitter.com/download/iphone","Twitter for iPhone")</f>
        <v>Twitter for iPhone</v>
      </c>
      <c r="F2101" s="12">
        <v>41095.095289351855</v>
      </c>
      <c r="G2101" s="17" t="s">
        <v>171</v>
      </c>
      <c r="H2101" s="35" t="s">
        <v>272</v>
      </c>
      <c r="I2101" s="18" t="s">
        <v>2110</v>
      </c>
    </row>
    <row r="2102" spans="1:9" s="31" customFormat="1" ht="45">
      <c r="A2102" s="12">
        <v>43572.092766203699</v>
      </c>
      <c r="B2102" s="13" t="str">
        <f>HYPERLINK("https://twitter.com/investortoday","@investortoday")</f>
        <v>@investortoday</v>
      </c>
      <c r="C2102" s="14" t="s">
        <v>3433</v>
      </c>
      <c r="D2102" s="15" t="s">
        <v>3434</v>
      </c>
      <c r="E2102" s="16" t="str">
        <f>HYPERLINK("https://www.hootsuite.com","Hootsuite Inc.")</f>
        <v>Hootsuite Inc.</v>
      </c>
      <c r="F2102" s="12">
        <v>39993.384456018517</v>
      </c>
      <c r="G2102" s="17" t="s">
        <v>171</v>
      </c>
      <c r="H2102" s="35" t="s">
        <v>272</v>
      </c>
      <c r="I2102" s="18" t="s">
        <v>3435</v>
      </c>
    </row>
    <row r="2103" spans="1:9" s="31" customFormat="1" ht="75">
      <c r="A2103" s="12">
        <v>43571.593877314815</v>
      </c>
      <c r="B2103" s="13" t="str">
        <f>HYPERLINK("https://twitter.com/alparask","@alparask")</f>
        <v>@alparask</v>
      </c>
      <c r="C2103" s="14" t="s">
        <v>3628</v>
      </c>
      <c r="D2103" s="15" t="s">
        <v>3629</v>
      </c>
      <c r="E2103" s="16" t="str">
        <f>HYPERLINK("http://twitter.com/download/android","Twitter for Android")</f>
        <v>Twitter for Android</v>
      </c>
      <c r="F2103" s="12">
        <v>40227.646782407406</v>
      </c>
      <c r="G2103" s="17" t="s">
        <v>171</v>
      </c>
      <c r="H2103" s="35" t="s">
        <v>272</v>
      </c>
      <c r="I2103" s="18" t="s">
        <v>3630</v>
      </c>
    </row>
    <row r="2104" spans="1:9" s="31" customFormat="1" ht="120">
      <c r="A2104" s="12">
        <v>43566.266030092593</v>
      </c>
      <c r="B2104" s="13" t="str">
        <f>HYPERLINK("https://twitter.com/ThegoldenmoonC","@ThegoldenmoonC")</f>
        <v>@ThegoldenmoonC</v>
      </c>
      <c r="C2104" s="13" t="s">
        <v>1382</v>
      </c>
      <c r="D2104" s="15" t="s">
        <v>5704</v>
      </c>
      <c r="E2104" s="16" t="str">
        <f>HYPERLINK("http://twitter.com","Twitter Web Client")</f>
        <v>Twitter Web Client</v>
      </c>
      <c r="F2104" s="12">
        <v>42586.033703703702</v>
      </c>
      <c r="G2104" s="17" t="s">
        <v>171</v>
      </c>
      <c r="H2104" s="35" t="s">
        <v>272</v>
      </c>
      <c r="I2104" s="18" t="s">
        <v>1384</v>
      </c>
    </row>
    <row r="2105" spans="1:9" s="31" customFormat="1" ht="75">
      <c r="A2105" s="12">
        <v>43576.250300925924</v>
      </c>
      <c r="B2105" s="13" t="str">
        <f>HYPERLINK("https://twitter.com/vanezalagman","@vanezalagman")</f>
        <v>@vanezalagman</v>
      </c>
      <c r="C2105" s="14" t="s">
        <v>2018</v>
      </c>
      <c r="D2105" s="15" t="s">
        <v>2019</v>
      </c>
      <c r="E2105" s="16" t="str">
        <f>HYPERLINK("http://instagram.com","Instagram")</f>
        <v>Instagram</v>
      </c>
      <c r="F2105" s="12">
        <v>40572.081504629634</v>
      </c>
      <c r="G2105" s="17" t="s">
        <v>171</v>
      </c>
      <c r="H2105" s="35" t="s">
        <v>2020</v>
      </c>
      <c r="I2105" s="18" t="s">
        <v>2021</v>
      </c>
    </row>
    <row r="2106" spans="1:9" s="31" customFormat="1" ht="75">
      <c r="A2106" s="12">
        <v>43576.24864583333</v>
      </c>
      <c r="B2106" s="13" t="str">
        <f>HYPERLINK("https://twitter.com/vanezalagman","@vanezalagman")</f>
        <v>@vanezalagman</v>
      </c>
      <c r="C2106" s="14" t="s">
        <v>2018</v>
      </c>
      <c r="D2106" s="15" t="s">
        <v>2019</v>
      </c>
      <c r="E2106" s="16" t="str">
        <f>HYPERLINK("http://instagram.com","Instagram")</f>
        <v>Instagram</v>
      </c>
      <c r="F2106" s="12">
        <v>40572.081504629634</v>
      </c>
      <c r="G2106" s="17" t="s">
        <v>171</v>
      </c>
      <c r="H2106" s="35" t="s">
        <v>2020</v>
      </c>
      <c r="I2106" s="18" t="s">
        <v>2021</v>
      </c>
    </row>
    <row r="2107" spans="1:9" s="31" customFormat="1" ht="75">
      <c r="A2107" s="12">
        <v>43576.244953703703</v>
      </c>
      <c r="B2107" s="13" t="str">
        <f>HYPERLINK("https://twitter.com/vanezalagman","@vanezalagman")</f>
        <v>@vanezalagman</v>
      </c>
      <c r="C2107" s="14" t="s">
        <v>2018</v>
      </c>
      <c r="D2107" s="15" t="s">
        <v>2019</v>
      </c>
      <c r="E2107" s="16" t="str">
        <f>HYPERLINK("http://instagram.com","Instagram")</f>
        <v>Instagram</v>
      </c>
      <c r="F2107" s="12">
        <v>40572.081504629634</v>
      </c>
      <c r="G2107" s="17" t="s">
        <v>171</v>
      </c>
      <c r="H2107" s="35" t="s">
        <v>2020</v>
      </c>
      <c r="I2107" s="18" t="s">
        <v>2021</v>
      </c>
    </row>
    <row r="2108" spans="1:9" s="31" customFormat="1" ht="45">
      <c r="A2108" s="4">
        <v>43560.072013888886</v>
      </c>
      <c r="B2108" s="5" t="str">
        <f>HYPERLINK("https://twitter.com/FAIZ1961","@FAIZ1961")</f>
        <v>@FAIZ1961</v>
      </c>
      <c r="C2108" s="6" t="s">
        <v>11611</v>
      </c>
      <c r="D2108" s="7" t="s">
        <v>11612</v>
      </c>
      <c r="E2108" s="8" t="str">
        <f>HYPERLINK("http://twitter.com","Twitter Web Client")</f>
        <v>Twitter Web Client</v>
      </c>
      <c r="F2108" s="4">
        <v>42196.252986111111</v>
      </c>
      <c r="G2108" s="17" t="s">
        <v>171</v>
      </c>
      <c r="H2108" s="35" t="s">
        <v>11613</v>
      </c>
      <c r="I2108" s="10" t="s">
        <v>11614</v>
      </c>
    </row>
    <row r="2109" spans="1:9" s="31" customFormat="1" ht="60">
      <c r="A2109" s="12">
        <v>43580.075833333336</v>
      </c>
      <c r="B2109" s="13" t="str">
        <f>HYPERLINK("https://twitter.com/andrewsduncan1","@andrewsduncan1")</f>
        <v>@andrewsduncan1</v>
      </c>
      <c r="C2109" s="14" t="s">
        <v>297</v>
      </c>
      <c r="D2109" s="15" t="s">
        <v>298</v>
      </c>
      <c r="E2109" s="16" t="str">
        <f>HYPERLINK("https://mobile.twitter.com","Twitter Web App")</f>
        <v>Twitter Web App</v>
      </c>
      <c r="F2109" s="12">
        <v>41230.239756944444</v>
      </c>
      <c r="G2109" s="17" t="s">
        <v>171</v>
      </c>
      <c r="H2109" s="35" t="s">
        <v>299</v>
      </c>
      <c r="I2109" s="18" t="s">
        <v>300</v>
      </c>
    </row>
    <row r="2110" spans="1:9" s="31" customFormat="1" ht="75">
      <c r="A2110" s="12">
        <v>43572.513356481482</v>
      </c>
      <c r="B2110" s="13" t="str">
        <f>HYPERLINK("https://twitter.com/VickyVella","@VickyVella")</f>
        <v>@VickyVella</v>
      </c>
      <c r="C2110" s="14" t="s">
        <v>3195</v>
      </c>
      <c r="D2110" s="15" t="s">
        <v>3196</v>
      </c>
      <c r="E2110" s="16" t="str">
        <f>HYPERLINK("http://instagram.com","Instagram")</f>
        <v>Instagram</v>
      </c>
      <c r="F2110" s="12">
        <v>39874.378067129626</v>
      </c>
      <c r="G2110" s="17" t="s">
        <v>171</v>
      </c>
      <c r="H2110" s="35" t="s">
        <v>3197</v>
      </c>
      <c r="I2110" s="18" t="s">
        <v>3198</v>
      </c>
    </row>
    <row r="2111" spans="1:9" s="31" customFormat="1" ht="90">
      <c r="A2111" s="12">
        <v>43568.074212962965</v>
      </c>
      <c r="B2111" s="13" t="str">
        <f>HYPERLINK("https://twitter.com/TheClipperLooe","@TheClipperLooe")</f>
        <v>@TheClipperLooe</v>
      </c>
      <c r="C2111" s="14" t="s">
        <v>4878</v>
      </c>
      <c r="D2111" s="15" t="s">
        <v>4879</v>
      </c>
      <c r="E2111" s="16" t="str">
        <f>HYPERLINK("https://www.hootsuite.com","Hootsuite Inc.")</f>
        <v>Hootsuite Inc.</v>
      </c>
      <c r="F2111" s="12">
        <v>42759.967881944445</v>
      </c>
      <c r="G2111" s="17" t="s">
        <v>171</v>
      </c>
      <c r="H2111" s="35" t="s">
        <v>4880</v>
      </c>
      <c r="I2111" s="18" t="s">
        <v>4881</v>
      </c>
    </row>
    <row r="2112" spans="1:9" s="31" customFormat="1" ht="90">
      <c r="A2112" s="12">
        <v>43568.264131944445</v>
      </c>
      <c r="B2112" s="13" t="str">
        <f>HYPERLINK("https://twitter.com/ProvenceDavid","@ProvenceDavid")</f>
        <v>@ProvenceDavid</v>
      </c>
      <c r="C2112" s="14" t="s">
        <v>4828</v>
      </c>
      <c r="D2112" s="15" t="s">
        <v>4829</v>
      </c>
      <c r="E2112" s="16" t="str">
        <f>HYPERLINK("http://www.facebook.com/twitter","Facebook")</f>
        <v>Facebook</v>
      </c>
      <c r="F2112" s="12">
        <v>40858.938738425924</v>
      </c>
      <c r="G2112" s="17" t="s">
        <v>171</v>
      </c>
      <c r="H2112" s="35" t="s">
        <v>4830</v>
      </c>
      <c r="I2112" s="18" t="s">
        <v>4831</v>
      </c>
    </row>
    <row r="2113" spans="1:9" s="31" customFormat="1" ht="90">
      <c r="A2113" s="4">
        <v>43559.386180555557</v>
      </c>
      <c r="B2113" s="5" t="str">
        <f>HYPERLINK("https://twitter.com/shropshireglamp","@shropshireglamp")</f>
        <v>@shropshireglamp</v>
      </c>
      <c r="C2113" s="6" t="s">
        <v>2676</v>
      </c>
      <c r="D2113" s="7" t="s">
        <v>11857</v>
      </c>
      <c r="E2113" s="8" t="str">
        <f>HYPERLINK("http://twitter.com/download/android","Twitter for Android")</f>
        <v>Twitter for Android</v>
      </c>
      <c r="F2113" s="4">
        <v>43550.156157407408</v>
      </c>
      <c r="G2113" s="17" t="s">
        <v>171</v>
      </c>
      <c r="H2113" s="35" t="s">
        <v>2678</v>
      </c>
      <c r="I2113" s="10"/>
    </row>
    <row r="2114" spans="1:9" s="31" customFormat="1" ht="105">
      <c r="A2114" s="12">
        <v>43574.089120370365</v>
      </c>
      <c r="B2114" s="13" t="str">
        <f>HYPERLINK("https://twitter.com/shropshireglamp","@shropshireglamp")</f>
        <v>@shropshireglamp</v>
      </c>
      <c r="C2114" s="14" t="s">
        <v>2676</v>
      </c>
      <c r="D2114" s="15" t="s">
        <v>2677</v>
      </c>
      <c r="E2114" s="16" t="str">
        <f>HYPERLINK("http://twitter.com/download/android","Twitter for Android")</f>
        <v>Twitter for Android</v>
      </c>
      <c r="F2114" s="12">
        <v>43550.156157407408</v>
      </c>
      <c r="G2114" s="17" t="s">
        <v>171</v>
      </c>
      <c r="H2114" s="35" t="s">
        <v>2678</v>
      </c>
      <c r="I2114" s="18"/>
    </row>
    <row r="2115" spans="1:9" s="31" customFormat="1" ht="105">
      <c r="A2115" s="12">
        <v>43572.146701388891</v>
      </c>
      <c r="B2115" s="13" t="str">
        <f>HYPERLINK("https://twitter.com/shropshireglamp","@shropshireglamp")</f>
        <v>@shropshireglamp</v>
      </c>
      <c r="C2115" s="14" t="s">
        <v>2676</v>
      </c>
      <c r="D2115" s="15" t="s">
        <v>3405</v>
      </c>
      <c r="E2115" s="16" t="str">
        <f>HYPERLINK("http://twitter.com/download/android","Twitter for Android")</f>
        <v>Twitter for Android</v>
      </c>
      <c r="F2115" s="12">
        <v>43550.156157407408</v>
      </c>
      <c r="G2115" s="17" t="s">
        <v>171</v>
      </c>
      <c r="H2115" s="35" t="s">
        <v>2678</v>
      </c>
      <c r="I2115" s="18"/>
    </row>
    <row r="2116" spans="1:9" s="31" customFormat="1" ht="120">
      <c r="A2116" s="12">
        <v>43570.272581018522</v>
      </c>
      <c r="B2116" s="13" t="str">
        <f>HYPERLINK("https://twitter.com/shropshireglamp","@shropshireglamp")</f>
        <v>@shropshireglamp</v>
      </c>
      <c r="C2116" s="14" t="s">
        <v>2676</v>
      </c>
      <c r="D2116" s="15" t="s">
        <v>4269</v>
      </c>
      <c r="E2116" s="16" t="str">
        <f>HYPERLINK("http://twitter.com/download/android","Twitter for Android")</f>
        <v>Twitter for Android</v>
      </c>
      <c r="F2116" s="12">
        <v>43550.156157407408</v>
      </c>
      <c r="G2116" s="17" t="s">
        <v>171</v>
      </c>
      <c r="H2116" s="35" t="s">
        <v>2678</v>
      </c>
      <c r="I2116" s="18"/>
    </row>
    <row r="2117" spans="1:9" s="31" customFormat="1" ht="60">
      <c r="A2117" s="4">
        <v>43560.949953703705</v>
      </c>
      <c r="B2117" s="5" t="str">
        <f>HYPERLINK("https://twitter.com/Poussun","@Poussun")</f>
        <v>@Poussun</v>
      </c>
      <c r="C2117" s="6" t="s">
        <v>11121</v>
      </c>
      <c r="D2117" s="7" t="s">
        <v>11122</v>
      </c>
      <c r="E2117" s="8" t="str">
        <f>HYPERLINK("http://twitter.com/download/android","Twitter for Android")</f>
        <v>Twitter for Android</v>
      </c>
      <c r="F2117" s="4">
        <v>40781.262627314813</v>
      </c>
      <c r="G2117" s="17" t="s">
        <v>171</v>
      </c>
      <c r="H2117" s="35" t="s">
        <v>4287</v>
      </c>
      <c r="I2117" s="10" t="s">
        <v>11123</v>
      </c>
    </row>
    <row r="2118" spans="1:9" s="31" customFormat="1" ht="105">
      <c r="A2118" s="12">
        <v>43570.239652777775</v>
      </c>
      <c r="B2118" s="13" t="str">
        <f>HYPERLINK("https://twitter.com/keymitt_sarl","@keymitt_sarl")</f>
        <v>@keymitt_sarl</v>
      </c>
      <c r="C2118" s="14" t="s">
        <v>4285</v>
      </c>
      <c r="D2118" s="15" t="s">
        <v>4286</v>
      </c>
      <c r="E2118" s="16" t="str">
        <f>HYPERLINK("http://twitter.com","Twitter Web Client")</f>
        <v>Twitter Web Client</v>
      </c>
      <c r="F2118" s="12">
        <v>42847.484456018516</v>
      </c>
      <c r="G2118" s="17" t="s">
        <v>171</v>
      </c>
      <c r="H2118" s="35" t="s">
        <v>4287</v>
      </c>
      <c r="I2118" s="18" t="s">
        <v>4288</v>
      </c>
    </row>
    <row r="2119" spans="1:9" s="31" customFormat="1" ht="60">
      <c r="A2119" s="4">
        <v>43565.106157407412</v>
      </c>
      <c r="B2119" s="5" t="str">
        <f>HYPERLINK("https://twitter.com/JessBauldry","@JessBauldry")</f>
        <v>@JessBauldry</v>
      </c>
      <c r="C2119" s="6" t="s">
        <v>6277</v>
      </c>
      <c r="D2119" s="7" t="s">
        <v>6278</v>
      </c>
      <c r="E2119" s="8" t="str">
        <f>HYPERLINK("https://about.twitter.com/products/tweetdeck","TweetDeck")</f>
        <v>TweetDeck</v>
      </c>
      <c r="F2119" s="4">
        <v>41408.349027777775</v>
      </c>
      <c r="G2119" s="17" t="s">
        <v>171</v>
      </c>
      <c r="H2119" s="35" t="s">
        <v>6279</v>
      </c>
      <c r="I2119" s="10" t="s">
        <v>6280</v>
      </c>
    </row>
    <row r="2120" spans="1:9" s="31" customFormat="1" ht="30">
      <c r="A2120" s="19">
        <v>43551.474675925929</v>
      </c>
      <c r="B2120" s="20" t="str">
        <f>HYPERLINK("https://twitter.com/EnglishWH","@EnglishWH")</f>
        <v>@EnglishWH</v>
      </c>
      <c r="C2120" s="21" t="s">
        <v>7164</v>
      </c>
      <c r="D2120" s="22" t="s">
        <v>7165</v>
      </c>
      <c r="E2120" s="23" t="str">
        <f>HYPERLINK("http://twitter.com/#!/download/ipad","Twitter for iPad")</f>
        <v>Twitter for iPad</v>
      </c>
      <c r="F2120" s="19">
        <v>40575.150578703702</v>
      </c>
      <c r="G2120" s="17" t="s">
        <v>171</v>
      </c>
      <c r="H2120" s="35" t="s">
        <v>7166</v>
      </c>
      <c r="I2120" s="25" t="s">
        <v>7167</v>
      </c>
    </row>
    <row r="2121" spans="1:9" s="31" customFormat="1" ht="45">
      <c r="A2121" s="4">
        <v>43559.476967592593</v>
      </c>
      <c r="B2121" s="5" t="str">
        <f>HYPERLINK("https://twitter.com/CarlaSaoMiguel","@CarlaSaoMiguel")</f>
        <v>@CarlaSaoMiguel</v>
      </c>
      <c r="C2121" s="6" t="s">
        <v>11799</v>
      </c>
      <c r="D2121" s="7" t="s">
        <v>11800</v>
      </c>
      <c r="E2121" s="8" t="str">
        <f>HYPERLINK("http://twitter.com/download/iphone","Twitter for iPhone")</f>
        <v>Twitter for iPhone</v>
      </c>
      <c r="F2121" s="4">
        <v>39982.716377314813</v>
      </c>
      <c r="G2121" s="17" t="s">
        <v>171</v>
      </c>
      <c r="H2121" s="35" t="s">
        <v>7166</v>
      </c>
      <c r="I2121" s="10" t="s">
        <v>11801</v>
      </c>
    </row>
    <row r="2122" spans="1:9" s="31" customFormat="1" ht="45">
      <c r="A2122" s="19">
        <v>43544.085439814815</v>
      </c>
      <c r="B2122" s="20" t="str">
        <f>HYPERLINK("https://twitter.com/Ideagoras","@Ideagoras")</f>
        <v>@Ideagoras</v>
      </c>
      <c r="C2122" s="21" t="s">
        <v>9622</v>
      </c>
      <c r="D2122" s="22" t="s">
        <v>9574</v>
      </c>
      <c r="E2122" s="23" t="str">
        <f>HYPERLINK("https://about.twitter.com/products/tweetdeck","TweetDeck")</f>
        <v>TweetDeck</v>
      </c>
      <c r="F2122" s="19">
        <v>39833.161550925928</v>
      </c>
      <c r="G2122" s="17" t="s">
        <v>171</v>
      </c>
      <c r="H2122" s="35" t="s">
        <v>9623</v>
      </c>
      <c r="I2122" s="25" t="s">
        <v>9624</v>
      </c>
    </row>
    <row r="2123" spans="1:9" s="31" customFormat="1" ht="45">
      <c r="A2123" s="12">
        <v>43580.743020833332</v>
      </c>
      <c r="B2123" s="13" t="str">
        <f>HYPERLINK("https://twitter.com/inari_ta","@inari_ta")</f>
        <v>@inari_ta</v>
      </c>
      <c r="C2123" s="14" t="s">
        <v>97</v>
      </c>
      <c r="D2123" s="15" t="s">
        <v>98</v>
      </c>
      <c r="E2123" s="16" t="str">
        <f>HYPERLINK("http://twitter.com","Twitter Web Client")</f>
        <v>Twitter Web Client</v>
      </c>
      <c r="F2123" s="12">
        <v>40986.083726851852</v>
      </c>
      <c r="G2123" s="17" t="s">
        <v>171</v>
      </c>
      <c r="H2123" s="35" t="s">
        <v>99</v>
      </c>
      <c r="I2123" s="18" t="s">
        <v>100</v>
      </c>
    </row>
    <row r="2124" spans="1:9" s="31" customFormat="1" ht="90">
      <c r="A2124" s="19">
        <v>43548.262916666667</v>
      </c>
      <c r="B2124" s="20" t="str">
        <f>HYPERLINK("https://twitter.com/EsperanzaREMAX","@EsperanzaREMAX")</f>
        <v>@EsperanzaREMAX</v>
      </c>
      <c r="C2124" s="21" t="s">
        <v>8358</v>
      </c>
      <c r="D2124" s="22" t="s">
        <v>8359</v>
      </c>
      <c r="E2124" s="23" t="str">
        <f>HYPERLINK("http://twitter.com","Twitter Web Client")</f>
        <v>Twitter Web Client</v>
      </c>
      <c r="F2124" s="19">
        <v>41684.313067129631</v>
      </c>
      <c r="G2124" s="17" t="s">
        <v>171</v>
      </c>
      <c r="H2124" s="35" t="s">
        <v>8360</v>
      </c>
      <c r="I2124" s="25" t="s">
        <v>8361</v>
      </c>
    </row>
    <row r="2125" spans="1:9" s="31" customFormat="1" ht="90">
      <c r="A2125" s="19">
        <v>43547.530219907407</v>
      </c>
      <c r="B2125" s="20" t="str">
        <f>HYPERLINK("https://twitter.com/EsperanzaREMAX","@EsperanzaREMAX")</f>
        <v>@EsperanzaREMAX</v>
      </c>
      <c r="C2125" s="21" t="s">
        <v>8358</v>
      </c>
      <c r="D2125" s="22" t="s">
        <v>8359</v>
      </c>
      <c r="E2125" s="23" t="str">
        <f>HYPERLINK("http://www.linkedin.com/","LinkedIn")</f>
        <v>LinkedIn</v>
      </c>
      <c r="F2125" s="19">
        <v>41684.313067129631</v>
      </c>
      <c r="G2125" s="17" t="s">
        <v>171</v>
      </c>
      <c r="H2125" s="35" t="s">
        <v>8360</v>
      </c>
      <c r="I2125" s="25" t="s">
        <v>8361</v>
      </c>
    </row>
    <row r="2126" spans="1:9" s="31" customFormat="1" ht="45">
      <c r="A2126" s="12">
        <v>43578.518599537041</v>
      </c>
      <c r="B2126" s="13" t="str">
        <f>HYPERLINK("https://twitter.com/Pedro68359999","@Pedro68359999")</f>
        <v>@Pedro68359999</v>
      </c>
      <c r="C2126" s="14" t="s">
        <v>1163</v>
      </c>
      <c r="D2126" s="15" t="s">
        <v>1164</v>
      </c>
      <c r="E2126" s="16" t="str">
        <f>HYPERLINK("http://twitter.com","Twitter Web Client")</f>
        <v>Twitter Web Client</v>
      </c>
      <c r="F2126" s="12">
        <v>43578.487060185187</v>
      </c>
      <c r="G2126" s="17" t="s">
        <v>171</v>
      </c>
      <c r="H2126" s="35" t="s">
        <v>1165</v>
      </c>
      <c r="I2126" s="18" t="s">
        <v>1166</v>
      </c>
    </row>
    <row r="2127" spans="1:9" s="31" customFormat="1" ht="90">
      <c r="A2127" s="19">
        <v>43551.390821759254</v>
      </c>
      <c r="B2127" s="20" t="str">
        <f>HYPERLINK("https://twitter.com/bartvrolijk","@bartvrolijk")</f>
        <v>@bartvrolijk</v>
      </c>
      <c r="C2127" s="21" t="s">
        <v>7249</v>
      </c>
      <c r="D2127" s="22" t="s">
        <v>7250</v>
      </c>
      <c r="E2127" s="23" t="str">
        <f>HYPERLINK("http://twitter.com/download/iphone","Twitter for iPhone")</f>
        <v>Twitter for iPhone</v>
      </c>
      <c r="F2127" s="19">
        <v>40410.411898148144</v>
      </c>
      <c r="G2127" s="17" t="s">
        <v>171</v>
      </c>
      <c r="H2127" s="35" t="s">
        <v>2346</v>
      </c>
      <c r="I2127" s="25" t="s">
        <v>7251</v>
      </c>
    </row>
    <row r="2128" spans="1:9" s="31" customFormat="1" ht="75">
      <c r="A2128" s="12">
        <v>43575.202094907407</v>
      </c>
      <c r="B2128" s="13" t="str">
        <f>HYPERLINK("https://twitter.com/runmadrid1","@runmadrid1")</f>
        <v>@runmadrid1</v>
      </c>
      <c r="C2128" s="14" t="s">
        <v>2344</v>
      </c>
      <c r="D2128" s="15" t="s">
        <v>2345</v>
      </c>
      <c r="E2128" s="16" t="str">
        <f>HYPERLINK("http://instagram.com","Instagram")</f>
        <v>Instagram</v>
      </c>
      <c r="F2128" s="12">
        <v>42014.65725694444</v>
      </c>
      <c r="G2128" s="17" t="s">
        <v>171</v>
      </c>
      <c r="H2128" s="35" t="s">
        <v>2346</v>
      </c>
      <c r="I2128" s="18" t="s">
        <v>2347</v>
      </c>
    </row>
    <row r="2129" spans="1:9" s="31" customFormat="1" ht="75">
      <c r="A2129" s="12">
        <v>43573.214398148149</v>
      </c>
      <c r="B2129" s="13" t="str">
        <f>HYPERLINK("https://twitter.com/runmadrid1","@runmadrid1")</f>
        <v>@runmadrid1</v>
      </c>
      <c r="C2129" s="14" t="s">
        <v>2344</v>
      </c>
      <c r="D2129" s="15" t="s">
        <v>2974</v>
      </c>
      <c r="E2129" s="16" t="str">
        <f>HYPERLINK("http://instagram.com","Instagram")</f>
        <v>Instagram</v>
      </c>
      <c r="F2129" s="12">
        <v>42014.65725694444</v>
      </c>
      <c r="G2129" s="17" t="s">
        <v>171</v>
      </c>
      <c r="H2129" s="35" t="s">
        <v>2346</v>
      </c>
      <c r="I2129" s="18" t="s">
        <v>2347</v>
      </c>
    </row>
    <row r="2130" spans="1:9" s="31" customFormat="1" ht="75">
      <c r="A2130" s="12">
        <v>43573.210960648154</v>
      </c>
      <c r="B2130" s="13" t="str">
        <f>HYPERLINK("https://twitter.com/runmadrid1","@runmadrid1")</f>
        <v>@runmadrid1</v>
      </c>
      <c r="C2130" s="14" t="s">
        <v>2344</v>
      </c>
      <c r="D2130" s="15" t="s">
        <v>2975</v>
      </c>
      <c r="E2130" s="16" t="str">
        <f>HYPERLINK("http://instagram.com","Instagram")</f>
        <v>Instagram</v>
      </c>
      <c r="F2130" s="12">
        <v>42014.65725694444</v>
      </c>
      <c r="G2130" s="17" t="s">
        <v>171</v>
      </c>
      <c r="H2130" s="35" t="s">
        <v>2346</v>
      </c>
      <c r="I2130" s="18" t="s">
        <v>2347</v>
      </c>
    </row>
    <row r="2131" spans="1:9" s="31" customFormat="1" ht="75">
      <c r="A2131" s="12">
        <v>43573.208865740744</v>
      </c>
      <c r="B2131" s="13" t="str">
        <f>HYPERLINK("https://twitter.com/runmadrid1","@runmadrid1")</f>
        <v>@runmadrid1</v>
      </c>
      <c r="C2131" s="14" t="s">
        <v>2344</v>
      </c>
      <c r="D2131" s="15" t="s">
        <v>2983</v>
      </c>
      <c r="E2131" s="16" t="str">
        <f>HYPERLINK("http://instagram.com","Instagram")</f>
        <v>Instagram</v>
      </c>
      <c r="F2131" s="12">
        <v>42014.65725694444</v>
      </c>
      <c r="G2131" s="17" t="s">
        <v>171</v>
      </c>
      <c r="H2131" s="35" t="s">
        <v>2346</v>
      </c>
      <c r="I2131" s="18" t="s">
        <v>2347</v>
      </c>
    </row>
    <row r="2132" spans="1:9" s="31" customFormat="1" ht="60">
      <c r="A2132" s="12">
        <v>43571.293009259258</v>
      </c>
      <c r="B2132" s="13" t="str">
        <f>HYPERLINK("https://twitter.com/manupaisable","@manupaisable")</f>
        <v>@manupaisable</v>
      </c>
      <c r="C2132" s="14" t="s">
        <v>3755</v>
      </c>
      <c r="D2132" s="15" t="s">
        <v>3756</v>
      </c>
      <c r="E2132" s="16" t="str">
        <f>HYPERLINK("https://buffer.com","Buffer")</f>
        <v>Buffer</v>
      </c>
      <c r="F2132" s="12">
        <v>40841.687789351854</v>
      </c>
      <c r="G2132" s="17" t="s">
        <v>171</v>
      </c>
      <c r="H2132" s="35" t="s">
        <v>2346</v>
      </c>
      <c r="I2132" s="18" t="s">
        <v>3757</v>
      </c>
    </row>
    <row r="2133" spans="1:9" s="31" customFormat="1" ht="90">
      <c r="A2133" s="19">
        <v>43549.185115740736</v>
      </c>
      <c r="B2133" s="20" t="str">
        <f>HYPERLINK("https://twitter.com/Cognisant2000","@Cognisant2000")</f>
        <v>@Cognisant2000</v>
      </c>
      <c r="C2133" s="21" t="s">
        <v>8134</v>
      </c>
      <c r="D2133" s="22" t="s">
        <v>8135</v>
      </c>
      <c r="E2133" s="23" t="str">
        <f>HYPERLINK("https://about.twitter.com/products/tweetdeck","TweetDeck")</f>
        <v>TweetDeck</v>
      </c>
      <c r="F2133" s="19">
        <v>40154.301805555559</v>
      </c>
      <c r="G2133" s="9" t="s">
        <v>171</v>
      </c>
      <c r="H2133" s="35" t="s">
        <v>8136</v>
      </c>
      <c r="I2133" s="25" t="s">
        <v>8137</v>
      </c>
    </row>
    <row r="2134" spans="1:9" s="31" customFormat="1" ht="30">
      <c r="A2134" s="4">
        <v>43561.10428240741</v>
      </c>
      <c r="B2134" s="5" t="str">
        <f>HYPERLINK("https://twitter.com/ronimmink","@ronimmink")</f>
        <v>@ronimmink</v>
      </c>
      <c r="C2134" s="6" t="s">
        <v>11070</v>
      </c>
      <c r="D2134" s="7" t="s">
        <v>11071</v>
      </c>
      <c r="E2134" s="8" t="str">
        <f>HYPERLINK("https://www.hootsuite.com","Hootsuite Inc.")</f>
        <v>Hootsuite Inc.</v>
      </c>
      <c r="F2134" s="4">
        <v>39570.360173611109</v>
      </c>
      <c r="G2134" s="9" t="s">
        <v>171</v>
      </c>
      <c r="H2134" s="35" t="s">
        <v>11072</v>
      </c>
      <c r="I2134" s="10" t="s">
        <v>11073</v>
      </c>
    </row>
    <row r="2135" spans="1:9" s="31" customFormat="1" ht="225">
      <c r="A2135" s="19">
        <v>43549.298171296294</v>
      </c>
      <c r="B2135" s="20" t="str">
        <f>HYPERLINK("https://twitter.com/roman_townsend","@roman_townsend")</f>
        <v>@roman_townsend</v>
      </c>
      <c r="C2135" s="21" t="s">
        <v>8102</v>
      </c>
      <c r="D2135" s="22" t="s">
        <v>8103</v>
      </c>
      <c r="E2135" s="23" t="str">
        <f>HYPERLINK("http://twitter.com","Twitter Web Client")</f>
        <v>Twitter Web Client</v>
      </c>
      <c r="F2135" s="19">
        <v>41449.283333333333</v>
      </c>
      <c r="G2135" s="24" t="s">
        <v>171</v>
      </c>
      <c r="H2135" s="35" t="s">
        <v>8104</v>
      </c>
      <c r="I2135" s="25" t="s">
        <v>8105</v>
      </c>
    </row>
    <row r="2136" spans="1:9" s="31" customFormat="1" ht="105">
      <c r="A2136" s="19">
        <v>43547.492129629631</v>
      </c>
      <c r="B2136" s="20" t="str">
        <f>HYPERLINK("https://twitter.com/roman_townsend","@roman_townsend")</f>
        <v>@roman_townsend</v>
      </c>
      <c r="C2136" s="21" t="s">
        <v>8102</v>
      </c>
      <c r="D2136" s="22" t="s">
        <v>8526</v>
      </c>
      <c r="E2136" s="23" t="str">
        <f>HYPERLINK("http://twitter.com/download/iphone","Twitter for iPhone")</f>
        <v>Twitter for iPhone</v>
      </c>
      <c r="F2136" s="19">
        <v>41449.283333333333</v>
      </c>
      <c r="G2136" s="24" t="s">
        <v>171</v>
      </c>
      <c r="H2136" s="35" t="s">
        <v>8104</v>
      </c>
      <c r="I2136" s="25" t="s">
        <v>8105</v>
      </c>
    </row>
    <row r="2137" spans="1:9" s="31" customFormat="1" ht="45">
      <c r="A2137" s="19">
        <v>43545.155682870369</v>
      </c>
      <c r="B2137" s="20" t="str">
        <f>HYPERLINK("https://twitter.com/A_picasso","@A_picasso")</f>
        <v>@A_picasso</v>
      </c>
      <c r="C2137" s="21" t="s">
        <v>9273</v>
      </c>
      <c r="D2137" s="22" t="s">
        <v>9274</v>
      </c>
      <c r="E2137" s="23" t="str">
        <f>HYPERLINK("https://buffer.com","Buffer")</f>
        <v>Buffer</v>
      </c>
      <c r="F2137" s="19">
        <v>40816.2659375</v>
      </c>
      <c r="G2137" s="24" t="s">
        <v>171</v>
      </c>
      <c r="H2137" s="35" t="s">
        <v>9275</v>
      </c>
      <c r="I2137" s="25" t="s">
        <v>9276</v>
      </c>
    </row>
    <row r="2138" spans="1:9" s="31" customFormat="1" ht="105">
      <c r="A2138" s="19">
        <v>43544.142141203702</v>
      </c>
      <c r="B2138" s="20" t="str">
        <f>HYPERLINK("https://twitter.com/proassetz","@proassetz")</f>
        <v>@proassetz</v>
      </c>
      <c r="C2138" s="21" t="s">
        <v>9600</v>
      </c>
      <c r="D2138" s="22" t="s">
        <v>9601</v>
      </c>
      <c r="E2138" s="23" t="str">
        <f>HYPERLINK("http://twitter.com","Twitter Web Client")</f>
        <v>Twitter Web Client</v>
      </c>
      <c r="F2138" s="19">
        <v>43194.018518518518</v>
      </c>
      <c r="G2138" s="24" t="s">
        <v>171</v>
      </c>
      <c r="H2138" s="35" t="s">
        <v>9602</v>
      </c>
      <c r="I2138" s="25" t="s">
        <v>9603</v>
      </c>
    </row>
    <row r="2139" spans="1:9" s="31" customFormat="1" ht="90">
      <c r="A2139" s="19">
        <v>43548.13553240741</v>
      </c>
      <c r="B2139" s="20" t="str">
        <f>HYPERLINK("https://twitter.com/OE_OEC","@OE_OEC")</f>
        <v>@OE_OEC</v>
      </c>
      <c r="C2139" s="21" t="s">
        <v>8396</v>
      </c>
      <c r="D2139" s="22" t="s">
        <v>8397</v>
      </c>
      <c r="E2139" s="23" t="str">
        <f>HYPERLINK("https://www.hootsuite.com","Hootsuite Inc.")</f>
        <v>Hootsuite Inc.</v>
      </c>
      <c r="F2139" s="19">
        <v>41739.24055555556</v>
      </c>
      <c r="G2139" s="24" t="s">
        <v>171</v>
      </c>
      <c r="H2139" s="35" t="s">
        <v>8398</v>
      </c>
      <c r="I2139" s="25" t="s">
        <v>8399</v>
      </c>
    </row>
    <row r="2140" spans="1:9" s="31" customFormat="1" ht="45">
      <c r="A2140" s="19">
        <v>43545.070844907408</v>
      </c>
      <c r="B2140" s="20" t="str">
        <f>HYPERLINK("https://twitter.com/vincent_cole","@vincent_cole")</f>
        <v>@vincent_cole</v>
      </c>
      <c r="C2140" s="21" t="s">
        <v>9286</v>
      </c>
      <c r="D2140" s="22" t="s">
        <v>9287</v>
      </c>
      <c r="E2140" s="23" t="str">
        <f>HYPERLINK("http://twitter.com/download/android","Twitter for Android")</f>
        <v>Twitter for Android</v>
      </c>
      <c r="F2140" s="19">
        <v>40757.591620370367</v>
      </c>
      <c r="G2140" s="9" t="s">
        <v>171</v>
      </c>
      <c r="H2140" s="35" t="s">
        <v>175</v>
      </c>
      <c r="I2140" s="25" t="s">
        <v>9288</v>
      </c>
    </row>
    <row r="2141" spans="1:9" s="31" customFormat="1" ht="60">
      <c r="A2141" s="4">
        <v>43559.410092592589</v>
      </c>
      <c r="B2141" s="5" t="str">
        <f>HYPERLINK("https://twitter.com/SazzleDelaney","@SazzleDelaney")</f>
        <v>@SazzleDelaney</v>
      </c>
      <c r="C2141" s="6" t="s">
        <v>11844</v>
      </c>
      <c r="D2141" s="7" t="s">
        <v>11845</v>
      </c>
      <c r="E2141" s="8" t="str">
        <f>HYPERLINK("http://twitter.com/download/iphone","Twitter for iPhone")</f>
        <v>Twitter for iPhone</v>
      </c>
      <c r="F2141" s="4">
        <v>39866.614583333336</v>
      </c>
      <c r="G2141" s="9" t="s">
        <v>171</v>
      </c>
      <c r="H2141" s="35" t="s">
        <v>175</v>
      </c>
      <c r="I2141" s="10" t="s">
        <v>11846</v>
      </c>
    </row>
    <row r="2142" spans="1:9" s="31" customFormat="1" ht="90">
      <c r="A2142" s="12">
        <v>43580.646886574075</v>
      </c>
      <c r="B2142" s="13" t="str">
        <f>HYPERLINK("https://twitter.com/DavidIEdwards","@DavidIEdwards")</f>
        <v>@DavidIEdwards</v>
      </c>
      <c r="C2142" s="14" t="s">
        <v>173</v>
      </c>
      <c r="D2142" s="15" t="s">
        <v>174</v>
      </c>
      <c r="E2142" s="16" t="str">
        <f>HYPERLINK("https://about.twitter.com/products/tweetdeck","TweetDeck")</f>
        <v>TweetDeck</v>
      </c>
      <c r="F2142" s="12">
        <v>39972.592592592591</v>
      </c>
      <c r="G2142" s="9" t="s">
        <v>171</v>
      </c>
      <c r="H2142" s="35" t="s">
        <v>175</v>
      </c>
      <c r="I2142" s="18" t="s">
        <v>176</v>
      </c>
    </row>
    <row r="2143" spans="1:9" s="31" customFormat="1" ht="90">
      <c r="A2143" s="19">
        <v>43551.150879629626</v>
      </c>
      <c r="B2143" s="20" t="str">
        <f>HYPERLINK("https://twitter.com/ManchesterRadio","@ManchesterRadio")</f>
        <v>@ManchesterRadio</v>
      </c>
      <c r="C2143" s="21" t="s">
        <v>3310</v>
      </c>
      <c r="D2143" s="22" t="s">
        <v>7415</v>
      </c>
      <c r="E2143" s="23" t="str">
        <f>HYPERLINK("http://instagram.com","Instagram")</f>
        <v>Instagram</v>
      </c>
      <c r="F2143" s="19">
        <v>39851.247465277775</v>
      </c>
      <c r="G2143" s="9" t="s">
        <v>171</v>
      </c>
      <c r="H2143" s="35" t="s">
        <v>3312</v>
      </c>
      <c r="I2143" s="25" t="s">
        <v>3313</v>
      </c>
    </row>
    <row r="2144" spans="1:9" s="31" customFormat="1" ht="90">
      <c r="A2144" s="19">
        <v>43550.281631944439</v>
      </c>
      <c r="B2144" s="20" t="str">
        <f>HYPERLINK("https://twitter.com/ManchesterRadio","@ManchesterRadio")</f>
        <v>@ManchesterRadio</v>
      </c>
      <c r="C2144" s="21" t="s">
        <v>3310</v>
      </c>
      <c r="D2144" s="22" t="s">
        <v>7750</v>
      </c>
      <c r="E2144" s="23" t="str">
        <f>HYPERLINK("http://instagram.com","Instagram")</f>
        <v>Instagram</v>
      </c>
      <c r="F2144" s="19">
        <v>39851.247465277775</v>
      </c>
      <c r="G2144" s="9" t="s">
        <v>171</v>
      </c>
      <c r="H2144" s="35" t="s">
        <v>3312</v>
      </c>
      <c r="I2144" s="25" t="s">
        <v>3313</v>
      </c>
    </row>
    <row r="2145" spans="1:9" s="31" customFormat="1" ht="75">
      <c r="A2145" s="12">
        <v>43572.346516203703</v>
      </c>
      <c r="B2145" s="13" t="str">
        <f>HYPERLINK("https://twitter.com/ManchesterRadio","@ManchesterRadio")</f>
        <v>@ManchesterRadio</v>
      </c>
      <c r="C2145" s="14" t="s">
        <v>3310</v>
      </c>
      <c r="D2145" s="15" t="s">
        <v>3311</v>
      </c>
      <c r="E2145" s="16" t="str">
        <f>HYPERLINK("http://instagram.com","Instagram")</f>
        <v>Instagram</v>
      </c>
      <c r="F2145" s="12">
        <v>39851.247465277775</v>
      </c>
      <c r="G2145" s="9" t="s">
        <v>171</v>
      </c>
      <c r="H2145" s="35" t="s">
        <v>3312</v>
      </c>
      <c r="I2145" s="18" t="s">
        <v>3313</v>
      </c>
    </row>
    <row r="2146" spans="1:9" s="31" customFormat="1" ht="90">
      <c r="A2146" s="12">
        <v>43567.559745370367</v>
      </c>
      <c r="B2146" s="13" t="str">
        <f>HYPERLINK("https://twitter.com/ManchesterRadio","@ManchesterRadio")</f>
        <v>@ManchesterRadio</v>
      </c>
      <c r="C2146" s="14" t="s">
        <v>3310</v>
      </c>
      <c r="D2146" s="15" t="s">
        <v>5055</v>
      </c>
      <c r="E2146" s="16" t="str">
        <f>HYPERLINK("http://instagram.com","Instagram")</f>
        <v>Instagram</v>
      </c>
      <c r="F2146" s="12">
        <v>39851.247465277775</v>
      </c>
      <c r="G2146" s="9" t="s">
        <v>171</v>
      </c>
      <c r="H2146" s="35" t="s">
        <v>3312</v>
      </c>
      <c r="I2146" s="18" t="s">
        <v>3313</v>
      </c>
    </row>
    <row r="2147" spans="1:9" s="31" customFormat="1" ht="30">
      <c r="A2147" s="19">
        <v>43547.244328703702</v>
      </c>
      <c r="B2147" s="20" t="str">
        <f>HYPERLINK("https://twitter.com/sarahjmakin","@sarahjmakin")</f>
        <v>@sarahjmakin</v>
      </c>
      <c r="C2147" s="21" t="s">
        <v>8617</v>
      </c>
      <c r="D2147" s="22" t="s">
        <v>8618</v>
      </c>
      <c r="E2147" s="23" t="str">
        <f>HYPERLINK("http://twitter.com/download/iphone","Twitter for iPhone")</f>
        <v>Twitter for iPhone</v>
      </c>
      <c r="F2147" s="19">
        <v>40849.596122685187</v>
      </c>
      <c r="G2147" s="9" t="s">
        <v>171</v>
      </c>
      <c r="H2147" s="35" t="s">
        <v>6249</v>
      </c>
      <c r="I2147" s="25" t="s">
        <v>8619</v>
      </c>
    </row>
    <row r="2148" spans="1:9" s="31" customFormat="1" ht="105">
      <c r="A2148" s="19">
        <v>43545.224317129629</v>
      </c>
      <c r="B2148" s="20" t="str">
        <f>HYPERLINK("https://twitter.com/Approved_PG","@Approved_PG")</f>
        <v>@Approved_PG</v>
      </c>
      <c r="C2148" s="21" t="s">
        <v>6247</v>
      </c>
      <c r="D2148" s="22" t="s">
        <v>6248</v>
      </c>
      <c r="E2148" s="23" t="str">
        <f>HYPERLINK("https://sproutsocial.com","Sprout Social")</f>
        <v>Sprout Social</v>
      </c>
      <c r="F2148" s="19">
        <v>41006.278807870374</v>
      </c>
      <c r="G2148" s="9" t="s">
        <v>171</v>
      </c>
      <c r="H2148" s="35" t="s">
        <v>6249</v>
      </c>
      <c r="I2148" s="25" t="s">
        <v>6250</v>
      </c>
    </row>
    <row r="2149" spans="1:9" s="31" customFormat="1" ht="105">
      <c r="A2149" s="4">
        <v>43565.182662037041</v>
      </c>
      <c r="B2149" s="5" t="str">
        <f>HYPERLINK("https://twitter.com/Approved_PG","@Approved_PG")</f>
        <v>@Approved_PG</v>
      </c>
      <c r="C2149" s="6" t="s">
        <v>6247</v>
      </c>
      <c r="D2149" s="7" t="s">
        <v>6248</v>
      </c>
      <c r="E2149" s="8" t="str">
        <f>HYPERLINK("https://sproutsocial.com","Sprout Social")</f>
        <v>Sprout Social</v>
      </c>
      <c r="F2149" s="4">
        <v>41006.278807870374</v>
      </c>
      <c r="G2149" s="9" t="s">
        <v>171</v>
      </c>
      <c r="H2149" s="35" t="s">
        <v>6249</v>
      </c>
      <c r="I2149" s="10" t="s">
        <v>6250</v>
      </c>
    </row>
    <row r="2150" spans="1:9" s="31" customFormat="1" ht="45">
      <c r="A2150" s="4">
        <v>43564.600671296299</v>
      </c>
      <c r="B2150" s="5" t="str">
        <f>HYPERLINK("https://twitter.com/TheZCC","@TheZCC")</f>
        <v>@TheZCC</v>
      </c>
      <c r="C2150" s="6" t="s">
        <v>6517</v>
      </c>
      <c r="D2150" s="7" t="s">
        <v>6518</v>
      </c>
      <c r="E2150" s="8" t="str">
        <f>HYPERLINK("https://about.twitter.com/products/tweetdeck","TweetDeck")</f>
        <v>TweetDeck</v>
      </c>
      <c r="F2150" s="4">
        <v>42642.31077546296</v>
      </c>
      <c r="G2150" s="9" t="s">
        <v>171</v>
      </c>
      <c r="H2150" s="35" t="s">
        <v>6249</v>
      </c>
      <c r="I2150" s="10"/>
    </row>
    <row r="2151" spans="1:9" s="31" customFormat="1" ht="75">
      <c r="A2151" s="4">
        <v>43559.448923611111</v>
      </c>
      <c r="B2151" s="5" t="str">
        <f>HYPERLINK("https://twitter.com/CookiesOnTour","@CookiesOnTour")</f>
        <v>@CookiesOnTour</v>
      </c>
      <c r="C2151" s="6" t="s">
        <v>11823</v>
      </c>
      <c r="D2151" s="7" t="s">
        <v>11824</v>
      </c>
      <c r="E2151" s="8" t="str">
        <f>HYPERLINK("http://twitter.com","Twitter Web Client")</f>
        <v>Twitter Web Client</v>
      </c>
      <c r="F2151" s="4">
        <v>43533.579212962963</v>
      </c>
      <c r="G2151" s="9" t="s">
        <v>171</v>
      </c>
      <c r="H2151" s="35" t="s">
        <v>6249</v>
      </c>
      <c r="I2151" s="10" t="s">
        <v>11825</v>
      </c>
    </row>
    <row r="2152" spans="1:9" s="31" customFormat="1" ht="105">
      <c r="A2152" s="4">
        <v>43559.547071759254</v>
      </c>
      <c r="B2152" s="5" t="str">
        <f>HYPERLINK("https://twitter.com/NusratMedicine","@NusratMedicine")</f>
        <v>@NusratMedicine</v>
      </c>
      <c r="C2152" s="6" t="s">
        <v>11769</v>
      </c>
      <c r="D2152" s="7" t="s">
        <v>11770</v>
      </c>
      <c r="E2152" s="8" t="str">
        <f>HYPERLINK("http://twitter.com","Twitter Web Client")</f>
        <v>Twitter Web Client</v>
      </c>
      <c r="F2152" s="4">
        <v>42263.59584490741</v>
      </c>
      <c r="G2152" s="9" t="s">
        <v>171</v>
      </c>
      <c r="H2152" s="35" t="s">
        <v>11771</v>
      </c>
      <c r="I2152" s="10" t="s">
        <v>11772</v>
      </c>
    </row>
    <row r="2153" spans="1:9" s="31" customFormat="1" ht="30">
      <c r="A2153" s="19">
        <v>43544.620844907404</v>
      </c>
      <c r="B2153" s="20" t="str">
        <f>HYPERLINK("https://twitter.com/SlaterHeelisLaw","@SlaterHeelisLaw")</f>
        <v>@SlaterHeelisLaw</v>
      </c>
      <c r="C2153" s="21" t="s">
        <v>9389</v>
      </c>
      <c r="D2153" s="22" t="s">
        <v>9390</v>
      </c>
      <c r="E2153" s="23" t="str">
        <f>HYPERLINK("https://sproutsocial.com","Sprout Social")</f>
        <v>Sprout Social</v>
      </c>
      <c r="F2153" s="19">
        <v>40444.365856481483</v>
      </c>
      <c r="G2153" s="9" t="s">
        <v>171</v>
      </c>
      <c r="H2153" s="35" t="s">
        <v>9391</v>
      </c>
      <c r="I2153" s="25" t="s">
        <v>9392</v>
      </c>
    </row>
    <row r="2154" spans="1:9" s="31" customFormat="1" ht="105">
      <c r="A2154" s="4">
        <v>43558.109548611115</v>
      </c>
      <c r="B2154" s="5" t="str">
        <f>HYPERLINK("https://twitter.com/VillaIconi","@VillaIconi")</f>
        <v>@VillaIconi</v>
      </c>
      <c r="C2154" s="6" t="s">
        <v>12317</v>
      </c>
      <c r="D2154" s="7" t="s">
        <v>12318</v>
      </c>
      <c r="E2154" s="8" t="str">
        <f>HYPERLINK("http://twitter.com","Twitter Web Client")</f>
        <v>Twitter Web Client</v>
      </c>
      <c r="F2154" s="4">
        <v>43136.34575231481</v>
      </c>
      <c r="G2154" s="9" t="s">
        <v>171</v>
      </c>
      <c r="H2154" s="35" t="s">
        <v>12319</v>
      </c>
      <c r="I2154" s="10" t="s">
        <v>12320</v>
      </c>
    </row>
    <row r="2155" spans="1:9" s="31" customFormat="1" ht="120">
      <c r="A2155" s="19">
        <v>43544.307662037041</v>
      </c>
      <c r="B2155" s="20" t="str">
        <f t="shared" ref="B2155:B2162" si="90">HYPERLINK("https://twitter.com/KhayaM200","@KhayaM200")</f>
        <v>@KhayaM200</v>
      </c>
      <c r="C2155" s="21" t="s">
        <v>9536</v>
      </c>
      <c r="D2155" s="22" t="s">
        <v>9537</v>
      </c>
      <c r="E2155" s="23" t="str">
        <f t="shared" ref="E2155:E2162" si="91">HYPERLINK("https://buffer.com","Buffer")</f>
        <v>Buffer</v>
      </c>
      <c r="F2155" s="19">
        <v>40874.578078703707</v>
      </c>
      <c r="G2155" s="9" t="s">
        <v>171</v>
      </c>
      <c r="H2155" s="35" t="s">
        <v>9538</v>
      </c>
      <c r="I2155" s="25" t="s">
        <v>9539</v>
      </c>
    </row>
    <row r="2156" spans="1:9" s="31" customFormat="1" ht="105">
      <c r="A2156" s="4">
        <v>43562.291805555556</v>
      </c>
      <c r="B2156" s="5" t="str">
        <f t="shared" si="90"/>
        <v>@KhayaM200</v>
      </c>
      <c r="C2156" s="6" t="s">
        <v>9536</v>
      </c>
      <c r="D2156" s="7" t="s">
        <v>10710</v>
      </c>
      <c r="E2156" s="8" t="str">
        <f t="shared" si="91"/>
        <v>Buffer</v>
      </c>
      <c r="F2156" s="4">
        <v>40874.578078703707</v>
      </c>
      <c r="G2156" s="9" t="s">
        <v>171</v>
      </c>
      <c r="H2156" s="35" t="s">
        <v>9538</v>
      </c>
      <c r="I2156" s="10" t="s">
        <v>9539</v>
      </c>
    </row>
    <row r="2157" spans="1:9" s="31" customFormat="1" ht="120">
      <c r="A2157" s="4">
        <v>43562.165300925924</v>
      </c>
      <c r="B2157" s="5" t="str">
        <f t="shared" si="90"/>
        <v>@KhayaM200</v>
      </c>
      <c r="C2157" s="6" t="s">
        <v>9536</v>
      </c>
      <c r="D2157" s="7" t="s">
        <v>10738</v>
      </c>
      <c r="E2157" s="8" t="str">
        <f t="shared" si="91"/>
        <v>Buffer</v>
      </c>
      <c r="F2157" s="4">
        <v>40874.578078703707</v>
      </c>
      <c r="G2157" s="9" t="s">
        <v>171</v>
      </c>
      <c r="H2157" s="35" t="s">
        <v>9538</v>
      </c>
      <c r="I2157" s="10" t="s">
        <v>9539</v>
      </c>
    </row>
    <row r="2158" spans="1:9" s="31" customFormat="1" ht="120">
      <c r="A2158" s="4">
        <v>43561.996539351851</v>
      </c>
      <c r="B2158" s="5" t="str">
        <f t="shared" si="90"/>
        <v>@KhayaM200</v>
      </c>
      <c r="C2158" s="6" t="s">
        <v>9536</v>
      </c>
      <c r="D2158" s="7" t="s">
        <v>10782</v>
      </c>
      <c r="E2158" s="8" t="str">
        <f t="shared" si="91"/>
        <v>Buffer</v>
      </c>
      <c r="F2158" s="4">
        <v>40874.578078703707</v>
      </c>
      <c r="G2158" s="9" t="s">
        <v>171</v>
      </c>
      <c r="H2158" s="35" t="s">
        <v>9538</v>
      </c>
      <c r="I2158" s="10" t="s">
        <v>9539</v>
      </c>
    </row>
    <row r="2159" spans="1:9" s="31" customFormat="1" ht="120">
      <c r="A2159" s="4">
        <v>43561.147245370375</v>
      </c>
      <c r="B2159" s="5" t="str">
        <f t="shared" si="90"/>
        <v>@KhayaM200</v>
      </c>
      <c r="C2159" s="6" t="s">
        <v>9536</v>
      </c>
      <c r="D2159" s="7" t="s">
        <v>11050</v>
      </c>
      <c r="E2159" s="8" t="str">
        <f t="shared" si="91"/>
        <v>Buffer</v>
      </c>
      <c r="F2159" s="4">
        <v>40874.578078703707</v>
      </c>
      <c r="G2159" s="9" t="s">
        <v>171</v>
      </c>
      <c r="H2159" s="35" t="s">
        <v>9538</v>
      </c>
      <c r="I2159" s="10" t="s">
        <v>9539</v>
      </c>
    </row>
    <row r="2160" spans="1:9" s="31" customFormat="1" ht="105">
      <c r="A2160" s="4">
        <v>43560.936828703707</v>
      </c>
      <c r="B2160" s="5" t="str">
        <f t="shared" si="90"/>
        <v>@KhayaM200</v>
      </c>
      <c r="C2160" s="6" t="s">
        <v>9536</v>
      </c>
      <c r="D2160" s="7" t="s">
        <v>11124</v>
      </c>
      <c r="E2160" s="8" t="str">
        <f t="shared" si="91"/>
        <v>Buffer</v>
      </c>
      <c r="F2160" s="4">
        <v>40874.578078703707</v>
      </c>
      <c r="G2160" s="9" t="s">
        <v>171</v>
      </c>
      <c r="H2160" s="35" t="s">
        <v>9538</v>
      </c>
      <c r="I2160" s="10" t="s">
        <v>9539</v>
      </c>
    </row>
    <row r="2161" spans="1:9" s="31" customFormat="1" ht="105">
      <c r="A2161" s="4">
        <v>43560.445856481485</v>
      </c>
      <c r="B2161" s="5" t="str">
        <f t="shared" si="90"/>
        <v>@KhayaM200</v>
      </c>
      <c r="C2161" s="6" t="s">
        <v>9536</v>
      </c>
      <c r="D2161" s="7" t="s">
        <v>11361</v>
      </c>
      <c r="E2161" s="8" t="str">
        <f t="shared" si="91"/>
        <v>Buffer</v>
      </c>
      <c r="F2161" s="4">
        <v>40874.578078703707</v>
      </c>
      <c r="G2161" s="9" t="s">
        <v>171</v>
      </c>
      <c r="H2161" s="35" t="s">
        <v>9538</v>
      </c>
      <c r="I2161" s="10" t="s">
        <v>9539</v>
      </c>
    </row>
    <row r="2162" spans="1:9" s="31" customFormat="1" ht="120">
      <c r="A2162" s="4">
        <v>43560.290381944447</v>
      </c>
      <c r="B2162" s="5" t="str">
        <f t="shared" si="90"/>
        <v>@KhayaM200</v>
      </c>
      <c r="C2162" s="6" t="s">
        <v>9536</v>
      </c>
      <c r="D2162" s="7" t="s">
        <v>11498</v>
      </c>
      <c r="E2162" s="8" t="str">
        <f t="shared" si="91"/>
        <v>Buffer</v>
      </c>
      <c r="F2162" s="4">
        <v>40874.578078703707</v>
      </c>
      <c r="G2162" s="9" t="s">
        <v>171</v>
      </c>
      <c r="H2162" s="35" t="s">
        <v>9538</v>
      </c>
      <c r="I2162" s="10" t="s">
        <v>9539</v>
      </c>
    </row>
    <row r="2163" spans="1:9" s="31" customFormat="1" ht="120">
      <c r="A2163" s="4">
        <v>43562.328703703708</v>
      </c>
      <c r="B2163" s="5" t="str">
        <f>HYPERLINK("https://twitter.com/MarbellaHols","@MarbellaHols")</f>
        <v>@MarbellaHols</v>
      </c>
      <c r="C2163" s="6" t="s">
        <v>2963</v>
      </c>
      <c r="D2163" s="7" t="s">
        <v>10704</v>
      </c>
      <c r="E2163" s="8" t="str">
        <f>HYPERLINK("http://twitter.com/download/iphone","Twitter for iPhone")</f>
        <v>Twitter for iPhone</v>
      </c>
      <c r="F2163" s="4">
        <v>41083.012627314813</v>
      </c>
      <c r="G2163" s="17" t="s">
        <v>171</v>
      </c>
      <c r="H2163" s="35" t="s">
        <v>2965</v>
      </c>
      <c r="I2163" s="10" t="s">
        <v>2966</v>
      </c>
    </row>
    <row r="2164" spans="1:9" s="31" customFormat="1" ht="120">
      <c r="A2164" s="4">
        <v>43559.53606481482</v>
      </c>
      <c r="B2164" s="5" t="str">
        <f>HYPERLINK("https://twitter.com/MarbellaHols","@MarbellaHols")</f>
        <v>@MarbellaHols</v>
      </c>
      <c r="C2164" s="6" t="s">
        <v>2963</v>
      </c>
      <c r="D2164" s="7" t="s">
        <v>11775</v>
      </c>
      <c r="E2164" s="8" t="str">
        <f>HYPERLINK("http://twitter.com/download/iphone","Twitter for iPhone")</f>
        <v>Twitter for iPhone</v>
      </c>
      <c r="F2164" s="4">
        <v>41083.012627314813</v>
      </c>
      <c r="G2164" s="17" t="s">
        <v>171</v>
      </c>
      <c r="H2164" s="35" t="s">
        <v>2965</v>
      </c>
      <c r="I2164" s="10" t="s">
        <v>2966</v>
      </c>
    </row>
    <row r="2165" spans="1:9" s="31" customFormat="1" ht="105">
      <c r="A2165" s="4">
        <v>43558.484861111108</v>
      </c>
      <c r="B2165" s="5" t="str">
        <f>HYPERLINK("https://twitter.com/MarbellaHols","@MarbellaHols")</f>
        <v>@MarbellaHols</v>
      </c>
      <c r="C2165" s="6" t="s">
        <v>2963</v>
      </c>
      <c r="D2165" s="7" t="s">
        <v>12165</v>
      </c>
      <c r="E2165" s="8" t="str">
        <f>HYPERLINK("http://twitter.com/download/iphone","Twitter for iPhone")</f>
        <v>Twitter for iPhone</v>
      </c>
      <c r="F2165" s="4">
        <v>41083.012627314813</v>
      </c>
      <c r="G2165" s="17" t="s">
        <v>171</v>
      </c>
      <c r="H2165" s="35" t="s">
        <v>2965</v>
      </c>
      <c r="I2165" s="10" t="s">
        <v>2966</v>
      </c>
    </row>
    <row r="2166" spans="1:9" s="31" customFormat="1" ht="120">
      <c r="A2166" s="12">
        <v>43573.236412037033</v>
      </c>
      <c r="B2166" s="13" t="str">
        <f>HYPERLINK("https://twitter.com/MarbellaHols","@MarbellaHols")</f>
        <v>@MarbellaHols</v>
      </c>
      <c r="C2166" s="14" t="s">
        <v>2963</v>
      </c>
      <c r="D2166" s="15" t="s">
        <v>2964</v>
      </c>
      <c r="E2166" s="16" t="str">
        <f>HYPERLINK("http://twitter.com/download/iphone","Twitter for iPhone")</f>
        <v>Twitter for iPhone</v>
      </c>
      <c r="F2166" s="12">
        <v>41083.012627314813</v>
      </c>
      <c r="G2166" s="17" t="s">
        <v>171</v>
      </c>
      <c r="H2166" s="35" t="s">
        <v>2965</v>
      </c>
      <c r="I2166" s="18" t="s">
        <v>2966</v>
      </c>
    </row>
    <row r="2167" spans="1:9" s="31" customFormat="1" ht="120">
      <c r="A2167" s="12">
        <v>43566.451111111106</v>
      </c>
      <c r="B2167" s="13" t="str">
        <f>HYPERLINK("https://twitter.com/MarbellaHols","@MarbellaHols")</f>
        <v>@MarbellaHols</v>
      </c>
      <c r="C2167" s="14" t="s">
        <v>2963</v>
      </c>
      <c r="D2167" s="15" t="s">
        <v>5520</v>
      </c>
      <c r="E2167" s="16" t="str">
        <f>HYPERLINK("http://twitter.com/download/iphone","Twitter for iPhone")</f>
        <v>Twitter for iPhone</v>
      </c>
      <c r="F2167" s="12">
        <v>41083.012627314813</v>
      </c>
      <c r="G2167" s="17" t="s">
        <v>171</v>
      </c>
      <c r="H2167" s="35" t="s">
        <v>2965</v>
      </c>
      <c r="I2167" s="18" t="s">
        <v>2966</v>
      </c>
    </row>
    <row r="2168" spans="1:9" s="31" customFormat="1" ht="105">
      <c r="A2168" s="19">
        <v>43551.589687500003</v>
      </c>
      <c r="B2168" s="20" t="str">
        <f>HYPERLINK("https://twitter.com/HPGHomes","@HPGHomes")</f>
        <v>@HPGHomes</v>
      </c>
      <c r="C2168" s="21" t="s">
        <v>7094</v>
      </c>
      <c r="D2168" s="22" t="s">
        <v>7095</v>
      </c>
      <c r="E2168" s="23" t="str">
        <f>HYPERLINK("https://ifttt.com","IFTTT")</f>
        <v>IFTTT</v>
      </c>
      <c r="F2168" s="19">
        <v>42553.589456018519</v>
      </c>
      <c r="G2168" s="17" t="s">
        <v>171</v>
      </c>
      <c r="H2168" s="35" t="s">
        <v>248</v>
      </c>
      <c r="I2168" s="25" t="s">
        <v>7096</v>
      </c>
    </row>
    <row r="2169" spans="1:9" s="31" customFormat="1" ht="75">
      <c r="A2169" s="19">
        <v>43551.554756944446</v>
      </c>
      <c r="B2169" s="20" t="str">
        <f>HYPERLINK("https://twitter.com/HPGHomes","@HPGHomes")</f>
        <v>@HPGHomes</v>
      </c>
      <c r="C2169" s="21" t="s">
        <v>7094</v>
      </c>
      <c r="D2169" s="22" t="s">
        <v>7136</v>
      </c>
      <c r="E2169" s="23" t="str">
        <f>HYPERLINK("http://instagram.com","Instagram")</f>
        <v>Instagram</v>
      </c>
      <c r="F2169" s="19">
        <v>42553.589456018519</v>
      </c>
      <c r="G2169" s="17" t="s">
        <v>171</v>
      </c>
      <c r="H2169" s="35" t="s">
        <v>248</v>
      </c>
      <c r="I2169" s="25" t="s">
        <v>7096</v>
      </c>
    </row>
    <row r="2170" spans="1:9" s="31" customFormat="1" ht="75">
      <c r="A2170" s="12">
        <v>43580.137557870374</v>
      </c>
      <c r="B2170" s="13" t="str">
        <f>HYPERLINK("https://twitter.com/CraigGoodburn2","@CraigGoodburn2")</f>
        <v>@CraigGoodburn2</v>
      </c>
      <c r="C2170" s="14" t="s">
        <v>246</v>
      </c>
      <c r="D2170" s="15" t="s">
        <v>247</v>
      </c>
      <c r="E2170" s="16" t="str">
        <f>HYPERLINK("http://instagram.com","Instagram")</f>
        <v>Instagram</v>
      </c>
      <c r="F2170" s="12">
        <v>42343.102824074071</v>
      </c>
      <c r="G2170" s="17" t="s">
        <v>171</v>
      </c>
      <c r="H2170" s="35" t="s">
        <v>248</v>
      </c>
      <c r="I2170" s="18" t="s">
        <v>249</v>
      </c>
    </row>
    <row r="2171" spans="1:9" s="31" customFormat="1" ht="45">
      <c r="A2171" s="19">
        <v>43551.141539351855</v>
      </c>
      <c r="B2171" s="20" t="str">
        <f>HYPERLINK("https://twitter.com/claudebenard","@claudebenard")</f>
        <v>@claudebenard</v>
      </c>
      <c r="C2171" s="21" t="s">
        <v>7420</v>
      </c>
      <c r="D2171" s="22" t="s">
        <v>7421</v>
      </c>
      <c r="E2171" s="23" t="str">
        <f>HYPERLINK("http://twitter.com","Twitter Web Client")</f>
        <v>Twitter Web Client</v>
      </c>
      <c r="F2171" s="19">
        <v>39401.155648148146</v>
      </c>
      <c r="G2171" s="24" t="s">
        <v>171</v>
      </c>
      <c r="H2171" s="35" t="s">
        <v>7422</v>
      </c>
      <c r="I2171" s="25" t="s">
        <v>7423</v>
      </c>
    </row>
    <row r="2172" spans="1:9" s="31" customFormat="1" ht="75">
      <c r="A2172" s="12">
        <v>43578.184999999998</v>
      </c>
      <c r="B2172" s="13" t="str">
        <f>HYPERLINK("https://twitter.com/CpsEstates","@CpsEstates")</f>
        <v>@CpsEstates</v>
      </c>
      <c r="C2172" s="14" t="s">
        <v>1371</v>
      </c>
      <c r="D2172" s="15" t="s">
        <v>1372</v>
      </c>
      <c r="E2172" s="16" t="str">
        <f>HYPERLINK("http://www.facebook.com/twitter","Facebook")</f>
        <v>Facebook</v>
      </c>
      <c r="F2172" s="12">
        <v>42489.466296296298</v>
      </c>
      <c r="G2172" s="17" t="s">
        <v>171</v>
      </c>
      <c r="H2172" s="35" t="s">
        <v>1373</v>
      </c>
      <c r="I2172" s="18" t="s">
        <v>1374</v>
      </c>
    </row>
    <row r="2173" spans="1:9" s="31" customFormat="1" ht="75">
      <c r="A2173" s="12">
        <v>43573.527557870373</v>
      </c>
      <c r="B2173" s="13" t="str">
        <f>HYPERLINK("https://twitter.com/NursteadCourt1","@NursteadCourt1")</f>
        <v>@NursteadCourt1</v>
      </c>
      <c r="C2173" s="14" t="s">
        <v>2833</v>
      </c>
      <c r="D2173" s="15" t="s">
        <v>2834</v>
      </c>
      <c r="E2173" s="16" t="str">
        <f>HYPERLINK("http://instagram.com","Instagram")</f>
        <v>Instagram</v>
      </c>
      <c r="F2173" s="12">
        <v>41092.197731481479</v>
      </c>
      <c r="G2173" s="17" t="s">
        <v>171</v>
      </c>
      <c r="H2173" s="35" t="s">
        <v>2835</v>
      </c>
      <c r="I2173" s="18" t="s">
        <v>2836</v>
      </c>
    </row>
    <row r="2174" spans="1:9" s="31" customFormat="1" ht="90">
      <c r="A2174" s="19">
        <v>43550.074872685189</v>
      </c>
      <c r="B2174" s="20" t="str">
        <f>HYPERLINK("https://twitter.com/PamRigden","@PamRigden")</f>
        <v>@PamRigden</v>
      </c>
      <c r="C2174" s="21" t="s">
        <v>7851</v>
      </c>
      <c r="D2174" s="22" t="s">
        <v>7852</v>
      </c>
      <c r="E2174" s="23" t="str">
        <f>HYPERLINK("http://www.linkedin.com/","LinkedIn")</f>
        <v>LinkedIn</v>
      </c>
      <c r="F2174" s="19">
        <v>39871.643587962964</v>
      </c>
      <c r="G2174" s="9" t="s">
        <v>171</v>
      </c>
      <c r="H2174" s="35" t="s">
        <v>7853</v>
      </c>
      <c r="I2174" s="25" t="s">
        <v>7854</v>
      </c>
    </row>
    <row r="2175" spans="1:9" s="31" customFormat="1" ht="90">
      <c r="A2175" s="19">
        <v>43549.065659722226</v>
      </c>
      <c r="B2175" s="20" t="str">
        <f>HYPERLINK("https://twitter.com/PamRigden","@PamRigden")</f>
        <v>@PamRigden</v>
      </c>
      <c r="C2175" s="21" t="s">
        <v>7851</v>
      </c>
      <c r="D2175" s="22" t="s">
        <v>8178</v>
      </c>
      <c r="E2175" s="23" t="str">
        <f>HYPERLINK("http://www.linkedin.com/","LinkedIn")</f>
        <v>LinkedIn</v>
      </c>
      <c r="F2175" s="19">
        <v>39871.643587962964</v>
      </c>
      <c r="G2175" s="9" t="s">
        <v>171</v>
      </c>
      <c r="H2175" s="35" t="s">
        <v>7853</v>
      </c>
      <c r="I2175" s="25" t="s">
        <v>7854</v>
      </c>
    </row>
    <row r="2176" spans="1:9" s="31" customFormat="1" ht="60">
      <c r="A2176" s="19">
        <v>43544.405393518522</v>
      </c>
      <c r="B2176" s="20" t="str">
        <f>HYPERLINK("https://twitter.com/PamRigden","@PamRigden")</f>
        <v>@PamRigden</v>
      </c>
      <c r="C2176" s="21" t="s">
        <v>7851</v>
      </c>
      <c r="D2176" s="22" t="s">
        <v>9483</v>
      </c>
      <c r="E2176" s="23" t="str">
        <f>HYPERLINK("http://www.linkedin.com/","LinkedIn")</f>
        <v>LinkedIn</v>
      </c>
      <c r="F2176" s="19">
        <v>39871.643587962964</v>
      </c>
      <c r="G2176" s="9" t="s">
        <v>171</v>
      </c>
      <c r="H2176" s="35" t="s">
        <v>7853</v>
      </c>
      <c r="I2176" s="25" t="s">
        <v>7854</v>
      </c>
    </row>
    <row r="2177" spans="1:9" s="31" customFormat="1" ht="45">
      <c r="A2177" s="4">
        <v>43559.037511574075</v>
      </c>
      <c r="B2177" s="5" t="str">
        <f>HYPERLINK("https://twitter.com/PamRigden","@PamRigden")</f>
        <v>@PamRigden</v>
      </c>
      <c r="C2177" s="6" t="s">
        <v>7851</v>
      </c>
      <c r="D2177" s="7" t="s">
        <v>11961</v>
      </c>
      <c r="E2177" s="8" t="str">
        <f>HYPERLINK("http://www.linkedin.com/","LinkedIn")</f>
        <v>LinkedIn</v>
      </c>
      <c r="F2177" s="4">
        <v>39871.643587962964</v>
      </c>
      <c r="G2177" s="9" t="s">
        <v>171</v>
      </c>
      <c r="H2177" s="35" t="s">
        <v>7853</v>
      </c>
      <c r="I2177" s="10" t="s">
        <v>7854</v>
      </c>
    </row>
    <row r="2178" spans="1:9" s="31" customFormat="1" ht="45">
      <c r="A2178" s="4">
        <v>43563.353969907403</v>
      </c>
      <c r="B2178" s="5" t="str">
        <f>HYPERLINK("https://twitter.com/joshdhaliwal","@joshdhaliwal")</f>
        <v>@joshdhaliwal</v>
      </c>
      <c r="C2178" s="6" t="s">
        <v>10341</v>
      </c>
      <c r="D2178" s="7" t="s">
        <v>10342</v>
      </c>
      <c r="E2178" s="8" t="str">
        <f>HYPERLINK("http://twitter.com","Twitter Web Client")</f>
        <v>Twitter Web Client</v>
      </c>
      <c r="F2178" s="4">
        <v>39764.405324074076</v>
      </c>
      <c r="G2178" s="9" t="s">
        <v>171</v>
      </c>
      <c r="H2178" s="35" t="s">
        <v>10343</v>
      </c>
      <c r="I2178" s="10" t="s">
        <v>10344</v>
      </c>
    </row>
    <row r="2179" spans="1:9" s="31" customFormat="1" ht="45">
      <c r="A2179" s="19">
        <v>43547.314803240741</v>
      </c>
      <c r="B2179" s="20" t="str">
        <f>HYPERLINK("https://twitter.com/JH_Voices","@JH_Voices")</f>
        <v>@JH_Voices</v>
      </c>
      <c r="C2179" s="21" t="s">
        <v>8589</v>
      </c>
      <c r="D2179" s="22" t="s">
        <v>8590</v>
      </c>
      <c r="E2179" s="23" t="str">
        <f>HYPERLINK("http://twitter.com/download/android","Twitter for Android")</f>
        <v>Twitter for Android</v>
      </c>
      <c r="F2179" s="19">
        <v>42939.039560185185</v>
      </c>
      <c r="G2179" s="24" t="s">
        <v>171</v>
      </c>
      <c r="H2179" s="35" t="s">
        <v>8591</v>
      </c>
      <c r="I2179" s="25" t="s">
        <v>8592</v>
      </c>
    </row>
    <row r="2180" spans="1:9" s="31" customFormat="1" ht="45">
      <c r="A2180" s="19">
        <v>43551.579953703702</v>
      </c>
      <c r="B2180" s="20" t="str">
        <f>HYPERLINK("https://twitter.com/Andre4Ferrante","@Andre4Ferrante")</f>
        <v>@Andre4Ferrante</v>
      </c>
      <c r="C2180" s="21" t="s">
        <v>7107</v>
      </c>
      <c r="D2180" s="22" t="s">
        <v>7108</v>
      </c>
      <c r="E2180" s="23" t="str">
        <f>HYPERLINK("https://www.hootsuite.com","Hootsuite Inc.")</f>
        <v>Hootsuite Inc.</v>
      </c>
      <c r="F2180" s="19">
        <v>40797.140740740739</v>
      </c>
      <c r="G2180" s="24" t="s">
        <v>171</v>
      </c>
      <c r="H2180" s="35" t="s">
        <v>7109</v>
      </c>
      <c r="I2180" s="25" t="s">
        <v>7110</v>
      </c>
    </row>
    <row r="2181" spans="1:9" s="31" customFormat="1" ht="45">
      <c r="A2181" s="4">
        <v>43558.247060185182</v>
      </c>
      <c r="B2181" s="5" t="str">
        <f>HYPERLINK("https://twitter.com/raffy_bertini","@raffy_bertini")</f>
        <v>@raffy_bertini</v>
      </c>
      <c r="C2181" s="6" t="s">
        <v>12266</v>
      </c>
      <c r="D2181" s="7" t="s">
        <v>12267</v>
      </c>
      <c r="E2181" s="8" t="str">
        <f>HYPERLINK("http://twitter.com","Twitter Web Client")</f>
        <v>Twitter Web Client</v>
      </c>
      <c r="F2181" s="4">
        <v>39875.162326388891</v>
      </c>
      <c r="G2181" s="24" t="s">
        <v>171</v>
      </c>
      <c r="H2181" s="35" t="s">
        <v>7109</v>
      </c>
      <c r="I2181" s="10" t="s">
        <v>12268</v>
      </c>
    </row>
    <row r="2182" spans="1:9" s="31" customFormat="1" ht="30">
      <c r="A2182" s="4">
        <v>43559.096446759257</v>
      </c>
      <c r="B2182" s="5" t="str">
        <f>HYPERLINK("https://twitter.com/ironmauro","@ironmauro")</f>
        <v>@ironmauro</v>
      </c>
      <c r="C2182" s="6" t="s">
        <v>11941</v>
      </c>
      <c r="D2182" s="7" t="s">
        <v>11942</v>
      </c>
      <c r="E2182" s="8" t="str">
        <f>HYPERLINK("http://twitter.com","Twitter Web Client")</f>
        <v>Twitter Web Client</v>
      </c>
      <c r="F2182" s="4">
        <v>39180.373124999998</v>
      </c>
      <c r="G2182" s="24" t="s">
        <v>171</v>
      </c>
      <c r="H2182" s="35" t="s">
        <v>11943</v>
      </c>
      <c r="I2182" s="10" t="s">
        <v>11944</v>
      </c>
    </row>
    <row r="2183" spans="1:9" s="31" customFormat="1" ht="45">
      <c r="A2183" s="4">
        <v>43559.047418981485</v>
      </c>
      <c r="B2183" s="5" t="str">
        <f>HYPERLINK("https://twitter.com/pygo33","@pygo33")</f>
        <v>@pygo33</v>
      </c>
      <c r="C2183" s="6" t="s">
        <v>11957</v>
      </c>
      <c r="D2183" s="7" t="s">
        <v>11958</v>
      </c>
      <c r="E2183" s="8" t="str">
        <f>HYPERLINK("http://twitter.com","Twitter Web Client")</f>
        <v>Twitter Web Client</v>
      </c>
      <c r="F2183" s="4">
        <v>39998.537349537037</v>
      </c>
      <c r="G2183" s="24" t="s">
        <v>171</v>
      </c>
      <c r="H2183" s="35" t="s">
        <v>11943</v>
      </c>
      <c r="I2183" s="10" t="s">
        <v>11959</v>
      </c>
    </row>
    <row r="2184" spans="1:9" s="31" customFormat="1" ht="60">
      <c r="A2184" s="19">
        <v>43551.558703703704</v>
      </c>
      <c r="B2184" s="20" t="str">
        <f>HYPERLINK("https://twitter.com/donadoni73","@donadoni73")</f>
        <v>@donadoni73</v>
      </c>
      <c r="C2184" s="21" t="s">
        <v>7132</v>
      </c>
      <c r="D2184" s="22" t="s">
        <v>7133</v>
      </c>
      <c r="E2184" s="23" t="str">
        <f>HYPERLINK("http://twitter.com","Twitter Web Client")</f>
        <v>Twitter Web Client</v>
      </c>
      <c r="F2184" s="19">
        <v>40300.264861111107</v>
      </c>
      <c r="G2184" s="24" t="s">
        <v>171</v>
      </c>
      <c r="H2184" s="35" t="s">
        <v>5757</v>
      </c>
      <c r="I2184" s="25" t="s">
        <v>7134</v>
      </c>
    </row>
    <row r="2185" spans="1:9" s="31" customFormat="1" ht="15">
      <c r="A2185" s="12">
        <v>43566.151967592596</v>
      </c>
      <c r="B2185" s="13" t="str">
        <f>HYPERLINK("https://twitter.com/mimmocu","@mimmocu")</f>
        <v>@mimmocu</v>
      </c>
      <c r="C2185" s="14" t="s">
        <v>5755</v>
      </c>
      <c r="D2185" s="15" t="s">
        <v>5756</v>
      </c>
      <c r="E2185" s="16" t="str">
        <f>HYPERLINK("http://twitter.com/download/iphone","Twitter for iPhone")</f>
        <v>Twitter for iPhone</v>
      </c>
      <c r="F2185" s="12">
        <v>40914.463796296295</v>
      </c>
      <c r="G2185" s="24" t="s">
        <v>171</v>
      </c>
      <c r="H2185" s="35" t="s">
        <v>5757</v>
      </c>
      <c r="I2185" s="18" t="s">
        <v>5758</v>
      </c>
    </row>
    <row r="2186" spans="1:9" s="31" customFormat="1" ht="120">
      <c r="A2186" s="19">
        <v>43544.721087962964</v>
      </c>
      <c r="B2186" s="20" t="str">
        <f>HYPERLINK("https://twitter.com/MilanGreeters","@MilanGreeters")</f>
        <v>@MilanGreeters</v>
      </c>
      <c r="C2186" s="21" t="s">
        <v>5170</v>
      </c>
      <c r="D2186" s="22" t="s">
        <v>9364</v>
      </c>
      <c r="E2186" s="23" t="str">
        <f>HYPERLINK("http://twitter.com/download/iphone","Twitter for iPhone")</f>
        <v>Twitter for iPhone</v>
      </c>
      <c r="F2186" s="19">
        <v>43276.577175925922</v>
      </c>
      <c r="G2186" s="24" t="s">
        <v>171</v>
      </c>
      <c r="H2186" s="35" t="s">
        <v>5172</v>
      </c>
      <c r="I2186" s="25" t="s">
        <v>5173</v>
      </c>
    </row>
    <row r="2187" spans="1:9" s="31" customFormat="1" ht="120">
      <c r="A2187" s="4">
        <v>43564.306631944448</v>
      </c>
      <c r="B2187" s="5" t="str">
        <f>HYPERLINK("https://twitter.com/MilanGreeters","@MilanGreeters")</f>
        <v>@MilanGreeters</v>
      </c>
      <c r="C2187" s="6" t="s">
        <v>5170</v>
      </c>
      <c r="D2187" s="7" t="s">
        <v>6698</v>
      </c>
      <c r="E2187" s="8" t="str">
        <f>HYPERLINK("http://twitter.com/download/iphone","Twitter for iPhone")</f>
        <v>Twitter for iPhone</v>
      </c>
      <c r="F2187" s="4">
        <v>43276.577175925922</v>
      </c>
      <c r="G2187" s="24" t="s">
        <v>171</v>
      </c>
      <c r="H2187" s="35" t="s">
        <v>5172</v>
      </c>
      <c r="I2187" s="10" t="s">
        <v>5173</v>
      </c>
    </row>
    <row r="2188" spans="1:9" s="31" customFormat="1" ht="120">
      <c r="A2188" s="12">
        <v>43567.31113425926</v>
      </c>
      <c r="B2188" s="13" t="str">
        <f>HYPERLINK("https://twitter.com/MilanGreeters","@MilanGreeters")</f>
        <v>@MilanGreeters</v>
      </c>
      <c r="C2188" s="14" t="s">
        <v>5170</v>
      </c>
      <c r="D2188" s="15" t="s">
        <v>5171</v>
      </c>
      <c r="E2188" s="16" t="str">
        <f>HYPERLINK("http://twitter.com/download/iphone","Twitter for iPhone")</f>
        <v>Twitter for iPhone</v>
      </c>
      <c r="F2188" s="12">
        <v>43276.577175925922</v>
      </c>
      <c r="G2188" s="24" t="s">
        <v>171</v>
      </c>
      <c r="H2188" s="35" t="s">
        <v>5172</v>
      </c>
      <c r="I2188" s="18" t="s">
        <v>5173</v>
      </c>
    </row>
    <row r="2189" spans="1:9" s="31" customFormat="1" ht="105">
      <c r="A2189" s="12">
        <v>43566.490682870368</v>
      </c>
      <c r="B2189" s="13" t="str">
        <f>HYPERLINK("https://twitter.com/tommyricci05","@tommyricci05")</f>
        <v>@tommyricci05</v>
      </c>
      <c r="C2189" s="14" t="s">
        <v>5488</v>
      </c>
      <c r="D2189" s="15" t="s">
        <v>5489</v>
      </c>
      <c r="E2189" s="16" t="str">
        <f>HYPERLINK("http://www.linkedin.com/","LinkedIn")</f>
        <v>LinkedIn</v>
      </c>
      <c r="F2189" s="12">
        <v>42078.727210648147</v>
      </c>
      <c r="G2189" s="24" t="s">
        <v>171</v>
      </c>
      <c r="H2189" s="35" t="s">
        <v>5172</v>
      </c>
      <c r="I2189" s="18" t="s">
        <v>5490</v>
      </c>
    </row>
    <row r="2190" spans="1:9" s="31" customFormat="1" ht="105">
      <c r="A2190" s="19">
        <v>43551.344131944439</v>
      </c>
      <c r="B2190" s="20" t="str">
        <f>HYPERLINK("https://twitter.com/MooreFeakins","@MooreFeakins")</f>
        <v>@MooreFeakins</v>
      </c>
      <c r="C2190" s="21" t="s">
        <v>7290</v>
      </c>
      <c r="D2190" s="22" t="s">
        <v>7291</v>
      </c>
      <c r="E2190" s="23" t="str">
        <f>HYPERLINK("http://twitter.com","Twitter Web Client")</f>
        <v>Twitter Web Client</v>
      </c>
      <c r="F2190" s="19">
        <v>43174.210185185184</v>
      </c>
      <c r="G2190" s="24" t="s">
        <v>171</v>
      </c>
      <c r="H2190" s="35" t="s">
        <v>7292</v>
      </c>
      <c r="I2190" s="25" t="s">
        <v>7293</v>
      </c>
    </row>
    <row r="2191" spans="1:9" s="31" customFormat="1" ht="60">
      <c r="A2191" s="19">
        <v>43551.214826388888</v>
      </c>
      <c r="B2191" s="20" t="str">
        <f>HYPERLINK("https://twitter.com/DinaHussain77","@DinaHussain77")</f>
        <v>@DinaHussain77</v>
      </c>
      <c r="C2191" s="21" t="s">
        <v>7394</v>
      </c>
      <c r="D2191" s="22" t="s">
        <v>7395</v>
      </c>
      <c r="E2191" s="23" t="str">
        <f>HYPERLINK("http://www.linkedin.com/","LinkedIn")</f>
        <v>LinkedIn</v>
      </c>
      <c r="F2191" s="19">
        <v>41544.102268518516</v>
      </c>
      <c r="G2191" s="24" t="s">
        <v>171</v>
      </c>
      <c r="H2191" s="35" t="s">
        <v>7292</v>
      </c>
      <c r="I2191" s="25" t="s">
        <v>7396</v>
      </c>
    </row>
    <row r="2192" spans="1:9" s="31" customFormat="1" ht="75">
      <c r="A2192" s="12">
        <v>43573.199108796296</v>
      </c>
      <c r="B2192" s="13" t="str">
        <f>HYPERLINK("https://twitter.com/borgobazziganta","@borgobazziganta")</f>
        <v>@borgobazziganta</v>
      </c>
      <c r="C2192" s="14" t="s">
        <v>2984</v>
      </c>
      <c r="D2192" s="15" t="s">
        <v>2985</v>
      </c>
      <c r="E2192" s="16" t="str">
        <f>HYPERLINK("http://instagram.com","Instagram")</f>
        <v>Instagram</v>
      </c>
      <c r="F2192" s="12">
        <v>42336.449965277774</v>
      </c>
      <c r="G2192" s="17" t="s">
        <v>171</v>
      </c>
      <c r="H2192" s="35" t="s">
        <v>2986</v>
      </c>
      <c r="I2192" s="18" t="s">
        <v>2987</v>
      </c>
    </row>
    <row r="2193" spans="1:9" s="31" customFormat="1" ht="60">
      <c r="A2193" s="4">
        <v>43563.178796296299</v>
      </c>
      <c r="B2193" s="5" t="str">
        <f>HYPERLINK("https://twitter.com/Fletch911","@Fletch911")</f>
        <v>@Fletch911</v>
      </c>
      <c r="C2193" s="6" t="s">
        <v>10443</v>
      </c>
      <c r="D2193" s="7" t="s">
        <v>10444</v>
      </c>
      <c r="E2193" s="8" t="str">
        <f>HYPERLINK("https://www.hootsuite.com","Hootsuite Inc.")</f>
        <v>Hootsuite Inc.</v>
      </c>
      <c r="F2193" s="4">
        <v>39916.411493055552</v>
      </c>
      <c r="G2193" s="9" t="s">
        <v>171</v>
      </c>
      <c r="H2193" s="35" t="s">
        <v>10445</v>
      </c>
      <c r="I2193" s="10" t="s">
        <v>10446</v>
      </c>
    </row>
    <row r="2194" spans="1:9" s="31" customFormat="1" ht="75">
      <c r="A2194" s="12">
        <v>43566.448055555556</v>
      </c>
      <c r="B2194" s="13" t="str">
        <f>HYPERLINK("https://twitter.com/bash1982","@bash1982")</f>
        <v>@bash1982</v>
      </c>
      <c r="C2194" s="14" t="s">
        <v>5521</v>
      </c>
      <c r="D2194" s="15" t="s">
        <v>5522</v>
      </c>
      <c r="E2194" s="16" t="str">
        <f>HYPERLINK("http://instagram.com","Instagram")</f>
        <v>Instagram</v>
      </c>
      <c r="F2194" s="12">
        <v>39932.496828703705</v>
      </c>
      <c r="G2194" s="17" t="s">
        <v>171</v>
      </c>
      <c r="H2194" s="35" t="s">
        <v>5523</v>
      </c>
      <c r="I2194" s="18"/>
    </row>
    <row r="2195" spans="1:9" s="31" customFormat="1" ht="45">
      <c r="A2195" s="4">
        <v>43560.417442129634</v>
      </c>
      <c r="B2195" s="5" t="str">
        <f>HYPERLINK("https://twitter.com/ideas4hotels","@ideas4hotels")</f>
        <v>@ideas4hotels</v>
      </c>
      <c r="C2195" s="6" t="s">
        <v>11390</v>
      </c>
      <c r="D2195" s="7" t="s">
        <v>11391</v>
      </c>
      <c r="E2195" s="8" t="str">
        <f>HYPERLINK("https://www.hootsuite.com","Hootsuite Inc.")</f>
        <v>Hootsuite Inc.</v>
      </c>
      <c r="F2195" s="4">
        <v>39932.267465277779</v>
      </c>
      <c r="G2195" s="17" t="s">
        <v>171</v>
      </c>
      <c r="H2195" s="35" t="s">
        <v>11392</v>
      </c>
      <c r="I2195" s="10" t="s">
        <v>11393</v>
      </c>
    </row>
    <row r="2196" spans="1:9" s="31" customFormat="1" ht="45">
      <c r="A2196" s="12">
        <v>43572.277372685188</v>
      </c>
      <c r="B2196" s="13" t="str">
        <f>HYPERLINK("https://twitter.com/itsoftgmbh","@itsoftgmbh")</f>
        <v>@itsoftgmbh</v>
      </c>
      <c r="C2196" s="14" t="s">
        <v>3350</v>
      </c>
      <c r="D2196" s="15" t="s">
        <v>3351</v>
      </c>
      <c r="E2196" s="16" t="str">
        <f>HYPERLINK("http://twitter.com/#!/download/ipad","Twitter for iPad")</f>
        <v>Twitter for iPad</v>
      </c>
      <c r="F2196" s="12">
        <v>42282.510162037041</v>
      </c>
      <c r="G2196" s="17" t="s">
        <v>171</v>
      </c>
      <c r="H2196" s="35" t="s">
        <v>3352</v>
      </c>
      <c r="I2196" s="18" t="s">
        <v>3353</v>
      </c>
    </row>
    <row r="2197" spans="1:9" s="31" customFormat="1" ht="45">
      <c r="A2197" s="12">
        <v>43570.026006944448</v>
      </c>
      <c r="B2197" s="13" t="str">
        <f>HYPERLINK("https://twitter.com/lvr_QuantIP","@lvr_QuantIP")</f>
        <v>@lvr_QuantIP</v>
      </c>
      <c r="C2197" s="14" t="s">
        <v>4363</v>
      </c>
      <c r="D2197" s="15" t="s">
        <v>4364</v>
      </c>
      <c r="E2197" s="16" t="str">
        <f>HYPERLINK("http://twitter.com","Twitter Web Client")</f>
        <v>Twitter Web Client</v>
      </c>
      <c r="F2197" s="12">
        <v>43108.076504629629</v>
      </c>
      <c r="G2197" s="17" t="s">
        <v>171</v>
      </c>
      <c r="H2197" s="35" t="s">
        <v>3352</v>
      </c>
      <c r="I2197" s="18" t="s">
        <v>4365</v>
      </c>
    </row>
    <row r="2198" spans="1:9" s="31" customFormat="1" ht="60">
      <c r="A2198" s="12">
        <v>43577.608935185184</v>
      </c>
      <c r="B2198" s="13" t="str">
        <f>HYPERLINK("https://twitter.com/victortofan","@victortofan")</f>
        <v>@victortofan</v>
      </c>
      <c r="C2198" s="14" t="s">
        <v>1545</v>
      </c>
      <c r="D2198" s="15" t="s">
        <v>1546</v>
      </c>
      <c r="E2198" s="16" t="str">
        <f>HYPERLINK("http://twitter.com/download/iphone","Twitter for iPhone")</f>
        <v>Twitter for iPhone</v>
      </c>
      <c r="F2198" s="12">
        <v>39856.093182870369</v>
      </c>
      <c r="G2198" s="17" t="s">
        <v>171</v>
      </c>
      <c r="H2198" s="35" t="s">
        <v>1547</v>
      </c>
      <c r="I2198" s="18" t="s">
        <v>1548</v>
      </c>
    </row>
    <row r="2199" spans="1:9" s="31" customFormat="1" ht="75">
      <c r="A2199" s="12">
        <v>43579.225474537037</v>
      </c>
      <c r="B2199" s="13" t="str">
        <f>HYPERLINK("https://twitter.com/ActonCapital","@ActonCapital")</f>
        <v>@ActonCapital</v>
      </c>
      <c r="C2199" s="14" t="s">
        <v>840</v>
      </c>
      <c r="D2199" s="15" t="s">
        <v>841</v>
      </c>
      <c r="E2199" s="16" t="str">
        <f>HYPERLINK("http://twitter.com","Twitter Web Client")</f>
        <v>Twitter Web Client</v>
      </c>
      <c r="F2199" s="12">
        <v>42629.021168981482</v>
      </c>
      <c r="G2199" s="17" t="s">
        <v>171</v>
      </c>
      <c r="H2199" s="35" t="s">
        <v>842</v>
      </c>
      <c r="I2199" s="18" t="s">
        <v>843</v>
      </c>
    </row>
    <row r="2200" spans="1:9" s="31" customFormat="1" ht="45">
      <c r="A2200" s="12">
        <v>43574.155150462961</v>
      </c>
      <c r="B2200" s="13" t="str">
        <f>HYPERLINK("https://twitter.com/PICollard","@PICollard")</f>
        <v>@PICollard</v>
      </c>
      <c r="C2200" s="14" t="s">
        <v>2662</v>
      </c>
      <c r="D2200" s="15" t="s">
        <v>2663</v>
      </c>
      <c r="E2200" s="16" t="str">
        <f>HYPERLINK("http://instagram.com","Instagram")</f>
        <v>Instagram</v>
      </c>
      <c r="F2200" s="12">
        <v>39935.483252314814</v>
      </c>
      <c r="G2200" s="17" t="s">
        <v>171</v>
      </c>
      <c r="H2200" s="35" t="s">
        <v>2664</v>
      </c>
      <c r="I2200" s="18" t="s">
        <v>2665</v>
      </c>
    </row>
    <row r="2201" spans="1:9" s="31" customFormat="1" ht="45">
      <c r="A2201" s="12">
        <v>43572.455740740741</v>
      </c>
      <c r="B2201" s="13" t="str">
        <f>HYPERLINK("https://twitter.com/PICollard","@PICollard")</f>
        <v>@PICollard</v>
      </c>
      <c r="C2201" s="14" t="s">
        <v>2662</v>
      </c>
      <c r="D2201" s="15" t="s">
        <v>3236</v>
      </c>
      <c r="E2201" s="16" t="str">
        <f>HYPERLINK("http://instagram.com","Instagram")</f>
        <v>Instagram</v>
      </c>
      <c r="F2201" s="12">
        <v>39935.483252314814</v>
      </c>
      <c r="G2201" s="17" t="s">
        <v>171</v>
      </c>
      <c r="H2201" s="35" t="s">
        <v>2664</v>
      </c>
      <c r="I2201" s="18" t="s">
        <v>2665</v>
      </c>
    </row>
    <row r="2202" spans="1:9" s="31" customFormat="1" ht="45">
      <c r="A2202" s="12">
        <v>43572.447164351848</v>
      </c>
      <c r="B2202" s="13" t="str">
        <f>HYPERLINK("https://twitter.com/PICollard","@PICollard")</f>
        <v>@PICollard</v>
      </c>
      <c r="C2202" s="14" t="s">
        <v>2662</v>
      </c>
      <c r="D2202" s="15" t="s">
        <v>3236</v>
      </c>
      <c r="E2202" s="16" t="str">
        <f>HYPERLINK("http://instagram.com","Instagram")</f>
        <v>Instagram</v>
      </c>
      <c r="F2202" s="12">
        <v>39935.483252314814</v>
      </c>
      <c r="G2202" s="17" t="s">
        <v>171</v>
      </c>
      <c r="H2202" s="35" t="s">
        <v>2664</v>
      </c>
      <c r="I2202" s="18" t="s">
        <v>2665</v>
      </c>
    </row>
    <row r="2203" spans="1:9" s="31" customFormat="1" ht="90">
      <c r="A2203" s="12">
        <v>43579.190925925926</v>
      </c>
      <c r="B2203" s="13" t="str">
        <f>HYPERLINK("https://twitter.com/SurefireShell","@SurefireShell")</f>
        <v>@SurefireShell</v>
      </c>
      <c r="C2203" s="14" t="s">
        <v>864</v>
      </c>
      <c r="D2203" s="15" t="s">
        <v>865</v>
      </c>
      <c r="E2203" s="16" t="str">
        <f>HYPERLINK("https://www.hootsuite.com","Hootsuite Inc.")</f>
        <v>Hootsuite Inc.</v>
      </c>
      <c r="F2203" s="12">
        <v>41253.167731481481</v>
      </c>
      <c r="G2203" s="17" t="s">
        <v>171</v>
      </c>
      <c r="H2203" s="35" t="s">
        <v>866</v>
      </c>
      <c r="I2203" s="18" t="s">
        <v>867</v>
      </c>
    </row>
    <row r="2204" spans="1:9" s="31" customFormat="1" ht="60">
      <c r="A2204" s="4">
        <v>43565.069710648153</v>
      </c>
      <c r="B2204" s="5" t="str">
        <f>HYPERLINK("https://twitter.com/RatInYourBoot","@RatInYourBoot")</f>
        <v>@RatInYourBoot</v>
      </c>
      <c r="C2204" s="6" t="s">
        <v>10186</v>
      </c>
      <c r="D2204" s="7" t="s">
        <v>10187</v>
      </c>
      <c r="E2204" s="8" t="str">
        <f>HYPERLINK("http://twitter.com","Twitter Web Client")</f>
        <v>Twitter Web Client</v>
      </c>
      <c r="F2204" s="4">
        <v>42236.433703703704</v>
      </c>
      <c r="G2204" s="9" t="s">
        <v>171</v>
      </c>
      <c r="H2204" s="35" t="s">
        <v>10188</v>
      </c>
      <c r="I2204" s="10" t="s">
        <v>10189</v>
      </c>
    </row>
    <row r="2205" spans="1:9" s="31" customFormat="1" ht="75">
      <c r="A2205" s="12">
        <v>43579.460219907407</v>
      </c>
      <c r="B2205" s="13" t="str">
        <f>HYPERLINK("https://twitter.com/Rogeliketweety","@Rogeliketweety")</f>
        <v>@Rogeliketweety</v>
      </c>
      <c r="C2205" s="14" t="s">
        <v>646</v>
      </c>
      <c r="D2205" s="15" t="s">
        <v>647</v>
      </c>
      <c r="E2205" s="16" t="str">
        <f>HYPERLINK("http://www.facebook.com/twitter","Facebook")</f>
        <v>Facebook</v>
      </c>
      <c r="F2205" s="12">
        <v>40368.394016203703</v>
      </c>
      <c r="G2205" s="17" t="s">
        <v>171</v>
      </c>
      <c r="H2205" s="35" t="s">
        <v>648</v>
      </c>
      <c r="I2205" s="18" t="s">
        <v>649</v>
      </c>
    </row>
    <row r="2206" spans="1:9" s="31" customFormat="1" ht="30">
      <c r="A2206" s="12">
        <v>43572.469675925924</v>
      </c>
      <c r="B2206" s="13" t="str">
        <f>HYPERLINK("https://twitter.com/thenordroom","@thenordroom")</f>
        <v>@thenordroom</v>
      </c>
      <c r="C2206" s="14" t="s">
        <v>3224</v>
      </c>
      <c r="D2206" s="15" t="s">
        <v>3225</v>
      </c>
      <c r="E2206" s="16" t="str">
        <f>HYPERLINK("http://twitter.com/download/android","Twitter for Android")</f>
        <v>Twitter for Android</v>
      </c>
      <c r="F2206" s="12">
        <v>42375.409525462965</v>
      </c>
      <c r="G2206" s="17" t="s">
        <v>171</v>
      </c>
      <c r="H2206" s="35" t="s">
        <v>648</v>
      </c>
      <c r="I2206" s="18" t="s">
        <v>3226</v>
      </c>
    </row>
    <row r="2207" spans="1:9" s="31" customFormat="1" ht="15">
      <c r="A2207" s="12">
        <v>43577.16777777778</v>
      </c>
      <c r="B2207" s="13" t="str">
        <f>HYPERLINK("https://twitter.com/internetbob","@internetbob")</f>
        <v>@internetbob</v>
      </c>
      <c r="C2207" s="14" t="s">
        <v>1728</v>
      </c>
      <c r="D2207" s="15" t="s">
        <v>12883</v>
      </c>
      <c r="E2207" s="16" t="str">
        <f>HYPERLINK("http://tapbots.com/tweetbot","Tweetbot for iΟS")</f>
        <v>Tweetbot for iΟS</v>
      </c>
      <c r="F2207" s="12">
        <v>39860.38899305556</v>
      </c>
      <c r="G2207" s="17" t="s">
        <v>171</v>
      </c>
      <c r="H2207" s="35" t="s">
        <v>1729</v>
      </c>
      <c r="I2207" s="18" t="s">
        <v>1730</v>
      </c>
    </row>
    <row r="2208" spans="1:9" s="31" customFormat="1" ht="30">
      <c r="A2208" s="4">
        <v>43561.385439814811</v>
      </c>
      <c r="B2208" s="5" t="str">
        <f>HYPERLINK("https://twitter.com/tracywood_m_p","@tracywood_m_p")</f>
        <v>@tracywood_m_p</v>
      </c>
      <c r="C2208" s="6" t="s">
        <v>10989</v>
      </c>
      <c r="D2208" s="7" t="s">
        <v>4798</v>
      </c>
      <c r="E2208" s="8" t="str">
        <f>HYPERLINK("http://hearsaysystems.com","Hearsay Social")</f>
        <v>Hearsay Social</v>
      </c>
      <c r="F2208" s="4">
        <v>42757.365497685183</v>
      </c>
      <c r="G2208" s="9" t="s">
        <v>171</v>
      </c>
      <c r="H2208" s="35" t="s">
        <v>10990</v>
      </c>
      <c r="I2208" s="10" t="s">
        <v>10991</v>
      </c>
    </row>
    <row r="2209" spans="1:9" s="31" customFormat="1" ht="45">
      <c r="A2209" s="12">
        <v>43566.325011574074</v>
      </c>
      <c r="B2209" s="13" t="str">
        <f>HYPERLINK("https://twitter.com/babutsidze","@babutsidze")</f>
        <v>@babutsidze</v>
      </c>
      <c r="C2209" s="14" t="s">
        <v>5660</v>
      </c>
      <c r="D2209" s="15" t="s">
        <v>5661</v>
      </c>
      <c r="E2209" s="16" t="str">
        <f>HYPERLINK("https://about.twitter.com/products/tweetdeck","TweetDeck")</f>
        <v>TweetDeck</v>
      </c>
      <c r="F2209" s="12">
        <v>40262.57949074074</v>
      </c>
      <c r="G2209" s="17" t="s">
        <v>171</v>
      </c>
      <c r="H2209" s="35" t="s">
        <v>5662</v>
      </c>
      <c r="I2209" s="18" t="s">
        <v>5663</v>
      </c>
    </row>
    <row r="2210" spans="1:9" s="31" customFormat="1" ht="105">
      <c r="A2210" s="12">
        <v>43567.346458333333</v>
      </c>
      <c r="B2210" s="13" t="str">
        <f>HYPERLINK("https://twitter.com/Tradicampo","@Tradicampo")</f>
        <v>@Tradicampo</v>
      </c>
      <c r="C2210" s="14" t="s">
        <v>5148</v>
      </c>
      <c r="D2210" s="15" t="s">
        <v>5149</v>
      </c>
      <c r="E2210" s="16" t="str">
        <f>HYPERLINK("http://www.facebook.com/twitter","Facebook")</f>
        <v>Facebook</v>
      </c>
      <c r="F2210" s="12">
        <v>41810.158553240741</v>
      </c>
      <c r="G2210" s="17" t="s">
        <v>171</v>
      </c>
      <c r="H2210" s="35" t="s">
        <v>5150</v>
      </c>
      <c r="I2210" s="18" t="s">
        <v>5151</v>
      </c>
    </row>
    <row r="2211" spans="1:9" s="31" customFormat="1" ht="45">
      <c r="A2211" s="12">
        <v>43570.077835648146</v>
      </c>
      <c r="B2211" s="13" t="str">
        <f>HYPERLINK("https://twitter.com/MrDanMck","@MrDanMck")</f>
        <v>@MrDanMck</v>
      </c>
      <c r="C2211" s="14" t="s">
        <v>4339</v>
      </c>
      <c r="D2211" s="15" t="s">
        <v>4340</v>
      </c>
      <c r="E2211" s="16" t="str">
        <f>HYPERLINK("http://instagram.com","Instagram")</f>
        <v>Instagram</v>
      </c>
      <c r="F2211" s="12">
        <v>39628.124016203699</v>
      </c>
      <c r="G2211" s="17" t="s">
        <v>171</v>
      </c>
      <c r="H2211" s="35" t="s">
        <v>4341</v>
      </c>
      <c r="I2211" s="18" t="s">
        <v>4342</v>
      </c>
    </row>
    <row r="2212" spans="1:9" s="31" customFormat="1" ht="45">
      <c r="A2212" s="12">
        <v>43566.524328703701</v>
      </c>
      <c r="B2212" s="13" t="str">
        <f>HYPERLINK("https://twitter.com/krsetab","@krsetab")</f>
        <v>@krsetab</v>
      </c>
      <c r="C2212" s="14" t="s">
        <v>5455</v>
      </c>
      <c r="D2212" s="15" t="s">
        <v>5456</v>
      </c>
      <c r="E2212" s="16" t="str">
        <f>HYPERLINK("http://twitter.com/download/iphone","Twitter for iPhone")</f>
        <v>Twitter for iPhone</v>
      </c>
      <c r="F2212" s="12">
        <v>39932.998715277776</v>
      </c>
      <c r="G2212" s="17" t="s">
        <v>171</v>
      </c>
      <c r="H2212" s="35" t="s">
        <v>5457</v>
      </c>
      <c r="I2212" s="18" t="s">
        <v>5458</v>
      </c>
    </row>
    <row r="2213" spans="1:9" s="31" customFormat="1" ht="90">
      <c r="A2213" s="4">
        <v>43564.200185185182</v>
      </c>
      <c r="B2213" s="5" t="str">
        <f>HYPERLINK("https://twitter.com/BigPicAgency","@BigPicAgency")</f>
        <v>@BigPicAgency</v>
      </c>
      <c r="C2213" s="6" t="s">
        <v>930</v>
      </c>
      <c r="D2213" s="7" t="s">
        <v>931</v>
      </c>
      <c r="E2213" s="8" t="str">
        <f>HYPERLINK("http://twitter.com/download/iphone","Twitter for iPhone")</f>
        <v>Twitter for iPhone</v>
      </c>
      <c r="F2213" s="4">
        <v>43118.154293981483</v>
      </c>
      <c r="G2213" s="17" t="s">
        <v>171</v>
      </c>
      <c r="H2213" s="35" t="s">
        <v>932</v>
      </c>
      <c r="I2213" s="10" t="s">
        <v>933</v>
      </c>
    </row>
    <row r="2214" spans="1:9" s="31" customFormat="1" ht="135">
      <c r="A2214" s="4">
        <v>43558.703240740739</v>
      </c>
      <c r="B2214" s="5" t="str">
        <f>HYPERLINK("https://twitter.com/Seraphimslair","@Seraphimslair")</f>
        <v>@Seraphimslair</v>
      </c>
      <c r="C2214" s="6" t="s">
        <v>12070</v>
      </c>
      <c r="D2214" s="7" t="s">
        <v>12071</v>
      </c>
      <c r="E2214" s="8" t="str">
        <f>HYPERLINK("http://twitter.com","Twitter Web Client")</f>
        <v>Twitter Web Client</v>
      </c>
      <c r="F2214" s="4">
        <v>41775.226168981484</v>
      </c>
      <c r="G2214" s="17" t="s">
        <v>171</v>
      </c>
      <c r="H2214" s="35" t="s">
        <v>932</v>
      </c>
      <c r="I2214" s="10" t="s">
        <v>12072</v>
      </c>
    </row>
    <row r="2215" spans="1:9" s="31" customFormat="1" ht="90">
      <c r="A2215" s="12">
        <v>43579.08662037037</v>
      </c>
      <c r="B2215" s="13" t="str">
        <f>HYPERLINK("https://twitter.com/BigPicAgency","@BigPicAgency")</f>
        <v>@BigPicAgency</v>
      </c>
      <c r="C2215" s="14" t="s">
        <v>930</v>
      </c>
      <c r="D2215" s="15" t="s">
        <v>931</v>
      </c>
      <c r="E2215" s="16" t="str">
        <f>HYPERLINK("http://twitter.com/download/iphone","Twitter for iPhone")</f>
        <v>Twitter for iPhone</v>
      </c>
      <c r="F2215" s="12">
        <v>43118.154293981483</v>
      </c>
      <c r="G2215" s="17" t="s">
        <v>171</v>
      </c>
      <c r="H2215" s="35" t="s">
        <v>932</v>
      </c>
      <c r="I2215" s="18" t="s">
        <v>933</v>
      </c>
    </row>
    <row r="2216" spans="1:9" s="31" customFormat="1" ht="30">
      <c r="A2216" s="4">
        <v>43565.05159722222</v>
      </c>
      <c r="B2216" s="5" t="str">
        <f>HYPERLINK("https://twitter.com/debdebgarrod","@debdebgarrod")</f>
        <v>@debdebgarrod</v>
      </c>
      <c r="C2216" s="6" t="s">
        <v>6324</v>
      </c>
      <c r="D2216" s="7" t="s">
        <v>6325</v>
      </c>
      <c r="E2216" s="8" t="str">
        <f>HYPERLINK("http://twitter.com/download/iphone","Twitter for iPhone")</f>
        <v>Twitter for iPhone</v>
      </c>
      <c r="F2216" s="4">
        <v>42667.969467592593</v>
      </c>
      <c r="G2216" s="17" t="s">
        <v>171</v>
      </c>
      <c r="H2216" s="35" t="s">
        <v>6326</v>
      </c>
      <c r="I2216" s="10" t="s">
        <v>6327</v>
      </c>
    </row>
    <row r="2217" spans="1:9" s="31" customFormat="1" ht="105">
      <c r="A2217" s="19">
        <v>43549.041828703703</v>
      </c>
      <c r="B2217" s="20" t="str">
        <f>HYPERLINK("https://twitter.com/iLetproperties","@iLetproperties")</f>
        <v>@iLetproperties</v>
      </c>
      <c r="C2217" s="21" t="s">
        <v>8183</v>
      </c>
      <c r="D2217" s="22" t="s">
        <v>8184</v>
      </c>
      <c r="E2217" s="23" t="str">
        <f>HYPERLINK("https://buffer.com","Buffer")</f>
        <v>Buffer</v>
      </c>
      <c r="F2217" s="19">
        <v>41773.491643518515</v>
      </c>
      <c r="G2217" s="17" t="s">
        <v>171</v>
      </c>
      <c r="H2217" s="35" t="s">
        <v>4153</v>
      </c>
      <c r="I2217" s="25" t="s">
        <v>8185</v>
      </c>
    </row>
    <row r="2218" spans="1:9" s="31" customFormat="1" ht="105">
      <c r="A2218" s="19">
        <v>43549.041678240741</v>
      </c>
      <c r="B2218" s="20" t="str">
        <f>HYPERLINK("https://twitter.com/iSellProp","@iSellProp")</f>
        <v>@iSellProp</v>
      </c>
      <c r="C2218" s="21" t="s">
        <v>8186</v>
      </c>
      <c r="D2218" s="22" t="s">
        <v>8184</v>
      </c>
      <c r="E2218" s="23" t="str">
        <f>HYPERLINK("https://buffer.com","Buffer")</f>
        <v>Buffer</v>
      </c>
      <c r="F2218" s="19">
        <v>42388.603368055556</v>
      </c>
      <c r="G2218" s="17" t="s">
        <v>171</v>
      </c>
      <c r="H2218" s="35" t="s">
        <v>4153</v>
      </c>
      <c r="I2218" s="25" t="s">
        <v>8187</v>
      </c>
    </row>
    <row r="2219" spans="1:9" s="31" customFormat="1" ht="90">
      <c r="A2219" s="19">
        <v>43547.375590277778</v>
      </c>
      <c r="B2219" s="20" t="str">
        <f>HYPERLINK("https://twitter.com/iLetproperties","@iLetproperties")</f>
        <v>@iLetproperties</v>
      </c>
      <c r="C2219" s="21" t="s">
        <v>8183</v>
      </c>
      <c r="D2219" s="22" t="s">
        <v>8575</v>
      </c>
      <c r="E2219" s="23" t="str">
        <f>HYPERLINK("https://buffer.com","Buffer")</f>
        <v>Buffer</v>
      </c>
      <c r="F2219" s="19">
        <v>41773.491643518515</v>
      </c>
      <c r="G2219" s="17" t="s">
        <v>171</v>
      </c>
      <c r="H2219" s="35" t="s">
        <v>4153</v>
      </c>
      <c r="I2219" s="25" t="s">
        <v>8185</v>
      </c>
    </row>
    <row r="2220" spans="1:9" s="31" customFormat="1" ht="90">
      <c r="A2220" s="19">
        <v>43547.375497685185</v>
      </c>
      <c r="B2220" s="20" t="str">
        <f>HYPERLINK("https://twitter.com/iSellProp","@iSellProp")</f>
        <v>@iSellProp</v>
      </c>
      <c r="C2220" s="21" t="s">
        <v>8186</v>
      </c>
      <c r="D2220" s="22" t="s">
        <v>8575</v>
      </c>
      <c r="E2220" s="23" t="str">
        <f>HYPERLINK("https://buffer.com","Buffer")</f>
        <v>Buffer</v>
      </c>
      <c r="F2220" s="19">
        <v>42388.603368055556</v>
      </c>
      <c r="G2220" s="17" t="s">
        <v>171</v>
      </c>
      <c r="H2220" s="35" t="s">
        <v>4153</v>
      </c>
      <c r="I2220" s="25" t="s">
        <v>8187</v>
      </c>
    </row>
    <row r="2221" spans="1:9" s="31" customFormat="1" ht="120">
      <c r="A2221" s="4">
        <v>43565.36336805555</v>
      </c>
      <c r="B2221" s="5" t="str">
        <f>HYPERLINK("https://twitter.com/PromProperties","@PromProperties")</f>
        <v>@PromProperties</v>
      </c>
      <c r="C2221" s="6" t="s">
        <v>4151</v>
      </c>
      <c r="D2221" s="7" t="s">
        <v>6146</v>
      </c>
      <c r="E2221" s="8" t="str">
        <f>HYPERLINK("http://twitter.com","Twitter Web Client")</f>
        <v>Twitter Web Client</v>
      </c>
      <c r="F2221" s="4">
        <v>43481.513032407413</v>
      </c>
      <c r="G2221" s="17" t="s">
        <v>171</v>
      </c>
      <c r="H2221" s="35" t="s">
        <v>4153</v>
      </c>
      <c r="I2221" s="10" t="s">
        <v>4154</v>
      </c>
    </row>
    <row r="2222" spans="1:9" s="31" customFormat="1" ht="120">
      <c r="A2222" s="12">
        <v>43570.430949074071</v>
      </c>
      <c r="B2222" s="13" t="str">
        <f>HYPERLINK("https://twitter.com/PromProperties","@PromProperties")</f>
        <v>@PromProperties</v>
      </c>
      <c r="C2222" s="14" t="s">
        <v>4151</v>
      </c>
      <c r="D2222" s="15" t="s">
        <v>4152</v>
      </c>
      <c r="E2222" s="16" t="str">
        <f>HYPERLINK("https://www.hootsuite.com","Hootsuite Inc.")</f>
        <v>Hootsuite Inc.</v>
      </c>
      <c r="F2222" s="12">
        <v>43481.513032407413</v>
      </c>
      <c r="G2222" s="17" t="s">
        <v>171</v>
      </c>
      <c r="H2222" s="35" t="s">
        <v>4153</v>
      </c>
      <c r="I2222" s="18" t="s">
        <v>4154</v>
      </c>
    </row>
    <row r="2223" spans="1:9" s="31" customFormat="1" ht="105">
      <c r="A2223" s="4">
        <v>43563.28396990741</v>
      </c>
      <c r="B2223" s="5" t="str">
        <f>HYPERLINK("https://twitter.com/Whereareweofft1","@Whereareweofft1")</f>
        <v>@Whereareweofft1</v>
      </c>
      <c r="C2223" s="6" t="s">
        <v>10406</v>
      </c>
      <c r="D2223" s="7" t="s">
        <v>10407</v>
      </c>
      <c r="E2223" s="8" t="str">
        <f>HYPERLINK("http://twitter.com","Twitter Web Client")</f>
        <v>Twitter Web Client</v>
      </c>
      <c r="F2223" s="4">
        <v>43330.277546296296</v>
      </c>
      <c r="G2223" s="9" t="s">
        <v>171</v>
      </c>
      <c r="H2223" s="35" t="s">
        <v>10408</v>
      </c>
      <c r="I2223" s="10" t="s">
        <v>10409</v>
      </c>
    </row>
    <row r="2224" spans="1:9" s="31" customFormat="1" ht="90">
      <c r="A2224" s="12">
        <v>43572.358344907407</v>
      </c>
      <c r="B2224" s="13" t="str">
        <f>HYPERLINK("https://twitter.com/iamjohnellison","@iamjohnellison")</f>
        <v>@iamjohnellison</v>
      </c>
      <c r="C2224" s="14" t="s">
        <v>3301</v>
      </c>
      <c r="D2224" s="15" t="s">
        <v>3302</v>
      </c>
      <c r="E2224" s="16" t="str">
        <f>HYPERLINK("https://buffer.com","Buffer")</f>
        <v>Buffer</v>
      </c>
      <c r="F2224" s="12">
        <v>41554.483576388891</v>
      </c>
      <c r="G2224" s="17" t="s">
        <v>171</v>
      </c>
      <c r="H2224" s="35" t="s">
        <v>3303</v>
      </c>
      <c r="I2224" s="18" t="s">
        <v>3304</v>
      </c>
    </row>
    <row r="2225" spans="1:9" s="31" customFormat="1" ht="90">
      <c r="A2225" s="4">
        <v>43560.309374999997</v>
      </c>
      <c r="B2225" s="5" t="str">
        <f>HYPERLINK("https://twitter.com/roboooc","@roboooc")</f>
        <v>@roboooc</v>
      </c>
      <c r="C2225" s="6" t="s">
        <v>11476</v>
      </c>
      <c r="D2225" s="7" t="s">
        <v>11477</v>
      </c>
      <c r="E2225" s="8" t="str">
        <f>HYPERLINK("http://twitter.com","Twitter Web Client")</f>
        <v>Twitter Web Client</v>
      </c>
      <c r="F2225" s="4">
        <v>39875.35324074074</v>
      </c>
      <c r="G2225" s="17" t="s">
        <v>171</v>
      </c>
      <c r="H2225" s="35" t="s">
        <v>11478</v>
      </c>
      <c r="I2225" s="10" t="s">
        <v>11479</v>
      </c>
    </row>
    <row r="2226" spans="1:9" s="31" customFormat="1" ht="105">
      <c r="A2226" s="4">
        <v>43560.23510416667</v>
      </c>
      <c r="B2226" s="5" t="str">
        <f>HYPERLINK("https://twitter.com/roboooc","@roboooc")</f>
        <v>@roboooc</v>
      </c>
      <c r="C2226" s="6" t="s">
        <v>11476</v>
      </c>
      <c r="D2226" s="7" t="s">
        <v>11546</v>
      </c>
      <c r="E2226" s="8" t="str">
        <f>HYPERLINK("http://twitter.com","Twitter Web Client")</f>
        <v>Twitter Web Client</v>
      </c>
      <c r="F2226" s="4">
        <v>39875.35324074074</v>
      </c>
      <c r="G2226" s="17" t="s">
        <v>171</v>
      </c>
      <c r="H2226" s="35" t="s">
        <v>11478</v>
      </c>
      <c r="I2226" s="10" t="s">
        <v>11479</v>
      </c>
    </row>
    <row r="2227" spans="1:9" s="31" customFormat="1" ht="45">
      <c r="A2227" s="4">
        <v>43560.232094907406</v>
      </c>
      <c r="B2227" s="5" t="str">
        <f>HYPERLINK("https://twitter.com/roboooc","@roboooc")</f>
        <v>@roboooc</v>
      </c>
      <c r="C2227" s="6" t="s">
        <v>11476</v>
      </c>
      <c r="D2227" s="7" t="s">
        <v>11550</v>
      </c>
      <c r="E2227" s="8" t="str">
        <f>HYPERLINK("http://twitter.com","Twitter Web Client")</f>
        <v>Twitter Web Client</v>
      </c>
      <c r="F2227" s="4">
        <v>39875.35324074074</v>
      </c>
      <c r="G2227" s="17" t="s">
        <v>171</v>
      </c>
      <c r="H2227" s="35" t="s">
        <v>11478</v>
      </c>
      <c r="I2227" s="10" t="s">
        <v>11479</v>
      </c>
    </row>
    <row r="2228" spans="1:9" s="31" customFormat="1" ht="90">
      <c r="A2228" s="19">
        <v>43549.841712962967</v>
      </c>
      <c r="B2228" s="20" t="str">
        <f>HYPERLINK("https://twitter.com/Loriann22","@Loriann22")</f>
        <v>@Loriann22</v>
      </c>
      <c r="C2228" s="21" t="s">
        <v>7896</v>
      </c>
      <c r="D2228" s="22" t="s">
        <v>7897</v>
      </c>
      <c r="E2228" s="23" t="str">
        <f>HYPERLINK("http://twitter.com/download/iphone","Twitter for iPhone")</f>
        <v>Twitter for iPhone</v>
      </c>
      <c r="F2228" s="19">
        <v>39895.453136574077</v>
      </c>
      <c r="G2228" s="17" t="s">
        <v>171</v>
      </c>
      <c r="H2228" s="35" t="s">
        <v>7898</v>
      </c>
      <c r="I2228" s="25" t="s">
        <v>7899</v>
      </c>
    </row>
    <row r="2229" spans="1:9" s="31" customFormat="1" ht="90">
      <c r="A2229" s="12">
        <v>43571.196284722224</v>
      </c>
      <c r="B2229" s="13" t="str">
        <f>HYPERLINK("https://twitter.com/Kalkii","@Kalkii")</f>
        <v>@Kalkii</v>
      </c>
      <c r="C2229" s="14" t="s">
        <v>3802</v>
      </c>
      <c r="D2229" s="15" t="s">
        <v>3803</v>
      </c>
      <c r="E2229" s="16" t="str">
        <f>HYPERLINK("http://twitter.com","Twitter Web Client")</f>
        <v>Twitter Web Client</v>
      </c>
      <c r="F2229" s="12">
        <v>39927.616840277777</v>
      </c>
      <c r="G2229" s="17" t="s">
        <v>171</v>
      </c>
      <c r="H2229" s="35" t="s">
        <v>3804</v>
      </c>
      <c r="I2229" s="18" t="s">
        <v>3805</v>
      </c>
    </row>
    <row r="2230" spans="1:9" s="31" customFormat="1" ht="105">
      <c r="A2230" s="12">
        <v>43580.654479166667</v>
      </c>
      <c r="B2230" s="13" t="str">
        <f>HYPERLINK("https://twitter.com/LovellPropguru","@LovellPropguru")</f>
        <v>@LovellPropguru</v>
      </c>
      <c r="C2230" s="14" t="s">
        <v>161</v>
      </c>
      <c r="D2230" s="15" t="s">
        <v>162</v>
      </c>
      <c r="E2230" s="16" t="str">
        <f>HYPERLINK("http://twitter.com/#!/download/ipad","Twitter for iPad")</f>
        <v>Twitter for iPad</v>
      </c>
      <c r="F2230" s="12">
        <v>41446.995092592595</v>
      </c>
      <c r="G2230" s="17" t="s">
        <v>171</v>
      </c>
      <c r="H2230" s="35" t="s">
        <v>163</v>
      </c>
      <c r="I2230" s="18" t="s">
        <v>164</v>
      </c>
    </row>
    <row r="2231" spans="1:9" s="31" customFormat="1" ht="90">
      <c r="A2231" s="4">
        <v>43565.792766203704</v>
      </c>
      <c r="B2231" s="5" t="str">
        <f>HYPERLINK("https://twitter.com/OlafFoss","@OlafFoss")</f>
        <v>@OlafFoss</v>
      </c>
      <c r="C2231" s="6" t="s">
        <v>5894</v>
      </c>
      <c r="D2231" s="7" t="s">
        <v>5895</v>
      </c>
      <c r="E2231" s="8" t="str">
        <f>HYPERLINK("http://twitter.com","Twitter Web Client")</f>
        <v>Twitter Web Client</v>
      </c>
      <c r="F2231" s="4">
        <v>41501.442476851851</v>
      </c>
      <c r="G2231" s="9" t="s">
        <v>171</v>
      </c>
      <c r="H2231" s="35" t="s">
        <v>5896</v>
      </c>
      <c r="I2231" s="10" t="s">
        <v>5897</v>
      </c>
    </row>
    <row r="2232" spans="1:9" s="31" customFormat="1" ht="105">
      <c r="A2232" s="4">
        <v>43565.082673611112</v>
      </c>
      <c r="B2232" s="5" t="str">
        <f>HYPERLINK("https://twitter.com/ondemandbarbers","@ondemandbarbers")</f>
        <v>@ondemandbarbers</v>
      </c>
      <c r="C2232" s="6" t="s">
        <v>6295</v>
      </c>
      <c r="D2232" s="7" t="s">
        <v>6296</v>
      </c>
      <c r="E2232" s="8" t="str">
        <f>HYPERLINK("http://twitter.com","Twitter Web Client")</f>
        <v>Twitter Web Client</v>
      </c>
      <c r="F2232" s="4">
        <v>42968.730092592596</v>
      </c>
      <c r="G2232" s="9" t="s">
        <v>171</v>
      </c>
      <c r="H2232" s="35" t="s">
        <v>6297</v>
      </c>
      <c r="I2232" s="10" t="s">
        <v>6298</v>
      </c>
    </row>
    <row r="2233" spans="1:9" s="31" customFormat="1" ht="90">
      <c r="A2233" s="19">
        <v>43550.167002314818</v>
      </c>
      <c r="B2233" s="20" t="str">
        <f t="shared" ref="B2233:B2240" si="92">HYPERLINK("https://twitter.com/bredon_hill","@bredon_hill")</f>
        <v>@bredon_hill</v>
      </c>
      <c r="C2233" s="21" t="s">
        <v>1662</v>
      </c>
      <c r="D2233" s="22" t="s">
        <v>7801</v>
      </c>
      <c r="E2233" s="23" t="str">
        <f t="shared" ref="E2233:E2240" si="93">HYPERLINK("http://meetedgar.com","Meet Edgar")</f>
        <v>Meet Edgar</v>
      </c>
      <c r="F2233" s="19">
        <v>43504.092245370368</v>
      </c>
      <c r="G2233" s="9" t="s">
        <v>171</v>
      </c>
      <c r="H2233" s="35" t="s">
        <v>1664</v>
      </c>
      <c r="I2233" s="25" t="s">
        <v>1665</v>
      </c>
    </row>
    <row r="2234" spans="1:9" s="31" customFormat="1" ht="45">
      <c r="A2234" s="19">
        <v>43549.375451388885</v>
      </c>
      <c r="B2234" s="20" t="str">
        <f t="shared" si="92"/>
        <v>@bredon_hill</v>
      </c>
      <c r="C2234" s="21" t="s">
        <v>1662</v>
      </c>
      <c r="D2234" s="22" t="s">
        <v>8073</v>
      </c>
      <c r="E2234" s="23" t="str">
        <f t="shared" si="93"/>
        <v>Meet Edgar</v>
      </c>
      <c r="F2234" s="19">
        <v>43504.092245370368</v>
      </c>
      <c r="G2234" s="9" t="s">
        <v>171</v>
      </c>
      <c r="H2234" s="35" t="s">
        <v>1664</v>
      </c>
      <c r="I2234" s="25" t="s">
        <v>1665</v>
      </c>
    </row>
    <row r="2235" spans="1:9" s="31" customFormat="1" ht="45">
      <c r="A2235" s="19">
        <v>43543.395868055552</v>
      </c>
      <c r="B2235" s="20" t="str">
        <f t="shared" si="92"/>
        <v>@bredon_hill</v>
      </c>
      <c r="C2235" s="21" t="s">
        <v>1662</v>
      </c>
      <c r="D2235" s="22" t="s">
        <v>9830</v>
      </c>
      <c r="E2235" s="23" t="str">
        <f t="shared" si="93"/>
        <v>Meet Edgar</v>
      </c>
      <c r="F2235" s="19">
        <v>43504.092245370368</v>
      </c>
      <c r="G2235" s="9" t="s">
        <v>171</v>
      </c>
      <c r="H2235" s="35" t="s">
        <v>1664</v>
      </c>
      <c r="I2235" s="25" t="s">
        <v>1665</v>
      </c>
    </row>
    <row r="2236" spans="1:9" s="31" customFormat="1" ht="75">
      <c r="A2236" s="4">
        <v>43563.334097222221</v>
      </c>
      <c r="B2236" s="5" t="str">
        <f t="shared" si="92"/>
        <v>@bredon_hill</v>
      </c>
      <c r="C2236" s="6" t="s">
        <v>1662</v>
      </c>
      <c r="D2236" s="7" t="s">
        <v>10361</v>
      </c>
      <c r="E2236" s="8" t="str">
        <f t="shared" si="93"/>
        <v>Meet Edgar</v>
      </c>
      <c r="F2236" s="4">
        <v>43504.092245370368</v>
      </c>
      <c r="G2236" s="9" t="s">
        <v>171</v>
      </c>
      <c r="H2236" s="35" t="s">
        <v>1664</v>
      </c>
      <c r="I2236" s="10" t="s">
        <v>1665</v>
      </c>
    </row>
    <row r="2237" spans="1:9" s="31" customFormat="1" ht="75">
      <c r="A2237" s="4">
        <v>43560.354189814811</v>
      </c>
      <c r="B2237" s="5" t="str">
        <f t="shared" si="92"/>
        <v>@bredon_hill</v>
      </c>
      <c r="C2237" s="6" t="s">
        <v>1662</v>
      </c>
      <c r="D2237" s="7" t="s">
        <v>11434</v>
      </c>
      <c r="E2237" s="8" t="str">
        <f t="shared" si="93"/>
        <v>Meet Edgar</v>
      </c>
      <c r="F2237" s="4">
        <v>43504.092245370368</v>
      </c>
      <c r="G2237" s="9" t="s">
        <v>171</v>
      </c>
      <c r="H2237" s="35" t="s">
        <v>1664</v>
      </c>
      <c r="I2237" s="10" t="s">
        <v>1665</v>
      </c>
    </row>
    <row r="2238" spans="1:9" s="31" customFormat="1" ht="75">
      <c r="A2238" s="12">
        <v>43577.334155092598</v>
      </c>
      <c r="B2238" s="13" t="str">
        <f t="shared" si="92"/>
        <v>@bredon_hill</v>
      </c>
      <c r="C2238" s="14" t="s">
        <v>1662</v>
      </c>
      <c r="D2238" s="15" t="s">
        <v>1663</v>
      </c>
      <c r="E2238" s="16" t="str">
        <f t="shared" si="93"/>
        <v>Meet Edgar</v>
      </c>
      <c r="F2238" s="12">
        <v>43504.092245370368</v>
      </c>
      <c r="G2238" s="9" t="s">
        <v>171</v>
      </c>
      <c r="H2238" s="35" t="s">
        <v>1664</v>
      </c>
      <c r="I2238" s="18" t="s">
        <v>1665</v>
      </c>
    </row>
    <row r="2239" spans="1:9" s="31" customFormat="1" ht="75">
      <c r="A2239" s="12">
        <v>43570.333796296298</v>
      </c>
      <c r="B2239" s="13" t="str">
        <f t="shared" si="92"/>
        <v>@bredon_hill</v>
      </c>
      <c r="C2239" s="14" t="s">
        <v>1662</v>
      </c>
      <c r="D2239" s="15" t="s">
        <v>4218</v>
      </c>
      <c r="E2239" s="16" t="str">
        <f t="shared" si="93"/>
        <v>Meet Edgar</v>
      </c>
      <c r="F2239" s="12">
        <v>43504.092245370368</v>
      </c>
      <c r="G2239" s="9" t="s">
        <v>171</v>
      </c>
      <c r="H2239" s="35" t="s">
        <v>1664</v>
      </c>
      <c r="I2239" s="18" t="s">
        <v>1665</v>
      </c>
    </row>
    <row r="2240" spans="1:9" s="31" customFormat="1" ht="60">
      <c r="A2240" s="12">
        <v>43567.354178240741</v>
      </c>
      <c r="B2240" s="13" t="str">
        <f t="shared" si="92"/>
        <v>@bredon_hill</v>
      </c>
      <c r="C2240" s="14" t="s">
        <v>1662</v>
      </c>
      <c r="D2240" s="15" t="s">
        <v>5141</v>
      </c>
      <c r="E2240" s="16" t="str">
        <f t="shared" si="93"/>
        <v>Meet Edgar</v>
      </c>
      <c r="F2240" s="12">
        <v>43504.092245370368</v>
      </c>
      <c r="G2240" s="9" t="s">
        <v>171</v>
      </c>
      <c r="H2240" s="35" t="s">
        <v>1664</v>
      </c>
      <c r="I2240" s="18" t="s">
        <v>1665</v>
      </c>
    </row>
    <row r="2241" spans="1:9" s="31" customFormat="1" ht="90">
      <c r="A2241" s="12">
        <v>43573.117071759261</v>
      </c>
      <c r="B2241" s="13" t="str">
        <f>HYPERLINK("https://twitter.com/PennySinclairOx","@PennySinclairOx")</f>
        <v>@PennySinclairOx</v>
      </c>
      <c r="C2241" s="14" t="s">
        <v>2998</v>
      </c>
      <c r="D2241" s="15" t="s">
        <v>2999</v>
      </c>
      <c r="E2241" s="16" t="str">
        <f>HYPERLINK("http://twitter.com","Twitter Web Client")</f>
        <v>Twitter Web Client</v>
      </c>
      <c r="F2241" s="12">
        <v>40932.368842592594</v>
      </c>
      <c r="G2241" s="9" t="s">
        <v>171</v>
      </c>
      <c r="H2241" s="35" t="s">
        <v>3000</v>
      </c>
      <c r="I2241" s="18" t="s">
        <v>3001</v>
      </c>
    </row>
    <row r="2242" spans="1:9" s="31" customFormat="1" ht="45">
      <c r="A2242" s="12">
        <v>43568.559467592597</v>
      </c>
      <c r="B2242" s="13" t="str">
        <f>HYPERLINK("https://twitter.com/AirbnbOxford","@AirbnbOxford")</f>
        <v>@AirbnbOxford</v>
      </c>
      <c r="C2242" s="14" t="s">
        <v>4703</v>
      </c>
      <c r="D2242" s="15" t="s">
        <v>4704</v>
      </c>
      <c r="E2242" s="16" t="str">
        <f>HYPERLINK("http://twitter.com/download/android","Twitter for Android")</f>
        <v>Twitter for Android</v>
      </c>
      <c r="F2242" s="12">
        <v>43441.117384259254</v>
      </c>
      <c r="G2242" s="9" t="s">
        <v>171</v>
      </c>
      <c r="H2242" s="35" t="s">
        <v>3000</v>
      </c>
      <c r="I2242" s="18" t="s">
        <v>4705</v>
      </c>
    </row>
    <row r="2243" spans="1:9" s="31" customFormat="1" ht="45">
      <c r="A2243" s="12">
        <v>43567.145960648151</v>
      </c>
      <c r="B2243" s="13" t="str">
        <f>HYPERLINK("https://twitter.com/AirbnbOxford","@AirbnbOxford")</f>
        <v>@AirbnbOxford</v>
      </c>
      <c r="C2243" s="14" t="s">
        <v>4703</v>
      </c>
      <c r="D2243" s="15" t="s">
        <v>5229</v>
      </c>
      <c r="E2243" s="16" t="str">
        <f>HYPERLINK("http://twitter.com/download/android","Twitter for Android")</f>
        <v>Twitter for Android</v>
      </c>
      <c r="F2243" s="12">
        <v>43441.117384259254</v>
      </c>
      <c r="G2243" s="9" t="s">
        <v>171</v>
      </c>
      <c r="H2243" s="35" t="s">
        <v>3000</v>
      </c>
      <c r="I2243" s="18" t="s">
        <v>4705</v>
      </c>
    </row>
    <row r="2244" spans="1:9" s="31" customFormat="1" ht="75">
      <c r="A2244" s="4">
        <v>43559.458414351851</v>
      </c>
      <c r="B2244" s="5" t="str">
        <f>HYPERLINK("https://twitter.com/Els_SocialScien","@Els_SocialScien")</f>
        <v>@Els_SocialScien</v>
      </c>
      <c r="C2244" s="6" t="s">
        <v>11813</v>
      </c>
      <c r="D2244" s="7" t="s">
        <v>11814</v>
      </c>
      <c r="E2244" s="8" t="str">
        <f>HYPERLINK("https://www.spredfast.com/","Spredfast app")</f>
        <v>Spredfast app</v>
      </c>
      <c r="F2244" s="4">
        <v>41120.086921296301</v>
      </c>
      <c r="G2244" s="9" t="s">
        <v>171</v>
      </c>
      <c r="H2244" s="35" t="s">
        <v>11815</v>
      </c>
      <c r="I2244" s="10" t="s">
        <v>11816</v>
      </c>
    </row>
    <row r="2245" spans="1:9" s="31" customFormat="1" ht="60">
      <c r="A2245" s="12">
        <v>43568.992719907408</v>
      </c>
      <c r="B2245" s="13" t="str">
        <f>HYPERLINK("https://twitter.com/jose_garde","@jose_garde")</f>
        <v>@jose_garde</v>
      </c>
      <c r="C2245" s="14" t="s">
        <v>4611</v>
      </c>
      <c r="D2245" s="15" t="s">
        <v>4612</v>
      </c>
      <c r="E2245" s="16" t="str">
        <f>HYPERLINK("http://twitter.com","Twitter Web Client")</f>
        <v>Twitter Web Client</v>
      </c>
      <c r="F2245" s="12">
        <v>41648.629560185189</v>
      </c>
      <c r="G2245" s="17" t="s">
        <v>171</v>
      </c>
      <c r="H2245" s="35" t="s">
        <v>4613</v>
      </c>
      <c r="I2245" s="18" t="s">
        <v>4614</v>
      </c>
    </row>
    <row r="2246" spans="1:9" s="31" customFormat="1" ht="45">
      <c r="A2246" s="12">
        <v>43573.722349537042</v>
      </c>
      <c r="B2246" s="13" t="str">
        <f>HYPERLINK("https://twitter.com/darthclaudiaa","@darthclaudiaa")</f>
        <v>@darthclaudiaa</v>
      </c>
      <c r="C2246" s="14" t="s">
        <v>2759</v>
      </c>
      <c r="D2246" s="15" t="s">
        <v>12819</v>
      </c>
      <c r="E2246" s="16" t="str">
        <f>HYPERLINK("http://twitter.com","Twitter Web Client")</f>
        <v>Twitter Web Client</v>
      </c>
      <c r="F2246" s="12">
        <v>40521.8747337963</v>
      </c>
      <c r="G2246" s="24" t="s">
        <v>171</v>
      </c>
      <c r="H2246" s="35" t="s">
        <v>2760</v>
      </c>
      <c r="I2246" s="18" t="s">
        <v>2761</v>
      </c>
    </row>
    <row r="2247" spans="1:9" s="31" customFormat="1" ht="45">
      <c r="A2247" s="19">
        <v>43547.894201388888</v>
      </c>
      <c r="B2247" s="20" t="str">
        <f>HYPERLINK("https://twitter.com/youssefrahoui","@youssefrahoui")</f>
        <v>@youssefrahoui</v>
      </c>
      <c r="C2247" s="21" t="s">
        <v>8453</v>
      </c>
      <c r="D2247" s="22" t="s">
        <v>8454</v>
      </c>
      <c r="E2247" s="23" t="str">
        <f>HYPERLINK("http://twitter.com/download/iphone","Twitter for iPhone")</f>
        <v>Twitter for iPhone</v>
      </c>
      <c r="F2247" s="19">
        <v>41346.414594907408</v>
      </c>
      <c r="G2247" s="24" t="s">
        <v>171</v>
      </c>
      <c r="H2247" s="35" t="s">
        <v>295</v>
      </c>
      <c r="I2247" s="25" t="s">
        <v>8455</v>
      </c>
    </row>
    <row r="2248" spans="1:9" s="31" customFormat="1" ht="60">
      <c r="A2248" s="4">
        <v>43559.052361111113</v>
      </c>
      <c r="B2248" s="5" t="str">
        <f>HYPERLINK("https://twitter.com/BeMyGuestWorld","@BeMyGuestWorld")</f>
        <v>@BeMyGuestWorld</v>
      </c>
      <c r="C2248" s="6" t="s">
        <v>1410</v>
      </c>
      <c r="D2248" s="7" t="s">
        <v>11955</v>
      </c>
      <c r="E2248" s="8" t="str">
        <f>HYPERLINK("http://twitter.com/download/iphone","Twitter for iPhone")</f>
        <v>Twitter for iPhone</v>
      </c>
      <c r="F2248" s="4">
        <v>41061.191099537034</v>
      </c>
      <c r="G2248" s="24" t="s">
        <v>171</v>
      </c>
      <c r="H2248" s="35" t="s">
        <v>1412</v>
      </c>
      <c r="I2248" s="10" t="s">
        <v>1413</v>
      </c>
    </row>
    <row r="2249" spans="1:9" s="31" customFormat="1" ht="30">
      <c r="A2249" s="12">
        <v>43580.087824074071</v>
      </c>
      <c r="B2249" s="13" t="str">
        <f>HYPERLINK("https://twitter.com/havefunguys_com","@havefunguys_com")</f>
        <v>@havefunguys_com</v>
      </c>
      <c r="C2249" s="14" t="s">
        <v>293</v>
      </c>
      <c r="D2249" s="15" t="s">
        <v>294</v>
      </c>
      <c r="E2249" s="16" t="str">
        <f>HYPERLINK("http://twitter.com/download/iphone","Twitter for iPhone")</f>
        <v>Twitter for iPhone</v>
      </c>
      <c r="F2249" s="12">
        <v>40922.518587962964</v>
      </c>
      <c r="G2249" s="24" t="s">
        <v>171</v>
      </c>
      <c r="H2249" s="35" t="s">
        <v>295</v>
      </c>
      <c r="I2249" s="18" t="s">
        <v>296</v>
      </c>
    </row>
    <row r="2250" spans="1:9" s="31" customFormat="1" ht="45">
      <c r="A2250" s="12">
        <v>43578.039652777778</v>
      </c>
      <c r="B2250" s="13" t="str">
        <f t="shared" ref="B2250:B2255" si="94">HYPERLINK("https://twitter.com/BeMyGuestWorld","@BeMyGuestWorld")</f>
        <v>@BeMyGuestWorld</v>
      </c>
      <c r="C2250" s="14" t="s">
        <v>1410</v>
      </c>
      <c r="D2250" s="15" t="s">
        <v>1411</v>
      </c>
      <c r="E2250" s="16" t="str">
        <f>HYPERLINK("http://www.facebook.com/twitter","Facebook")</f>
        <v>Facebook</v>
      </c>
      <c r="F2250" s="12">
        <v>41061.191099537034</v>
      </c>
      <c r="G2250" s="24" t="s">
        <v>171</v>
      </c>
      <c r="H2250" s="35" t="s">
        <v>1412</v>
      </c>
      <c r="I2250" s="18" t="s">
        <v>1413</v>
      </c>
    </row>
    <row r="2251" spans="1:9" s="31" customFormat="1" ht="75">
      <c r="A2251" s="12">
        <v>43574.995752314819</v>
      </c>
      <c r="B2251" s="13" t="str">
        <f t="shared" si="94"/>
        <v>@BeMyGuestWorld</v>
      </c>
      <c r="C2251" s="14" t="s">
        <v>1410</v>
      </c>
      <c r="D2251" s="15" t="s">
        <v>2396</v>
      </c>
      <c r="E2251" s="16" t="str">
        <f>HYPERLINK("http://instagram.com","Instagram")</f>
        <v>Instagram</v>
      </c>
      <c r="F2251" s="12">
        <v>41061.191099537034</v>
      </c>
      <c r="G2251" s="24" t="s">
        <v>171</v>
      </c>
      <c r="H2251" s="35" t="s">
        <v>1412</v>
      </c>
      <c r="I2251" s="18" t="s">
        <v>1413</v>
      </c>
    </row>
    <row r="2252" spans="1:9" s="31" customFormat="1" ht="75">
      <c r="A2252" s="12">
        <v>43574.984444444446</v>
      </c>
      <c r="B2252" s="13" t="str">
        <f t="shared" si="94"/>
        <v>@BeMyGuestWorld</v>
      </c>
      <c r="C2252" s="14" t="s">
        <v>1410</v>
      </c>
      <c r="D2252" s="15" t="s">
        <v>2396</v>
      </c>
      <c r="E2252" s="16" t="str">
        <f>HYPERLINK("http://instagram.com","Instagram")</f>
        <v>Instagram</v>
      </c>
      <c r="F2252" s="12">
        <v>41061.191099537034</v>
      </c>
      <c r="G2252" s="24" t="s">
        <v>171</v>
      </c>
      <c r="H2252" s="35" t="s">
        <v>1412</v>
      </c>
      <c r="I2252" s="18" t="s">
        <v>1413</v>
      </c>
    </row>
    <row r="2253" spans="1:9" s="31" customFormat="1" ht="75">
      <c r="A2253" s="12">
        <v>43574.043923611112</v>
      </c>
      <c r="B2253" s="13" t="str">
        <f t="shared" si="94"/>
        <v>@BeMyGuestWorld</v>
      </c>
      <c r="C2253" s="14" t="s">
        <v>1410</v>
      </c>
      <c r="D2253" s="15" t="s">
        <v>2680</v>
      </c>
      <c r="E2253" s="16" t="str">
        <f>HYPERLINK("http://instagram.com","Instagram")</f>
        <v>Instagram</v>
      </c>
      <c r="F2253" s="12">
        <v>41061.191099537034</v>
      </c>
      <c r="G2253" s="24" t="s">
        <v>171</v>
      </c>
      <c r="H2253" s="35" t="s">
        <v>1412</v>
      </c>
      <c r="I2253" s="18" t="s">
        <v>1413</v>
      </c>
    </row>
    <row r="2254" spans="1:9" s="31" customFormat="1" ht="75">
      <c r="A2254" s="12">
        <v>43574.041678240741</v>
      </c>
      <c r="B2254" s="13" t="str">
        <f t="shared" si="94"/>
        <v>@BeMyGuestWorld</v>
      </c>
      <c r="C2254" s="14" t="s">
        <v>1410</v>
      </c>
      <c r="D2254" s="15" t="s">
        <v>2680</v>
      </c>
      <c r="E2254" s="16" t="str">
        <f>HYPERLINK("http://instagram.com","Instagram")</f>
        <v>Instagram</v>
      </c>
      <c r="F2254" s="12">
        <v>41061.191099537034</v>
      </c>
      <c r="G2254" s="24" t="s">
        <v>171</v>
      </c>
      <c r="H2254" s="35" t="s">
        <v>1412</v>
      </c>
      <c r="I2254" s="18" t="s">
        <v>1413</v>
      </c>
    </row>
    <row r="2255" spans="1:9" s="31" customFormat="1" ht="75">
      <c r="A2255" s="12">
        <v>43574.038518518515</v>
      </c>
      <c r="B2255" s="13" t="str">
        <f t="shared" si="94"/>
        <v>@BeMyGuestWorld</v>
      </c>
      <c r="C2255" s="14" t="s">
        <v>1410</v>
      </c>
      <c r="D2255" s="15" t="s">
        <v>2680</v>
      </c>
      <c r="E2255" s="16" t="str">
        <f>HYPERLINK("http://instagram.com","Instagram")</f>
        <v>Instagram</v>
      </c>
      <c r="F2255" s="12">
        <v>41061.191099537034</v>
      </c>
      <c r="G2255" s="24" t="s">
        <v>171</v>
      </c>
      <c r="H2255" s="35" t="s">
        <v>1412</v>
      </c>
      <c r="I2255" s="18" t="s">
        <v>1413</v>
      </c>
    </row>
    <row r="2256" spans="1:9" s="31" customFormat="1" ht="90">
      <c r="A2256" s="12">
        <v>43571.169108796297</v>
      </c>
      <c r="B2256" s="13" t="str">
        <f>HYPERLINK("https://twitter.com/Anneiscooking","@Anneiscooking")</f>
        <v>@Anneiscooking</v>
      </c>
      <c r="C2256" s="14" t="s">
        <v>3822</v>
      </c>
      <c r="D2256" s="15" t="s">
        <v>3823</v>
      </c>
      <c r="E2256" s="16" t="str">
        <f>HYPERLINK("http://www.facebook.com/twitter","Facebook")</f>
        <v>Facebook</v>
      </c>
      <c r="F2256" s="12">
        <v>40626.302812499998</v>
      </c>
      <c r="G2256" s="24" t="s">
        <v>171</v>
      </c>
      <c r="H2256" s="35" t="s">
        <v>295</v>
      </c>
      <c r="I2256" s="18" t="s">
        <v>3824</v>
      </c>
    </row>
    <row r="2257" spans="1:9" s="31" customFormat="1" ht="75">
      <c r="A2257" s="12">
        <v>43568.135624999995</v>
      </c>
      <c r="B2257" s="13" t="str">
        <f>HYPERLINK("https://twitter.com/BeMyGuestWorld","@BeMyGuestWorld")</f>
        <v>@BeMyGuestWorld</v>
      </c>
      <c r="C2257" s="14" t="s">
        <v>1410</v>
      </c>
      <c r="D2257" s="15" t="s">
        <v>4865</v>
      </c>
      <c r="E2257" s="16" t="str">
        <f>HYPERLINK("http://instagram.com","Instagram")</f>
        <v>Instagram</v>
      </c>
      <c r="F2257" s="12">
        <v>41061.191099537034</v>
      </c>
      <c r="G2257" s="24" t="s">
        <v>171</v>
      </c>
      <c r="H2257" s="35" t="s">
        <v>1412</v>
      </c>
      <c r="I2257" s="18" t="s">
        <v>1413</v>
      </c>
    </row>
    <row r="2258" spans="1:9" s="31" customFormat="1" ht="105">
      <c r="A2258" s="12">
        <v>43571.957685185189</v>
      </c>
      <c r="B2258" s="13" t="str">
        <f>HYPERLINK("https://twitter.com/jppalazo","@jppalazo")</f>
        <v>@jppalazo</v>
      </c>
      <c r="C2258" s="14" t="s">
        <v>3483</v>
      </c>
      <c r="D2258" s="15" t="s">
        <v>3484</v>
      </c>
      <c r="E2258" s="16" t="str">
        <f>HYPERLINK("http://twitter.com/download/android","Twitter for Android")</f>
        <v>Twitter for Android</v>
      </c>
      <c r="F2258" s="12">
        <v>40257.642430555556</v>
      </c>
      <c r="G2258" s="24" t="s">
        <v>171</v>
      </c>
      <c r="H2258" s="35" t="s">
        <v>3485</v>
      </c>
      <c r="I2258" s="18" t="s">
        <v>3486</v>
      </c>
    </row>
    <row r="2259" spans="1:9" s="31" customFormat="1" ht="60">
      <c r="A2259" s="19">
        <v>43544.027858796297</v>
      </c>
      <c r="B2259" s="20" t="str">
        <f>HYPERLINK("https://twitter.com/curiosity_keys","@curiosity_keys")</f>
        <v>@curiosity_keys</v>
      </c>
      <c r="C2259" s="21" t="s">
        <v>9631</v>
      </c>
      <c r="D2259" s="22" t="s">
        <v>9632</v>
      </c>
      <c r="E2259" s="23" t="str">
        <f>HYPERLINK("http://twitter.com","Twitter Web Client")</f>
        <v>Twitter Web Client</v>
      </c>
      <c r="F2259" s="19">
        <v>43476.388252314813</v>
      </c>
      <c r="G2259" s="24" t="s">
        <v>171</v>
      </c>
      <c r="H2259" s="35" t="s">
        <v>9633</v>
      </c>
      <c r="I2259" s="25" t="s">
        <v>9634</v>
      </c>
    </row>
    <row r="2260" spans="1:9" s="31" customFormat="1" ht="45">
      <c r="A2260" s="19">
        <v>43550.409826388888</v>
      </c>
      <c r="B2260" s="20" t="str">
        <f>HYPERLINK("https://twitter.com/regisassaad","@regisassaad")</f>
        <v>@regisassaad</v>
      </c>
      <c r="C2260" s="21" t="s">
        <v>7683</v>
      </c>
      <c r="D2260" s="22" t="s">
        <v>7684</v>
      </c>
      <c r="E2260" s="23" t="str">
        <f>HYPERLINK("https://www.hootsuite.com","Hootsuite Inc.")</f>
        <v>Hootsuite Inc.</v>
      </c>
      <c r="F2260" s="19">
        <v>41409.376689814817</v>
      </c>
      <c r="G2260" s="24" t="s">
        <v>171</v>
      </c>
      <c r="H2260" s="35" t="s">
        <v>7685</v>
      </c>
      <c r="I2260" s="25" t="s">
        <v>7686</v>
      </c>
    </row>
    <row r="2261" spans="1:9" s="31" customFormat="1" ht="60">
      <c r="A2261" s="12">
        <v>43567.306944444441</v>
      </c>
      <c r="B2261" s="13" t="str">
        <f>HYPERLINK("https://twitter.com/JeremydiMeglio","@JeremydiMeglio")</f>
        <v>@JeremydiMeglio</v>
      </c>
      <c r="C2261" s="14" t="s">
        <v>5175</v>
      </c>
      <c r="D2261" s="15" t="s">
        <v>405</v>
      </c>
      <c r="E2261" s="16" t="str">
        <f>HYPERLINK("https://buffer.com","Buffer")</f>
        <v>Buffer</v>
      </c>
      <c r="F2261" s="12">
        <v>40956.327453703707</v>
      </c>
      <c r="G2261" s="24" t="s">
        <v>171</v>
      </c>
      <c r="H2261" s="35" t="s">
        <v>5176</v>
      </c>
      <c r="I2261" s="18" t="s">
        <v>5177</v>
      </c>
    </row>
    <row r="2262" spans="1:9" s="31" customFormat="1" ht="45">
      <c r="A2262" s="19">
        <v>43549.958634259259</v>
      </c>
      <c r="B2262" s="20" t="str">
        <f>HYPERLINK("https://twitter.com/amanda__betty","@amanda__betty")</f>
        <v>@amanda__betty</v>
      </c>
      <c r="C2262" s="21" t="s">
        <v>7866</v>
      </c>
      <c r="D2262" s="22" t="s">
        <v>7867</v>
      </c>
      <c r="E2262" s="23" t="str">
        <f>HYPERLINK("http://twitter.com/download/iphone","Twitter for iPhone")</f>
        <v>Twitter for iPhone</v>
      </c>
      <c r="F2262" s="19">
        <v>39728.931770833333</v>
      </c>
      <c r="G2262" s="24" t="s">
        <v>171</v>
      </c>
      <c r="H2262" s="35" t="s">
        <v>7868</v>
      </c>
      <c r="I2262" s="25" t="s">
        <v>7869</v>
      </c>
    </row>
    <row r="2263" spans="1:9" s="31" customFormat="1" ht="60">
      <c r="A2263" s="19">
        <v>43551.338206018518</v>
      </c>
      <c r="B2263" s="20" t="str">
        <f>HYPERLINK("https://twitter.com/ExpatsinParis","@ExpatsinParis")</f>
        <v>@ExpatsinParis</v>
      </c>
      <c r="C2263" s="21" t="s">
        <v>7298</v>
      </c>
      <c r="D2263" s="22" t="s">
        <v>7299</v>
      </c>
      <c r="E2263" s="23" t="str">
        <f>HYPERLINK("https://buffer.com","Buffer")</f>
        <v>Buffer</v>
      </c>
      <c r="F2263" s="19">
        <v>41292.139965277776</v>
      </c>
      <c r="G2263" s="24" t="s">
        <v>171</v>
      </c>
      <c r="H2263" s="35" t="s">
        <v>276</v>
      </c>
      <c r="I2263" s="25" t="s">
        <v>7300</v>
      </c>
    </row>
    <row r="2264" spans="1:9" s="31" customFormat="1" ht="30">
      <c r="A2264" s="19">
        <v>43551.135324074072</v>
      </c>
      <c r="B2264" s="20" t="str">
        <f>HYPERLINK("https://twitter.com/wendicong","@wendicong")</f>
        <v>@wendicong</v>
      </c>
      <c r="C2264" s="21" t="s">
        <v>7425</v>
      </c>
      <c r="D2264" s="22" t="s">
        <v>7426</v>
      </c>
      <c r="E2264" s="23" t="str">
        <f>HYPERLINK("http://twitter.com","Twitter Web Client")</f>
        <v>Twitter Web Client</v>
      </c>
      <c r="F2264" s="19">
        <v>40660.27989583333</v>
      </c>
      <c r="G2264" s="24" t="s">
        <v>171</v>
      </c>
      <c r="H2264" s="35" t="s">
        <v>276</v>
      </c>
      <c r="I2264" s="25" t="s">
        <v>7427</v>
      </c>
    </row>
    <row r="2265" spans="1:9" s="31" customFormat="1" ht="105">
      <c r="A2265" s="19">
        <v>43550.538298611107</v>
      </c>
      <c r="B2265" s="20" t="str">
        <f>HYPERLINK("https://twitter.com/MIPIMPropTech","@MIPIMPropTech")</f>
        <v>@MIPIMPropTech</v>
      </c>
      <c r="C2265" s="21" t="s">
        <v>7617</v>
      </c>
      <c r="D2265" s="22" t="s">
        <v>7618</v>
      </c>
      <c r="E2265" s="23" t="str">
        <f>HYPERLINK("http://www.scoop.it","Scoop.it")</f>
        <v>Scoop.it</v>
      </c>
      <c r="F2265" s="19">
        <v>42830.302835648152</v>
      </c>
      <c r="G2265" s="24" t="s">
        <v>171</v>
      </c>
      <c r="H2265" s="35" t="s">
        <v>276</v>
      </c>
      <c r="I2265" s="25" t="s">
        <v>7619</v>
      </c>
    </row>
    <row r="2266" spans="1:9" s="31" customFormat="1" ht="75">
      <c r="A2266" s="19">
        <v>43546.420277777783</v>
      </c>
      <c r="B2266" s="20" t="str">
        <f>HYPERLINK("https://twitter.com/manud70","@manud70")</f>
        <v>@manud70</v>
      </c>
      <c r="C2266" s="21" t="s">
        <v>1212</v>
      </c>
      <c r="D2266" s="22" t="s">
        <v>8869</v>
      </c>
      <c r="E2266" s="23" t="str">
        <f>HYPERLINK("https://ifttt.com","IFTTT")</f>
        <v>IFTTT</v>
      </c>
      <c r="F2266" s="19">
        <v>39900.347557870373</v>
      </c>
      <c r="G2266" s="24" t="s">
        <v>171</v>
      </c>
      <c r="H2266" s="35" t="s">
        <v>1214</v>
      </c>
      <c r="I2266" s="25" t="s">
        <v>1215</v>
      </c>
    </row>
    <row r="2267" spans="1:9" s="31" customFormat="1" ht="75">
      <c r="A2267" s="19">
        <v>43546.381782407407</v>
      </c>
      <c r="B2267" s="20" t="str">
        <f>HYPERLINK("https://twitter.com/manud70","@manud70")</f>
        <v>@manud70</v>
      </c>
      <c r="C2267" s="21" t="s">
        <v>1212</v>
      </c>
      <c r="D2267" s="22" t="s">
        <v>8878</v>
      </c>
      <c r="E2267" s="23" t="str">
        <f>HYPERLINK("http://instagram.com","Instagram")</f>
        <v>Instagram</v>
      </c>
      <c r="F2267" s="19">
        <v>39900.347557870373</v>
      </c>
      <c r="G2267" s="24" t="s">
        <v>171</v>
      </c>
      <c r="H2267" s="35" t="s">
        <v>1214</v>
      </c>
      <c r="I2267" s="25" t="s">
        <v>1215</v>
      </c>
    </row>
    <row r="2268" spans="1:9" s="31" customFormat="1" ht="60">
      <c r="A2268" s="19">
        <v>43546.066875000004</v>
      </c>
      <c r="B2268" s="20" t="str">
        <f>HYPERLINK("https://twitter.com/manud70","@manud70")</f>
        <v>@manud70</v>
      </c>
      <c r="C2268" s="21" t="s">
        <v>1212</v>
      </c>
      <c r="D2268" s="22" t="s">
        <v>8971</v>
      </c>
      <c r="E2268" s="23" t="str">
        <f>HYPERLINK("http://instagram.com","Instagram")</f>
        <v>Instagram</v>
      </c>
      <c r="F2268" s="19">
        <v>39900.347557870373</v>
      </c>
      <c r="G2268" s="24" t="s">
        <v>171</v>
      </c>
      <c r="H2268" s="35" t="s">
        <v>1214</v>
      </c>
      <c r="I2268" s="25" t="s">
        <v>1215</v>
      </c>
    </row>
    <row r="2269" spans="1:9" s="31" customFormat="1" ht="105">
      <c r="A2269" s="4">
        <v>43563.420787037037</v>
      </c>
      <c r="B2269" s="5" t="str">
        <f>HYPERLINK("https://twitter.com/manud70","@manud70")</f>
        <v>@manud70</v>
      </c>
      <c r="C2269" s="6" t="s">
        <v>1212</v>
      </c>
      <c r="D2269" s="7" t="s">
        <v>10293</v>
      </c>
      <c r="E2269" s="8" t="str">
        <f>HYPERLINK("https://ifttt.com","IFTTT")</f>
        <v>IFTTT</v>
      </c>
      <c r="F2269" s="4">
        <v>39900.347557870373</v>
      </c>
      <c r="G2269" s="24" t="s">
        <v>171</v>
      </c>
      <c r="H2269" s="35" t="s">
        <v>1214</v>
      </c>
      <c r="I2269" s="10" t="s">
        <v>1215</v>
      </c>
    </row>
    <row r="2270" spans="1:9" s="31" customFormat="1" ht="45">
      <c r="A2270" s="4">
        <v>43563.107187500005</v>
      </c>
      <c r="B2270" s="5" t="str">
        <f>HYPERLINK("https://twitter.com/AllianzPartners","@AllianzPartners")</f>
        <v>@AllianzPartners</v>
      </c>
      <c r="C2270" s="6" t="s">
        <v>10459</v>
      </c>
      <c r="D2270" s="7" t="s">
        <v>10460</v>
      </c>
      <c r="E2270" s="8" t="str">
        <f>HYPERLINK("http://twitter.com","Twitter Web Client")</f>
        <v>Twitter Web Client</v>
      </c>
      <c r="F2270" s="4">
        <v>42431.169583333336</v>
      </c>
      <c r="G2270" s="24" t="s">
        <v>171</v>
      </c>
      <c r="H2270" s="35" t="s">
        <v>276</v>
      </c>
      <c r="I2270" s="10" t="s">
        <v>10461</v>
      </c>
    </row>
    <row r="2271" spans="1:9" s="31" customFormat="1" ht="75">
      <c r="A2271" s="4">
        <v>43563.088784722218</v>
      </c>
      <c r="B2271" s="5" t="str">
        <f>HYPERLINK("https://twitter.com/manud70","@manud70")</f>
        <v>@manud70</v>
      </c>
      <c r="C2271" s="6" t="s">
        <v>1212</v>
      </c>
      <c r="D2271" s="7" t="s">
        <v>10471</v>
      </c>
      <c r="E2271" s="8" t="str">
        <f>HYPERLINK("http://instagram.com","Instagram")</f>
        <v>Instagram</v>
      </c>
      <c r="F2271" s="4">
        <v>39900.347557870373</v>
      </c>
      <c r="G2271" s="24" t="s">
        <v>171</v>
      </c>
      <c r="H2271" s="35" t="s">
        <v>1214</v>
      </c>
      <c r="I2271" s="10" t="s">
        <v>1215</v>
      </c>
    </row>
    <row r="2272" spans="1:9" s="31" customFormat="1" ht="45">
      <c r="A2272" s="4">
        <v>43561.229733796295</v>
      </c>
      <c r="B2272" s="5" t="str">
        <f>HYPERLINK("https://twitter.com/SophTac","@SophTac")</f>
        <v>@SophTac</v>
      </c>
      <c r="C2272" s="6" t="s">
        <v>11020</v>
      </c>
      <c r="D2272" s="7" t="s">
        <v>11021</v>
      </c>
      <c r="E2272" s="8" t="str">
        <f>HYPERLINK("http://twitter.com/download/iphone","Twitter for iPhone")</f>
        <v>Twitter for iPhone</v>
      </c>
      <c r="F2272" s="4">
        <v>42409.21025462963</v>
      </c>
      <c r="G2272" s="24" t="s">
        <v>171</v>
      </c>
      <c r="H2272" s="35" t="s">
        <v>276</v>
      </c>
      <c r="I2272" s="10" t="s">
        <v>11022</v>
      </c>
    </row>
    <row r="2273" spans="1:9" s="31" customFormat="1" ht="75">
      <c r="A2273" s="4">
        <v>43559.16815972222</v>
      </c>
      <c r="B2273" s="5" t="str">
        <f>HYPERLINK("https://twitter.com/PersonalParis1","@PersonalParis1")</f>
        <v>@PersonalParis1</v>
      </c>
      <c r="C2273" s="6" t="s">
        <v>11925</v>
      </c>
      <c r="D2273" s="7" t="s">
        <v>11926</v>
      </c>
      <c r="E2273" s="8" t="str">
        <f>HYPERLINK("http://instagram.com","Instagram")</f>
        <v>Instagram</v>
      </c>
      <c r="F2273" s="4">
        <v>42719.002592592587</v>
      </c>
      <c r="G2273" s="24" t="s">
        <v>171</v>
      </c>
      <c r="H2273" s="35" t="s">
        <v>276</v>
      </c>
      <c r="I2273" s="10" t="s">
        <v>11927</v>
      </c>
    </row>
    <row r="2274" spans="1:9" s="31" customFormat="1" ht="30">
      <c r="A2274" s="4">
        <v>43558.708738425921</v>
      </c>
      <c r="B2274" s="5" t="str">
        <f>HYPERLINK("https://twitter.com/VogueParis","@VogueParis")</f>
        <v>@VogueParis</v>
      </c>
      <c r="C2274" s="5" t="s">
        <v>12062</v>
      </c>
      <c r="D2274" s="7" t="s">
        <v>12063</v>
      </c>
      <c r="E2274" s="8" t="str">
        <f>HYPERLINK("https://www.echobox.com","Echobox Social")</f>
        <v>Echobox Social</v>
      </c>
      <c r="F2274" s="4">
        <v>39693.271527777775</v>
      </c>
      <c r="G2274" s="24" t="s">
        <v>171</v>
      </c>
      <c r="H2274" s="35" t="s">
        <v>276</v>
      </c>
      <c r="I2274" s="10" t="s">
        <v>12064</v>
      </c>
    </row>
    <row r="2275" spans="1:9" s="31" customFormat="1" ht="45">
      <c r="A2275" s="12">
        <v>43580.104641203703</v>
      </c>
      <c r="B2275" s="13" t="str">
        <f>HYPERLINK("https://twitter.com/grison_eileen","@grison_eileen")</f>
        <v>@grison_eileen</v>
      </c>
      <c r="C2275" s="14" t="s">
        <v>274</v>
      </c>
      <c r="D2275" s="15" t="s">
        <v>275</v>
      </c>
      <c r="E2275" s="16" t="str">
        <f>HYPERLINK("http://twitter.com/download/iphone","Twitter for iPhone")</f>
        <v>Twitter for iPhone</v>
      </c>
      <c r="F2275" s="12">
        <v>41719.420127314814</v>
      </c>
      <c r="G2275" s="24" t="s">
        <v>171</v>
      </c>
      <c r="H2275" s="35" t="s">
        <v>276</v>
      </c>
      <c r="I2275" s="18" t="s">
        <v>277</v>
      </c>
    </row>
    <row r="2276" spans="1:9" s="31" customFormat="1" ht="45">
      <c r="A2276" s="12">
        <v>43580.100717592592</v>
      </c>
      <c r="B2276" s="13" t="str">
        <f>HYPERLINK("https://twitter.com/LBretonNicolas","@LBretonNicolas")</f>
        <v>@LBretonNicolas</v>
      </c>
      <c r="C2276" s="14" t="s">
        <v>278</v>
      </c>
      <c r="D2276" s="15" t="s">
        <v>279</v>
      </c>
      <c r="E2276" s="16" t="str">
        <f>HYPERLINK("https://www.hootsuite.com","Hootsuite Inc.")</f>
        <v>Hootsuite Inc.</v>
      </c>
      <c r="F2276" s="12">
        <v>41421.270046296297</v>
      </c>
      <c r="G2276" s="24" t="s">
        <v>171</v>
      </c>
      <c r="H2276" s="35" t="s">
        <v>276</v>
      </c>
      <c r="I2276" s="18" t="s">
        <v>280</v>
      </c>
    </row>
    <row r="2277" spans="1:9" s="31" customFormat="1" ht="45">
      <c r="A2277" s="12">
        <v>43578.420844907407</v>
      </c>
      <c r="B2277" s="13" t="str">
        <f>HYPERLINK("https://twitter.com/manud70","@manud70")</f>
        <v>@manud70</v>
      </c>
      <c r="C2277" s="14" t="s">
        <v>1212</v>
      </c>
      <c r="D2277" s="15" t="s">
        <v>1213</v>
      </c>
      <c r="E2277" s="16" t="str">
        <f>HYPERLINK("https://ifttt.com","IFTTT")</f>
        <v>IFTTT</v>
      </c>
      <c r="F2277" s="12">
        <v>39900.347557870373</v>
      </c>
      <c r="G2277" s="24" t="s">
        <v>171</v>
      </c>
      <c r="H2277" s="35" t="s">
        <v>1214</v>
      </c>
      <c r="I2277" s="18" t="s">
        <v>1215</v>
      </c>
    </row>
    <row r="2278" spans="1:9" s="31" customFormat="1" ht="60">
      <c r="A2278" s="12">
        <v>43577.420844907407</v>
      </c>
      <c r="B2278" s="13" t="str">
        <f>HYPERLINK("https://twitter.com/manud70","@manud70")</f>
        <v>@manud70</v>
      </c>
      <c r="C2278" s="14" t="s">
        <v>1212</v>
      </c>
      <c r="D2278" s="15" t="s">
        <v>1642</v>
      </c>
      <c r="E2278" s="16" t="str">
        <f>HYPERLINK("https://ifttt.com","IFTTT")</f>
        <v>IFTTT</v>
      </c>
      <c r="F2278" s="12">
        <v>39900.347557870373</v>
      </c>
      <c r="G2278" s="24" t="s">
        <v>171</v>
      </c>
      <c r="H2278" s="35" t="s">
        <v>1214</v>
      </c>
      <c r="I2278" s="18" t="s">
        <v>1215</v>
      </c>
    </row>
    <row r="2279" spans="1:9" s="31" customFormat="1" ht="45">
      <c r="A2279" s="12">
        <v>43575.174259259264</v>
      </c>
      <c r="B2279" s="13" t="str">
        <f>HYPERLINK("https://twitter.com/etoileservice75","@etoileservice75")</f>
        <v>@etoileservice75</v>
      </c>
      <c r="C2279" s="14" t="s">
        <v>2350</v>
      </c>
      <c r="D2279" s="15" t="s">
        <v>2351</v>
      </c>
      <c r="E2279" s="16" t="str">
        <f>HYPERLINK("http://twitter.com","Twitter Web Client")</f>
        <v>Twitter Web Client</v>
      </c>
      <c r="F2279" s="12">
        <v>43089.084918981476</v>
      </c>
      <c r="G2279" s="24" t="s">
        <v>171</v>
      </c>
      <c r="H2279" s="35" t="s">
        <v>276</v>
      </c>
      <c r="I2279" s="18" t="s">
        <v>2352</v>
      </c>
    </row>
    <row r="2280" spans="1:9" s="31" customFormat="1" ht="45">
      <c r="A2280" s="12">
        <v>43573.023194444446</v>
      </c>
      <c r="B2280" s="13" t="str">
        <f>HYPERLINK("https://twitter.com/etoileservice75","@etoileservice75")</f>
        <v>@etoileservice75</v>
      </c>
      <c r="C2280" s="14" t="s">
        <v>2350</v>
      </c>
      <c r="D2280" s="15" t="s">
        <v>3028</v>
      </c>
      <c r="E2280" s="16" t="str">
        <f>HYPERLINK("http://twitter.com","Twitter Web Client")</f>
        <v>Twitter Web Client</v>
      </c>
      <c r="F2280" s="12">
        <v>43089.084918981476</v>
      </c>
      <c r="G2280" s="24" t="s">
        <v>171</v>
      </c>
      <c r="H2280" s="35" t="s">
        <v>276</v>
      </c>
      <c r="I2280" s="18" t="s">
        <v>2352</v>
      </c>
    </row>
    <row r="2281" spans="1:9" s="31" customFormat="1" ht="45">
      <c r="A2281" s="12">
        <v>43571.141458333332</v>
      </c>
      <c r="B2281" s="13" t="str">
        <f>HYPERLINK("https://twitter.com/TheAfricaReport","@TheAfricaReport")</f>
        <v>@TheAfricaReport</v>
      </c>
      <c r="C2281" s="14" t="s">
        <v>3834</v>
      </c>
      <c r="D2281" s="15" t="s">
        <v>3835</v>
      </c>
      <c r="E2281" s="16" t="str">
        <f>HYPERLINK("http://twitter.com","Twitter Web Client")</f>
        <v>Twitter Web Client</v>
      </c>
      <c r="F2281" s="12">
        <v>39792.141736111109</v>
      </c>
      <c r="G2281" s="24" t="s">
        <v>171</v>
      </c>
      <c r="H2281" s="35" t="s">
        <v>276</v>
      </c>
      <c r="I2281" s="18" t="s">
        <v>3836</v>
      </c>
    </row>
    <row r="2282" spans="1:9" s="31" customFormat="1" ht="45">
      <c r="A2282" s="12">
        <v>43567.400081018517</v>
      </c>
      <c r="B2282" s="13" t="str">
        <f>HYPERLINK("https://twitter.com/A_Melikishvili","@A_Melikishvili")</f>
        <v>@A_Melikishvili</v>
      </c>
      <c r="C2282" s="14" t="s">
        <v>5121</v>
      </c>
      <c r="D2282" s="15" t="s">
        <v>5122</v>
      </c>
      <c r="E2282" s="16" t="str">
        <f>HYPERLINK("http://twitter.com","Twitter Web Client")</f>
        <v>Twitter Web Client</v>
      </c>
      <c r="F2282" s="12">
        <v>42402.307395833333</v>
      </c>
      <c r="G2282" s="24" t="s">
        <v>171</v>
      </c>
      <c r="H2282" s="35" t="s">
        <v>276</v>
      </c>
      <c r="I2282" s="18" t="s">
        <v>5123</v>
      </c>
    </row>
    <row r="2283" spans="1:9" s="31" customFormat="1" ht="60">
      <c r="A2283" s="19">
        <v>43550.250115740739</v>
      </c>
      <c r="B2283" s="20" t="str">
        <f>HYPERLINK("https://twitter.com/tumturk_egemen","@tumturk_egemen")</f>
        <v>@tumturk_egemen</v>
      </c>
      <c r="C2283" s="21" t="s">
        <v>7764</v>
      </c>
      <c r="D2283" s="22" t="s">
        <v>7765</v>
      </c>
      <c r="E2283" s="23" t="str">
        <f>HYPERLINK("https://buffer.com","Buffer")</f>
        <v>Buffer</v>
      </c>
      <c r="F2283" s="19">
        <v>40620.43277777778</v>
      </c>
      <c r="G2283" s="24" t="s">
        <v>171</v>
      </c>
      <c r="H2283" s="35" t="s">
        <v>7766</v>
      </c>
      <c r="I2283" s="25" t="s">
        <v>7767</v>
      </c>
    </row>
    <row r="2284" spans="1:9" s="31" customFormat="1" ht="105">
      <c r="A2284" s="12">
        <v>43579.475462962961</v>
      </c>
      <c r="B2284" s="13" t="str">
        <f>HYPERLINK("https://twitter.com/stayatnarvalley","@stayatnarvalley")</f>
        <v>@stayatnarvalley</v>
      </c>
      <c r="C2284" s="14" t="s">
        <v>633</v>
      </c>
      <c r="D2284" s="15" t="s">
        <v>634</v>
      </c>
      <c r="E2284" s="16" t="str">
        <f>HYPERLINK("http://twitter.com/download/iphone","Twitter for iPhone")</f>
        <v>Twitter for iPhone</v>
      </c>
      <c r="F2284" s="12">
        <v>43577.546458333338</v>
      </c>
      <c r="G2284" s="17" t="s">
        <v>171</v>
      </c>
      <c r="H2284" s="35" t="s">
        <v>635</v>
      </c>
      <c r="I2284" s="18" t="s">
        <v>636</v>
      </c>
    </row>
    <row r="2285" spans="1:9" s="31" customFormat="1" ht="75">
      <c r="A2285" s="12">
        <v>43579.385381944448</v>
      </c>
      <c r="B2285" s="13" t="str">
        <f>HYPERLINK("https://twitter.com/stayatnarvalley","@stayatnarvalley")</f>
        <v>@stayatnarvalley</v>
      </c>
      <c r="C2285" s="14" t="s">
        <v>633</v>
      </c>
      <c r="D2285" s="15" t="s">
        <v>704</v>
      </c>
      <c r="E2285" s="16" t="str">
        <f>HYPERLINK("http://instagram.com","Instagram")</f>
        <v>Instagram</v>
      </c>
      <c r="F2285" s="12">
        <v>43577.546458333338</v>
      </c>
      <c r="G2285" s="17" t="s">
        <v>171</v>
      </c>
      <c r="H2285" s="35" t="s">
        <v>635</v>
      </c>
      <c r="I2285" s="18" t="s">
        <v>636</v>
      </c>
    </row>
    <row r="2286" spans="1:9" s="31" customFormat="1" ht="45">
      <c r="A2286" s="12">
        <v>43580.092627314814</v>
      </c>
      <c r="B2286" s="13" t="str">
        <f>HYPERLINK("https://twitter.com/sergl132","@sergl132")</f>
        <v>@sergl132</v>
      </c>
      <c r="C2286" s="14" t="s">
        <v>285</v>
      </c>
      <c r="D2286" s="15" t="s">
        <v>286</v>
      </c>
      <c r="E2286" s="16" t="str">
        <f>HYPERLINK("http://twitter.com","Twitter Web Client")</f>
        <v>Twitter Web Client</v>
      </c>
      <c r="F2286" s="12">
        <v>40155.189675925925</v>
      </c>
      <c r="G2286" s="17" t="s">
        <v>171</v>
      </c>
      <c r="H2286" s="35" t="s">
        <v>287</v>
      </c>
      <c r="I2286" s="18" t="s">
        <v>288</v>
      </c>
    </row>
    <row r="2287" spans="1:9" s="31" customFormat="1" ht="75">
      <c r="A2287" s="19">
        <v>43546.036076388889</v>
      </c>
      <c r="B2287" s="20" t="str">
        <f>HYPERLINK("https://twitter.com/SoapandPamper","@SoapandPamper")</f>
        <v>@SoapandPamper</v>
      </c>
      <c r="C2287" s="21" t="s">
        <v>8977</v>
      </c>
      <c r="D2287" s="22" t="s">
        <v>8978</v>
      </c>
      <c r="E2287" s="23" t="str">
        <f>HYPERLINK("http://twitter.com/download/android","Twitter for Android")</f>
        <v>Twitter for Android</v>
      </c>
      <c r="F2287" s="19">
        <v>42934.403287037036</v>
      </c>
      <c r="G2287" s="17" t="s">
        <v>171</v>
      </c>
      <c r="H2287" s="35" t="s">
        <v>8979</v>
      </c>
      <c r="I2287" s="25" t="s">
        <v>8980</v>
      </c>
    </row>
    <row r="2288" spans="1:9" s="31" customFormat="1" ht="90">
      <c r="A2288" s="19">
        <v>43546.025752314818</v>
      </c>
      <c r="B2288" s="20" t="str">
        <f>HYPERLINK("https://twitter.com/SoapandPamper","@SoapandPamper")</f>
        <v>@SoapandPamper</v>
      </c>
      <c r="C2288" s="21" t="s">
        <v>8977</v>
      </c>
      <c r="D2288" s="22" t="s">
        <v>8985</v>
      </c>
      <c r="E2288" s="23" t="str">
        <f>HYPERLINK("http://twitter.com/download/android","Twitter for Android")</f>
        <v>Twitter for Android</v>
      </c>
      <c r="F2288" s="19">
        <v>42934.403287037036</v>
      </c>
      <c r="G2288" s="17" t="s">
        <v>171</v>
      </c>
      <c r="H2288" s="35" t="s">
        <v>8979</v>
      </c>
      <c r="I2288" s="25" t="s">
        <v>8980</v>
      </c>
    </row>
    <row r="2289" spans="1:9" s="31" customFormat="1" ht="90">
      <c r="A2289" s="12">
        <v>43572.479456018518</v>
      </c>
      <c r="B2289" s="13" t="str">
        <f>HYPERLINK("https://twitter.com/freshairstudios","@freshairstudios")</f>
        <v>@freshairstudios</v>
      </c>
      <c r="C2289" s="14" t="s">
        <v>3220</v>
      </c>
      <c r="D2289" s="15" t="s">
        <v>3221</v>
      </c>
      <c r="E2289" s="16" t="str">
        <f>HYPERLINK("https://about.twitter.com/products/tweetdeck","TweetDeck")</f>
        <v>TweetDeck</v>
      </c>
      <c r="F2289" s="12">
        <v>39838.162326388891</v>
      </c>
      <c r="G2289" s="17" t="s">
        <v>171</v>
      </c>
      <c r="H2289" s="35" t="s">
        <v>3222</v>
      </c>
      <c r="I2289" s="18" t="s">
        <v>3223</v>
      </c>
    </row>
    <row r="2290" spans="1:9" s="31" customFormat="1" ht="15">
      <c r="A2290" s="12">
        <v>43570.510555555556</v>
      </c>
      <c r="B2290" s="13" t="str">
        <f>HYPERLINK("https://twitter.com/Aventholidaylet","@Aventholidaylet")</f>
        <v>@Aventholidaylet</v>
      </c>
      <c r="C2290" s="14" t="s">
        <v>4097</v>
      </c>
      <c r="D2290" s="15" t="s">
        <v>4098</v>
      </c>
      <c r="E2290" s="16" t="str">
        <f>HYPERLINK("http://twitter.com/download/iphone","Twitter for iPhone")</f>
        <v>Twitter for iPhone</v>
      </c>
      <c r="F2290" s="12">
        <v>43042.420706018514</v>
      </c>
      <c r="G2290" s="17" t="s">
        <v>171</v>
      </c>
      <c r="H2290" s="35" t="s">
        <v>4099</v>
      </c>
      <c r="I2290" s="18" t="s">
        <v>4100</v>
      </c>
    </row>
    <row r="2291" spans="1:9" s="31" customFormat="1" ht="60">
      <c r="A2291" s="12">
        <v>43578.141944444447</v>
      </c>
      <c r="B2291" s="13" t="str">
        <f>HYPERLINK("https://twitter.com/tymek","@tymek")</f>
        <v>@tymek</v>
      </c>
      <c r="C2291" s="14" t="s">
        <v>1378</v>
      </c>
      <c r="D2291" s="15" t="s">
        <v>1379</v>
      </c>
      <c r="E2291" s="16" t="str">
        <f>HYPERLINK("http://twitter.com/download/iphone","Twitter for iPhone")</f>
        <v>Twitter for iPhone</v>
      </c>
      <c r="F2291" s="12">
        <v>41471.034097222218</v>
      </c>
      <c r="G2291" s="17" t="s">
        <v>171</v>
      </c>
      <c r="H2291" s="35" t="s">
        <v>1380</v>
      </c>
      <c r="I2291" s="18" t="s">
        <v>1381</v>
      </c>
    </row>
    <row r="2292" spans="1:9" s="31" customFormat="1" ht="45">
      <c r="A2292" s="12">
        <v>43566.994016203702</v>
      </c>
      <c r="B2292" s="13" t="str">
        <f>HYPERLINK("https://twitter.com/SandbanksHol","@SandbanksHol")</f>
        <v>@SandbanksHol</v>
      </c>
      <c r="C2292" s="14" t="s">
        <v>5283</v>
      </c>
      <c r="D2292" s="15" t="s">
        <v>5284</v>
      </c>
      <c r="E2292" s="16" t="str">
        <f>HYPERLINK("http://twitter.com/download/iphone","Twitter for iPhone")</f>
        <v>Twitter for iPhone</v>
      </c>
      <c r="F2292" s="12">
        <v>42461.326643518521</v>
      </c>
      <c r="G2292" s="17" t="s">
        <v>171</v>
      </c>
      <c r="H2292" s="35" t="s">
        <v>5285</v>
      </c>
      <c r="I2292" s="18" t="s">
        <v>5286</v>
      </c>
    </row>
    <row r="2293" spans="1:9" s="31" customFormat="1" ht="75">
      <c r="A2293" s="19">
        <v>43550.478645833333</v>
      </c>
      <c r="B2293" s="20" t="str">
        <f>HYPERLINK("https://twitter.com/LoversRetreats","@LoversRetreats")</f>
        <v>@LoversRetreats</v>
      </c>
      <c r="C2293" s="21" t="s">
        <v>5731</v>
      </c>
      <c r="D2293" s="22" t="s">
        <v>5732</v>
      </c>
      <c r="E2293" s="23" t="str">
        <f>HYPERLINK("http://instagram.com","Instagram")</f>
        <v>Instagram</v>
      </c>
      <c r="F2293" s="19">
        <v>42839.132349537038</v>
      </c>
      <c r="G2293" s="24" t="s">
        <v>171</v>
      </c>
      <c r="H2293" s="35" t="s">
        <v>5733</v>
      </c>
      <c r="I2293" s="25" t="s">
        <v>5734</v>
      </c>
    </row>
    <row r="2294" spans="1:9" s="31" customFormat="1" ht="75">
      <c r="A2294" s="19">
        <v>43543.575312500005</v>
      </c>
      <c r="B2294" s="20" t="str">
        <f>HYPERLINK("https://twitter.com/LoversRetreats","@LoversRetreats")</f>
        <v>@LoversRetreats</v>
      </c>
      <c r="C2294" s="21" t="s">
        <v>5731</v>
      </c>
      <c r="D2294" s="22" t="s">
        <v>9754</v>
      </c>
      <c r="E2294" s="23" t="str">
        <f>HYPERLINK("http://instagram.com","Instagram")</f>
        <v>Instagram</v>
      </c>
      <c r="F2294" s="19">
        <v>42839.132349537038</v>
      </c>
      <c r="G2294" s="24" t="s">
        <v>171</v>
      </c>
      <c r="H2294" s="35" t="s">
        <v>5733</v>
      </c>
      <c r="I2294" s="25" t="s">
        <v>5734</v>
      </c>
    </row>
    <row r="2295" spans="1:9" s="31" customFormat="1" ht="75">
      <c r="A2295" s="12">
        <v>43566.193819444445</v>
      </c>
      <c r="B2295" s="13" t="str">
        <f>HYPERLINK("https://twitter.com/LoversRetreats","@LoversRetreats")</f>
        <v>@LoversRetreats</v>
      </c>
      <c r="C2295" s="14" t="s">
        <v>5731</v>
      </c>
      <c r="D2295" s="15" t="s">
        <v>5732</v>
      </c>
      <c r="E2295" s="16" t="str">
        <f>HYPERLINK("http://instagram.com","Instagram")</f>
        <v>Instagram</v>
      </c>
      <c r="F2295" s="12">
        <v>42839.132349537038</v>
      </c>
      <c r="G2295" s="24" t="s">
        <v>171</v>
      </c>
      <c r="H2295" s="35" t="s">
        <v>5733</v>
      </c>
      <c r="I2295" s="18" t="s">
        <v>5734</v>
      </c>
    </row>
    <row r="2296" spans="1:9" s="31" customFormat="1" ht="90">
      <c r="A2296" s="12">
        <v>43576.075208333335</v>
      </c>
      <c r="B2296" s="13" t="str">
        <f>HYPERLINK("https://twitter.com/portreebandb","@portreebandb")</f>
        <v>@portreebandb</v>
      </c>
      <c r="C2296" s="14" t="s">
        <v>2057</v>
      </c>
      <c r="D2296" s="15" t="s">
        <v>2058</v>
      </c>
      <c r="E2296" s="16" t="str">
        <f>HYPERLINK("http://twitter.com/download/iphone","Twitter for iPhone")</f>
        <v>Twitter for iPhone</v>
      </c>
      <c r="F2296" s="12">
        <v>43224.008194444439</v>
      </c>
      <c r="G2296" s="24" t="s">
        <v>171</v>
      </c>
      <c r="H2296" s="35" t="s">
        <v>2059</v>
      </c>
      <c r="I2296" s="18" t="s">
        <v>2060</v>
      </c>
    </row>
    <row r="2297" spans="1:9" s="31" customFormat="1" ht="90">
      <c r="A2297" s="4">
        <v>43565.247754629629</v>
      </c>
      <c r="B2297" s="5" t="str">
        <f>HYPERLINK("https://twitter.com/jftaveira1993","@jftaveira1993")</f>
        <v>@jftaveira1993</v>
      </c>
      <c r="C2297" s="6" t="s">
        <v>6209</v>
      </c>
      <c r="D2297" s="7" t="s">
        <v>6210</v>
      </c>
      <c r="E2297" s="8" t="str">
        <f>HYPERLINK("http://twitter.com","Twitter Web Client")</f>
        <v>Twitter Web Client</v>
      </c>
      <c r="F2297" s="4">
        <v>41368.60083333333</v>
      </c>
      <c r="G2297" s="24" t="s">
        <v>171</v>
      </c>
      <c r="H2297" s="35" t="s">
        <v>2206</v>
      </c>
      <c r="I2297" s="10" t="s">
        <v>6211</v>
      </c>
    </row>
    <row r="2298" spans="1:9" s="31" customFormat="1" ht="105">
      <c r="A2298" s="12">
        <v>43575.471412037034</v>
      </c>
      <c r="B2298" s="13" t="str">
        <f t="shared" ref="B2298:B2308" si="95">HYPERLINK("https://twitter.com/ClosebyY","@ClosebyY")</f>
        <v>@ClosebyY</v>
      </c>
      <c r="C2298" s="14" t="s">
        <v>2204</v>
      </c>
      <c r="D2298" s="15" t="s">
        <v>2205</v>
      </c>
      <c r="E2298" s="16" t="str">
        <f t="shared" ref="E2298:E2308" si="96">HYPERLINK("http://twitter.com/download/iphone","Twitter for iPhone")</f>
        <v>Twitter for iPhone</v>
      </c>
      <c r="F2298" s="12">
        <v>43225.713495370372</v>
      </c>
      <c r="G2298" s="24" t="s">
        <v>171</v>
      </c>
      <c r="H2298" s="35" t="s">
        <v>2206</v>
      </c>
      <c r="I2298" s="18" t="s">
        <v>2207</v>
      </c>
    </row>
    <row r="2299" spans="1:9" s="31" customFormat="1" ht="90">
      <c r="A2299" s="12">
        <v>43575.460057870368</v>
      </c>
      <c r="B2299" s="13" t="str">
        <f t="shared" si="95"/>
        <v>@ClosebyY</v>
      </c>
      <c r="C2299" s="14" t="s">
        <v>2204</v>
      </c>
      <c r="D2299" s="15" t="s">
        <v>2210</v>
      </c>
      <c r="E2299" s="16" t="str">
        <f t="shared" si="96"/>
        <v>Twitter for iPhone</v>
      </c>
      <c r="F2299" s="12">
        <v>43225.713495370372</v>
      </c>
      <c r="G2299" s="24" t="s">
        <v>171</v>
      </c>
      <c r="H2299" s="35" t="s">
        <v>2206</v>
      </c>
      <c r="I2299" s="18" t="s">
        <v>2207</v>
      </c>
    </row>
    <row r="2300" spans="1:9" s="31" customFormat="1" ht="105">
      <c r="A2300" s="12">
        <v>43575.456087962964</v>
      </c>
      <c r="B2300" s="13" t="str">
        <f t="shared" si="95"/>
        <v>@ClosebyY</v>
      </c>
      <c r="C2300" s="14" t="s">
        <v>2204</v>
      </c>
      <c r="D2300" s="15" t="s">
        <v>2215</v>
      </c>
      <c r="E2300" s="16" t="str">
        <f t="shared" si="96"/>
        <v>Twitter for iPhone</v>
      </c>
      <c r="F2300" s="12">
        <v>43225.713495370372</v>
      </c>
      <c r="G2300" s="24" t="s">
        <v>171</v>
      </c>
      <c r="H2300" s="35" t="s">
        <v>2206</v>
      </c>
      <c r="I2300" s="18" t="s">
        <v>2207</v>
      </c>
    </row>
    <row r="2301" spans="1:9" s="31" customFormat="1" ht="90">
      <c r="A2301" s="12">
        <v>43575.345393518517</v>
      </c>
      <c r="B2301" s="13" t="str">
        <f t="shared" si="95"/>
        <v>@ClosebyY</v>
      </c>
      <c r="C2301" s="14" t="s">
        <v>2204</v>
      </c>
      <c r="D2301" s="15" t="s">
        <v>2267</v>
      </c>
      <c r="E2301" s="16" t="str">
        <f t="shared" si="96"/>
        <v>Twitter for iPhone</v>
      </c>
      <c r="F2301" s="12">
        <v>43225.713495370372</v>
      </c>
      <c r="G2301" s="24" t="s">
        <v>171</v>
      </c>
      <c r="H2301" s="35" t="s">
        <v>2206</v>
      </c>
      <c r="I2301" s="18" t="s">
        <v>2207</v>
      </c>
    </row>
    <row r="2302" spans="1:9" s="31" customFormat="1" ht="105">
      <c r="A2302" s="12">
        <v>43575.340081018519</v>
      </c>
      <c r="B2302" s="13" t="str">
        <f t="shared" si="95"/>
        <v>@ClosebyY</v>
      </c>
      <c r="C2302" s="14" t="s">
        <v>2204</v>
      </c>
      <c r="D2302" s="15" t="s">
        <v>2281</v>
      </c>
      <c r="E2302" s="16" t="str">
        <f t="shared" si="96"/>
        <v>Twitter for iPhone</v>
      </c>
      <c r="F2302" s="12">
        <v>43225.713495370372</v>
      </c>
      <c r="G2302" s="24" t="s">
        <v>171</v>
      </c>
      <c r="H2302" s="35" t="s">
        <v>2206</v>
      </c>
      <c r="I2302" s="18" t="s">
        <v>2207</v>
      </c>
    </row>
    <row r="2303" spans="1:9" s="31" customFormat="1" ht="105">
      <c r="A2303" s="12">
        <v>43574.630162037036</v>
      </c>
      <c r="B2303" s="13" t="str">
        <f t="shared" si="95"/>
        <v>@ClosebyY</v>
      </c>
      <c r="C2303" s="14" t="s">
        <v>2204</v>
      </c>
      <c r="D2303" s="15" t="s">
        <v>2489</v>
      </c>
      <c r="E2303" s="16" t="str">
        <f t="shared" si="96"/>
        <v>Twitter for iPhone</v>
      </c>
      <c r="F2303" s="12">
        <v>43225.713495370372</v>
      </c>
      <c r="G2303" s="24" t="s">
        <v>171</v>
      </c>
      <c r="H2303" s="35" t="s">
        <v>2206</v>
      </c>
      <c r="I2303" s="18" t="s">
        <v>2207</v>
      </c>
    </row>
    <row r="2304" spans="1:9" s="31" customFormat="1" ht="105">
      <c r="A2304" s="12">
        <v>43574.610613425924</v>
      </c>
      <c r="B2304" s="13" t="str">
        <f t="shared" si="95"/>
        <v>@ClosebyY</v>
      </c>
      <c r="C2304" s="14" t="s">
        <v>2204</v>
      </c>
      <c r="D2304" s="15" t="s">
        <v>2497</v>
      </c>
      <c r="E2304" s="16" t="str">
        <f t="shared" si="96"/>
        <v>Twitter for iPhone</v>
      </c>
      <c r="F2304" s="12">
        <v>43225.713495370372</v>
      </c>
      <c r="G2304" s="24" t="s">
        <v>171</v>
      </c>
      <c r="H2304" s="35" t="s">
        <v>2206</v>
      </c>
      <c r="I2304" s="18" t="s">
        <v>2207</v>
      </c>
    </row>
    <row r="2305" spans="1:9" s="31" customFormat="1" ht="75">
      <c r="A2305" s="12">
        <v>43572.694270833337</v>
      </c>
      <c r="B2305" s="13" t="str">
        <f t="shared" si="95"/>
        <v>@ClosebyY</v>
      </c>
      <c r="C2305" s="14" t="s">
        <v>2204</v>
      </c>
      <c r="D2305" s="15" t="s">
        <v>3115</v>
      </c>
      <c r="E2305" s="16" t="str">
        <f t="shared" si="96"/>
        <v>Twitter for iPhone</v>
      </c>
      <c r="F2305" s="12">
        <v>43225.713495370372</v>
      </c>
      <c r="G2305" s="24" t="s">
        <v>171</v>
      </c>
      <c r="H2305" s="35" t="s">
        <v>2206</v>
      </c>
      <c r="I2305" s="18" t="s">
        <v>2207</v>
      </c>
    </row>
    <row r="2306" spans="1:9" s="31" customFormat="1" ht="75">
      <c r="A2306" s="12">
        <v>43572.689363425925</v>
      </c>
      <c r="B2306" s="13" t="str">
        <f t="shared" si="95"/>
        <v>@ClosebyY</v>
      </c>
      <c r="C2306" s="14" t="s">
        <v>2204</v>
      </c>
      <c r="D2306" s="15" t="s">
        <v>3116</v>
      </c>
      <c r="E2306" s="16" t="str">
        <f t="shared" si="96"/>
        <v>Twitter for iPhone</v>
      </c>
      <c r="F2306" s="12">
        <v>43225.713495370372</v>
      </c>
      <c r="G2306" s="24" t="s">
        <v>171</v>
      </c>
      <c r="H2306" s="35" t="s">
        <v>2206</v>
      </c>
      <c r="I2306" s="18" t="s">
        <v>2207</v>
      </c>
    </row>
    <row r="2307" spans="1:9" s="31" customFormat="1" ht="75">
      <c r="A2307" s="12">
        <v>43572.66684027778</v>
      </c>
      <c r="B2307" s="13" t="str">
        <f t="shared" si="95"/>
        <v>@ClosebyY</v>
      </c>
      <c r="C2307" s="14" t="s">
        <v>2204</v>
      </c>
      <c r="D2307" s="15" t="s">
        <v>3127</v>
      </c>
      <c r="E2307" s="16" t="str">
        <f t="shared" si="96"/>
        <v>Twitter for iPhone</v>
      </c>
      <c r="F2307" s="12">
        <v>43225.713495370372</v>
      </c>
      <c r="G2307" s="24" t="s">
        <v>171</v>
      </c>
      <c r="H2307" s="35" t="s">
        <v>2206</v>
      </c>
      <c r="I2307" s="18" t="s">
        <v>2207</v>
      </c>
    </row>
    <row r="2308" spans="1:9" s="31" customFormat="1" ht="60">
      <c r="A2308" s="12">
        <v>43572.587997685187</v>
      </c>
      <c r="B2308" s="13" t="str">
        <f t="shared" si="95"/>
        <v>@ClosebyY</v>
      </c>
      <c r="C2308" s="14" t="s">
        <v>2204</v>
      </c>
      <c r="D2308" s="15" t="s">
        <v>3143</v>
      </c>
      <c r="E2308" s="16" t="str">
        <f t="shared" si="96"/>
        <v>Twitter for iPhone</v>
      </c>
      <c r="F2308" s="12">
        <v>43225.713495370372</v>
      </c>
      <c r="G2308" s="24" t="s">
        <v>171</v>
      </c>
      <c r="H2308" s="35" t="s">
        <v>2206</v>
      </c>
      <c r="I2308" s="18" t="s">
        <v>2207</v>
      </c>
    </row>
    <row r="2309" spans="1:9" s="31" customFormat="1" ht="45">
      <c r="A2309" s="19">
        <v>43543.450868055559</v>
      </c>
      <c r="B2309" s="20" t="str">
        <f>HYPERLINK("https://twitter.com/Sdscn","@Sdscn")</f>
        <v>@Sdscn</v>
      </c>
      <c r="C2309" s="21" t="s">
        <v>9789</v>
      </c>
      <c r="D2309" s="22" t="s">
        <v>12885</v>
      </c>
      <c r="E2309" s="23" t="str">
        <f>HYPERLINK("http://twitter.com","Twitter Web Client")</f>
        <v>Twitter Web Client</v>
      </c>
      <c r="F2309" s="19">
        <v>40431.177268518521</v>
      </c>
      <c r="G2309" s="24" t="s">
        <v>171</v>
      </c>
      <c r="H2309" s="35" t="s">
        <v>9790</v>
      </c>
      <c r="I2309" s="25" t="s">
        <v>9791</v>
      </c>
    </row>
    <row r="2310" spans="1:9" s="31" customFormat="1" ht="45">
      <c r="A2310" s="4">
        <v>43557.232708333337</v>
      </c>
      <c r="B2310" s="5" t="str">
        <f>HYPERLINK("https://twitter.com/AppletreeFS","@AppletreeFS")</f>
        <v>@AppletreeFS</v>
      </c>
      <c r="C2310" s="6" t="s">
        <v>12612</v>
      </c>
      <c r="D2310" s="7" t="s">
        <v>4798</v>
      </c>
      <c r="E2310" s="8" t="str">
        <f>HYPERLINK("https://www.hootsuite.com","Hootsuite Inc.")</f>
        <v>Hootsuite Inc.</v>
      </c>
      <c r="F2310" s="4">
        <v>40994.382708333331</v>
      </c>
      <c r="G2310" s="9" t="s">
        <v>171</v>
      </c>
      <c r="H2310" s="35" t="s">
        <v>12613</v>
      </c>
      <c r="I2310" s="10" t="s">
        <v>12614</v>
      </c>
    </row>
    <row r="2311" spans="1:9" s="31" customFormat="1" ht="75">
      <c r="A2311" s="12">
        <v>43580.723194444443</v>
      </c>
      <c r="B2311" s="13" t="str">
        <f>HYPERLINK("https://twitter.com/PragueConBureau","@PragueConBureau")</f>
        <v>@PragueConBureau</v>
      </c>
      <c r="C2311" s="14" t="s">
        <v>123</v>
      </c>
      <c r="D2311" s="15" t="s">
        <v>124</v>
      </c>
      <c r="E2311" s="16" t="str">
        <f>HYPERLINK("http://twitter.com","Twitter Web Client")</f>
        <v>Twitter Web Client</v>
      </c>
      <c r="F2311" s="12">
        <v>40490.619571759264</v>
      </c>
      <c r="G2311" s="17" t="s">
        <v>171</v>
      </c>
      <c r="H2311" s="35" t="s">
        <v>125</v>
      </c>
      <c r="I2311" s="18" t="s">
        <v>126</v>
      </c>
    </row>
    <row r="2312" spans="1:9" s="31" customFormat="1" ht="90">
      <c r="A2312" s="12">
        <v>43574.754803240736</v>
      </c>
      <c r="B2312" s="13" t="str">
        <f>HYPERLINK("https://twitter.com/FriendlyCleani3","@FriendlyCleani3")</f>
        <v>@FriendlyCleani3</v>
      </c>
      <c r="C2312" s="14" t="s">
        <v>2461</v>
      </c>
      <c r="D2312" s="15" t="s">
        <v>2462</v>
      </c>
      <c r="E2312" s="16" t="str">
        <f>HYPERLINK("http://twitter.com","Twitter Web Client")</f>
        <v>Twitter Web Client</v>
      </c>
      <c r="F2312" s="12">
        <v>43084.930625000001</v>
      </c>
      <c r="G2312" s="17" t="s">
        <v>171</v>
      </c>
      <c r="H2312" s="35" t="s">
        <v>2463</v>
      </c>
      <c r="I2312" s="18" t="s">
        <v>2464</v>
      </c>
    </row>
    <row r="2313" spans="1:9" s="31" customFormat="1" ht="75">
      <c r="A2313" s="12">
        <v>43569.404317129629</v>
      </c>
      <c r="B2313" s="13" t="str">
        <f>HYPERLINK("https://twitter.com/hynecheck","@hynecheck")</f>
        <v>@hynecheck</v>
      </c>
      <c r="C2313" s="14" t="s">
        <v>4518</v>
      </c>
      <c r="D2313" s="15" t="s">
        <v>4519</v>
      </c>
      <c r="E2313" s="16" t="str">
        <f>HYPERLINK("http://instagram.com","Instagram")</f>
        <v>Instagram</v>
      </c>
      <c r="F2313" s="12">
        <v>40224.089988425927</v>
      </c>
      <c r="G2313" s="17" t="s">
        <v>171</v>
      </c>
      <c r="H2313" s="35" t="s">
        <v>2463</v>
      </c>
      <c r="I2313" s="18" t="s">
        <v>4520</v>
      </c>
    </row>
    <row r="2314" spans="1:9" s="31" customFormat="1" ht="105">
      <c r="A2314" s="12">
        <v>43576.346643518518</v>
      </c>
      <c r="B2314" s="13" t="str">
        <f>HYPERLINK("https://twitter.com/backyardprovenc","@backyardprovenc")</f>
        <v>@backyardprovenc</v>
      </c>
      <c r="C2314" s="14" t="s">
        <v>1991</v>
      </c>
      <c r="D2314" s="15" t="s">
        <v>1992</v>
      </c>
      <c r="E2314" s="16" t="str">
        <f>HYPERLINK("http://twitter.com/download/iphone","Twitter for iPhone")</f>
        <v>Twitter for iPhone</v>
      </c>
      <c r="F2314" s="12">
        <v>40700.380983796298</v>
      </c>
      <c r="G2314" s="17" t="s">
        <v>171</v>
      </c>
      <c r="H2314" s="35" t="s">
        <v>1993</v>
      </c>
      <c r="I2314" s="18" t="s">
        <v>1994</v>
      </c>
    </row>
    <row r="2315" spans="1:9" s="31" customFormat="1" ht="45">
      <c r="A2315" s="12">
        <v>43578.363171296296</v>
      </c>
      <c r="B2315" s="13" t="str">
        <f>HYPERLINK("https://twitter.com/adamchidgzey","@adamchidgzey")</f>
        <v>@adamchidgzey</v>
      </c>
      <c r="C2315" s="14" t="s">
        <v>1268</v>
      </c>
      <c r="D2315" s="15" t="s">
        <v>1269</v>
      </c>
      <c r="E2315" s="16" t="str">
        <f>HYPERLINK("http://twitter.com/download/android","Twitter for Android")</f>
        <v>Twitter for Android</v>
      </c>
      <c r="F2315" s="12">
        <v>41195.38208333333</v>
      </c>
      <c r="G2315" s="17" t="s">
        <v>171</v>
      </c>
      <c r="H2315" s="35" t="s">
        <v>1270</v>
      </c>
      <c r="I2315" s="18" t="s">
        <v>1271</v>
      </c>
    </row>
    <row r="2316" spans="1:9" s="31" customFormat="1" ht="45">
      <c r="A2316" s="19">
        <v>43551.277303240742</v>
      </c>
      <c r="B2316" s="20" t="str">
        <f>HYPERLINK("https://twitter.com/martinbrindley","@martinbrindley")</f>
        <v>@martinbrindley</v>
      </c>
      <c r="C2316" s="21" t="s">
        <v>7358</v>
      </c>
      <c r="D2316" s="22" t="s">
        <v>7359</v>
      </c>
      <c r="E2316" s="23" t="str">
        <f>HYPERLINK("https://about.twitter.com/products/tweetdeck","TweetDeck")</f>
        <v>TweetDeck</v>
      </c>
      <c r="F2316" s="19">
        <v>39769.232476851852</v>
      </c>
      <c r="G2316" s="17" t="s">
        <v>171</v>
      </c>
      <c r="H2316" s="35" t="s">
        <v>7360</v>
      </c>
      <c r="I2316" s="25" t="s">
        <v>7361</v>
      </c>
    </row>
    <row r="2317" spans="1:9" s="31" customFormat="1" ht="30">
      <c r="A2317" s="12">
        <v>43579.412187499998</v>
      </c>
      <c r="B2317" s="13" t="str">
        <f>HYPERLINK("https://twitter.com/LopezGomezC","@LopezGomezC")</f>
        <v>@LopezGomezC</v>
      </c>
      <c r="C2317" s="14" t="s">
        <v>678</v>
      </c>
      <c r="D2317" s="15" t="s">
        <v>679</v>
      </c>
      <c r="E2317" s="16" t="str">
        <f>HYPERLINK("http://twitter.com/download/android","Twitter for Android")</f>
        <v>Twitter for Android</v>
      </c>
      <c r="F2317" s="12">
        <v>41151.493483796294</v>
      </c>
      <c r="G2317" s="17" t="s">
        <v>171</v>
      </c>
      <c r="H2317" s="35" t="s">
        <v>680</v>
      </c>
      <c r="I2317" s="18" t="s">
        <v>681</v>
      </c>
    </row>
    <row r="2318" spans="1:9" s="31" customFormat="1" ht="75">
      <c r="A2318" s="4">
        <v>43559.514282407406</v>
      </c>
      <c r="B2318" s="5" t="str">
        <f>HYPERLINK("https://twitter.com/bardtoverse","@bardtoverse")</f>
        <v>@bardtoverse</v>
      </c>
      <c r="C2318" s="6" t="s">
        <v>11781</v>
      </c>
      <c r="D2318" s="7" t="s">
        <v>11782</v>
      </c>
      <c r="E2318" s="8" t="str">
        <f>HYPERLINK("http://twitter.com/#!/download/ipad","Twitter for iPad")</f>
        <v>Twitter for iPad</v>
      </c>
      <c r="F2318" s="4">
        <v>40088.259629629625</v>
      </c>
      <c r="G2318" s="24" t="s">
        <v>171</v>
      </c>
      <c r="H2318" s="35" t="s">
        <v>11783</v>
      </c>
      <c r="I2318" s="10" t="s">
        <v>11784</v>
      </c>
    </row>
    <row r="2319" spans="1:9" s="31" customFormat="1" ht="60">
      <c r="A2319" s="19">
        <v>43550.602777777778</v>
      </c>
      <c r="B2319" s="20" t="str">
        <f>HYPERLINK("https://twitter.com/swredlandsca","@swredlandsca")</f>
        <v>@swredlandsca</v>
      </c>
      <c r="C2319" s="21" t="s">
        <v>7594</v>
      </c>
      <c r="D2319" s="22" t="s">
        <v>7595</v>
      </c>
      <c r="E2319" s="23" t="str">
        <f>HYPERLINK("https://about.twitter.com/products/tweetdeck","TweetDeck")</f>
        <v>TweetDeck</v>
      </c>
      <c r="F2319" s="19">
        <v>40068.731134259258</v>
      </c>
      <c r="G2319" s="24" t="s">
        <v>171</v>
      </c>
      <c r="H2319" s="35" t="s">
        <v>7596</v>
      </c>
      <c r="I2319" s="25" t="s">
        <v>7597</v>
      </c>
    </row>
    <row r="2320" spans="1:9" s="31" customFormat="1" ht="75">
      <c r="A2320" s="19">
        <v>43545.602083333331</v>
      </c>
      <c r="B2320" s="20" t="str">
        <f>HYPERLINK("https://twitter.com/swredlandsca","@swredlandsca")</f>
        <v>@swredlandsca</v>
      </c>
      <c r="C2320" s="21" t="s">
        <v>7594</v>
      </c>
      <c r="D2320" s="22" t="s">
        <v>9081</v>
      </c>
      <c r="E2320" s="23" t="str">
        <f>HYPERLINK("https://about.twitter.com/products/tweetdeck","TweetDeck")</f>
        <v>TweetDeck</v>
      </c>
      <c r="F2320" s="19">
        <v>40068.731134259258</v>
      </c>
      <c r="G2320" s="24" t="s">
        <v>171</v>
      </c>
      <c r="H2320" s="35" t="s">
        <v>7596</v>
      </c>
      <c r="I2320" s="25" t="s">
        <v>7597</v>
      </c>
    </row>
    <row r="2321" spans="1:9" s="31" customFormat="1" ht="60">
      <c r="A2321" s="4">
        <v>43565.278298611112</v>
      </c>
      <c r="B2321" s="5" t="str">
        <f>HYPERLINK("https://twitter.com/greenmancottage","@greenmancottage")</f>
        <v>@greenmancottage</v>
      </c>
      <c r="C2321" s="6" t="s">
        <v>3401</v>
      </c>
      <c r="D2321" s="7" t="s">
        <v>6198</v>
      </c>
      <c r="E2321" s="8" t="str">
        <f>HYPERLINK("http://twitter.com/download/android","Twitter for Android")</f>
        <v>Twitter for Android</v>
      </c>
      <c r="F2321" s="4">
        <v>42228.438356481478</v>
      </c>
      <c r="G2321" s="24" t="s">
        <v>171</v>
      </c>
      <c r="H2321" s="35" t="s">
        <v>3403</v>
      </c>
      <c r="I2321" s="10" t="s">
        <v>3404</v>
      </c>
    </row>
    <row r="2322" spans="1:9" s="31" customFormat="1" ht="60">
      <c r="A2322" s="12">
        <v>43572.153749999998</v>
      </c>
      <c r="B2322" s="13" t="str">
        <f>HYPERLINK("https://twitter.com/greenmancottage","@greenmancottage")</f>
        <v>@greenmancottage</v>
      </c>
      <c r="C2322" s="14" t="s">
        <v>3401</v>
      </c>
      <c r="D2322" s="15" t="s">
        <v>3402</v>
      </c>
      <c r="E2322" s="16" t="str">
        <f>HYPERLINK("http://twitter.com/download/android","Twitter for Android")</f>
        <v>Twitter for Android</v>
      </c>
      <c r="F2322" s="12">
        <v>42228.438356481478</v>
      </c>
      <c r="G2322" s="24" t="s">
        <v>171</v>
      </c>
      <c r="H2322" s="35" t="s">
        <v>3403</v>
      </c>
      <c r="I2322" s="18" t="s">
        <v>3404</v>
      </c>
    </row>
    <row r="2323" spans="1:9" s="31" customFormat="1" ht="90">
      <c r="A2323" s="12">
        <v>43571.203611111108</v>
      </c>
      <c r="B2323" s="13" t="str">
        <f>HYPERLINK("https://twitter.com/greenmancottage","@greenmancottage")</f>
        <v>@greenmancottage</v>
      </c>
      <c r="C2323" s="14" t="s">
        <v>3401</v>
      </c>
      <c r="D2323" s="15" t="s">
        <v>3793</v>
      </c>
      <c r="E2323" s="16" t="str">
        <f>HYPERLINK("http://twitter.com/download/android","Twitter for Android")</f>
        <v>Twitter for Android</v>
      </c>
      <c r="F2323" s="12">
        <v>42228.438356481478</v>
      </c>
      <c r="G2323" s="24" t="s">
        <v>171</v>
      </c>
      <c r="H2323" s="35" t="s">
        <v>3403</v>
      </c>
      <c r="I2323" s="18" t="s">
        <v>3404</v>
      </c>
    </row>
    <row r="2324" spans="1:9" s="31" customFormat="1" ht="60">
      <c r="A2324" s="12">
        <v>43566.191377314812</v>
      </c>
      <c r="B2324" s="13" t="str">
        <f>HYPERLINK("https://twitter.com/greenmancottage","@greenmancottage")</f>
        <v>@greenmancottage</v>
      </c>
      <c r="C2324" s="14" t="s">
        <v>3401</v>
      </c>
      <c r="D2324" s="15" t="s">
        <v>5738</v>
      </c>
      <c r="E2324" s="16" t="str">
        <f>HYPERLINK("http://twitter.com/download/android","Twitter for Android")</f>
        <v>Twitter for Android</v>
      </c>
      <c r="F2324" s="12">
        <v>42228.438356481478</v>
      </c>
      <c r="G2324" s="24" t="s">
        <v>171</v>
      </c>
      <c r="H2324" s="35" t="s">
        <v>3403</v>
      </c>
      <c r="I2324" s="18" t="s">
        <v>3404</v>
      </c>
    </row>
    <row r="2325" spans="1:9" s="31" customFormat="1" ht="60">
      <c r="A2325" s="19">
        <v>43551.366041666668</v>
      </c>
      <c r="B2325" s="20" t="str">
        <f>HYPERLINK("https://twitter.com/OLDEFARM","@OLDEFARM")</f>
        <v>@OLDEFARM</v>
      </c>
      <c r="C2325" s="21" t="s">
        <v>7274</v>
      </c>
      <c r="D2325" s="22" t="s">
        <v>7275</v>
      </c>
      <c r="E2325" s="23" t="str">
        <f>HYPERLINK("http://instagram.com","Instagram")</f>
        <v>Instagram</v>
      </c>
      <c r="F2325" s="19">
        <v>40315.193796296298</v>
      </c>
      <c r="G2325" s="24" t="s">
        <v>171</v>
      </c>
      <c r="H2325" s="35" t="s">
        <v>7276</v>
      </c>
      <c r="I2325" s="25" t="s">
        <v>7277</v>
      </c>
    </row>
    <row r="2326" spans="1:9" s="31" customFormat="1" ht="120">
      <c r="A2326" s="19">
        <v>43549.222083333334</v>
      </c>
      <c r="B2326" s="20" t="str">
        <f>HYPERLINK("https://twitter.com/Stonelink_Intl","@Stonelink_Intl")</f>
        <v>@Stonelink_Intl</v>
      </c>
      <c r="C2326" s="21" t="s">
        <v>8127</v>
      </c>
      <c r="D2326" s="22" t="s">
        <v>8128</v>
      </c>
      <c r="E2326" s="23" t="str">
        <f>HYPERLINK("https://app.planable.io","Planable")</f>
        <v>Planable</v>
      </c>
      <c r="F2326" s="19">
        <v>41325.181516203702</v>
      </c>
      <c r="G2326" s="24" t="s">
        <v>171</v>
      </c>
      <c r="H2326" s="35" t="s">
        <v>8129</v>
      </c>
      <c r="I2326" s="25" t="s">
        <v>8130</v>
      </c>
    </row>
    <row r="2327" spans="1:9" s="31" customFormat="1" ht="120">
      <c r="A2327" s="19">
        <v>43545.309652777782</v>
      </c>
      <c r="B2327" s="20" t="str">
        <f>HYPERLINK("https://twitter.com/ulli_travel","@ulli_travel")</f>
        <v>@ulli_travel</v>
      </c>
      <c r="C2327" s="21" t="s">
        <v>6819</v>
      </c>
      <c r="D2327" s="22" t="s">
        <v>9207</v>
      </c>
      <c r="E2327" s="23" t="str">
        <f>HYPERLINK("https://mobile.twitter.com","Twitter Web App")</f>
        <v>Twitter Web App</v>
      </c>
      <c r="F2327" s="19">
        <v>43159.202939814815</v>
      </c>
      <c r="G2327" s="17" t="s">
        <v>171</v>
      </c>
      <c r="H2327" s="35" t="s">
        <v>6821</v>
      </c>
      <c r="I2327" s="25" t="s">
        <v>6822</v>
      </c>
    </row>
    <row r="2328" spans="1:9" s="31" customFormat="1" ht="105">
      <c r="A2328" s="4">
        <v>43564.033379629633</v>
      </c>
      <c r="B2328" s="5" t="str">
        <f>HYPERLINK("https://twitter.com/ulli_travel","@ulli_travel")</f>
        <v>@ulli_travel</v>
      </c>
      <c r="C2328" s="6" t="s">
        <v>6819</v>
      </c>
      <c r="D2328" s="7" t="s">
        <v>6820</v>
      </c>
      <c r="E2328" s="8" t="str">
        <f>HYPERLINK("https://mobile.twitter.com","Twitter Web App")</f>
        <v>Twitter Web App</v>
      </c>
      <c r="F2328" s="4">
        <v>43159.202939814815</v>
      </c>
      <c r="G2328" s="17" t="s">
        <v>171</v>
      </c>
      <c r="H2328" s="35" t="s">
        <v>6821</v>
      </c>
      <c r="I2328" s="10" t="s">
        <v>6822</v>
      </c>
    </row>
    <row r="2329" spans="1:9" s="31" customFormat="1" ht="105">
      <c r="A2329" s="4">
        <v>43557.285555555558</v>
      </c>
      <c r="B2329" s="5" t="str">
        <f>HYPERLINK("https://twitter.com/ulli_travel","@ulli_travel")</f>
        <v>@ulli_travel</v>
      </c>
      <c r="C2329" s="6" t="s">
        <v>6819</v>
      </c>
      <c r="D2329" s="7" t="s">
        <v>12586</v>
      </c>
      <c r="E2329" s="8" t="str">
        <f>HYPERLINK("https://mobile.twitter.com","Twitter Web App")</f>
        <v>Twitter Web App</v>
      </c>
      <c r="F2329" s="4">
        <v>43159.202939814815</v>
      </c>
      <c r="G2329" s="17" t="s">
        <v>171</v>
      </c>
      <c r="H2329" s="35" t="s">
        <v>6821</v>
      </c>
      <c r="I2329" s="10" t="s">
        <v>6822</v>
      </c>
    </row>
    <row r="2330" spans="1:9" s="31" customFormat="1" ht="60">
      <c r="A2330" s="12">
        <v>43566.979791666672</v>
      </c>
      <c r="B2330" s="13" t="str">
        <f>HYPERLINK("https://twitter.com/ThresholdIRE","@ThresholdIRE")</f>
        <v>@ThresholdIRE</v>
      </c>
      <c r="C2330" s="14" t="s">
        <v>5287</v>
      </c>
      <c r="D2330" s="15" t="s">
        <v>5288</v>
      </c>
      <c r="E2330" s="16" t="str">
        <f>HYPERLINK("http://twitter.com","Twitter Web Client")</f>
        <v>Twitter Web Client</v>
      </c>
      <c r="F2330" s="12">
        <v>40427.25204861111</v>
      </c>
      <c r="G2330" s="17" t="s">
        <v>171</v>
      </c>
      <c r="H2330" s="35" t="s">
        <v>5289</v>
      </c>
      <c r="I2330" s="18" t="s">
        <v>5290</v>
      </c>
    </row>
    <row r="2331" spans="1:9" s="31" customFormat="1" ht="75">
      <c r="A2331" s="12">
        <v>43566.376215277778</v>
      </c>
      <c r="B2331" s="13" t="str">
        <f>HYPERLINK("https://twitter.com/ThresholdIRE","@ThresholdIRE")</f>
        <v>@ThresholdIRE</v>
      </c>
      <c r="C2331" s="14" t="s">
        <v>5287</v>
      </c>
      <c r="D2331" s="15" t="s">
        <v>5589</v>
      </c>
      <c r="E2331" s="16" t="str">
        <f t="shared" ref="E2331:E2347" si="97">HYPERLINK("https://www.hootsuite.com","Hootsuite Inc.")</f>
        <v>Hootsuite Inc.</v>
      </c>
      <c r="F2331" s="12">
        <v>40427.25204861111</v>
      </c>
      <c r="G2331" s="17" t="s">
        <v>171</v>
      </c>
      <c r="H2331" s="35" t="s">
        <v>5289</v>
      </c>
      <c r="I2331" s="18" t="s">
        <v>5290</v>
      </c>
    </row>
    <row r="2332" spans="1:9" s="31" customFormat="1" ht="75">
      <c r="A2332" s="19">
        <v>43551.042314814811</v>
      </c>
      <c r="B2332" s="20" t="str">
        <f t="shared" ref="B2332:B2347" si="98">HYPERLINK("https://twitter.com/FilipsPalace","@FilipsPalace")</f>
        <v>@FilipsPalace</v>
      </c>
      <c r="C2332" s="21" t="s">
        <v>969</v>
      </c>
      <c r="D2332" s="22" t="s">
        <v>7452</v>
      </c>
      <c r="E2332" s="23" t="str">
        <f t="shared" si="97"/>
        <v>Hootsuite Inc.</v>
      </c>
      <c r="F2332" s="19">
        <v>43541.326041666667</v>
      </c>
      <c r="G2332" s="17" t="s">
        <v>171</v>
      </c>
      <c r="H2332" s="35" t="s">
        <v>971</v>
      </c>
      <c r="I2332" s="25" t="s">
        <v>972</v>
      </c>
    </row>
    <row r="2333" spans="1:9" s="31" customFormat="1" ht="75">
      <c r="A2333" s="19">
        <v>43549.031354166669</v>
      </c>
      <c r="B2333" s="20" t="str">
        <f t="shared" si="98"/>
        <v>@FilipsPalace</v>
      </c>
      <c r="C2333" s="21" t="s">
        <v>969</v>
      </c>
      <c r="D2333" s="22" t="s">
        <v>4906</v>
      </c>
      <c r="E2333" s="23" t="str">
        <f t="shared" si="97"/>
        <v>Hootsuite Inc.</v>
      </c>
      <c r="F2333" s="19">
        <v>43541.326041666667</v>
      </c>
      <c r="G2333" s="17" t="s">
        <v>171</v>
      </c>
      <c r="H2333" s="35" t="s">
        <v>971</v>
      </c>
      <c r="I2333" s="25" t="s">
        <v>972</v>
      </c>
    </row>
    <row r="2334" spans="1:9" s="31" customFormat="1" ht="75">
      <c r="A2334" s="19">
        <v>43547.038252314815</v>
      </c>
      <c r="B2334" s="20" t="str">
        <f t="shared" si="98"/>
        <v>@FilipsPalace</v>
      </c>
      <c r="C2334" s="21" t="s">
        <v>969</v>
      </c>
      <c r="D2334" s="22" t="s">
        <v>8672</v>
      </c>
      <c r="E2334" s="23" t="str">
        <f t="shared" si="97"/>
        <v>Hootsuite Inc.</v>
      </c>
      <c r="F2334" s="19">
        <v>43541.326041666667</v>
      </c>
      <c r="G2334" s="17" t="s">
        <v>171</v>
      </c>
      <c r="H2334" s="35" t="s">
        <v>971</v>
      </c>
      <c r="I2334" s="25" t="s">
        <v>972</v>
      </c>
    </row>
    <row r="2335" spans="1:9" s="31" customFormat="1" ht="75">
      <c r="A2335" s="19">
        <v>43546.048750000002</v>
      </c>
      <c r="B2335" s="20" t="str">
        <f t="shared" si="98"/>
        <v>@FilipsPalace</v>
      </c>
      <c r="C2335" s="21" t="s">
        <v>969</v>
      </c>
      <c r="D2335" s="22" t="s">
        <v>8976</v>
      </c>
      <c r="E2335" s="23" t="str">
        <f t="shared" si="97"/>
        <v>Hootsuite Inc.</v>
      </c>
      <c r="F2335" s="19">
        <v>43541.326041666667</v>
      </c>
      <c r="G2335" s="17" t="s">
        <v>171</v>
      </c>
      <c r="H2335" s="35" t="s">
        <v>971</v>
      </c>
      <c r="I2335" s="25" t="s">
        <v>972</v>
      </c>
    </row>
    <row r="2336" spans="1:9" s="31" customFormat="1" ht="75">
      <c r="A2336" s="4">
        <v>43565.01054398148</v>
      </c>
      <c r="B2336" s="5" t="str">
        <f t="shared" si="98"/>
        <v>@FilipsPalace</v>
      </c>
      <c r="C2336" s="6" t="s">
        <v>969</v>
      </c>
      <c r="D2336" s="7" t="s">
        <v>6341</v>
      </c>
      <c r="E2336" s="8" t="str">
        <f t="shared" si="97"/>
        <v>Hootsuite Inc.</v>
      </c>
      <c r="F2336" s="4">
        <v>43541.326041666667</v>
      </c>
      <c r="G2336" s="17" t="s">
        <v>171</v>
      </c>
      <c r="H2336" s="35" t="s">
        <v>971</v>
      </c>
      <c r="I2336" s="10" t="s">
        <v>972</v>
      </c>
    </row>
    <row r="2337" spans="1:9" s="31" customFormat="1" ht="75">
      <c r="A2337" s="4">
        <v>43563.000543981485</v>
      </c>
      <c r="B2337" s="5" t="str">
        <f t="shared" si="98"/>
        <v>@FilipsPalace</v>
      </c>
      <c r="C2337" s="6" t="s">
        <v>969</v>
      </c>
      <c r="D2337" s="7" t="s">
        <v>10512</v>
      </c>
      <c r="E2337" s="8" t="str">
        <f t="shared" si="97"/>
        <v>Hootsuite Inc.</v>
      </c>
      <c r="F2337" s="4">
        <v>43541.326041666667</v>
      </c>
      <c r="G2337" s="17" t="s">
        <v>171</v>
      </c>
      <c r="H2337" s="35" t="s">
        <v>971</v>
      </c>
      <c r="I2337" s="10" t="s">
        <v>972</v>
      </c>
    </row>
    <row r="2338" spans="1:9" s="31" customFormat="1" ht="60">
      <c r="A2338" s="4">
        <v>43560.993101851855</v>
      </c>
      <c r="B2338" s="5" t="str">
        <f t="shared" si="98"/>
        <v>@FilipsPalace</v>
      </c>
      <c r="C2338" s="6" t="s">
        <v>969</v>
      </c>
      <c r="D2338" s="7" t="s">
        <v>11110</v>
      </c>
      <c r="E2338" s="8" t="str">
        <f t="shared" si="97"/>
        <v>Hootsuite Inc.</v>
      </c>
      <c r="F2338" s="4">
        <v>43541.326041666667</v>
      </c>
      <c r="G2338" s="17" t="s">
        <v>171</v>
      </c>
      <c r="H2338" s="35" t="s">
        <v>971</v>
      </c>
      <c r="I2338" s="10" t="s">
        <v>972</v>
      </c>
    </row>
    <row r="2339" spans="1:9" s="31" customFormat="1" ht="60">
      <c r="A2339" s="4">
        <v>43560.010555555556</v>
      </c>
      <c r="B2339" s="5" t="str">
        <f t="shared" si="98"/>
        <v>@FilipsPalace</v>
      </c>
      <c r="C2339" s="6" t="s">
        <v>969</v>
      </c>
      <c r="D2339" s="7" t="s">
        <v>11636</v>
      </c>
      <c r="E2339" s="8" t="str">
        <f t="shared" si="97"/>
        <v>Hootsuite Inc.</v>
      </c>
      <c r="F2339" s="4">
        <v>43541.326041666667</v>
      </c>
      <c r="G2339" s="17" t="s">
        <v>171</v>
      </c>
      <c r="H2339" s="35" t="s">
        <v>971</v>
      </c>
      <c r="I2339" s="10" t="s">
        <v>972</v>
      </c>
    </row>
    <row r="2340" spans="1:9" s="31" customFormat="1" ht="45">
      <c r="A2340" s="4">
        <v>43557.993148148147</v>
      </c>
      <c r="B2340" s="5" t="str">
        <f t="shared" si="98"/>
        <v>@FilipsPalace</v>
      </c>
      <c r="C2340" s="6" t="s">
        <v>969</v>
      </c>
      <c r="D2340" s="7" t="s">
        <v>12348</v>
      </c>
      <c r="E2340" s="8" t="str">
        <f t="shared" si="97"/>
        <v>Hootsuite Inc.</v>
      </c>
      <c r="F2340" s="4">
        <v>43541.326041666667</v>
      </c>
      <c r="G2340" s="17" t="s">
        <v>171</v>
      </c>
      <c r="H2340" s="35" t="s">
        <v>971</v>
      </c>
      <c r="I2340" s="10" t="s">
        <v>972</v>
      </c>
    </row>
    <row r="2341" spans="1:9" s="31" customFormat="1" ht="60">
      <c r="A2341" s="12">
        <v>43579.000706018516</v>
      </c>
      <c r="B2341" s="13" t="str">
        <f t="shared" si="98"/>
        <v>@FilipsPalace</v>
      </c>
      <c r="C2341" s="14" t="s">
        <v>969</v>
      </c>
      <c r="D2341" s="15" t="s">
        <v>970</v>
      </c>
      <c r="E2341" s="16" t="str">
        <f t="shared" si="97"/>
        <v>Hootsuite Inc.</v>
      </c>
      <c r="F2341" s="12">
        <v>43541.326041666667</v>
      </c>
      <c r="G2341" s="17" t="s">
        <v>171</v>
      </c>
      <c r="H2341" s="35" t="s">
        <v>971</v>
      </c>
      <c r="I2341" s="18" t="s">
        <v>972</v>
      </c>
    </row>
    <row r="2342" spans="1:9" s="31" customFormat="1" ht="75">
      <c r="A2342" s="12">
        <v>43576.996597222227</v>
      </c>
      <c r="B2342" s="13" t="str">
        <f t="shared" si="98"/>
        <v>@FilipsPalace</v>
      </c>
      <c r="C2342" s="14" t="s">
        <v>969</v>
      </c>
      <c r="D2342" s="15" t="s">
        <v>1786</v>
      </c>
      <c r="E2342" s="16" t="str">
        <f t="shared" si="97"/>
        <v>Hootsuite Inc.</v>
      </c>
      <c r="F2342" s="12">
        <v>43541.326041666667</v>
      </c>
      <c r="G2342" s="17" t="s">
        <v>171</v>
      </c>
      <c r="H2342" s="35" t="s">
        <v>971</v>
      </c>
      <c r="I2342" s="18" t="s">
        <v>972</v>
      </c>
    </row>
    <row r="2343" spans="1:9" s="31" customFormat="1" ht="60">
      <c r="A2343" s="12">
        <v>43575.010497685187</v>
      </c>
      <c r="B2343" s="13" t="str">
        <f t="shared" si="98"/>
        <v>@FilipsPalace</v>
      </c>
      <c r="C2343" s="14" t="s">
        <v>969</v>
      </c>
      <c r="D2343" s="15" t="s">
        <v>2390</v>
      </c>
      <c r="E2343" s="16" t="str">
        <f t="shared" si="97"/>
        <v>Hootsuite Inc.</v>
      </c>
      <c r="F2343" s="12">
        <v>43541.326041666667</v>
      </c>
      <c r="G2343" s="17" t="s">
        <v>171</v>
      </c>
      <c r="H2343" s="35" t="s">
        <v>971</v>
      </c>
      <c r="I2343" s="18" t="s">
        <v>972</v>
      </c>
    </row>
    <row r="2344" spans="1:9" s="31" customFormat="1" ht="60">
      <c r="A2344" s="12">
        <v>43574.01053240741</v>
      </c>
      <c r="B2344" s="13" t="str">
        <f t="shared" si="98"/>
        <v>@FilipsPalace</v>
      </c>
      <c r="C2344" s="14" t="s">
        <v>969</v>
      </c>
      <c r="D2344" s="15" t="s">
        <v>2696</v>
      </c>
      <c r="E2344" s="16" t="str">
        <f t="shared" si="97"/>
        <v>Hootsuite Inc.</v>
      </c>
      <c r="F2344" s="12">
        <v>43541.326041666667</v>
      </c>
      <c r="G2344" s="17" t="s">
        <v>171</v>
      </c>
      <c r="H2344" s="35" t="s">
        <v>971</v>
      </c>
      <c r="I2344" s="18" t="s">
        <v>972</v>
      </c>
    </row>
    <row r="2345" spans="1:9" s="31" customFormat="1" ht="60">
      <c r="A2345" s="12">
        <v>43572.003576388888</v>
      </c>
      <c r="B2345" s="13" t="str">
        <f t="shared" si="98"/>
        <v>@FilipsPalace</v>
      </c>
      <c r="C2345" s="14" t="s">
        <v>969</v>
      </c>
      <c r="D2345" s="15" t="s">
        <v>3465</v>
      </c>
      <c r="E2345" s="16" t="str">
        <f t="shared" si="97"/>
        <v>Hootsuite Inc.</v>
      </c>
      <c r="F2345" s="12">
        <v>43541.326041666667</v>
      </c>
      <c r="G2345" s="17" t="s">
        <v>171</v>
      </c>
      <c r="H2345" s="35" t="s">
        <v>971</v>
      </c>
      <c r="I2345" s="18" t="s">
        <v>972</v>
      </c>
    </row>
    <row r="2346" spans="1:9" s="31" customFormat="1" ht="75">
      <c r="A2346" s="12">
        <v>43567.989664351851</v>
      </c>
      <c r="B2346" s="13" t="str">
        <f t="shared" si="98"/>
        <v>@FilipsPalace</v>
      </c>
      <c r="C2346" s="14" t="s">
        <v>969</v>
      </c>
      <c r="D2346" s="15" t="s">
        <v>4906</v>
      </c>
      <c r="E2346" s="16" t="str">
        <f t="shared" si="97"/>
        <v>Hootsuite Inc.</v>
      </c>
      <c r="F2346" s="12">
        <v>43541.326041666667</v>
      </c>
      <c r="G2346" s="17" t="s">
        <v>171</v>
      </c>
      <c r="H2346" s="35" t="s">
        <v>971</v>
      </c>
      <c r="I2346" s="18" t="s">
        <v>972</v>
      </c>
    </row>
    <row r="2347" spans="1:9" s="31" customFormat="1" ht="60">
      <c r="A2347" s="12">
        <v>43567.007048611107</v>
      </c>
      <c r="B2347" s="13" t="str">
        <f t="shared" si="98"/>
        <v>@FilipsPalace</v>
      </c>
      <c r="C2347" s="14" t="s">
        <v>969</v>
      </c>
      <c r="D2347" s="15" t="s">
        <v>3465</v>
      </c>
      <c r="E2347" s="16" t="str">
        <f t="shared" si="97"/>
        <v>Hootsuite Inc.</v>
      </c>
      <c r="F2347" s="12">
        <v>43541.326041666667</v>
      </c>
      <c r="G2347" s="17" t="s">
        <v>171</v>
      </c>
      <c r="H2347" s="35" t="s">
        <v>971</v>
      </c>
      <c r="I2347" s="18" t="s">
        <v>972</v>
      </c>
    </row>
    <row r="2348" spans="1:9" s="31" customFormat="1" ht="75">
      <c r="A2348" s="19">
        <v>43549.512118055558</v>
      </c>
      <c r="B2348" s="20" t="str">
        <f>HYPERLINK("https://twitter.com/VAMichelleLowe","@VAMichelleLowe")</f>
        <v>@VAMichelleLowe</v>
      </c>
      <c r="C2348" s="21" t="s">
        <v>7999</v>
      </c>
      <c r="D2348" s="22" t="s">
        <v>8000</v>
      </c>
      <c r="E2348" s="23" t="str">
        <f>HYPERLINK("http://twitter.com/download/iphone","Twitter for iPhone")</f>
        <v>Twitter for iPhone</v>
      </c>
      <c r="F2348" s="19">
        <v>40538.538217592592</v>
      </c>
      <c r="G2348" s="24" t="s">
        <v>171</v>
      </c>
      <c r="H2348" s="35" t="s">
        <v>8001</v>
      </c>
      <c r="I2348" s="25" t="s">
        <v>8002</v>
      </c>
    </row>
    <row r="2349" spans="1:9" s="31" customFormat="1" ht="90">
      <c r="A2349" s="4">
        <v>43557.013043981482</v>
      </c>
      <c r="B2349" s="5" t="str">
        <f>HYPERLINK("https://twitter.com/struttspan","@struttspan")</f>
        <v>@struttspan</v>
      </c>
      <c r="C2349" s="6" t="s">
        <v>12678</v>
      </c>
      <c r="D2349" s="7" t="s">
        <v>12679</v>
      </c>
      <c r="E2349" s="8" t="str">
        <f>HYPERLINK("http://twitter.com","Twitter Web Client")</f>
        <v>Twitter Web Client</v>
      </c>
      <c r="F2349" s="4">
        <v>42335.186620370368</v>
      </c>
      <c r="G2349" s="17" t="s">
        <v>171</v>
      </c>
      <c r="H2349" s="35" t="s">
        <v>12680</v>
      </c>
      <c r="I2349" s="10" t="s">
        <v>12681</v>
      </c>
    </row>
    <row r="2350" spans="1:9" s="31" customFormat="1" ht="75">
      <c r="A2350" s="12">
        <v>43566.108553240745</v>
      </c>
      <c r="B2350" s="13" t="str">
        <f>HYPERLINK("https://twitter.com/midwalesholiday","@midwalesholiday")</f>
        <v>@midwalesholiday</v>
      </c>
      <c r="C2350" s="14" t="s">
        <v>5784</v>
      </c>
      <c r="D2350" s="15" t="s">
        <v>5785</v>
      </c>
      <c r="E2350" s="16" t="str">
        <f>HYPERLINK("http://instagram.com","Instagram")</f>
        <v>Instagram</v>
      </c>
      <c r="F2350" s="12">
        <v>42425.036805555559</v>
      </c>
      <c r="G2350" s="17" t="s">
        <v>171</v>
      </c>
      <c r="H2350" s="35" t="s">
        <v>5786</v>
      </c>
      <c r="I2350" s="18" t="s">
        <v>5787</v>
      </c>
    </row>
    <row r="2351" spans="1:9" s="31" customFormat="1" ht="45">
      <c r="A2351" s="4">
        <v>43559.024375000001</v>
      </c>
      <c r="B2351" s="5" t="str">
        <f>HYPERLINK("https://twitter.com/PlayHashRush","@PlayHashRush")</f>
        <v>@PlayHashRush</v>
      </c>
      <c r="C2351" s="6" t="s">
        <v>11975</v>
      </c>
      <c r="D2351" s="7" t="s">
        <v>11976</v>
      </c>
      <c r="E2351" s="8" t="str">
        <f>HYPERLINK("https://www.hootsuite.com","Hootsuite Inc.")</f>
        <v>Hootsuite Inc.</v>
      </c>
      <c r="F2351" s="4">
        <v>43052.353668981479</v>
      </c>
      <c r="G2351" s="24" t="s">
        <v>171</v>
      </c>
      <c r="H2351" s="35" t="s">
        <v>11977</v>
      </c>
      <c r="I2351" s="10" t="s">
        <v>11978</v>
      </c>
    </row>
    <row r="2352" spans="1:9" s="31" customFormat="1" ht="90">
      <c r="A2352" s="19">
        <v>43542.470023148147</v>
      </c>
      <c r="B2352" s="20" t="str">
        <f>HYPERLINK("https://twitter.com/marruciic","@marruciic")</f>
        <v>@marruciic</v>
      </c>
      <c r="C2352" s="21" t="s">
        <v>10147</v>
      </c>
      <c r="D2352" s="22" t="s">
        <v>10148</v>
      </c>
      <c r="E2352" s="23" t="str">
        <f>HYPERLINK("https://mobile.twitter.com","Twitter Web App")</f>
        <v>Twitter Web App</v>
      </c>
      <c r="F2352" s="19">
        <v>39895.923310185186</v>
      </c>
      <c r="G2352" s="24" t="s">
        <v>171</v>
      </c>
      <c r="H2352" s="35" t="s">
        <v>10149</v>
      </c>
      <c r="I2352" s="25" t="s">
        <v>10150</v>
      </c>
    </row>
    <row r="2353" spans="1:9" s="31" customFormat="1" ht="90">
      <c r="A2353" s="4">
        <v>43561.358784722222</v>
      </c>
      <c r="B2353" s="5" t="str">
        <f>HYPERLINK("https://twitter.com/daniele_vin","@daniele_vin")</f>
        <v>@daniele_vin</v>
      </c>
      <c r="C2353" s="6" t="s">
        <v>11002</v>
      </c>
      <c r="D2353" s="7" t="s">
        <v>11003</v>
      </c>
      <c r="E2353" s="8" t="str">
        <f>HYPERLINK("http://instagram.com","Instagram")</f>
        <v>Instagram</v>
      </c>
      <c r="F2353" s="4">
        <v>40822.507557870369</v>
      </c>
      <c r="G2353" s="17" t="s">
        <v>171</v>
      </c>
      <c r="H2353" s="35" t="s">
        <v>3815</v>
      </c>
      <c r="I2353" s="10" t="s">
        <v>11004</v>
      </c>
    </row>
    <row r="2354" spans="1:9" s="31" customFormat="1" ht="90">
      <c r="A2354" s="4">
        <v>43558.645069444443</v>
      </c>
      <c r="B2354" s="5" t="str">
        <f>HYPERLINK("https://twitter.com/mariaelenaviggi","@mariaelenaviggi")</f>
        <v>@mariaelenaviggi</v>
      </c>
      <c r="C2354" s="6" t="s">
        <v>12089</v>
      </c>
      <c r="D2354" s="7" t="s">
        <v>12090</v>
      </c>
      <c r="E2354" s="8" t="str">
        <f>HYPERLINK("http://twitter.com/download/iphone","Twitter for iPhone")</f>
        <v>Twitter for iPhone</v>
      </c>
      <c r="F2354" s="4">
        <v>40958.137604166666</v>
      </c>
      <c r="G2354" s="17" t="s">
        <v>171</v>
      </c>
      <c r="H2354" s="35" t="s">
        <v>3815</v>
      </c>
      <c r="I2354" s="10" t="s">
        <v>12091</v>
      </c>
    </row>
    <row r="2355" spans="1:9" s="31" customFormat="1" ht="30">
      <c r="A2355" s="12">
        <v>43571.170648148152</v>
      </c>
      <c r="B2355" s="13" t="str">
        <f>HYPERLINK("https://twitter.com/puntotweet","@puntotweet")</f>
        <v>@puntotweet</v>
      </c>
      <c r="C2355" s="14" t="s">
        <v>3813</v>
      </c>
      <c r="D2355" s="15" t="s">
        <v>3814</v>
      </c>
      <c r="E2355" s="16" t="str">
        <f>HYPERLINK("http://punto-informatico.it/","CallAPIPuntoTweet")</f>
        <v>CallAPIPuntoTweet</v>
      </c>
      <c r="F2355" s="12">
        <v>40386.360972222225</v>
      </c>
      <c r="G2355" s="17" t="s">
        <v>171</v>
      </c>
      <c r="H2355" s="35" t="s">
        <v>3815</v>
      </c>
      <c r="I2355" s="18" t="s">
        <v>3816</v>
      </c>
    </row>
    <row r="2356" spans="1:9" s="31" customFormat="1" ht="60">
      <c r="A2356" s="4">
        <v>43564.264398148152</v>
      </c>
      <c r="B2356" s="5" t="str">
        <f>HYPERLINK("https://twitter.com/FantAflat","@FantAflat")</f>
        <v>@FantAflat</v>
      </c>
      <c r="C2356" s="6" t="s">
        <v>6709</v>
      </c>
      <c r="D2356" s="7" t="s">
        <v>6710</v>
      </c>
      <c r="E2356" s="8" t="str">
        <f>HYPERLINK("http://www.facebook.com/twitter","Facebook")</f>
        <v>Facebook</v>
      </c>
      <c r="F2356" s="4">
        <v>42127.544895833329</v>
      </c>
      <c r="G2356" s="17" t="s">
        <v>171</v>
      </c>
      <c r="H2356" s="35" t="s">
        <v>149</v>
      </c>
      <c r="I2356" s="10"/>
    </row>
    <row r="2357" spans="1:9" s="31" customFormat="1" ht="60">
      <c r="A2357" s="4">
        <v>43557.974131944444</v>
      </c>
      <c r="B2357" s="5" t="str">
        <f>HYPERLINK("https://twitter.com/MoustacheHouseR","@MoustacheHouseR")</f>
        <v>@MoustacheHouseR</v>
      </c>
      <c r="C2357" s="6" t="s">
        <v>12352</v>
      </c>
      <c r="D2357" s="7" t="s">
        <v>12353</v>
      </c>
      <c r="E2357" s="8" t="str">
        <f t="shared" ref="E2357:E2363" si="99">HYPERLINK("http://twitter.com/download/android","Twitter for Android")</f>
        <v>Twitter for Android</v>
      </c>
      <c r="F2357" s="4">
        <v>42554.250648148147</v>
      </c>
      <c r="G2357" s="17" t="s">
        <v>171</v>
      </c>
      <c r="H2357" s="35" t="s">
        <v>149</v>
      </c>
      <c r="I2357" s="10"/>
    </row>
    <row r="2358" spans="1:9" s="31" customFormat="1" ht="30">
      <c r="A2358" s="12">
        <v>43580.66851851852</v>
      </c>
      <c r="B2358" s="13" t="str">
        <f t="shared" ref="B2358:B2363" si="100">HYPERLINK("https://twitter.com/il_apt","@il_apt")</f>
        <v>@il_apt</v>
      </c>
      <c r="C2358" s="14" t="s">
        <v>147</v>
      </c>
      <c r="D2358" s="15" t="s">
        <v>148</v>
      </c>
      <c r="E2358" s="16" t="str">
        <f t="shared" si="99"/>
        <v>Twitter for Android</v>
      </c>
      <c r="F2358" s="12">
        <v>43560.796111111107</v>
      </c>
      <c r="G2358" s="17" t="s">
        <v>171</v>
      </c>
      <c r="H2358" s="35" t="s">
        <v>149</v>
      </c>
      <c r="I2358" s="18" t="s">
        <v>150</v>
      </c>
    </row>
    <row r="2359" spans="1:9" s="31" customFormat="1" ht="30">
      <c r="A2359" s="12">
        <v>43580.668333333335</v>
      </c>
      <c r="B2359" s="13" t="str">
        <f t="shared" si="100"/>
        <v>@il_apt</v>
      </c>
      <c r="C2359" s="14" t="s">
        <v>147</v>
      </c>
      <c r="D2359" s="15" t="s">
        <v>148</v>
      </c>
      <c r="E2359" s="16" t="str">
        <f t="shared" si="99"/>
        <v>Twitter for Android</v>
      </c>
      <c r="F2359" s="12">
        <v>43560.796111111107</v>
      </c>
      <c r="G2359" s="17" t="s">
        <v>171</v>
      </c>
      <c r="H2359" s="35" t="s">
        <v>149</v>
      </c>
      <c r="I2359" s="18" t="s">
        <v>150</v>
      </c>
    </row>
    <row r="2360" spans="1:9" s="31" customFormat="1" ht="30">
      <c r="A2360" s="12">
        <v>43580.616736111115</v>
      </c>
      <c r="B2360" s="13" t="str">
        <f t="shared" si="100"/>
        <v>@il_apt</v>
      </c>
      <c r="C2360" s="14" t="s">
        <v>147</v>
      </c>
      <c r="D2360" s="15" t="s">
        <v>208</v>
      </c>
      <c r="E2360" s="16" t="str">
        <f t="shared" si="99"/>
        <v>Twitter for Android</v>
      </c>
      <c r="F2360" s="12">
        <v>43560.796111111107</v>
      </c>
      <c r="G2360" s="17" t="s">
        <v>171</v>
      </c>
      <c r="H2360" s="35" t="s">
        <v>149</v>
      </c>
      <c r="I2360" s="18" t="s">
        <v>150</v>
      </c>
    </row>
    <row r="2361" spans="1:9" s="31" customFormat="1" ht="30">
      <c r="A2361" s="12">
        <v>43577.150590277779</v>
      </c>
      <c r="B2361" s="13" t="str">
        <f t="shared" si="100"/>
        <v>@il_apt</v>
      </c>
      <c r="C2361" s="14" t="s">
        <v>147</v>
      </c>
      <c r="D2361" s="15" t="s">
        <v>1736</v>
      </c>
      <c r="E2361" s="16" t="str">
        <f t="shared" si="99"/>
        <v>Twitter for Android</v>
      </c>
      <c r="F2361" s="12">
        <v>43560.337777777779</v>
      </c>
      <c r="G2361" s="17" t="s">
        <v>171</v>
      </c>
      <c r="H2361" s="35" t="s">
        <v>149</v>
      </c>
      <c r="I2361" s="18" t="s">
        <v>150</v>
      </c>
    </row>
    <row r="2362" spans="1:9" s="31" customFormat="1" ht="30">
      <c r="A2362" s="12">
        <v>43577.092245370368</v>
      </c>
      <c r="B2362" s="13" t="str">
        <f t="shared" si="100"/>
        <v>@il_apt</v>
      </c>
      <c r="C2362" s="14" t="s">
        <v>147</v>
      </c>
      <c r="D2362" s="15" t="s">
        <v>1736</v>
      </c>
      <c r="E2362" s="16" t="str">
        <f t="shared" si="99"/>
        <v>Twitter for Android</v>
      </c>
      <c r="F2362" s="12">
        <v>43560.337777777779</v>
      </c>
      <c r="G2362" s="17" t="s">
        <v>171</v>
      </c>
      <c r="H2362" s="35" t="s">
        <v>149</v>
      </c>
      <c r="I2362" s="18" t="s">
        <v>150</v>
      </c>
    </row>
    <row r="2363" spans="1:9" s="31" customFormat="1" ht="30">
      <c r="A2363" s="12">
        <v>43574.965081018519</v>
      </c>
      <c r="B2363" s="13" t="str">
        <f t="shared" si="100"/>
        <v>@il_apt</v>
      </c>
      <c r="C2363" s="14" t="s">
        <v>147</v>
      </c>
      <c r="D2363" s="15" t="s">
        <v>2397</v>
      </c>
      <c r="E2363" s="16" t="str">
        <f t="shared" si="99"/>
        <v>Twitter for Android</v>
      </c>
      <c r="F2363" s="12">
        <v>43560.337777777779</v>
      </c>
      <c r="G2363" s="17" t="s">
        <v>171</v>
      </c>
      <c r="H2363" s="35" t="s">
        <v>149</v>
      </c>
      <c r="I2363" s="18" t="s">
        <v>150</v>
      </c>
    </row>
    <row r="2364" spans="1:9" s="31" customFormat="1" ht="105">
      <c r="A2364" s="12">
        <v>43566.389085648145</v>
      </c>
      <c r="B2364" s="13" t="str">
        <f>HYPERLINK("https://twitter.com/PalazzoDelDuca","@PalazzoDelDuca")</f>
        <v>@PalazzoDelDuca</v>
      </c>
      <c r="C2364" s="14" t="s">
        <v>5566</v>
      </c>
      <c r="D2364" s="15" t="s">
        <v>5567</v>
      </c>
      <c r="E2364" s="16" t="str">
        <f>HYPERLINK("http://twitter.com/download/iphone","Twitter for iPhone")</f>
        <v>Twitter for iPhone</v>
      </c>
      <c r="F2364" s="12">
        <v>43552.541863425926</v>
      </c>
      <c r="G2364" s="17" t="s">
        <v>171</v>
      </c>
      <c r="H2364" s="35" t="s">
        <v>149</v>
      </c>
      <c r="I2364" s="18" t="s">
        <v>5568</v>
      </c>
    </row>
    <row r="2365" spans="1:9" s="31" customFormat="1" ht="45">
      <c r="A2365" s="19">
        <v>43547.013437500005</v>
      </c>
      <c r="B2365" s="20" t="str">
        <f>HYPERLINK("https://twitter.com/PORTCultural","@PORTCultural")</f>
        <v>@PORTCultural</v>
      </c>
      <c r="C2365" s="21" t="s">
        <v>8673</v>
      </c>
      <c r="D2365" s="22" t="s">
        <v>8674</v>
      </c>
      <c r="E2365" s="23" t="str">
        <f>HYPERLINK("http://twitter.com/download/android","Twitter for Android")</f>
        <v>Twitter for Android</v>
      </c>
      <c r="F2365" s="19">
        <v>43528.165277777778</v>
      </c>
      <c r="G2365" s="17" t="s">
        <v>171</v>
      </c>
      <c r="H2365" s="35" t="s">
        <v>8675</v>
      </c>
      <c r="I2365" s="25" t="s">
        <v>8676</v>
      </c>
    </row>
    <row r="2366" spans="1:9" s="31" customFormat="1" ht="60">
      <c r="A2366" s="19">
        <v>43549.143136574072</v>
      </c>
      <c r="B2366" s="20" t="str">
        <f>HYPERLINK("https://twitter.com/fabrizio_te","@fabrizio_te")</f>
        <v>@fabrizio_te</v>
      </c>
      <c r="C2366" s="21" t="s">
        <v>2372</v>
      </c>
      <c r="D2366" s="22" t="s">
        <v>8148</v>
      </c>
      <c r="E2366" s="23" t="str">
        <f>HYPERLINK("http://twitter.com/download/iphone","Twitter for iPhone")</f>
        <v>Twitter for iPhone</v>
      </c>
      <c r="F2366" s="19">
        <v>39914.555763888886</v>
      </c>
      <c r="G2366" s="17" t="s">
        <v>171</v>
      </c>
      <c r="H2366" s="35" t="s">
        <v>991</v>
      </c>
      <c r="I2366" s="25"/>
    </row>
    <row r="2367" spans="1:9" s="31" customFormat="1" ht="60">
      <c r="A2367" s="19">
        <v>43548.232048611113</v>
      </c>
      <c r="B2367" s="20" t="str">
        <f>HYPERLINK("https://twitter.com/fabrizio_te","@fabrizio_te")</f>
        <v>@fabrizio_te</v>
      </c>
      <c r="C2367" s="21" t="s">
        <v>2372</v>
      </c>
      <c r="D2367" s="22" t="s">
        <v>8148</v>
      </c>
      <c r="E2367" s="23" t="str">
        <f>HYPERLINK("http://twitter.com/download/iphone","Twitter for iPhone")</f>
        <v>Twitter for iPhone</v>
      </c>
      <c r="F2367" s="19">
        <v>39914.555763888886</v>
      </c>
      <c r="G2367" s="17" t="s">
        <v>171</v>
      </c>
      <c r="H2367" s="35" t="s">
        <v>991</v>
      </c>
      <c r="I2367" s="25"/>
    </row>
    <row r="2368" spans="1:9" s="31" customFormat="1" ht="60">
      <c r="A2368" s="19">
        <v>43547.322557870371</v>
      </c>
      <c r="B2368" s="20" t="str">
        <f>HYPERLINK("https://twitter.com/fabrizio_te","@fabrizio_te")</f>
        <v>@fabrizio_te</v>
      </c>
      <c r="C2368" s="21" t="s">
        <v>2372</v>
      </c>
      <c r="D2368" s="22" t="s">
        <v>8148</v>
      </c>
      <c r="E2368" s="23" t="str">
        <f>HYPERLINK("http://twitter.com/download/iphone","Twitter for iPhone")</f>
        <v>Twitter for iPhone</v>
      </c>
      <c r="F2368" s="19">
        <v>39914.555763888886</v>
      </c>
      <c r="G2368" s="17" t="s">
        <v>171</v>
      </c>
      <c r="H2368" s="35" t="s">
        <v>991</v>
      </c>
      <c r="I2368" s="25"/>
    </row>
    <row r="2369" spans="1:9" s="31" customFormat="1" ht="60">
      <c r="A2369" s="19">
        <v>43544.102673611109</v>
      </c>
      <c r="B2369" s="20" t="str">
        <f>HYPERLINK("https://twitter.com/fabrizio_te","@fabrizio_te")</f>
        <v>@fabrizio_te</v>
      </c>
      <c r="C2369" s="21" t="s">
        <v>2372</v>
      </c>
      <c r="D2369" s="22" t="s">
        <v>8148</v>
      </c>
      <c r="E2369" s="23" t="str">
        <f>HYPERLINK("http://twitter.com/download/iphone","Twitter for iPhone")</f>
        <v>Twitter for iPhone</v>
      </c>
      <c r="F2369" s="19">
        <v>39914.555763888886</v>
      </c>
      <c r="G2369" s="17" t="s">
        <v>171</v>
      </c>
      <c r="H2369" s="35" t="s">
        <v>991</v>
      </c>
      <c r="I2369" s="25"/>
    </row>
    <row r="2370" spans="1:9" s="31" customFormat="1" ht="75">
      <c r="A2370" s="12">
        <v>43578.962534722217</v>
      </c>
      <c r="B2370" s="13" t="str">
        <f>HYPERLINK("https://twitter.com/angelocandido","@angelocandido")</f>
        <v>@angelocandido</v>
      </c>
      <c r="C2370" s="14" t="s">
        <v>989</v>
      </c>
      <c r="D2370" s="15" t="s">
        <v>990</v>
      </c>
      <c r="E2370" s="16" t="str">
        <f>HYPERLINK("http://twitter.com/download/iphone","Twitter for iPhone")</f>
        <v>Twitter for iPhone</v>
      </c>
      <c r="F2370" s="12">
        <v>40003.16777777778</v>
      </c>
      <c r="G2370" s="17" t="s">
        <v>171</v>
      </c>
      <c r="H2370" s="35" t="s">
        <v>991</v>
      </c>
      <c r="I2370" s="18" t="s">
        <v>992</v>
      </c>
    </row>
    <row r="2371" spans="1:9" s="31" customFormat="1" ht="45">
      <c r="A2371" s="12">
        <v>43575.081203703703</v>
      </c>
      <c r="B2371" s="13" t="str">
        <f>HYPERLINK("https://twitter.com/fabrizio_te","@fabrizio_te")</f>
        <v>@fabrizio_te</v>
      </c>
      <c r="C2371" s="14" t="s">
        <v>2372</v>
      </c>
      <c r="D2371" s="15" t="s">
        <v>2373</v>
      </c>
      <c r="E2371" s="16" t="str">
        <f>HYPERLINK("http://instagram.com","Instagram")</f>
        <v>Instagram</v>
      </c>
      <c r="F2371" s="12">
        <v>39914.555763888886</v>
      </c>
      <c r="G2371" s="17" t="s">
        <v>171</v>
      </c>
      <c r="H2371" s="35" t="s">
        <v>991</v>
      </c>
      <c r="I2371" s="18"/>
    </row>
    <row r="2372" spans="1:9" s="31" customFormat="1" ht="45">
      <c r="A2372" s="12">
        <v>43571.958657407406</v>
      </c>
      <c r="B2372" s="13" t="str">
        <f>HYPERLINK("https://twitter.com/fabrizio_te","@fabrizio_te")</f>
        <v>@fabrizio_te</v>
      </c>
      <c r="C2372" s="14" t="s">
        <v>2372</v>
      </c>
      <c r="D2372" s="15" t="s">
        <v>3482</v>
      </c>
      <c r="E2372" s="16" t="str">
        <f>HYPERLINK("http://instagram.com","Instagram")</f>
        <v>Instagram</v>
      </c>
      <c r="F2372" s="12">
        <v>39914.555763888886</v>
      </c>
      <c r="G2372" s="17" t="s">
        <v>171</v>
      </c>
      <c r="H2372" s="35" t="s">
        <v>991</v>
      </c>
      <c r="I2372" s="18"/>
    </row>
    <row r="2373" spans="1:9" s="31" customFormat="1" ht="45">
      <c r="A2373" s="12">
        <v>43571.756990740745</v>
      </c>
      <c r="B2373" s="13" t="str">
        <f>HYPERLINK("https://twitter.com/Keycafe_it","@Keycafe_it")</f>
        <v>@Keycafe_it</v>
      </c>
      <c r="C2373" s="14" t="s">
        <v>3559</v>
      </c>
      <c r="D2373" s="15" t="s">
        <v>3560</v>
      </c>
      <c r="E2373" s="16" t="str">
        <f>HYPERLINK("https://www.hootsuite.com","Hootsuite Inc.")</f>
        <v>Hootsuite Inc.</v>
      </c>
      <c r="F2373" s="12">
        <v>43571.612534722226</v>
      </c>
      <c r="G2373" s="17" t="s">
        <v>171</v>
      </c>
      <c r="H2373" s="35" t="s">
        <v>3561</v>
      </c>
      <c r="I2373" s="18" t="s">
        <v>3562</v>
      </c>
    </row>
    <row r="2374" spans="1:9" s="31" customFormat="1" ht="30">
      <c r="A2374" s="12">
        <v>43572.030381944445</v>
      </c>
      <c r="B2374" s="13" t="str">
        <f>HYPERLINK("https://twitter.com/Houseboatrtdm","@Houseboatrtdm")</f>
        <v>@Houseboatrtdm</v>
      </c>
      <c r="C2374" s="14" t="s">
        <v>3459</v>
      </c>
      <c r="D2374" s="15" t="s">
        <v>3460</v>
      </c>
      <c r="E2374" s="16" t="str">
        <f>HYPERLINK("http://twitter.com/download/android","Twitter for Android")</f>
        <v>Twitter for Android</v>
      </c>
      <c r="F2374" s="12">
        <v>42866.208449074074</v>
      </c>
      <c r="G2374" s="17" t="s">
        <v>171</v>
      </c>
      <c r="H2374" s="35" t="s">
        <v>3461</v>
      </c>
      <c r="I2374" s="18" t="s">
        <v>3462</v>
      </c>
    </row>
    <row r="2375" spans="1:9" s="31" customFormat="1" ht="60">
      <c r="A2375" s="19">
        <v>43551.359027777777</v>
      </c>
      <c r="B2375" s="20" t="str">
        <f>HYPERLINK("https://twitter.com/leniamarques","@leniamarques")</f>
        <v>@leniamarques</v>
      </c>
      <c r="C2375" s="21" t="s">
        <v>7281</v>
      </c>
      <c r="D2375" s="22" t="s">
        <v>7282</v>
      </c>
      <c r="E2375" s="23" t="str">
        <f>HYPERLINK("http://twitter.com","Twitter Web Client")</f>
        <v>Twitter Web Client</v>
      </c>
      <c r="F2375" s="19">
        <v>40658.491840277777</v>
      </c>
      <c r="G2375" s="17" t="s">
        <v>171</v>
      </c>
      <c r="H2375" s="35" t="s">
        <v>7283</v>
      </c>
      <c r="I2375" s="25" t="s">
        <v>7284</v>
      </c>
    </row>
    <row r="2376" spans="1:9" s="31" customFormat="1" ht="30">
      <c r="A2376" s="19">
        <v>43544.040046296301</v>
      </c>
      <c r="B2376" s="20" t="str">
        <f>HYPERLINK("https://twitter.com/FLasgi","@FLasgi")</f>
        <v>@FLasgi</v>
      </c>
      <c r="C2376" s="21" t="s">
        <v>9626</v>
      </c>
      <c r="D2376" s="22" t="s">
        <v>9627</v>
      </c>
      <c r="E2376" s="23" t="str">
        <f>HYPERLINK("http://twitter.com/download/android","Twitter for Android")</f>
        <v>Twitter for Android</v>
      </c>
      <c r="F2376" s="19">
        <v>43346.00986111111</v>
      </c>
      <c r="G2376" s="17" t="s">
        <v>171</v>
      </c>
      <c r="H2376" s="35" t="s">
        <v>9628</v>
      </c>
      <c r="I2376" s="25" t="s">
        <v>9629</v>
      </c>
    </row>
    <row r="2377" spans="1:9" s="31" customFormat="1" ht="105">
      <c r="A2377" s="12">
        <v>43566.971956018519</v>
      </c>
      <c r="B2377" s="13" t="str">
        <f>HYPERLINK("https://twitter.com/morningireland","@morningireland")</f>
        <v>@morningireland</v>
      </c>
      <c r="C2377" s="14" t="s">
        <v>5291</v>
      </c>
      <c r="D2377" s="15" t="s">
        <v>5292</v>
      </c>
      <c r="E2377" s="16" t="str">
        <f>HYPERLINK("https://about.twitter.com/products/tweetdeck","TweetDeck")</f>
        <v>TweetDeck</v>
      </c>
      <c r="F2377" s="12">
        <v>39876.328888888893</v>
      </c>
      <c r="G2377" s="17" t="s">
        <v>171</v>
      </c>
      <c r="H2377" s="35" t="s">
        <v>5293</v>
      </c>
      <c r="I2377" s="18" t="s">
        <v>5294</v>
      </c>
    </row>
    <row r="2378" spans="1:9" s="31" customFormat="1" ht="105">
      <c r="A2378" s="12">
        <v>43567.601076388892</v>
      </c>
      <c r="B2378" s="13" t="str">
        <f>HYPERLINK("https://twitter.com/DarknessLove00","@DarknessLove00")</f>
        <v>@DarknessLove00</v>
      </c>
      <c r="C2378" s="14" t="s">
        <v>5031</v>
      </c>
      <c r="D2378" s="15" t="s">
        <v>5032</v>
      </c>
      <c r="E2378" s="16" t="str">
        <f>HYPERLINK("http://twitter.com/download/iphone","Twitter for iPhone")</f>
        <v>Twitter for iPhone</v>
      </c>
      <c r="F2378" s="12">
        <v>43171.052268518513</v>
      </c>
      <c r="G2378" s="17" t="s">
        <v>171</v>
      </c>
      <c r="H2378" s="35" t="s">
        <v>5033</v>
      </c>
      <c r="I2378" s="18"/>
    </row>
    <row r="2379" spans="1:9" s="31" customFormat="1" ht="90">
      <c r="A2379" s="12">
        <v>43567.088680555556</v>
      </c>
      <c r="B2379" s="13" t="str">
        <f>HYPERLINK("https://twitter.com/DarknessLove00","@DarknessLove00")</f>
        <v>@DarknessLove00</v>
      </c>
      <c r="C2379" s="14" t="s">
        <v>5031</v>
      </c>
      <c r="D2379" s="15" t="s">
        <v>5243</v>
      </c>
      <c r="E2379" s="16" t="str">
        <f>HYPERLINK("http://twitter.com/download/iphone","Twitter for iPhone")</f>
        <v>Twitter for iPhone</v>
      </c>
      <c r="F2379" s="12">
        <v>43171.052268518513</v>
      </c>
      <c r="G2379" s="17" t="s">
        <v>171</v>
      </c>
      <c r="H2379" s="35" t="s">
        <v>5033</v>
      </c>
      <c r="I2379" s="18"/>
    </row>
    <row r="2380" spans="1:9" s="31" customFormat="1" ht="60">
      <c r="A2380" s="12">
        <v>43566.381944444445</v>
      </c>
      <c r="B2380" s="13" t="str">
        <f>HYPERLINK("https://twitter.com/denchik_ceo","@denchik_ceo")</f>
        <v>@denchik_ceo</v>
      </c>
      <c r="C2380" s="14" t="s">
        <v>5580</v>
      </c>
      <c r="D2380" s="15" t="s">
        <v>405</v>
      </c>
      <c r="E2380" s="16" t="str">
        <f>HYPERLINK("https://buffer.com","Buffer")</f>
        <v>Buffer</v>
      </c>
      <c r="F2380" s="12">
        <v>42452.30332175926</v>
      </c>
      <c r="G2380" s="17" t="s">
        <v>171</v>
      </c>
      <c r="H2380" s="35" t="s">
        <v>5581</v>
      </c>
      <c r="I2380" s="18" t="s">
        <v>5582</v>
      </c>
    </row>
    <row r="2381" spans="1:9" s="31" customFormat="1" ht="30">
      <c r="A2381" s="4">
        <v>43564.082615740743</v>
      </c>
      <c r="B2381" s="5" t="str">
        <f>HYPERLINK("https://twitter.com/AlisonMannas","@AlisonMannas")</f>
        <v>@AlisonMannas</v>
      </c>
      <c r="C2381" s="6" t="s">
        <v>6790</v>
      </c>
      <c r="D2381" s="7" t="s">
        <v>6791</v>
      </c>
      <c r="E2381" s="8" t="str">
        <f>HYPERLINK("http://twitter.com/download/android","Twitter for Android")</f>
        <v>Twitter for Android</v>
      </c>
      <c r="F2381" s="4">
        <v>43362.538680555561</v>
      </c>
      <c r="G2381" s="17" t="s">
        <v>171</v>
      </c>
      <c r="H2381" s="35" t="s">
        <v>6792</v>
      </c>
      <c r="I2381" s="10" t="s">
        <v>6793</v>
      </c>
    </row>
    <row r="2382" spans="1:9" s="31" customFormat="1" ht="45">
      <c r="A2382" s="19">
        <v>43545.354953703703</v>
      </c>
      <c r="B2382" s="20" t="str">
        <f>HYPERLINK("https://twitter.com/soitiz","@soitiz")</f>
        <v>@soitiz</v>
      </c>
      <c r="C2382" s="21" t="s">
        <v>4191</v>
      </c>
      <c r="D2382" s="22" t="s">
        <v>9173</v>
      </c>
      <c r="E2382" s="23" t="str">
        <f>HYPERLINK("http://twitter.com","Twitter Web Client")</f>
        <v>Twitter Web Client</v>
      </c>
      <c r="F2382" s="19">
        <v>39871.788402777776</v>
      </c>
      <c r="G2382" s="17" t="s">
        <v>171</v>
      </c>
      <c r="H2382" s="35" t="s">
        <v>4193</v>
      </c>
      <c r="I2382" s="25" t="s">
        <v>4194</v>
      </c>
    </row>
    <row r="2383" spans="1:9" s="31" customFormat="1" ht="45">
      <c r="A2383" s="19">
        <v>43542.518472222218</v>
      </c>
      <c r="B2383" s="20" t="str">
        <f>HYPERLINK("https://twitter.com/soitiz","@soitiz")</f>
        <v>@soitiz</v>
      </c>
      <c r="C2383" s="21" t="s">
        <v>4191</v>
      </c>
      <c r="D2383" s="22" t="s">
        <v>10126</v>
      </c>
      <c r="E2383" s="23" t="str">
        <f>HYPERLINK("http://twitter.com","Twitter Web Client")</f>
        <v>Twitter Web Client</v>
      </c>
      <c r="F2383" s="19">
        <v>39871.788402777776</v>
      </c>
      <c r="G2383" s="17" t="s">
        <v>171</v>
      </c>
      <c r="H2383" s="35" t="s">
        <v>4193</v>
      </c>
      <c r="I2383" s="25" t="s">
        <v>4194</v>
      </c>
    </row>
    <row r="2384" spans="1:9" s="31" customFormat="1" ht="60">
      <c r="A2384" s="4">
        <v>43565.237997685181</v>
      </c>
      <c r="B2384" s="5" t="str">
        <f>HYPERLINK("https://twitter.com/soitiz","@soitiz")</f>
        <v>@soitiz</v>
      </c>
      <c r="C2384" s="6" t="s">
        <v>4191</v>
      </c>
      <c r="D2384" s="7" t="s">
        <v>6213</v>
      </c>
      <c r="E2384" s="8" t="str">
        <f>HYPERLINK("http://twitter.com","Twitter Web Client")</f>
        <v>Twitter Web Client</v>
      </c>
      <c r="F2384" s="4">
        <v>39871.788402777776</v>
      </c>
      <c r="G2384" s="17" t="s">
        <v>171</v>
      </c>
      <c r="H2384" s="35" t="s">
        <v>4193</v>
      </c>
      <c r="I2384" s="10" t="s">
        <v>4194</v>
      </c>
    </row>
    <row r="2385" spans="1:9" s="31" customFormat="1" ht="45">
      <c r="A2385" s="12">
        <v>43570.376261574071</v>
      </c>
      <c r="B2385" s="13" t="str">
        <f>HYPERLINK("https://twitter.com/soitiz","@soitiz")</f>
        <v>@soitiz</v>
      </c>
      <c r="C2385" s="14" t="s">
        <v>4191</v>
      </c>
      <c r="D2385" s="15" t="s">
        <v>4192</v>
      </c>
      <c r="E2385" s="16" t="str">
        <f>HYPERLINK("http://twitter.com","Twitter Web Client")</f>
        <v>Twitter Web Client</v>
      </c>
      <c r="F2385" s="12">
        <v>39871.788402777776</v>
      </c>
      <c r="G2385" s="17" t="s">
        <v>171</v>
      </c>
      <c r="H2385" s="35" t="s">
        <v>4193</v>
      </c>
      <c r="I2385" s="18" t="s">
        <v>4194</v>
      </c>
    </row>
    <row r="2386" spans="1:9" s="31" customFormat="1" ht="45">
      <c r="A2386" s="12">
        <v>43566.512256944443</v>
      </c>
      <c r="B2386" s="13" t="str">
        <f>HYPERLINK("https://twitter.com/soitiz","@soitiz")</f>
        <v>@soitiz</v>
      </c>
      <c r="C2386" s="14" t="s">
        <v>4191</v>
      </c>
      <c r="D2386" s="15" t="s">
        <v>5472</v>
      </c>
      <c r="E2386" s="16" t="str">
        <f>HYPERLINK("http://twitter.com","Twitter Web Client")</f>
        <v>Twitter Web Client</v>
      </c>
      <c r="F2386" s="12">
        <v>39871.788402777776</v>
      </c>
      <c r="G2386" s="17" t="s">
        <v>171</v>
      </c>
      <c r="H2386" s="35" t="s">
        <v>4193</v>
      </c>
      <c r="I2386" s="18" t="s">
        <v>4194</v>
      </c>
    </row>
    <row r="2387" spans="1:9" s="31" customFormat="1" ht="75">
      <c r="A2387" s="12">
        <v>43570.479166666672</v>
      </c>
      <c r="B2387" s="13" t="str">
        <f>HYPERLINK("https://twitter.com/Spiretravelltd","@Spiretravelltd")</f>
        <v>@Spiretravelltd</v>
      </c>
      <c r="C2387" s="14" t="s">
        <v>4115</v>
      </c>
      <c r="D2387" s="15" t="s">
        <v>4116</v>
      </c>
      <c r="E2387" s="16" t="str">
        <f>HYPERLINK("https://eclincher.com","eClincher")</f>
        <v>eClincher</v>
      </c>
      <c r="F2387" s="12">
        <v>41225.258692129632</v>
      </c>
      <c r="G2387" s="17" t="s">
        <v>171</v>
      </c>
      <c r="H2387" s="35" t="s">
        <v>4117</v>
      </c>
      <c r="I2387" s="18" t="s">
        <v>4118</v>
      </c>
    </row>
    <row r="2388" spans="1:9" s="31" customFormat="1" ht="60">
      <c r="A2388" s="4">
        <v>43561.194988425923</v>
      </c>
      <c r="B2388" s="5" t="str">
        <f>HYPERLINK("https://twitter.com/Jalipa","@Jalipa")</f>
        <v>@Jalipa</v>
      </c>
      <c r="C2388" s="6" t="s">
        <v>11036</v>
      </c>
      <c r="D2388" s="7" t="s">
        <v>11037</v>
      </c>
      <c r="E2388" s="8" t="str">
        <f>HYPERLINK("http://twitter.com/download/iphone","Twitter for iPhone")</f>
        <v>Twitter for iPhone</v>
      </c>
      <c r="F2388" s="4">
        <v>40148.451122685183</v>
      </c>
      <c r="G2388" s="17" t="s">
        <v>171</v>
      </c>
      <c r="H2388" s="35" t="s">
        <v>11038</v>
      </c>
      <c r="I2388" s="10" t="s">
        <v>11039</v>
      </c>
    </row>
    <row r="2389" spans="1:9" s="31" customFormat="1" ht="105">
      <c r="A2389" s="12">
        <v>43578.009097222224</v>
      </c>
      <c r="B2389" s="13" t="str">
        <f>HYPERLINK("https://twitter.com/AmiroVista","@AmiroVista")</f>
        <v>@AmiroVista</v>
      </c>
      <c r="C2389" s="14" t="s">
        <v>1432</v>
      </c>
      <c r="D2389" s="15" t="s">
        <v>1433</v>
      </c>
      <c r="E2389" s="16" t="str">
        <f>HYPERLINK("http://twitter.com","Twitter Web Client")</f>
        <v>Twitter Web Client</v>
      </c>
      <c r="F2389" s="12">
        <v>41958.560023148151</v>
      </c>
      <c r="G2389" s="17" t="s">
        <v>171</v>
      </c>
      <c r="H2389" s="35" t="s">
        <v>1434</v>
      </c>
      <c r="I2389" s="18" t="s">
        <v>1435</v>
      </c>
    </row>
    <row r="2390" spans="1:9" s="31" customFormat="1" ht="180">
      <c r="A2390" s="12">
        <v>43566.169699074075</v>
      </c>
      <c r="B2390" s="13" t="str">
        <f>HYPERLINK("https://twitter.com/rhizostigmata","@rhizostigmata")</f>
        <v>@rhizostigmata</v>
      </c>
      <c r="C2390" s="14" t="s">
        <v>5748</v>
      </c>
      <c r="D2390" s="15" t="s">
        <v>5749</v>
      </c>
      <c r="E2390" s="16" t="str">
        <f>HYPERLINK("http://twitter.com/download/iphone","Twitter for iPhone")</f>
        <v>Twitter for iPhone</v>
      </c>
      <c r="F2390" s="12">
        <v>43442.104166666672</v>
      </c>
      <c r="G2390" s="17" t="s">
        <v>171</v>
      </c>
      <c r="H2390" s="35" t="s">
        <v>5750</v>
      </c>
      <c r="I2390" s="18" t="s">
        <v>5751</v>
      </c>
    </row>
    <row r="2391" spans="1:9" s="31" customFormat="1" ht="60">
      <c r="A2391" s="4">
        <v>43558.167754629627</v>
      </c>
      <c r="B2391" s="5" t="str">
        <f>HYPERLINK("https://twitter.com/tsommeregger","@tsommeregger")</f>
        <v>@tsommeregger</v>
      </c>
      <c r="C2391" s="6" t="s">
        <v>12305</v>
      </c>
      <c r="D2391" s="7" t="s">
        <v>12306</v>
      </c>
      <c r="E2391" s="8" t="str">
        <f>HYPERLINK("https://medium.com","Medium")</f>
        <v>Medium</v>
      </c>
      <c r="F2391" s="4">
        <v>39513.115231481483</v>
      </c>
      <c r="G2391" s="9" t="s">
        <v>171</v>
      </c>
      <c r="H2391" s="35" t="s">
        <v>12307</v>
      </c>
      <c r="I2391" s="10" t="s">
        <v>12308</v>
      </c>
    </row>
    <row r="2392" spans="1:9" s="31" customFormat="1" ht="45">
      <c r="A2392" s="12">
        <v>43579.994756944448</v>
      </c>
      <c r="B2392" s="13" t="str">
        <f>HYPERLINK("https://twitter.com/santoriniCvilla","@santoriniCvilla")</f>
        <v>@santoriniCvilla</v>
      </c>
      <c r="C2392" s="14" t="s">
        <v>356</v>
      </c>
      <c r="D2392" s="15" t="s">
        <v>357</v>
      </c>
      <c r="E2392" s="16" t="str">
        <f>HYPERLINK("http://twitter.com/download/android","Twitter for Android")</f>
        <v>Twitter for Android</v>
      </c>
      <c r="F2392" s="12">
        <v>42695.162569444445</v>
      </c>
      <c r="G2392" s="17" t="s">
        <v>171</v>
      </c>
      <c r="H2392" s="35" t="s">
        <v>358</v>
      </c>
      <c r="I2392" s="18" t="s">
        <v>359</v>
      </c>
    </row>
    <row r="2393" spans="1:9" s="31" customFormat="1" ht="45">
      <c r="A2393" s="19">
        <v>43544.617962962962</v>
      </c>
      <c r="B2393" s="20" t="str">
        <f>HYPERLINK("https://twitter.com/gemellisx","@gemellisx")</f>
        <v>@gemellisx</v>
      </c>
      <c r="C2393" s="21" t="s">
        <v>9393</v>
      </c>
      <c r="D2393" s="22" t="s">
        <v>9394</v>
      </c>
      <c r="E2393" s="23" t="str">
        <f>HYPERLINK("http://twitter.com/download/iphone","Twitter for iPhone")</f>
        <v>Twitter for iPhone</v>
      </c>
      <c r="F2393" s="19">
        <v>41290.462650462963</v>
      </c>
      <c r="G2393" s="17" t="s">
        <v>171</v>
      </c>
      <c r="H2393" s="35" t="s">
        <v>9395</v>
      </c>
      <c r="I2393" s="25" t="s">
        <v>9396</v>
      </c>
    </row>
    <row r="2394" spans="1:9" s="31" customFormat="1" ht="45">
      <c r="A2394" s="19">
        <v>43549.259421296301</v>
      </c>
      <c r="B2394" s="20" t="str">
        <f>HYPERLINK("https://twitter.com/_MMaritima","@_MMaritima")</f>
        <v>@_MMaritima</v>
      </c>
      <c r="C2394" s="21" t="s">
        <v>8112</v>
      </c>
      <c r="D2394" s="22" t="s">
        <v>8113</v>
      </c>
      <c r="E2394" s="23" t="str">
        <f>HYPERLINK("http://twitter.com","Twitter Web Client")</f>
        <v>Twitter Web Client</v>
      </c>
      <c r="F2394" s="19">
        <v>41337.488298611112</v>
      </c>
      <c r="G2394" s="17" t="s">
        <v>171</v>
      </c>
      <c r="H2394" s="35" t="s">
        <v>2394</v>
      </c>
      <c r="I2394" s="25" t="s">
        <v>8114</v>
      </c>
    </row>
    <row r="2395" spans="1:9" s="31" customFormat="1" ht="105">
      <c r="A2395" s="4">
        <v>43559.460416666669</v>
      </c>
      <c r="B2395" s="5" t="str">
        <f>HYPERLINK("https://twitter.com/TheCommonSpace","@TheCommonSpace")</f>
        <v>@TheCommonSpace</v>
      </c>
      <c r="C2395" s="6" t="s">
        <v>5272</v>
      </c>
      <c r="D2395" s="7" t="s">
        <v>11805</v>
      </c>
      <c r="E2395" s="8" t="str">
        <f>HYPERLINK("https://about.twitter.com/products/tweetdeck","TweetDeck")</f>
        <v>TweetDeck</v>
      </c>
      <c r="F2395" s="4">
        <v>41954.131527777776</v>
      </c>
      <c r="G2395" s="17" t="s">
        <v>171</v>
      </c>
      <c r="H2395" s="35" t="s">
        <v>2394</v>
      </c>
      <c r="I2395" s="10" t="s">
        <v>5274</v>
      </c>
    </row>
    <row r="2396" spans="1:9" s="31" customFormat="1" ht="75">
      <c r="A2396" s="12">
        <v>43575.005115740743</v>
      </c>
      <c r="B2396" s="13" t="str">
        <f>HYPERLINK("https://twitter.com/OntheWay___","@OntheWay___")</f>
        <v>@OntheWay___</v>
      </c>
      <c r="C2396" s="14" t="s">
        <v>2392</v>
      </c>
      <c r="D2396" s="15" t="s">
        <v>2393</v>
      </c>
      <c r="E2396" s="16" t="str">
        <f>HYPERLINK("http://twitter.com","Twitter Web Client")</f>
        <v>Twitter Web Client</v>
      </c>
      <c r="F2396" s="12">
        <v>43214.50712962963</v>
      </c>
      <c r="G2396" s="17" t="s">
        <v>171</v>
      </c>
      <c r="H2396" s="35" t="s">
        <v>2394</v>
      </c>
      <c r="I2396" s="18" t="s">
        <v>2395</v>
      </c>
    </row>
    <row r="2397" spans="1:9" s="31" customFormat="1" ht="90">
      <c r="A2397" s="12">
        <v>43567.013888888891</v>
      </c>
      <c r="B2397" s="13" t="str">
        <f>HYPERLINK("https://twitter.com/TheCommonSpace","@TheCommonSpace")</f>
        <v>@TheCommonSpace</v>
      </c>
      <c r="C2397" s="14" t="s">
        <v>5272</v>
      </c>
      <c r="D2397" s="15" t="s">
        <v>5273</v>
      </c>
      <c r="E2397" s="16" t="str">
        <f>HYPERLINK("https://about.twitter.com/products/tweetdeck","TweetDeck")</f>
        <v>TweetDeck</v>
      </c>
      <c r="F2397" s="12">
        <v>41954.131527777776</v>
      </c>
      <c r="G2397" s="17" t="s">
        <v>171</v>
      </c>
      <c r="H2397" s="35" t="s">
        <v>2394</v>
      </c>
      <c r="I2397" s="18" t="s">
        <v>5274</v>
      </c>
    </row>
    <row r="2398" spans="1:9" s="31" customFormat="1" ht="90">
      <c r="A2398" s="4">
        <v>43564.774340277778</v>
      </c>
      <c r="B2398" s="5" t="str">
        <f>HYPERLINK("https://twitter.com/kuantancurls","@kuantancurls")</f>
        <v>@kuantancurls</v>
      </c>
      <c r="C2398" s="6" t="s">
        <v>6417</v>
      </c>
      <c r="D2398" s="7" t="s">
        <v>6418</v>
      </c>
      <c r="E2398" s="8" t="str">
        <f>HYPERLINK("https://mobile.twitter.com","Twitter Web App")</f>
        <v>Twitter Web App</v>
      </c>
      <c r="F2398" s="4">
        <v>42265.503842592589</v>
      </c>
      <c r="G2398" s="17" t="s">
        <v>171</v>
      </c>
      <c r="H2398" s="35" t="s">
        <v>6419</v>
      </c>
      <c r="I2398" s="10" t="s">
        <v>6420</v>
      </c>
    </row>
    <row r="2399" spans="1:9" s="31" customFormat="1" ht="90">
      <c r="A2399" s="19">
        <v>43545.516759259262</v>
      </c>
      <c r="B2399" s="20" t="str">
        <f>HYPERLINK("https://twitter.com/ScotList","@ScotList")</f>
        <v>@ScotList</v>
      </c>
      <c r="C2399" s="21" t="s">
        <v>9113</v>
      </c>
      <c r="D2399" s="22" t="s">
        <v>9114</v>
      </c>
      <c r="E2399" s="23" t="str">
        <f>HYPERLINK("https://www.socialoomph.com","SocialOomph")</f>
        <v>SocialOomph</v>
      </c>
      <c r="F2399" s="19">
        <v>41237.440208333333</v>
      </c>
      <c r="G2399" s="17" t="s">
        <v>171</v>
      </c>
      <c r="H2399" s="35" t="s">
        <v>9115</v>
      </c>
      <c r="I2399" s="25" t="s">
        <v>9116</v>
      </c>
    </row>
    <row r="2400" spans="1:9" s="31" customFormat="1" ht="105">
      <c r="A2400" s="19">
        <v>43542.514699074076</v>
      </c>
      <c r="B2400" s="20" t="str">
        <f>HYPERLINK("https://twitter.com/ScotList","@ScotList")</f>
        <v>@ScotList</v>
      </c>
      <c r="C2400" s="21" t="s">
        <v>9113</v>
      </c>
      <c r="D2400" s="22" t="s">
        <v>10127</v>
      </c>
      <c r="E2400" s="23" t="str">
        <f>HYPERLINK("https://www.socialoomph.com","SocialOomph")</f>
        <v>SocialOomph</v>
      </c>
      <c r="F2400" s="19">
        <v>41237.440208333333</v>
      </c>
      <c r="G2400" s="17" t="s">
        <v>171</v>
      </c>
      <c r="H2400" s="35" t="s">
        <v>9115</v>
      </c>
      <c r="I2400" s="25" t="s">
        <v>9116</v>
      </c>
    </row>
    <row r="2401" spans="1:9" s="31" customFormat="1" ht="105">
      <c r="A2401" s="4">
        <v>43559.487511574072</v>
      </c>
      <c r="B2401" s="5" t="str">
        <f>HYPERLINK("https://twitter.com/ScotList","@ScotList")</f>
        <v>@ScotList</v>
      </c>
      <c r="C2401" s="6" t="s">
        <v>9113</v>
      </c>
      <c r="D2401" s="7" t="s">
        <v>11790</v>
      </c>
      <c r="E2401" s="8" t="str">
        <f>HYPERLINK("https://www.socialoomph.com","SocialOomph")</f>
        <v>SocialOomph</v>
      </c>
      <c r="F2401" s="4">
        <v>41237.440208333333</v>
      </c>
      <c r="G2401" s="17" t="s">
        <v>171</v>
      </c>
      <c r="H2401" s="35" t="s">
        <v>9115</v>
      </c>
      <c r="I2401" s="10" t="s">
        <v>9116</v>
      </c>
    </row>
    <row r="2402" spans="1:9" s="31" customFormat="1" ht="105">
      <c r="A2402" s="19">
        <v>43551.302141203705</v>
      </c>
      <c r="B2402" s="20" t="str">
        <f>HYPERLINK("https://twitter.com/SpotHostUK","@SpotHostUK")</f>
        <v>@SpotHostUK</v>
      </c>
      <c r="C2402" s="21" t="s">
        <v>1248</v>
      </c>
      <c r="D2402" s="22" t="s">
        <v>1249</v>
      </c>
      <c r="E2402" s="23" t="str">
        <f>HYPERLINK("https://sproutsocial.com","Sprout Social")</f>
        <v>Sprout Social</v>
      </c>
      <c r="F2402" s="19">
        <v>42693.298287037032</v>
      </c>
      <c r="G2402" s="17" t="s">
        <v>171</v>
      </c>
      <c r="H2402" s="35" t="s">
        <v>1250</v>
      </c>
      <c r="I2402" s="25" t="s">
        <v>1251</v>
      </c>
    </row>
    <row r="2403" spans="1:9" s="31" customFormat="1" ht="105">
      <c r="A2403" s="19">
        <v>43550.368784722217</v>
      </c>
      <c r="B2403" s="20" t="str">
        <f>HYPERLINK("https://twitter.com/SpotHostUK","@SpotHostUK")</f>
        <v>@SpotHostUK</v>
      </c>
      <c r="C2403" s="21" t="s">
        <v>1248</v>
      </c>
      <c r="D2403" s="22" t="s">
        <v>7705</v>
      </c>
      <c r="E2403" s="23" t="str">
        <f>HYPERLINK("https://sproutsocial.com","Sprout Social")</f>
        <v>Sprout Social</v>
      </c>
      <c r="F2403" s="19">
        <v>42693.298287037032</v>
      </c>
      <c r="G2403" s="17" t="s">
        <v>171</v>
      </c>
      <c r="H2403" s="35" t="s">
        <v>1250</v>
      </c>
      <c r="I2403" s="25" t="s">
        <v>1251</v>
      </c>
    </row>
    <row r="2404" spans="1:9" s="31" customFormat="1" ht="105">
      <c r="A2404" s="19">
        <v>43546.296550925923</v>
      </c>
      <c r="B2404" s="20" t="str">
        <f>HYPERLINK("https://twitter.com/SpotHostUK","@SpotHostUK")</f>
        <v>@SpotHostUK</v>
      </c>
      <c r="C2404" s="21" t="s">
        <v>1248</v>
      </c>
      <c r="D2404" s="22" t="s">
        <v>2942</v>
      </c>
      <c r="E2404" s="23" t="str">
        <f>HYPERLINK("https://sproutsocial.com","Sprout Social")</f>
        <v>Sprout Social</v>
      </c>
      <c r="F2404" s="19">
        <v>42693.298287037032</v>
      </c>
      <c r="G2404" s="17" t="s">
        <v>171</v>
      </c>
      <c r="H2404" s="35" t="s">
        <v>1250</v>
      </c>
      <c r="I2404" s="25" t="s">
        <v>1251</v>
      </c>
    </row>
    <row r="2405" spans="1:9" s="31" customFormat="1" ht="105">
      <c r="A2405" s="19">
        <v>43545.34575231481</v>
      </c>
      <c r="B2405" s="20" t="str">
        <f>HYPERLINK("https://twitter.com/SpotHostUK","@SpotHostUK")</f>
        <v>@SpotHostUK</v>
      </c>
      <c r="C2405" s="21" t="s">
        <v>1248</v>
      </c>
      <c r="D2405" s="22" t="s">
        <v>7705</v>
      </c>
      <c r="E2405" s="23" t="str">
        <f>HYPERLINK("https://sproutsocial.com","Sprout Social")</f>
        <v>Sprout Social</v>
      </c>
      <c r="F2405" s="19">
        <v>42693.298287037032</v>
      </c>
      <c r="G2405" s="17" t="s">
        <v>171</v>
      </c>
      <c r="H2405" s="35" t="s">
        <v>1250</v>
      </c>
      <c r="I2405" s="25" t="s">
        <v>1251</v>
      </c>
    </row>
    <row r="2406" spans="1:9" s="31" customFormat="1" ht="105">
      <c r="A2406" s="19">
        <v>43545.241678240738</v>
      </c>
      <c r="B2406" s="20" t="str">
        <f>HYPERLINK("https://twitter.com/SpotHostUK","@SpotHostUK")</f>
        <v>@SpotHostUK</v>
      </c>
      <c r="C2406" s="21" t="s">
        <v>1248</v>
      </c>
      <c r="D2406" s="22" t="s">
        <v>1249</v>
      </c>
      <c r="E2406" s="23" t="str">
        <f>HYPERLINK("https://sproutsocial.com","Sprout Social")</f>
        <v>Sprout Social</v>
      </c>
      <c r="F2406" s="19">
        <v>42693.298287037032</v>
      </c>
      <c r="G2406" s="17" t="s">
        <v>171</v>
      </c>
      <c r="H2406" s="35" t="s">
        <v>1250</v>
      </c>
      <c r="I2406" s="25" t="s">
        <v>1251</v>
      </c>
    </row>
    <row r="2407" spans="1:9" s="31" customFormat="1" ht="60">
      <c r="A2407" s="19">
        <v>43543.591516203705</v>
      </c>
      <c r="B2407" s="20" t="str">
        <f>HYPERLINK("https://twitter.com/glasgowspark1","@glasgowspark1")</f>
        <v>@glasgowspark1</v>
      </c>
      <c r="C2407" s="21" t="s">
        <v>9745</v>
      </c>
      <c r="D2407" s="22" t="s">
        <v>9746</v>
      </c>
      <c r="E2407" s="23" t="str">
        <f>HYPERLINK("http://twitter.com/download/iphone","Twitter for iPhone")</f>
        <v>Twitter for iPhone</v>
      </c>
      <c r="F2407" s="19">
        <v>41938.07271990741</v>
      </c>
      <c r="G2407" s="17" t="s">
        <v>171</v>
      </c>
      <c r="H2407" s="35" t="s">
        <v>1250</v>
      </c>
      <c r="I2407" s="25" t="s">
        <v>9747</v>
      </c>
    </row>
    <row r="2408" spans="1:9" s="31" customFormat="1" ht="105">
      <c r="A2408" s="4">
        <v>43565.42224537037</v>
      </c>
      <c r="B2408" s="5" t="str">
        <f t="shared" ref="B2408:B2413" si="101">HYPERLINK("https://twitter.com/SpotHostUK","@SpotHostUK")</f>
        <v>@SpotHostUK</v>
      </c>
      <c r="C2408" s="6" t="s">
        <v>1248</v>
      </c>
      <c r="D2408" s="7" t="s">
        <v>2942</v>
      </c>
      <c r="E2408" s="8" t="str">
        <f t="shared" ref="E2408:E2413" si="102">HYPERLINK("https://sproutsocial.com","Sprout Social")</f>
        <v>Sprout Social</v>
      </c>
      <c r="F2408" s="4">
        <v>42693.298287037032</v>
      </c>
      <c r="G2408" s="17" t="s">
        <v>171</v>
      </c>
      <c r="H2408" s="35" t="s">
        <v>1250</v>
      </c>
      <c r="I2408" s="10" t="s">
        <v>1251</v>
      </c>
    </row>
    <row r="2409" spans="1:9" s="31" customFormat="1" ht="105">
      <c r="A2409" s="4">
        <v>43559.258344907408</v>
      </c>
      <c r="B2409" s="5" t="str">
        <f t="shared" si="101"/>
        <v>@SpotHostUK</v>
      </c>
      <c r="C2409" s="6" t="s">
        <v>1248</v>
      </c>
      <c r="D2409" s="7" t="s">
        <v>1249</v>
      </c>
      <c r="E2409" s="8" t="str">
        <f t="shared" si="102"/>
        <v>Sprout Social</v>
      </c>
      <c r="F2409" s="4">
        <v>42693.298287037032</v>
      </c>
      <c r="G2409" s="17" t="s">
        <v>171</v>
      </c>
      <c r="H2409" s="35" t="s">
        <v>1250</v>
      </c>
      <c r="I2409" s="10" t="s">
        <v>1251</v>
      </c>
    </row>
    <row r="2410" spans="1:9" s="31" customFormat="1" ht="105">
      <c r="A2410" s="12">
        <v>43578.379178240742</v>
      </c>
      <c r="B2410" s="13" t="str">
        <f t="shared" si="101"/>
        <v>@SpotHostUK</v>
      </c>
      <c r="C2410" s="14" t="s">
        <v>1248</v>
      </c>
      <c r="D2410" s="15" t="s">
        <v>1249</v>
      </c>
      <c r="E2410" s="16" t="str">
        <f t="shared" si="102"/>
        <v>Sprout Social</v>
      </c>
      <c r="F2410" s="12">
        <v>42693.298287037032</v>
      </c>
      <c r="G2410" s="17" t="s">
        <v>171</v>
      </c>
      <c r="H2410" s="35" t="s">
        <v>1250</v>
      </c>
      <c r="I2410" s="18" t="s">
        <v>1251</v>
      </c>
    </row>
    <row r="2411" spans="1:9" s="31" customFormat="1" ht="105">
      <c r="A2411" s="12">
        <v>43573.298634259263</v>
      </c>
      <c r="B2411" s="13" t="str">
        <f t="shared" si="101"/>
        <v>@SpotHostUK</v>
      </c>
      <c r="C2411" s="14" t="s">
        <v>1248</v>
      </c>
      <c r="D2411" s="15" t="s">
        <v>2942</v>
      </c>
      <c r="E2411" s="16" t="str">
        <f t="shared" si="102"/>
        <v>Sprout Social</v>
      </c>
      <c r="F2411" s="12">
        <v>42693.298287037032</v>
      </c>
      <c r="G2411" s="17" t="s">
        <v>171</v>
      </c>
      <c r="H2411" s="35" t="s">
        <v>1250</v>
      </c>
      <c r="I2411" s="18" t="s">
        <v>1251</v>
      </c>
    </row>
    <row r="2412" spans="1:9" s="31" customFormat="1" ht="105">
      <c r="A2412" s="12">
        <v>43572.427164351851</v>
      </c>
      <c r="B2412" s="13" t="str">
        <f t="shared" si="101"/>
        <v>@SpotHostUK</v>
      </c>
      <c r="C2412" s="14" t="s">
        <v>1248</v>
      </c>
      <c r="D2412" s="15" t="s">
        <v>1249</v>
      </c>
      <c r="E2412" s="16" t="str">
        <f t="shared" si="102"/>
        <v>Sprout Social</v>
      </c>
      <c r="F2412" s="12">
        <v>42693.298287037032</v>
      </c>
      <c r="G2412" s="17" t="s">
        <v>171</v>
      </c>
      <c r="H2412" s="35" t="s">
        <v>1250</v>
      </c>
      <c r="I2412" s="18" t="s">
        <v>1251</v>
      </c>
    </row>
    <row r="2413" spans="1:9" s="31" customFormat="1" ht="105">
      <c r="A2413" s="12">
        <v>43567.213206018518</v>
      </c>
      <c r="B2413" s="13" t="str">
        <f t="shared" si="101"/>
        <v>@SpotHostUK</v>
      </c>
      <c r="C2413" s="14" t="s">
        <v>1248</v>
      </c>
      <c r="D2413" s="15" t="s">
        <v>1249</v>
      </c>
      <c r="E2413" s="16" t="str">
        <f t="shared" si="102"/>
        <v>Sprout Social</v>
      </c>
      <c r="F2413" s="12">
        <v>42693.298287037032</v>
      </c>
      <c r="G2413" s="17" t="s">
        <v>171</v>
      </c>
      <c r="H2413" s="35" t="s">
        <v>1250</v>
      </c>
      <c r="I2413" s="18" t="s">
        <v>1251</v>
      </c>
    </row>
    <row r="2414" spans="1:9" s="31" customFormat="1" ht="90">
      <c r="A2414" s="19">
        <v>43542.507245370369</v>
      </c>
      <c r="B2414" s="20" t="str">
        <f>HYPERLINK("https://twitter.com/Cindie_Reiter","@Cindie_Reiter")</f>
        <v>@Cindie_Reiter</v>
      </c>
      <c r="C2414" s="21" t="s">
        <v>10128</v>
      </c>
      <c r="D2414" s="22" t="s">
        <v>10129</v>
      </c>
      <c r="E2414" s="23" t="str">
        <f>HYPERLINK("http://twitter.com","Twitter Web Client")</f>
        <v>Twitter Web Client</v>
      </c>
      <c r="F2414" s="19">
        <v>40530.218900462962</v>
      </c>
      <c r="G2414" s="24" t="s">
        <v>171</v>
      </c>
      <c r="H2414" s="35" t="s">
        <v>10130</v>
      </c>
      <c r="I2414" s="25" t="s">
        <v>10131</v>
      </c>
    </row>
    <row r="2415" spans="1:9" s="31" customFormat="1" ht="75">
      <c r="A2415" s="19">
        <v>43542.4840162037</v>
      </c>
      <c r="B2415" s="20" t="str">
        <f>HYPERLINK("https://twitter.com/Cindie_Reiter","@Cindie_Reiter")</f>
        <v>@Cindie_Reiter</v>
      </c>
      <c r="C2415" s="21" t="s">
        <v>10128</v>
      </c>
      <c r="D2415" s="22" t="s">
        <v>10146</v>
      </c>
      <c r="E2415" s="23" t="str">
        <f>HYPERLINK("http://instagram.com","Instagram")</f>
        <v>Instagram</v>
      </c>
      <c r="F2415" s="19">
        <v>40530.218900462962</v>
      </c>
      <c r="G2415" s="24" t="s">
        <v>171</v>
      </c>
      <c r="H2415" s="35" t="s">
        <v>10130</v>
      </c>
      <c r="I2415" s="25" t="s">
        <v>10131</v>
      </c>
    </row>
    <row r="2416" spans="1:9" s="31" customFormat="1" ht="75">
      <c r="A2416" s="4">
        <v>43563.100729166668</v>
      </c>
      <c r="B2416" s="5" t="str">
        <f>HYPERLINK("https://twitter.com/eraser","@eraser")</f>
        <v>@eraser</v>
      </c>
      <c r="C2416" s="6" t="s">
        <v>10462</v>
      </c>
      <c r="D2416" s="7" t="s">
        <v>10463</v>
      </c>
      <c r="E2416" s="8" t="str">
        <f>HYPERLINK("https://www.hootsuite.com","Hootsuite Inc.")</f>
        <v>Hootsuite Inc.</v>
      </c>
      <c r="F2416" s="4">
        <v>39173.217187499999</v>
      </c>
      <c r="G2416" s="9" t="s">
        <v>171</v>
      </c>
      <c r="H2416" s="35" t="s">
        <v>10464</v>
      </c>
      <c r="I2416" s="10" t="s">
        <v>10465</v>
      </c>
    </row>
    <row r="2417" spans="1:9" s="31" customFormat="1" ht="75">
      <c r="A2417" s="4">
        <v>43563.039212962962</v>
      </c>
      <c r="B2417" s="5" t="str">
        <f>HYPERLINK("https://twitter.com/Woodsthecleaner","@Woodsthecleaner")</f>
        <v>@Woodsthecleaner</v>
      </c>
      <c r="C2417" s="6" t="s">
        <v>10493</v>
      </c>
      <c r="D2417" s="7" t="s">
        <v>10494</v>
      </c>
      <c r="E2417" s="8" t="str">
        <f>HYPERLINK("http://instagram.com","Instagram")</f>
        <v>Instagram</v>
      </c>
      <c r="F2417" s="4">
        <v>41671.041134259256</v>
      </c>
      <c r="G2417" s="9" t="s">
        <v>171</v>
      </c>
      <c r="H2417" s="35" t="s">
        <v>10495</v>
      </c>
      <c r="I2417" s="10" t="s">
        <v>10496</v>
      </c>
    </row>
    <row r="2418" spans="1:9" s="31" customFormat="1" ht="60">
      <c r="A2418" s="19">
        <v>43551.384375000001</v>
      </c>
      <c r="B2418" s="20" t="str">
        <f>HYPERLINK("https://twitter.com/PoppinsbyDay","@PoppinsbyDay")</f>
        <v>@PoppinsbyDay</v>
      </c>
      <c r="C2418" s="21" t="s">
        <v>7255</v>
      </c>
      <c r="D2418" s="22" t="s">
        <v>7256</v>
      </c>
      <c r="E2418" s="23" t="str">
        <f>HYPERLINK("http://instagram.com","Instagram")</f>
        <v>Instagram</v>
      </c>
      <c r="F2418" s="19">
        <v>40991.049768518518</v>
      </c>
      <c r="G2418" s="9" t="s">
        <v>171</v>
      </c>
      <c r="H2418" s="35" t="s">
        <v>7257</v>
      </c>
      <c r="I2418" s="25" t="s">
        <v>7258</v>
      </c>
    </row>
    <row r="2419" spans="1:9" s="31" customFormat="1" ht="60">
      <c r="A2419" s="12">
        <v>43567.103298611109</v>
      </c>
      <c r="B2419" s="13" t="str">
        <f>HYPERLINK("https://twitter.com/CrookHall","@CrookHall")</f>
        <v>@CrookHall</v>
      </c>
      <c r="C2419" s="14" t="s">
        <v>5235</v>
      </c>
      <c r="D2419" s="15" t="s">
        <v>5236</v>
      </c>
      <c r="E2419" s="16" t="str">
        <f>HYPERLINK("http://twitter.com","Twitter Web Client")</f>
        <v>Twitter Web Client</v>
      </c>
      <c r="F2419" s="12">
        <v>40707.501932870371</v>
      </c>
      <c r="G2419" s="9" t="s">
        <v>171</v>
      </c>
      <c r="H2419" s="35" t="s">
        <v>5237</v>
      </c>
      <c r="I2419" s="18" t="s">
        <v>5238</v>
      </c>
    </row>
    <row r="2420" spans="1:9" s="31" customFormat="1" ht="45">
      <c r="A2420" s="4">
        <v>43561.079953703702</v>
      </c>
      <c r="B2420" s="5" t="str">
        <f>HYPERLINK("https://twitter.com/RolandSchegg","@RolandSchegg")</f>
        <v>@RolandSchegg</v>
      </c>
      <c r="C2420" s="6" t="s">
        <v>11080</v>
      </c>
      <c r="D2420" s="7" t="s">
        <v>11081</v>
      </c>
      <c r="E2420" s="8" t="str">
        <f>HYPERLINK("http://www.scoop.it","Scoop.it")</f>
        <v>Scoop.it</v>
      </c>
      <c r="F2420" s="4">
        <v>40880.103680555556</v>
      </c>
      <c r="G2420" s="9" t="s">
        <v>171</v>
      </c>
      <c r="H2420" s="35" t="s">
        <v>11082</v>
      </c>
      <c r="I2420" s="10" t="s">
        <v>11083</v>
      </c>
    </row>
    <row r="2421" spans="1:9" s="31" customFormat="1" ht="75">
      <c r="A2421" s="19">
        <v>43549.449293981481</v>
      </c>
      <c r="B2421" s="20" t="str">
        <f>HYPERLINK("https://twitter.com/StrandBeachApts","@StrandBeachApts")</f>
        <v>@StrandBeachApts</v>
      </c>
      <c r="C2421" s="21" t="s">
        <v>1745</v>
      </c>
      <c r="D2421" s="22" t="s">
        <v>8031</v>
      </c>
      <c r="E2421" s="23" t="str">
        <f>HYPERLINK("http://twitter.com/download/android","Twitter for Android")</f>
        <v>Twitter for Android</v>
      </c>
      <c r="F2421" s="19">
        <v>42980.317002314812</v>
      </c>
      <c r="G2421" s="17" t="s">
        <v>171</v>
      </c>
      <c r="H2421" s="35" t="s">
        <v>1747</v>
      </c>
      <c r="I2421" s="25" t="s">
        <v>1748</v>
      </c>
    </row>
    <row r="2422" spans="1:9" s="31" customFormat="1" ht="90">
      <c r="A2422" s="4">
        <v>43563.122754629629</v>
      </c>
      <c r="B2422" s="5" t="str">
        <f>HYPERLINK("https://twitter.com/StrandBeachApts","@StrandBeachApts")</f>
        <v>@StrandBeachApts</v>
      </c>
      <c r="C2422" s="6" t="s">
        <v>1745</v>
      </c>
      <c r="D2422" s="7" t="s">
        <v>10455</v>
      </c>
      <c r="E2422" s="8" t="str">
        <f>HYPERLINK("http://twitter.com/download/android","Twitter for Android")</f>
        <v>Twitter for Android</v>
      </c>
      <c r="F2422" s="4">
        <v>42980.317002314812</v>
      </c>
      <c r="G2422" s="17" t="s">
        <v>171</v>
      </c>
      <c r="H2422" s="35" t="s">
        <v>1747</v>
      </c>
      <c r="I2422" s="10" t="s">
        <v>1748</v>
      </c>
    </row>
    <row r="2423" spans="1:9" s="31" customFormat="1" ht="90">
      <c r="A2423" s="4">
        <v>43563.00949074074</v>
      </c>
      <c r="B2423" s="5" t="str">
        <f>HYPERLINK("https://twitter.com/StrandBeachApts","@StrandBeachApts")</f>
        <v>@StrandBeachApts</v>
      </c>
      <c r="C2423" s="6" t="s">
        <v>1745</v>
      </c>
      <c r="D2423" s="7" t="s">
        <v>10511</v>
      </c>
      <c r="E2423" s="8" t="str">
        <f>HYPERLINK("http://twitter.com/download/android","Twitter for Android")</f>
        <v>Twitter for Android</v>
      </c>
      <c r="F2423" s="4">
        <v>42980.317002314812</v>
      </c>
      <c r="G2423" s="17" t="s">
        <v>171</v>
      </c>
      <c r="H2423" s="35" t="s">
        <v>1747</v>
      </c>
      <c r="I2423" s="10" t="s">
        <v>1748</v>
      </c>
    </row>
    <row r="2424" spans="1:9" s="31" customFormat="1" ht="105">
      <c r="A2424" s="12">
        <v>43577.115844907406</v>
      </c>
      <c r="B2424" s="13" t="str">
        <f>HYPERLINK("https://twitter.com/StrandBeachApts","@StrandBeachApts")</f>
        <v>@StrandBeachApts</v>
      </c>
      <c r="C2424" s="14" t="s">
        <v>1745</v>
      </c>
      <c r="D2424" s="15" t="s">
        <v>1746</v>
      </c>
      <c r="E2424" s="16" t="str">
        <f>HYPERLINK("http://twitter.com/download/android","Twitter for Android")</f>
        <v>Twitter for Android</v>
      </c>
      <c r="F2424" s="12">
        <v>42980.317002314812</v>
      </c>
      <c r="G2424" s="17" t="s">
        <v>171</v>
      </c>
      <c r="H2424" s="35" t="s">
        <v>1747</v>
      </c>
      <c r="I2424" s="18" t="s">
        <v>1748</v>
      </c>
    </row>
    <row r="2425" spans="1:9" s="31" customFormat="1" ht="105">
      <c r="A2425" s="19">
        <v>43550.706099537041</v>
      </c>
      <c r="B2425" s="20" t="str">
        <f>HYPERLINK("https://twitter.com/janettodorova","@janettodorova")</f>
        <v>@janettodorova</v>
      </c>
      <c r="C2425" s="21" t="s">
        <v>7532</v>
      </c>
      <c r="D2425" s="22" t="s">
        <v>7533</v>
      </c>
      <c r="E2425" s="23" t="str">
        <f>HYPERLINK("http://twitter.com","Twitter Web Client")</f>
        <v>Twitter Web Client</v>
      </c>
      <c r="F2425" s="19">
        <v>40212.138784722221</v>
      </c>
      <c r="G2425" s="24" t="s">
        <v>171</v>
      </c>
      <c r="H2425" s="35" t="s">
        <v>7534</v>
      </c>
      <c r="I2425" s="25" t="s">
        <v>7535</v>
      </c>
    </row>
    <row r="2426" spans="1:9" s="31" customFormat="1" ht="75">
      <c r="A2426" s="4">
        <v>43564.897986111115</v>
      </c>
      <c r="B2426" s="5" t="str">
        <f t="shared" ref="B2426:B2448" si="103">HYPERLINK("https://twitter.com/SEOLadyUK","@SEOLadyUK")</f>
        <v>@SEOLadyUK</v>
      </c>
      <c r="C2426" s="6" t="s">
        <v>400</v>
      </c>
      <c r="D2426" s="7" t="s">
        <v>401</v>
      </c>
      <c r="E2426" s="8" t="str">
        <f t="shared" ref="E2426:E2448" si="104">HYPERLINK("https://paper.li","Paper.li")</f>
        <v>Paper.li</v>
      </c>
      <c r="F2426" s="4">
        <v>39851.088078703702</v>
      </c>
      <c r="G2426" s="17" t="s">
        <v>171</v>
      </c>
      <c r="H2426" s="35" t="s">
        <v>402</v>
      </c>
      <c r="I2426" s="10" t="s">
        <v>403</v>
      </c>
    </row>
    <row r="2427" spans="1:9" s="31" customFormat="1" ht="75">
      <c r="A2427" s="4">
        <v>43563.897986111115</v>
      </c>
      <c r="B2427" s="5" t="str">
        <f t="shared" si="103"/>
        <v>@SEOLadyUK</v>
      </c>
      <c r="C2427" s="6" t="s">
        <v>400</v>
      </c>
      <c r="D2427" s="7" t="s">
        <v>401</v>
      </c>
      <c r="E2427" s="8" t="str">
        <f t="shared" si="104"/>
        <v>Paper.li</v>
      </c>
      <c r="F2427" s="4">
        <v>39851.088078703702</v>
      </c>
      <c r="G2427" s="17" t="s">
        <v>171</v>
      </c>
      <c r="H2427" s="35" t="s">
        <v>402</v>
      </c>
      <c r="I2427" s="10" t="s">
        <v>403</v>
      </c>
    </row>
    <row r="2428" spans="1:9" s="31" customFormat="1" ht="75">
      <c r="A2428" s="4">
        <v>43562.897939814815</v>
      </c>
      <c r="B2428" s="5" t="str">
        <f t="shared" si="103"/>
        <v>@SEOLadyUK</v>
      </c>
      <c r="C2428" s="6" t="s">
        <v>400</v>
      </c>
      <c r="D2428" s="7" t="s">
        <v>10555</v>
      </c>
      <c r="E2428" s="8" t="str">
        <f t="shared" si="104"/>
        <v>Paper.li</v>
      </c>
      <c r="F2428" s="4">
        <v>39851.088078703702</v>
      </c>
      <c r="G2428" s="17" t="s">
        <v>171</v>
      </c>
      <c r="H2428" s="35" t="s">
        <v>402</v>
      </c>
      <c r="I2428" s="10" t="s">
        <v>403</v>
      </c>
    </row>
    <row r="2429" spans="1:9" s="31" customFormat="1" ht="75">
      <c r="A2429" s="4">
        <v>43561.897986111115</v>
      </c>
      <c r="B2429" s="5" t="str">
        <f t="shared" si="103"/>
        <v>@SEOLadyUK</v>
      </c>
      <c r="C2429" s="6" t="s">
        <v>400</v>
      </c>
      <c r="D2429" s="7" t="s">
        <v>401</v>
      </c>
      <c r="E2429" s="8" t="str">
        <f t="shared" si="104"/>
        <v>Paper.li</v>
      </c>
      <c r="F2429" s="4">
        <v>39851.088078703702</v>
      </c>
      <c r="G2429" s="17" t="s">
        <v>171</v>
      </c>
      <c r="H2429" s="35" t="s">
        <v>402</v>
      </c>
      <c r="I2429" s="10" t="s">
        <v>403</v>
      </c>
    </row>
    <row r="2430" spans="1:9" s="31" customFormat="1" ht="75">
      <c r="A2430" s="4">
        <v>43560.897986111115</v>
      </c>
      <c r="B2430" s="5" t="str">
        <f t="shared" si="103"/>
        <v>@SEOLadyUK</v>
      </c>
      <c r="C2430" s="6" t="s">
        <v>400</v>
      </c>
      <c r="D2430" s="7" t="s">
        <v>401</v>
      </c>
      <c r="E2430" s="8" t="str">
        <f t="shared" si="104"/>
        <v>Paper.li</v>
      </c>
      <c r="F2430" s="4">
        <v>39851.088078703702</v>
      </c>
      <c r="G2430" s="17" t="s">
        <v>171</v>
      </c>
      <c r="H2430" s="35" t="s">
        <v>402</v>
      </c>
      <c r="I2430" s="10" t="s">
        <v>403</v>
      </c>
    </row>
    <row r="2431" spans="1:9" s="31" customFormat="1" ht="75">
      <c r="A2431" s="4">
        <v>43559.898020833338</v>
      </c>
      <c r="B2431" s="5" t="str">
        <f t="shared" si="103"/>
        <v>@SEOLadyUK</v>
      </c>
      <c r="C2431" s="6" t="s">
        <v>400</v>
      </c>
      <c r="D2431" s="7" t="s">
        <v>401</v>
      </c>
      <c r="E2431" s="8" t="str">
        <f t="shared" si="104"/>
        <v>Paper.li</v>
      </c>
      <c r="F2431" s="4">
        <v>39851.088078703702</v>
      </c>
      <c r="G2431" s="17" t="s">
        <v>171</v>
      </c>
      <c r="H2431" s="35" t="s">
        <v>402</v>
      </c>
      <c r="I2431" s="10" t="s">
        <v>403</v>
      </c>
    </row>
    <row r="2432" spans="1:9" s="31" customFormat="1" ht="75">
      <c r="A2432" s="4">
        <v>43558.897962962961</v>
      </c>
      <c r="B2432" s="5" t="str">
        <f t="shared" si="103"/>
        <v>@SEOLadyUK</v>
      </c>
      <c r="C2432" s="6" t="s">
        <v>400</v>
      </c>
      <c r="D2432" s="7" t="s">
        <v>401</v>
      </c>
      <c r="E2432" s="8" t="str">
        <f t="shared" si="104"/>
        <v>Paper.li</v>
      </c>
      <c r="F2432" s="4">
        <v>39851.088078703702</v>
      </c>
      <c r="G2432" s="17" t="s">
        <v>171</v>
      </c>
      <c r="H2432" s="35" t="s">
        <v>402</v>
      </c>
      <c r="I2432" s="10" t="s">
        <v>403</v>
      </c>
    </row>
    <row r="2433" spans="1:9" s="31" customFormat="1" ht="75">
      <c r="A2433" s="4">
        <v>43557.898009259261</v>
      </c>
      <c r="B2433" s="5" t="str">
        <f t="shared" si="103"/>
        <v>@SEOLadyUK</v>
      </c>
      <c r="C2433" s="6" t="s">
        <v>400</v>
      </c>
      <c r="D2433" s="7" t="s">
        <v>401</v>
      </c>
      <c r="E2433" s="8" t="str">
        <f t="shared" si="104"/>
        <v>Paper.li</v>
      </c>
      <c r="F2433" s="4">
        <v>39851.088078703702</v>
      </c>
      <c r="G2433" s="17" t="s">
        <v>171</v>
      </c>
      <c r="H2433" s="35" t="s">
        <v>402</v>
      </c>
      <c r="I2433" s="10" t="s">
        <v>403</v>
      </c>
    </row>
    <row r="2434" spans="1:9" s="31" customFormat="1" ht="75">
      <c r="A2434" s="12">
        <v>43579.897986111115</v>
      </c>
      <c r="B2434" s="13" t="str">
        <f t="shared" si="103"/>
        <v>@SEOLadyUK</v>
      </c>
      <c r="C2434" s="14" t="s">
        <v>400</v>
      </c>
      <c r="D2434" s="15" t="s">
        <v>401</v>
      </c>
      <c r="E2434" s="16" t="str">
        <f t="shared" si="104"/>
        <v>Paper.li</v>
      </c>
      <c r="F2434" s="12">
        <v>39851.088078703702</v>
      </c>
      <c r="G2434" s="17" t="s">
        <v>171</v>
      </c>
      <c r="H2434" s="35" t="s">
        <v>402</v>
      </c>
      <c r="I2434" s="18" t="s">
        <v>403</v>
      </c>
    </row>
    <row r="2435" spans="1:9" s="31" customFormat="1" ht="75">
      <c r="A2435" s="12">
        <v>43578.897974537038</v>
      </c>
      <c r="B2435" s="13" t="str">
        <f t="shared" si="103"/>
        <v>@SEOLadyUK</v>
      </c>
      <c r="C2435" s="14" t="s">
        <v>400</v>
      </c>
      <c r="D2435" s="15" t="s">
        <v>401</v>
      </c>
      <c r="E2435" s="16" t="str">
        <f t="shared" si="104"/>
        <v>Paper.li</v>
      </c>
      <c r="F2435" s="12">
        <v>39851.088078703702</v>
      </c>
      <c r="G2435" s="17" t="s">
        <v>171</v>
      </c>
      <c r="H2435" s="35" t="s">
        <v>402</v>
      </c>
      <c r="I2435" s="18" t="s">
        <v>403</v>
      </c>
    </row>
    <row r="2436" spans="1:9" s="31" customFormat="1" ht="75">
      <c r="A2436" s="12">
        <v>43577.897986111115</v>
      </c>
      <c r="B2436" s="13" t="str">
        <f t="shared" si="103"/>
        <v>@SEOLadyUK</v>
      </c>
      <c r="C2436" s="14" t="s">
        <v>400</v>
      </c>
      <c r="D2436" s="15" t="s">
        <v>401</v>
      </c>
      <c r="E2436" s="16" t="str">
        <f t="shared" si="104"/>
        <v>Paper.li</v>
      </c>
      <c r="F2436" s="12">
        <v>39851.088078703702</v>
      </c>
      <c r="G2436" s="17" t="s">
        <v>171</v>
      </c>
      <c r="H2436" s="35" t="s">
        <v>402</v>
      </c>
      <c r="I2436" s="18" t="s">
        <v>403</v>
      </c>
    </row>
    <row r="2437" spans="1:9" s="31" customFormat="1" ht="75">
      <c r="A2437" s="12">
        <v>43576.897951388892</v>
      </c>
      <c r="B2437" s="13" t="str">
        <f t="shared" si="103"/>
        <v>@SEOLadyUK</v>
      </c>
      <c r="C2437" s="14" t="s">
        <v>400</v>
      </c>
      <c r="D2437" s="15" t="s">
        <v>401</v>
      </c>
      <c r="E2437" s="16" t="str">
        <f t="shared" si="104"/>
        <v>Paper.li</v>
      </c>
      <c r="F2437" s="12">
        <v>39851.088078703702</v>
      </c>
      <c r="G2437" s="17" t="s">
        <v>171</v>
      </c>
      <c r="H2437" s="35" t="s">
        <v>402</v>
      </c>
      <c r="I2437" s="18" t="s">
        <v>403</v>
      </c>
    </row>
    <row r="2438" spans="1:9" s="31" customFormat="1" ht="75">
      <c r="A2438" s="12">
        <v>43575.898009259261</v>
      </c>
      <c r="B2438" s="13" t="str">
        <f t="shared" si="103"/>
        <v>@SEOLadyUK</v>
      </c>
      <c r="C2438" s="14" t="s">
        <v>400</v>
      </c>
      <c r="D2438" s="15" t="s">
        <v>401</v>
      </c>
      <c r="E2438" s="16" t="str">
        <f t="shared" si="104"/>
        <v>Paper.li</v>
      </c>
      <c r="F2438" s="12">
        <v>39851.088078703702</v>
      </c>
      <c r="G2438" s="17" t="s">
        <v>171</v>
      </c>
      <c r="H2438" s="35" t="s">
        <v>402</v>
      </c>
      <c r="I2438" s="18" t="s">
        <v>403</v>
      </c>
    </row>
    <row r="2439" spans="1:9" s="31" customFormat="1" ht="75">
      <c r="A2439" s="12">
        <v>43574.898402777777</v>
      </c>
      <c r="B2439" s="13" t="str">
        <f t="shared" si="103"/>
        <v>@SEOLadyUK</v>
      </c>
      <c r="C2439" s="14" t="s">
        <v>400</v>
      </c>
      <c r="D2439" s="15" t="s">
        <v>401</v>
      </c>
      <c r="E2439" s="16" t="str">
        <f t="shared" si="104"/>
        <v>Paper.li</v>
      </c>
      <c r="F2439" s="12">
        <v>39851.088078703702</v>
      </c>
      <c r="G2439" s="17" t="s">
        <v>171</v>
      </c>
      <c r="H2439" s="35" t="s">
        <v>402</v>
      </c>
      <c r="I2439" s="18" t="s">
        <v>403</v>
      </c>
    </row>
    <row r="2440" spans="1:9" s="31" customFormat="1" ht="75">
      <c r="A2440" s="12">
        <v>43573.897986111115</v>
      </c>
      <c r="B2440" s="13" t="str">
        <f t="shared" si="103"/>
        <v>@SEOLadyUK</v>
      </c>
      <c r="C2440" s="14" t="s">
        <v>400</v>
      </c>
      <c r="D2440" s="15" t="s">
        <v>401</v>
      </c>
      <c r="E2440" s="16" t="str">
        <f t="shared" si="104"/>
        <v>Paper.li</v>
      </c>
      <c r="F2440" s="12">
        <v>39851.088078703702</v>
      </c>
      <c r="G2440" s="17" t="s">
        <v>171</v>
      </c>
      <c r="H2440" s="35" t="s">
        <v>402</v>
      </c>
      <c r="I2440" s="18" t="s">
        <v>403</v>
      </c>
    </row>
    <row r="2441" spans="1:9" s="31" customFormat="1" ht="75">
      <c r="A2441" s="12">
        <v>43572.897997685184</v>
      </c>
      <c r="B2441" s="13" t="str">
        <f t="shared" si="103"/>
        <v>@SEOLadyUK</v>
      </c>
      <c r="C2441" s="14" t="s">
        <v>400</v>
      </c>
      <c r="D2441" s="15" t="s">
        <v>401</v>
      </c>
      <c r="E2441" s="16" t="str">
        <f t="shared" si="104"/>
        <v>Paper.li</v>
      </c>
      <c r="F2441" s="12">
        <v>39851.088078703702</v>
      </c>
      <c r="G2441" s="17" t="s">
        <v>171</v>
      </c>
      <c r="H2441" s="35" t="s">
        <v>402</v>
      </c>
      <c r="I2441" s="18" t="s">
        <v>403</v>
      </c>
    </row>
    <row r="2442" spans="1:9" s="31" customFormat="1" ht="75">
      <c r="A2442" s="12">
        <v>43571.897974537038</v>
      </c>
      <c r="B2442" s="13" t="str">
        <f t="shared" si="103"/>
        <v>@SEOLadyUK</v>
      </c>
      <c r="C2442" s="14" t="s">
        <v>400</v>
      </c>
      <c r="D2442" s="15" t="s">
        <v>401</v>
      </c>
      <c r="E2442" s="16" t="str">
        <f t="shared" si="104"/>
        <v>Paper.li</v>
      </c>
      <c r="F2442" s="12">
        <v>39851.088078703702</v>
      </c>
      <c r="G2442" s="17" t="s">
        <v>171</v>
      </c>
      <c r="H2442" s="35" t="s">
        <v>402</v>
      </c>
      <c r="I2442" s="18" t="s">
        <v>403</v>
      </c>
    </row>
    <row r="2443" spans="1:9" s="31" customFormat="1" ht="75">
      <c r="A2443" s="12">
        <v>43570.897974537038</v>
      </c>
      <c r="B2443" s="13" t="str">
        <f t="shared" si="103"/>
        <v>@SEOLadyUK</v>
      </c>
      <c r="C2443" s="14" t="s">
        <v>400</v>
      </c>
      <c r="D2443" s="15" t="s">
        <v>401</v>
      </c>
      <c r="E2443" s="16" t="str">
        <f t="shared" si="104"/>
        <v>Paper.li</v>
      </c>
      <c r="F2443" s="12">
        <v>39851.088078703702</v>
      </c>
      <c r="G2443" s="17" t="s">
        <v>171</v>
      </c>
      <c r="H2443" s="35" t="s">
        <v>402</v>
      </c>
      <c r="I2443" s="18" t="s">
        <v>403</v>
      </c>
    </row>
    <row r="2444" spans="1:9" s="31" customFormat="1" ht="75">
      <c r="A2444" s="12">
        <v>43569.897986111115</v>
      </c>
      <c r="B2444" s="13" t="str">
        <f t="shared" si="103"/>
        <v>@SEOLadyUK</v>
      </c>
      <c r="C2444" s="14" t="s">
        <v>400</v>
      </c>
      <c r="D2444" s="15" t="s">
        <v>401</v>
      </c>
      <c r="E2444" s="16" t="str">
        <f t="shared" si="104"/>
        <v>Paper.li</v>
      </c>
      <c r="F2444" s="12">
        <v>39851.088078703702</v>
      </c>
      <c r="G2444" s="17" t="s">
        <v>171</v>
      </c>
      <c r="H2444" s="35" t="s">
        <v>402</v>
      </c>
      <c r="I2444" s="18" t="s">
        <v>403</v>
      </c>
    </row>
    <row r="2445" spans="1:9" s="31" customFormat="1" ht="75">
      <c r="A2445" s="12">
        <v>43568.897986111115</v>
      </c>
      <c r="B2445" s="13" t="str">
        <f t="shared" si="103"/>
        <v>@SEOLadyUK</v>
      </c>
      <c r="C2445" s="14" t="s">
        <v>400</v>
      </c>
      <c r="D2445" s="15" t="s">
        <v>401</v>
      </c>
      <c r="E2445" s="16" t="str">
        <f t="shared" si="104"/>
        <v>Paper.li</v>
      </c>
      <c r="F2445" s="12">
        <v>39851.088078703702</v>
      </c>
      <c r="G2445" s="17" t="s">
        <v>171</v>
      </c>
      <c r="H2445" s="35" t="s">
        <v>402</v>
      </c>
      <c r="I2445" s="18" t="s">
        <v>403</v>
      </c>
    </row>
    <row r="2446" spans="1:9" s="31" customFormat="1" ht="75">
      <c r="A2446" s="12">
        <v>43567.897986111115</v>
      </c>
      <c r="B2446" s="13" t="str">
        <f t="shared" si="103"/>
        <v>@SEOLadyUK</v>
      </c>
      <c r="C2446" s="14" t="s">
        <v>400</v>
      </c>
      <c r="D2446" s="15" t="s">
        <v>401</v>
      </c>
      <c r="E2446" s="16" t="str">
        <f t="shared" si="104"/>
        <v>Paper.li</v>
      </c>
      <c r="F2446" s="12">
        <v>39851.088078703702</v>
      </c>
      <c r="G2446" s="17" t="s">
        <v>171</v>
      </c>
      <c r="H2446" s="35" t="s">
        <v>402</v>
      </c>
      <c r="I2446" s="18" t="s">
        <v>403</v>
      </c>
    </row>
    <row r="2447" spans="1:9" s="31" customFormat="1" ht="75">
      <c r="A2447" s="12">
        <v>43566.898043981477</v>
      </c>
      <c r="B2447" s="13" t="str">
        <f t="shared" si="103"/>
        <v>@SEOLadyUK</v>
      </c>
      <c r="C2447" s="14" t="s">
        <v>400</v>
      </c>
      <c r="D2447" s="15" t="s">
        <v>401</v>
      </c>
      <c r="E2447" s="16" t="str">
        <f t="shared" si="104"/>
        <v>Paper.li</v>
      </c>
      <c r="F2447" s="12">
        <v>39851.088078703702</v>
      </c>
      <c r="G2447" s="17" t="s">
        <v>171</v>
      </c>
      <c r="H2447" s="35" t="s">
        <v>402</v>
      </c>
      <c r="I2447" s="18" t="s">
        <v>403</v>
      </c>
    </row>
    <row r="2448" spans="1:9" s="31" customFormat="1" ht="75">
      <c r="A2448" s="12">
        <v>43565.897974537038</v>
      </c>
      <c r="B2448" s="13" t="str">
        <f t="shared" si="103"/>
        <v>@SEOLadyUK</v>
      </c>
      <c r="C2448" s="14" t="s">
        <v>400</v>
      </c>
      <c r="D2448" s="15" t="s">
        <v>401</v>
      </c>
      <c r="E2448" s="16" t="str">
        <f t="shared" si="104"/>
        <v>Paper.li</v>
      </c>
      <c r="F2448" s="12">
        <v>39851.088078703702</v>
      </c>
      <c r="G2448" s="17" t="s">
        <v>171</v>
      </c>
      <c r="H2448" s="35" t="s">
        <v>402</v>
      </c>
      <c r="I2448" s="18" t="s">
        <v>403</v>
      </c>
    </row>
    <row r="2449" spans="1:9" s="31" customFormat="1" ht="75">
      <c r="A2449" s="19">
        <v>43546.363402777773</v>
      </c>
      <c r="B2449" s="20" t="str">
        <f>HYPERLINK("https://twitter.com/casamazzola","@casamazzola")</f>
        <v>@casamazzola</v>
      </c>
      <c r="C2449" s="21" t="s">
        <v>8884</v>
      </c>
      <c r="D2449" s="22" t="s">
        <v>8885</v>
      </c>
      <c r="E2449" s="23" t="str">
        <f>HYPERLINK("http://instagram.com","Instagram")</f>
        <v>Instagram</v>
      </c>
      <c r="F2449" s="19">
        <v>40088.284629629634</v>
      </c>
      <c r="G2449" s="24" t="s">
        <v>171</v>
      </c>
      <c r="H2449" s="35" t="s">
        <v>8886</v>
      </c>
      <c r="I2449" s="25" t="s">
        <v>8887</v>
      </c>
    </row>
    <row r="2450" spans="1:9" s="31" customFormat="1" ht="45">
      <c r="A2450" s="4">
        <v>43563.645381944443</v>
      </c>
      <c r="B2450" s="5" t="str">
        <f>HYPERLINK("https://twitter.com/lmaoilir","@lmaoilir")</f>
        <v>@lmaoilir</v>
      </c>
      <c r="C2450" s="6" t="s">
        <v>6928</v>
      </c>
      <c r="D2450" s="7" t="s">
        <v>6929</v>
      </c>
      <c r="E2450" s="8" t="str">
        <f>HYPERLINK("http://twitter.com","Twitter Web Client")</f>
        <v>Twitter Web Client</v>
      </c>
      <c r="F2450" s="4">
        <v>39866.542233796295</v>
      </c>
      <c r="G2450" s="17" t="s">
        <v>171</v>
      </c>
      <c r="H2450" s="35" t="s">
        <v>6930</v>
      </c>
      <c r="I2450" s="10" t="s">
        <v>10215</v>
      </c>
    </row>
    <row r="2451" spans="1:9" s="31" customFormat="1" ht="30">
      <c r="A2451" s="12">
        <v>43563.645381944443</v>
      </c>
      <c r="B2451" s="13" t="str">
        <f>HYPERLINK("https://twitter.com/lmaoilir","@lmaoilir")</f>
        <v>@lmaoilir</v>
      </c>
      <c r="C2451" s="14" t="s">
        <v>6928</v>
      </c>
      <c r="D2451" s="15" t="s">
        <v>6929</v>
      </c>
      <c r="E2451" s="16" t="str">
        <f>HYPERLINK("http://twitter.com","Twitter Web Client")</f>
        <v>Twitter Web Client</v>
      </c>
      <c r="F2451" s="12">
        <v>39866.542233796295</v>
      </c>
      <c r="G2451" s="17" t="s">
        <v>171</v>
      </c>
      <c r="H2451" s="35" t="s">
        <v>6930</v>
      </c>
      <c r="I2451" s="18" t="s">
        <v>6931</v>
      </c>
    </row>
    <row r="2452" spans="1:9" s="31" customFormat="1" ht="75">
      <c r="A2452" s="12">
        <v>43572.426504629635</v>
      </c>
      <c r="B2452" s="13" t="str">
        <f>HYPERLINK("https://twitter.com/Coastholidayle1","@Coastholidayle1")</f>
        <v>@Coastholidayle1</v>
      </c>
      <c r="C2452" s="14" t="s">
        <v>3253</v>
      </c>
      <c r="D2452" s="15" t="s">
        <v>3254</v>
      </c>
      <c r="E2452" s="16" t="str">
        <f>HYPERLINK("http://twitter.com/download/iphone","Twitter for iPhone")</f>
        <v>Twitter for iPhone</v>
      </c>
      <c r="F2452" s="12">
        <v>43563.118900462963</v>
      </c>
      <c r="G2452" s="17" t="s">
        <v>171</v>
      </c>
      <c r="H2452" s="35" t="s">
        <v>3255</v>
      </c>
      <c r="I2452" s="18" t="s">
        <v>3256</v>
      </c>
    </row>
    <row r="2453" spans="1:9" s="31" customFormat="1" ht="90">
      <c r="A2453" s="12">
        <v>43569.494131944448</v>
      </c>
      <c r="B2453" s="13" t="str">
        <f>HYPERLINK("https://twitter.com/nicedeepbreath","@nicedeepbreath")</f>
        <v>@nicedeepbreath</v>
      </c>
      <c r="C2453" s="14" t="s">
        <v>4508</v>
      </c>
      <c r="D2453" s="15" t="s">
        <v>4509</v>
      </c>
      <c r="E2453" s="16" t="str">
        <f>HYPERLINK("http://twitter.com/download/android","Twitter for Android")</f>
        <v>Twitter for Android</v>
      </c>
      <c r="F2453" s="12">
        <v>40125.567824074074</v>
      </c>
      <c r="G2453" s="17" t="s">
        <v>171</v>
      </c>
      <c r="H2453" s="35" t="s">
        <v>3255</v>
      </c>
      <c r="I2453" s="18" t="s">
        <v>4510</v>
      </c>
    </row>
    <row r="2454" spans="1:9" s="31" customFormat="1" ht="60">
      <c r="A2454" s="12">
        <v>43568.986782407403</v>
      </c>
      <c r="B2454" s="13" t="str">
        <f>HYPERLINK("https://twitter.com/Coastholidayle1","@Coastholidayle1")</f>
        <v>@Coastholidayle1</v>
      </c>
      <c r="C2454" s="14" t="s">
        <v>3253</v>
      </c>
      <c r="D2454" s="15" t="s">
        <v>4616</v>
      </c>
      <c r="E2454" s="16" t="str">
        <f>HYPERLINK("http://twitter.com","Twitter Web Client")</f>
        <v>Twitter Web Client</v>
      </c>
      <c r="F2454" s="12">
        <v>43563.118900462963</v>
      </c>
      <c r="G2454" s="17" t="s">
        <v>171</v>
      </c>
      <c r="H2454" s="35" t="s">
        <v>3255</v>
      </c>
      <c r="I2454" s="18" t="s">
        <v>3256</v>
      </c>
    </row>
    <row r="2455" spans="1:9" s="31" customFormat="1" ht="45">
      <c r="A2455" s="12">
        <v>43568.395844907413</v>
      </c>
      <c r="B2455" s="13" t="str">
        <f>HYPERLINK("https://twitter.com/Luke_Lally","@Luke_Lally")</f>
        <v>@Luke_Lally</v>
      </c>
      <c r="C2455" s="14" t="s">
        <v>4797</v>
      </c>
      <c r="D2455" s="15" t="s">
        <v>4798</v>
      </c>
      <c r="E2455" s="16" t="str">
        <f>HYPERLINK("http://hearsaysystems.com","Hearsay Social")</f>
        <v>Hearsay Social</v>
      </c>
      <c r="F2455" s="12">
        <v>41681.11446759259</v>
      </c>
      <c r="G2455" s="17" t="s">
        <v>171</v>
      </c>
      <c r="H2455" s="35" t="s">
        <v>3255</v>
      </c>
      <c r="I2455" s="18" t="s">
        <v>4799</v>
      </c>
    </row>
    <row r="2456" spans="1:9" s="31" customFormat="1" ht="45">
      <c r="A2456" s="19">
        <v>43551.249490740738</v>
      </c>
      <c r="B2456" s="20" t="str">
        <f>HYPERLINK("https://twitter.com/SECoast_SocialB","@SECoast_SocialB")</f>
        <v>@SECoast_SocialB</v>
      </c>
      <c r="C2456" s="21" t="s">
        <v>7384</v>
      </c>
      <c r="D2456" s="22" t="s">
        <v>7385</v>
      </c>
      <c r="E2456" s="23" t="str">
        <f>HYPERLINK("http://www.facebook.com/twitter","Facebook")</f>
        <v>Facebook</v>
      </c>
      <c r="F2456" s="19">
        <v>40006.561574074076</v>
      </c>
      <c r="G2456" s="24" t="s">
        <v>171</v>
      </c>
      <c r="H2456" s="35" t="s">
        <v>7386</v>
      </c>
      <c r="I2456" s="25" t="s">
        <v>7387</v>
      </c>
    </row>
    <row r="2457" spans="1:9" s="31" customFormat="1" ht="165">
      <c r="A2457" s="12">
        <v>43570.983831018515</v>
      </c>
      <c r="B2457" s="13" t="str">
        <f>HYPERLINK("https://twitter.com/LifestyleCornw1","@LifestyleCornw1")</f>
        <v>@LifestyleCornw1</v>
      </c>
      <c r="C2457" s="14" t="s">
        <v>3907</v>
      </c>
      <c r="D2457" s="15" t="s">
        <v>3908</v>
      </c>
      <c r="E2457" s="16" t="str">
        <f>HYPERLINK("http://twitter.com/download/iphone","Twitter for iPhone")</f>
        <v>Twitter for iPhone</v>
      </c>
      <c r="F2457" s="12">
        <v>43512.028298611112</v>
      </c>
      <c r="G2457" s="17" t="s">
        <v>171</v>
      </c>
      <c r="H2457" s="35" t="s">
        <v>3909</v>
      </c>
      <c r="I2457" s="18" t="s">
        <v>3910</v>
      </c>
    </row>
    <row r="2458" spans="1:9" s="31" customFormat="1" ht="45">
      <c r="A2458" s="12">
        <v>43567.168425925927</v>
      </c>
      <c r="B2458" s="13" t="str">
        <f>HYPERLINK("https://twitter.com/OurDevon","@OurDevon")</f>
        <v>@OurDevon</v>
      </c>
      <c r="C2458" s="14" t="s">
        <v>5220</v>
      </c>
      <c r="D2458" s="15" t="s">
        <v>5221</v>
      </c>
      <c r="E2458" s="16" t="str">
        <f>HYPERLINK("http://twitter.com/download/iphone","Twitter for iPhone")</f>
        <v>Twitter for iPhone</v>
      </c>
      <c r="F2458" s="12">
        <v>43323.149328703701</v>
      </c>
      <c r="G2458" s="17" t="s">
        <v>171</v>
      </c>
      <c r="H2458" s="35" t="s">
        <v>3909</v>
      </c>
      <c r="I2458" s="18" t="s">
        <v>5222</v>
      </c>
    </row>
    <row r="2459" spans="1:9" s="31" customFormat="1" ht="30">
      <c r="A2459" s="12">
        <v>43567.09510416667</v>
      </c>
      <c r="B2459" s="13" t="str">
        <f>HYPERLINK("https://twitter.com/Kinesis4band","@Kinesis4band")</f>
        <v>@Kinesis4band</v>
      </c>
      <c r="C2459" s="14" t="s">
        <v>5239</v>
      </c>
      <c r="D2459" s="15" t="s">
        <v>5240</v>
      </c>
      <c r="E2459" s="16" t="str">
        <f>HYPERLINK("http://twitter.com","Twitter Web Client")</f>
        <v>Twitter Web Client</v>
      </c>
      <c r="F2459" s="12">
        <v>42020.170254629629</v>
      </c>
      <c r="G2459" s="17" t="s">
        <v>171</v>
      </c>
      <c r="H2459" s="35" t="s">
        <v>5241</v>
      </c>
      <c r="I2459" s="18" t="s">
        <v>5242</v>
      </c>
    </row>
    <row r="2460" spans="1:9" s="31" customFormat="1" ht="75">
      <c r="A2460" s="12">
        <v>43567.155960648146</v>
      </c>
      <c r="B2460" s="13" t="str">
        <f>HYPERLINK("https://twitter.com/BlueFlagSA","@BlueFlagSA")</f>
        <v>@BlueFlagSA</v>
      </c>
      <c r="C2460" s="14" t="s">
        <v>5224</v>
      </c>
      <c r="D2460" s="15" t="s">
        <v>5225</v>
      </c>
      <c r="E2460" s="16" t="str">
        <f>HYPERLINK("http://twitter.com/download/android","Twitter for Android")</f>
        <v>Twitter for Android</v>
      </c>
      <c r="F2460" s="12">
        <v>43416.050046296295</v>
      </c>
      <c r="G2460" s="17" t="s">
        <v>171</v>
      </c>
      <c r="H2460" s="35" t="s">
        <v>5226</v>
      </c>
      <c r="I2460" s="18" t="s">
        <v>5227</v>
      </c>
    </row>
    <row r="2461" spans="1:9" s="31" customFormat="1" ht="45">
      <c r="A2461" s="12">
        <v>43577.302349537036</v>
      </c>
      <c r="B2461" s="13" t="str">
        <f>HYPERLINK("https://twitter.com/ashburnham","@ashburnham")</f>
        <v>@ashburnham</v>
      </c>
      <c r="C2461" s="14" t="s">
        <v>1676</v>
      </c>
      <c r="D2461" s="15" t="s">
        <v>1677</v>
      </c>
      <c r="E2461" s="16" t="str">
        <f>HYPERLINK("https://www.hootsuite.com","Hootsuite Inc.")</f>
        <v>Hootsuite Inc.</v>
      </c>
      <c r="F2461" s="12">
        <v>39820.062118055554</v>
      </c>
      <c r="G2461" s="17" t="s">
        <v>171</v>
      </c>
      <c r="H2461" s="35" t="s">
        <v>1678</v>
      </c>
      <c r="I2461" s="18" t="s">
        <v>1679</v>
      </c>
    </row>
    <row r="2462" spans="1:9" s="31" customFormat="1" ht="30">
      <c r="A2462" s="4">
        <v>43562.480937500004</v>
      </c>
      <c r="B2462" s="5" t="str">
        <f>HYPERLINK("https://twitter.com/arikukkonen","@arikukkonen")</f>
        <v>@arikukkonen</v>
      </c>
      <c r="C2462" s="6" t="s">
        <v>10666</v>
      </c>
      <c r="D2462" s="7" t="s">
        <v>10667</v>
      </c>
      <c r="E2462" s="8" t="str">
        <f>HYPERLINK("http://twitter.com","Twitter Web Client")</f>
        <v>Twitter Web Client</v>
      </c>
      <c r="F2462" s="4">
        <v>39149.391423611109</v>
      </c>
      <c r="G2462" s="9" t="s">
        <v>171</v>
      </c>
      <c r="H2462" s="35" t="s">
        <v>10668</v>
      </c>
      <c r="I2462" s="10" t="s">
        <v>10669</v>
      </c>
    </row>
    <row r="2463" spans="1:9" s="31" customFormat="1" ht="45">
      <c r="A2463" s="19">
        <v>43545.010520833333</v>
      </c>
      <c r="B2463" s="20" t="str">
        <f>HYPERLINK("https://twitter.com/mearchdesign","@mearchdesign")</f>
        <v>@mearchdesign</v>
      </c>
      <c r="C2463" s="21" t="s">
        <v>9303</v>
      </c>
      <c r="D2463" s="22" t="s">
        <v>9304</v>
      </c>
      <c r="E2463" s="23" t="str">
        <f>HYPERLINK("http://twitter.com/download/android","Twitter for Android")</f>
        <v>Twitter for Android</v>
      </c>
      <c r="F2463" s="19">
        <v>41749.391365740739</v>
      </c>
      <c r="G2463" s="9" t="s">
        <v>171</v>
      </c>
      <c r="H2463" s="35" t="s">
        <v>1096</v>
      </c>
      <c r="I2463" s="25" t="s">
        <v>9305</v>
      </c>
    </row>
    <row r="2464" spans="1:9" s="31" customFormat="1" ht="105">
      <c r="A2464" s="12">
        <v>43578.695590277777</v>
      </c>
      <c r="B2464" s="13" t="str">
        <f>HYPERLINK("https://twitter.com/amyworldalive","@amyworldalive")</f>
        <v>@amyworldalive</v>
      </c>
      <c r="C2464" s="14" t="s">
        <v>1094</v>
      </c>
      <c r="D2464" s="15" t="s">
        <v>1095</v>
      </c>
      <c r="E2464" s="16" t="str">
        <f>HYPERLINK("http://twitter.com/download/iphone","Twitter for iPhone")</f>
        <v>Twitter for iPhone</v>
      </c>
      <c r="F2464" s="12">
        <v>40627.278078703705</v>
      </c>
      <c r="G2464" s="9" t="s">
        <v>171</v>
      </c>
      <c r="H2464" s="35" t="s">
        <v>1096</v>
      </c>
      <c r="I2464" s="18" t="s">
        <v>1097</v>
      </c>
    </row>
    <row r="2465" spans="1:9" s="31" customFormat="1" ht="60">
      <c r="A2465" s="12">
        <v>43569.163217592592</v>
      </c>
      <c r="B2465" s="13" t="str">
        <f>HYPERLINK("https://twitter.com/3cases2kids","@3cases2kids")</f>
        <v>@3cases2kids</v>
      </c>
      <c r="C2465" s="14" t="s">
        <v>4590</v>
      </c>
      <c r="D2465" s="15" t="s">
        <v>4591</v>
      </c>
      <c r="E2465" s="16" t="str">
        <f>HYPERLINK("http://instagram.com","Instagram")</f>
        <v>Instagram</v>
      </c>
      <c r="F2465" s="12">
        <v>42932.414097222223</v>
      </c>
      <c r="G2465" s="9" t="s">
        <v>171</v>
      </c>
      <c r="H2465" s="35" t="s">
        <v>1096</v>
      </c>
      <c r="I2465" s="18" t="s">
        <v>4592</v>
      </c>
    </row>
    <row r="2466" spans="1:9" s="31" customFormat="1" ht="45">
      <c r="A2466" s="4">
        <v>43561.336851851855</v>
      </c>
      <c r="B2466" s="5" t="str">
        <f>HYPERLINK("https://twitter.com/grahunt","@grahunt")</f>
        <v>@grahunt</v>
      </c>
      <c r="C2466" s="6" t="s">
        <v>11006</v>
      </c>
      <c r="D2466" s="7" t="s">
        <v>11007</v>
      </c>
      <c r="E2466" s="8" t="str">
        <f>HYPERLINK("https://www.hootsuite.com","Hootsuite Inc.")</f>
        <v>Hootsuite Inc.</v>
      </c>
      <c r="F2466" s="4">
        <v>39711.544490740736</v>
      </c>
      <c r="G2466" s="9" t="s">
        <v>171</v>
      </c>
      <c r="H2466" s="35" t="s">
        <v>11008</v>
      </c>
      <c r="I2466" s="10" t="s">
        <v>11009</v>
      </c>
    </row>
    <row r="2467" spans="1:9" s="31" customFormat="1" ht="45">
      <c r="A2467" s="12">
        <v>43574.027812500004</v>
      </c>
      <c r="B2467" s="13" t="str">
        <f>HYPERLINK("https://twitter.com/JohnCharcol","@JohnCharcol")</f>
        <v>@JohnCharcol</v>
      </c>
      <c r="C2467" s="14" t="s">
        <v>2689</v>
      </c>
      <c r="D2467" s="15" t="s">
        <v>2690</v>
      </c>
      <c r="E2467" s="16" t="str">
        <f>HYPERLINK("https://www.hootsuite.com","Hootsuite Inc.")</f>
        <v>Hootsuite Inc.</v>
      </c>
      <c r="F2467" s="12">
        <v>39926.033425925925</v>
      </c>
      <c r="G2467" s="17" t="s">
        <v>171</v>
      </c>
      <c r="H2467" s="35" t="s">
        <v>2691</v>
      </c>
      <c r="I2467" s="18" t="s">
        <v>2692</v>
      </c>
    </row>
    <row r="2468" spans="1:9" s="31" customFormat="1" ht="105">
      <c r="A2468" s="12">
        <v>43572.507094907407</v>
      </c>
      <c r="B2468" s="13" t="str">
        <f>HYPERLINK("https://twitter.com/rwachs","@rwachs")</f>
        <v>@rwachs</v>
      </c>
      <c r="C2468" s="14" t="s">
        <v>3206</v>
      </c>
      <c r="D2468" s="15" t="s">
        <v>3207</v>
      </c>
      <c r="E2468" s="16" t="str">
        <f>HYPERLINK("https://twitterrific.com/ios","Twitterrific for iOS")</f>
        <v>Twitterrific for iOS</v>
      </c>
      <c r="F2468" s="12">
        <v>39649.326284722221</v>
      </c>
      <c r="G2468" s="17" t="s">
        <v>171</v>
      </c>
      <c r="H2468" s="35" t="s">
        <v>3208</v>
      </c>
      <c r="I2468" s="18" t="s">
        <v>3209</v>
      </c>
    </row>
    <row r="2469" spans="1:9" s="31" customFormat="1" ht="75">
      <c r="A2469" s="12">
        <v>43576.133773148147</v>
      </c>
      <c r="B2469" s="13" t="str">
        <f>HYPERLINK("https://twitter.com/jamiro007","@jamiro007")</f>
        <v>@jamiro007</v>
      </c>
      <c r="C2469" s="14" t="s">
        <v>2041</v>
      </c>
      <c r="D2469" s="15" t="s">
        <v>2042</v>
      </c>
      <c r="E2469" s="16" t="str">
        <f>HYPERLINK("http://www.linkedin.com/","LinkedIn")</f>
        <v>LinkedIn</v>
      </c>
      <c r="F2469" s="12">
        <v>39874.15152777778</v>
      </c>
      <c r="G2469" s="17" t="s">
        <v>171</v>
      </c>
      <c r="H2469" s="35" t="s">
        <v>2043</v>
      </c>
      <c r="I2469" s="18"/>
    </row>
    <row r="2470" spans="1:9" s="31" customFormat="1" ht="60">
      <c r="A2470" s="19">
        <v>43551.34039351852</v>
      </c>
      <c r="B2470" s="20" t="str">
        <f>HYPERLINK("https://twitter.com/bitrefill","@bitrefill")</f>
        <v>@bitrefill</v>
      </c>
      <c r="C2470" s="21" t="s">
        <v>7294</v>
      </c>
      <c r="D2470" s="22" t="s">
        <v>7295</v>
      </c>
      <c r="E2470" s="23" t="str">
        <f>HYPERLINK("http://twitter.com","Twitter Web Client")</f>
        <v>Twitter Web Client</v>
      </c>
      <c r="F2470" s="19">
        <v>41912.635613425926</v>
      </c>
      <c r="G2470" s="9" t="s">
        <v>171</v>
      </c>
      <c r="H2470" s="35" t="s">
        <v>7296</v>
      </c>
      <c r="I2470" s="25" t="s">
        <v>7297</v>
      </c>
    </row>
    <row r="2471" spans="1:9" s="31" customFormat="1" ht="90">
      <c r="A2471" s="19">
        <v>43543.172939814816</v>
      </c>
      <c r="B2471" s="20" t="str">
        <f>HYPERLINK("https://twitter.com/MSellebraten","@MSellebraten")</f>
        <v>@MSellebraten</v>
      </c>
      <c r="C2471" s="21" t="s">
        <v>9909</v>
      </c>
      <c r="D2471" s="22" t="s">
        <v>9910</v>
      </c>
      <c r="E2471" s="23" t="str">
        <f>HYPERLINK("http://twitter.com/download/iphone","Twitter for iPhone")</f>
        <v>Twitter for iPhone</v>
      </c>
      <c r="F2471" s="19">
        <v>39463.353981481479</v>
      </c>
      <c r="G2471" s="9" t="s">
        <v>171</v>
      </c>
      <c r="H2471" s="35" t="s">
        <v>7296</v>
      </c>
      <c r="I2471" s="25" t="s">
        <v>9911</v>
      </c>
    </row>
    <row r="2472" spans="1:9" s="31" customFormat="1" ht="75">
      <c r="A2472" s="19">
        <v>43551.000937500001</v>
      </c>
      <c r="B2472" s="20" t="str">
        <f t="shared" ref="B2472:B2485" si="105">HYPERLINK("https://twitter.com/BoostlyUK","@BoostlyUK")</f>
        <v>@BoostlyUK</v>
      </c>
      <c r="C2472" s="21" t="s">
        <v>3478</v>
      </c>
      <c r="D2472" s="22" t="s">
        <v>7459</v>
      </c>
      <c r="E2472" s="23" t="str">
        <f t="shared" ref="E2472:E2485" si="106">HYPERLINK("https://missinglettr.com","Missinglettr")</f>
        <v>Missinglettr</v>
      </c>
      <c r="F2472" s="19">
        <v>42459.23332175926</v>
      </c>
      <c r="G2472" s="9" t="s">
        <v>171</v>
      </c>
      <c r="H2472" s="35" t="s">
        <v>3480</v>
      </c>
      <c r="I2472" s="25" t="s">
        <v>3481</v>
      </c>
    </row>
    <row r="2473" spans="1:9" s="31" customFormat="1" ht="90">
      <c r="A2473" s="19">
        <v>43550.652974537035</v>
      </c>
      <c r="B2473" s="20" t="str">
        <f t="shared" si="105"/>
        <v>@BoostlyUK</v>
      </c>
      <c r="C2473" s="21" t="s">
        <v>3478</v>
      </c>
      <c r="D2473" s="22" t="s">
        <v>7570</v>
      </c>
      <c r="E2473" s="23" t="str">
        <f t="shared" si="106"/>
        <v>Missinglettr</v>
      </c>
      <c r="F2473" s="19">
        <v>42459.23332175926</v>
      </c>
      <c r="G2473" s="9" t="s">
        <v>171</v>
      </c>
      <c r="H2473" s="35" t="s">
        <v>3480</v>
      </c>
      <c r="I2473" s="25" t="s">
        <v>3481</v>
      </c>
    </row>
    <row r="2474" spans="1:9" s="31" customFormat="1" ht="105">
      <c r="A2474" s="19">
        <v>43549.180729166663</v>
      </c>
      <c r="B2474" s="20" t="str">
        <f t="shared" si="105"/>
        <v>@BoostlyUK</v>
      </c>
      <c r="C2474" s="21" t="s">
        <v>3478</v>
      </c>
      <c r="D2474" s="22" t="s">
        <v>8142</v>
      </c>
      <c r="E2474" s="23" t="str">
        <f t="shared" si="106"/>
        <v>Missinglettr</v>
      </c>
      <c r="F2474" s="19">
        <v>42459.23332175926</v>
      </c>
      <c r="G2474" s="9" t="s">
        <v>171</v>
      </c>
      <c r="H2474" s="35" t="s">
        <v>3480</v>
      </c>
      <c r="I2474" s="25" t="s">
        <v>3481</v>
      </c>
    </row>
    <row r="2475" spans="1:9" s="31" customFormat="1" ht="90">
      <c r="A2475" s="19">
        <v>43544.652974537035</v>
      </c>
      <c r="B2475" s="20" t="str">
        <f t="shared" si="105"/>
        <v>@BoostlyUK</v>
      </c>
      <c r="C2475" s="21" t="s">
        <v>3478</v>
      </c>
      <c r="D2475" s="22" t="s">
        <v>9380</v>
      </c>
      <c r="E2475" s="23" t="str">
        <f t="shared" si="106"/>
        <v>Missinglettr</v>
      </c>
      <c r="F2475" s="19">
        <v>42459.23332175926</v>
      </c>
      <c r="G2475" s="9" t="s">
        <v>171</v>
      </c>
      <c r="H2475" s="35" t="s">
        <v>3480</v>
      </c>
      <c r="I2475" s="25" t="s">
        <v>3481</v>
      </c>
    </row>
    <row r="2476" spans="1:9" s="31" customFormat="1" ht="90">
      <c r="A2476" s="19">
        <v>43544.355787037042</v>
      </c>
      <c r="B2476" s="20" t="str">
        <f t="shared" si="105"/>
        <v>@BoostlyUK</v>
      </c>
      <c r="C2476" s="21" t="s">
        <v>3478</v>
      </c>
      <c r="D2476" s="22" t="s">
        <v>9498</v>
      </c>
      <c r="E2476" s="23" t="str">
        <f t="shared" si="106"/>
        <v>Missinglettr</v>
      </c>
      <c r="F2476" s="19">
        <v>42459.23332175926</v>
      </c>
      <c r="G2476" s="9" t="s">
        <v>171</v>
      </c>
      <c r="H2476" s="35" t="s">
        <v>3480</v>
      </c>
      <c r="I2476" s="25" t="s">
        <v>3481</v>
      </c>
    </row>
    <row r="2477" spans="1:9" s="31" customFormat="1" ht="75">
      <c r="A2477" s="4">
        <v>43564.001076388886</v>
      </c>
      <c r="B2477" s="5" t="str">
        <f t="shared" si="105"/>
        <v>@BoostlyUK</v>
      </c>
      <c r="C2477" s="6" t="s">
        <v>3478</v>
      </c>
      <c r="D2477" s="7" t="s">
        <v>6828</v>
      </c>
      <c r="E2477" s="8" t="str">
        <f t="shared" si="106"/>
        <v>Missinglettr</v>
      </c>
      <c r="F2477" s="4">
        <v>42459.23332175926</v>
      </c>
      <c r="G2477" s="9" t="s">
        <v>171</v>
      </c>
      <c r="H2477" s="35" t="s">
        <v>3480</v>
      </c>
      <c r="I2477" s="10" t="s">
        <v>3481</v>
      </c>
    </row>
    <row r="2478" spans="1:9" s="31" customFormat="1" ht="90">
      <c r="A2478" s="4">
        <v>43563.959374999999</v>
      </c>
      <c r="B2478" s="5" t="str">
        <f t="shared" si="105"/>
        <v>@BoostlyUK</v>
      </c>
      <c r="C2478" s="6" t="s">
        <v>3478</v>
      </c>
      <c r="D2478" s="7" t="s">
        <v>6845</v>
      </c>
      <c r="E2478" s="8" t="str">
        <f t="shared" si="106"/>
        <v>Missinglettr</v>
      </c>
      <c r="F2478" s="4">
        <v>42459.23332175926</v>
      </c>
      <c r="G2478" s="9" t="s">
        <v>171</v>
      </c>
      <c r="H2478" s="35" t="s">
        <v>3480</v>
      </c>
      <c r="I2478" s="10" t="s">
        <v>3481</v>
      </c>
    </row>
    <row r="2479" spans="1:9" s="31" customFormat="1" ht="75">
      <c r="A2479" s="4">
        <v>43560.001145833332</v>
      </c>
      <c r="B2479" s="5" t="str">
        <f t="shared" si="105"/>
        <v>@BoostlyUK</v>
      </c>
      <c r="C2479" s="6" t="s">
        <v>3478</v>
      </c>
      <c r="D2479" s="7" t="s">
        <v>11640</v>
      </c>
      <c r="E2479" s="8" t="str">
        <f t="shared" si="106"/>
        <v>Missinglettr</v>
      </c>
      <c r="F2479" s="4">
        <v>42459.23332175926</v>
      </c>
      <c r="G2479" s="9" t="s">
        <v>171</v>
      </c>
      <c r="H2479" s="35" t="s">
        <v>3480</v>
      </c>
      <c r="I2479" s="10" t="s">
        <v>3481</v>
      </c>
    </row>
    <row r="2480" spans="1:9" s="31" customFormat="1" ht="120">
      <c r="A2480" s="4">
        <v>43558.959409722222</v>
      </c>
      <c r="B2480" s="5" t="str">
        <f t="shared" si="105"/>
        <v>@BoostlyUK</v>
      </c>
      <c r="C2480" s="6" t="s">
        <v>3478</v>
      </c>
      <c r="D2480" s="7" t="s">
        <v>11990</v>
      </c>
      <c r="E2480" s="8" t="str">
        <f t="shared" si="106"/>
        <v>Missinglettr</v>
      </c>
      <c r="F2480" s="4">
        <v>42459.23332175926</v>
      </c>
      <c r="G2480" s="9" t="s">
        <v>171</v>
      </c>
      <c r="H2480" s="35" t="s">
        <v>3480</v>
      </c>
      <c r="I2480" s="10" t="s">
        <v>3481</v>
      </c>
    </row>
    <row r="2481" spans="1:9" s="31" customFormat="1" ht="90">
      <c r="A2481" s="4">
        <v>43558.001099537039</v>
      </c>
      <c r="B2481" s="5" t="str">
        <f t="shared" si="105"/>
        <v>@BoostlyUK</v>
      </c>
      <c r="C2481" s="6" t="s">
        <v>3478</v>
      </c>
      <c r="D2481" s="7" t="s">
        <v>12347</v>
      </c>
      <c r="E2481" s="8" t="str">
        <f t="shared" si="106"/>
        <v>Missinglettr</v>
      </c>
      <c r="F2481" s="4">
        <v>42459.23332175926</v>
      </c>
      <c r="G2481" s="9" t="s">
        <v>171</v>
      </c>
      <c r="H2481" s="35" t="s">
        <v>3480</v>
      </c>
      <c r="I2481" s="10" t="s">
        <v>3481</v>
      </c>
    </row>
    <row r="2482" spans="1:9" s="31" customFormat="1" ht="105">
      <c r="A2482" s="12">
        <v>43571.960104166668</v>
      </c>
      <c r="B2482" s="13" t="str">
        <f t="shared" si="105"/>
        <v>@BoostlyUK</v>
      </c>
      <c r="C2482" s="14" t="s">
        <v>3478</v>
      </c>
      <c r="D2482" s="15" t="s">
        <v>3479</v>
      </c>
      <c r="E2482" s="16" t="str">
        <f t="shared" si="106"/>
        <v>Missinglettr</v>
      </c>
      <c r="F2482" s="12">
        <v>42459.23332175926</v>
      </c>
      <c r="G2482" s="9" t="s">
        <v>171</v>
      </c>
      <c r="H2482" s="35" t="s">
        <v>3480</v>
      </c>
      <c r="I2482" s="18" t="s">
        <v>3481</v>
      </c>
    </row>
    <row r="2483" spans="1:9" s="31" customFormat="1" ht="105">
      <c r="A2483" s="12">
        <v>43571.139247685191</v>
      </c>
      <c r="B2483" s="13" t="str">
        <f t="shared" si="105"/>
        <v>@BoostlyUK</v>
      </c>
      <c r="C2483" s="14" t="s">
        <v>3478</v>
      </c>
      <c r="D2483" s="15" t="s">
        <v>3837</v>
      </c>
      <c r="E2483" s="16" t="str">
        <f t="shared" si="106"/>
        <v>Missinglettr</v>
      </c>
      <c r="F2483" s="12">
        <v>42459.23332175926</v>
      </c>
      <c r="G2483" s="9" t="s">
        <v>171</v>
      </c>
      <c r="H2483" s="35" t="s">
        <v>3480</v>
      </c>
      <c r="I2483" s="18" t="s">
        <v>3481</v>
      </c>
    </row>
    <row r="2484" spans="1:9" s="31" customFormat="1" ht="90">
      <c r="A2484" s="12">
        <v>43567.611458333333</v>
      </c>
      <c r="B2484" s="13" t="str">
        <f t="shared" si="105"/>
        <v>@BoostlyUK</v>
      </c>
      <c r="C2484" s="14" t="s">
        <v>3478</v>
      </c>
      <c r="D2484" s="15" t="s">
        <v>5024</v>
      </c>
      <c r="E2484" s="16" t="str">
        <f t="shared" si="106"/>
        <v>Missinglettr</v>
      </c>
      <c r="F2484" s="12">
        <v>42459.23332175926</v>
      </c>
      <c r="G2484" s="9" t="s">
        <v>171</v>
      </c>
      <c r="H2484" s="35" t="s">
        <v>3480</v>
      </c>
      <c r="I2484" s="18" t="s">
        <v>3481</v>
      </c>
    </row>
    <row r="2485" spans="1:9" s="31" customFormat="1" ht="105">
      <c r="A2485" s="12">
        <v>43565.96025462963</v>
      </c>
      <c r="B2485" s="13" t="str">
        <f t="shared" si="105"/>
        <v>@BoostlyUK</v>
      </c>
      <c r="C2485" s="14" t="s">
        <v>3478</v>
      </c>
      <c r="D2485" s="15" t="s">
        <v>5832</v>
      </c>
      <c r="E2485" s="16" t="str">
        <f t="shared" si="106"/>
        <v>Missinglettr</v>
      </c>
      <c r="F2485" s="12">
        <v>42459.23332175926</v>
      </c>
      <c r="G2485" s="9" t="s">
        <v>171</v>
      </c>
      <c r="H2485" s="35" t="s">
        <v>3480</v>
      </c>
      <c r="I2485" s="18" t="s">
        <v>3481</v>
      </c>
    </row>
    <row r="2486" spans="1:9" s="31" customFormat="1" ht="45">
      <c r="A2486" s="12">
        <v>43576.683796296296</v>
      </c>
      <c r="B2486" s="13" t="str">
        <f>HYPERLINK("https://twitter.com/ferrismick1701","@ferrismick1701")</f>
        <v>@ferrismick1701</v>
      </c>
      <c r="C2486" s="14" t="s">
        <v>1864</v>
      </c>
      <c r="D2486" s="15" t="s">
        <v>1865</v>
      </c>
      <c r="E2486" s="16" t="str">
        <f>HYPERLINK("http://twitter.com/download/android","Twitter for Android")</f>
        <v>Twitter for Android</v>
      </c>
      <c r="F2486" s="12">
        <v>41334.149293981478</v>
      </c>
      <c r="G2486" s="9" t="s">
        <v>171</v>
      </c>
      <c r="H2486" s="35" t="s">
        <v>1866</v>
      </c>
      <c r="I2486" s="18" t="s">
        <v>1867</v>
      </c>
    </row>
    <row r="2487" spans="1:9" s="31" customFormat="1" ht="45">
      <c r="A2487" s="4">
        <v>43557.3205787037</v>
      </c>
      <c r="B2487" s="5" t="str">
        <f>HYPERLINK("https://twitter.com/suffolktallhous","@suffolktallhous")</f>
        <v>@suffolktallhous</v>
      </c>
      <c r="C2487" s="6" t="s">
        <v>12559</v>
      </c>
      <c r="D2487" s="7" t="s">
        <v>12560</v>
      </c>
      <c r="E2487" s="8" t="str">
        <f>HYPERLINK("http://instagram.com","Instagram")</f>
        <v>Instagram</v>
      </c>
      <c r="F2487" s="4">
        <v>42785.431585648148</v>
      </c>
      <c r="G2487" s="9" t="s">
        <v>171</v>
      </c>
      <c r="H2487" s="35" t="s">
        <v>12561</v>
      </c>
      <c r="I2487" s="10" t="s">
        <v>12562</v>
      </c>
    </row>
    <row r="2488" spans="1:9" s="31" customFormat="1" ht="105">
      <c r="A2488" s="12">
        <v>43576.134884259256</v>
      </c>
      <c r="B2488" s="13" t="str">
        <f>HYPERLINK("https://twitter.com/adrianno73","@adrianno73")</f>
        <v>@adrianno73</v>
      </c>
      <c r="C2488" s="14" t="s">
        <v>2037</v>
      </c>
      <c r="D2488" s="15" t="s">
        <v>2038</v>
      </c>
      <c r="E2488" s="16" t="str">
        <f>HYPERLINK("http://twitter.com/download/iphone","Twitter for iPhone")</f>
        <v>Twitter for iPhone</v>
      </c>
      <c r="F2488" s="12">
        <v>40061.129444444443</v>
      </c>
      <c r="G2488" s="17" t="s">
        <v>171</v>
      </c>
      <c r="H2488" s="35" t="s">
        <v>2039</v>
      </c>
      <c r="I2488" s="18" t="s">
        <v>2040</v>
      </c>
    </row>
    <row r="2489" spans="1:9" s="31" customFormat="1" ht="90">
      <c r="A2489" s="19">
        <v>43545.009270833332</v>
      </c>
      <c r="B2489" s="20" t="str">
        <f>HYPERLINK("https://twitter.com/Paulos0987","@Paulos0987")</f>
        <v>@Paulos0987</v>
      </c>
      <c r="C2489" s="21" t="s">
        <v>9306</v>
      </c>
      <c r="D2489" s="22" t="s">
        <v>9307</v>
      </c>
      <c r="E2489" s="23" t="str">
        <f>HYPERLINK("http://twitter.com/download/iphone","Twitter for iPhone")</f>
        <v>Twitter for iPhone</v>
      </c>
      <c r="F2489" s="19">
        <v>39917.416608796295</v>
      </c>
      <c r="G2489" s="9" t="s">
        <v>171</v>
      </c>
      <c r="H2489" s="35" t="s">
        <v>9308</v>
      </c>
      <c r="I2489" s="25" t="s">
        <v>9309</v>
      </c>
    </row>
    <row r="2490" spans="1:9" s="31" customFormat="1" ht="30">
      <c r="A2490" s="12">
        <v>43579.868078703701</v>
      </c>
      <c r="B2490" s="13" t="str">
        <f>HYPERLINK("https://twitter.com/purelycrystalw","@purelycrystalw")</f>
        <v>@purelycrystalw</v>
      </c>
      <c r="C2490" s="14" t="s">
        <v>427</v>
      </c>
      <c r="D2490" s="15" t="s">
        <v>428</v>
      </c>
      <c r="E2490" s="16" t="str">
        <f>HYPERLINK("http://instagram.com","Instagram")</f>
        <v>Instagram</v>
      </c>
      <c r="F2490" s="12">
        <v>40711.985555555555</v>
      </c>
      <c r="G2490" s="9" t="s">
        <v>171</v>
      </c>
      <c r="H2490" s="35" t="s">
        <v>429</v>
      </c>
      <c r="I2490" s="18"/>
    </row>
    <row r="2491" spans="1:9" s="31" customFormat="1" ht="60">
      <c r="A2491" s="4">
        <v>43558.716249999998</v>
      </c>
      <c r="B2491" s="5" t="str">
        <f>HYPERLINK("https://twitter.com/aneuroticwriter","@aneuroticwriter")</f>
        <v>@aneuroticwriter</v>
      </c>
      <c r="C2491" s="6" t="s">
        <v>12055</v>
      </c>
      <c r="D2491" s="7" t="s">
        <v>12056</v>
      </c>
      <c r="E2491" s="8" t="str">
        <f>HYPERLINK("http://twitter.com/download/android","Twitter for Android")</f>
        <v>Twitter for Android</v>
      </c>
      <c r="F2491" s="4">
        <v>43110.372847222221</v>
      </c>
      <c r="G2491" s="9" t="s">
        <v>171</v>
      </c>
      <c r="H2491" s="35" t="s">
        <v>12057</v>
      </c>
      <c r="I2491" s="10" t="s">
        <v>12058</v>
      </c>
    </row>
    <row r="2492" spans="1:9" s="31" customFormat="1" ht="105">
      <c r="A2492" s="12">
        <v>43566.292499999996</v>
      </c>
      <c r="B2492" s="13" t="str">
        <f>HYPERLINK("https://twitter.com/OldHarryCamper","@OldHarryCamper")</f>
        <v>@OldHarryCamper</v>
      </c>
      <c r="C2492" s="14" t="s">
        <v>5673</v>
      </c>
      <c r="D2492" s="15" t="s">
        <v>5674</v>
      </c>
      <c r="E2492" s="16" t="str">
        <f>HYPERLINK("https://buffer.com","Buffer")</f>
        <v>Buffer</v>
      </c>
      <c r="F2492" s="12">
        <v>42923.351331018523</v>
      </c>
      <c r="G2492" s="24" t="s">
        <v>171</v>
      </c>
      <c r="H2492" s="35" t="s">
        <v>5675</v>
      </c>
      <c r="I2492" s="18" t="s">
        <v>5676</v>
      </c>
    </row>
    <row r="2493" spans="1:9" s="31" customFormat="1" ht="90">
      <c r="A2493" s="12">
        <v>43580.149907407409</v>
      </c>
      <c r="B2493" s="13" t="str">
        <f>HYPERLINK("https://twitter.com/PrescottJones","@PrescottJones")</f>
        <v>@PrescottJones</v>
      </c>
      <c r="C2493" s="14" t="s">
        <v>217</v>
      </c>
      <c r="D2493" s="15" t="s">
        <v>218</v>
      </c>
      <c r="E2493" s="16" t="str">
        <f>HYPERLINK("http://twitter.com/#!/download/ipad","Twitter for iPad")</f>
        <v>Twitter for iPad</v>
      </c>
      <c r="F2493" s="12">
        <v>40883.122997685183</v>
      </c>
      <c r="G2493" s="24" t="s">
        <v>171</v>
      </c>
      <c r="H2493" s="35" t="s">
        <v>219</v>
      </c>
      <c r="I2493" s="18" t="s">
        <v>220</v>
      </c>
    </row>
    <row r="2494" spans="1:9" s="31" customFormat="1" ht="60">
      <c r="A2494" s="19">
        <v>43551.087870370371</v>
      </c>
      <c r="B2494" s="20" t="str">
        <f>HYPERLINK("https://twitter.com/730RocksMumbles","@730RocksMumbles")</f>
        <v>@730RocksMumbles</v>
      </c>
      <c r="C2494" s="21" t="s">
        <v>313</v>
      </c>
      <c r="D2494" s="22" t="s">
        <v>7440</v>
      </c>
      <c r="E2494" s="23" t="str">
        <f>HYPERLINK("https://zapier.com/","Zapier.com")</f>
        <v>Zapier.com</v>
      </c>
      <c r="F2494" s="19">
        <v>43026.254780092597</v>
      </c>
      <c r="G2494" s="24" t="s">
        <v>171</v>
      </c>
      <c r="H2494" s="35" t="s">
        <v>315</v>
      </c>
      <c r="I2494" s="25" t="s">
        <v>316</v>
      </c>
    </row>
    <row r="2495" spans="1:9" s="31" customFormat="1" ht="60">
      <c r="A2495" s="19">
        <v>43550.087187500001</v>
      </c>
      <c r="B2495" s="20" t="str">
        <f>HYPERLINK("https://twitter.com/730RocksMumbles","@730RocksMumbles")</f>
        <v>@730RocksMumbles</v>
      </c>
      <c r="C2495" s="21" t="s">
        <v>313</v>
      </c>
      <c r="D2495" s="22" t="s">
        <v>7847</v>
      </c>
      <c r="E2495" s="23" t="str">
        <f>HYPERLINK("https://zapier.com/","Zapier.com")</f>
        <v>Zapier.com</v>
      </c>
      <c r="F2495" s="19">
        <v>43026.254780092597</v>
      </c>
      <c r="G2495" s="24" t="s">
        <v>171</v>
      </c>
      <c r="H2495" s="35" t="s">
        <v>315</v>
      </c>
      <c r="I2495" s="25" t="s">
        <v>316</v>
      </c>
    </row>
    <row r="2496" spans="1:9" s="31" customFormat="1" ht="60">
      <c r="A2496" s="19">
        <v>43549.088564814811</v>
      </c>
      <c r="B2496" s="20" t="str">
        <f>HYPERLINK("https://twitter.com/730RocksMumbles","@730RocksMumbles")</f>
        <v>@730RocksMumbles</v>
      </c>
      <c r="C2496" s="21" t="s">
        <v>313</v>
      </c>
      <c r="D2496" s="22" t="s">
        <v>8176</v>
      </c>
      <c r="E2496" s="23" t="str">
        <f>HYPERLINK("https://zapier.com/","Zapier.com")</f>
        <v>Zapier.com</v>
      </c>
      <c r="F2496" s="19">
        <v>43026.254780092597</v>
      </c>
      <c r="G2496" s="24" t="s">
        <v>171</v>
      </c>
      <c r="H2496" s="35" t="s">
        <v>315</v>
      </c>
      <c r="I2496" s="25" t="s">
        <v>316</v>
      </c>
    </row>
    <row r="2497" spans="1:9" s="31" customFormat="1" ht="60">
      <c r="A2497" s="19">
        <v>43548.089467592596</v>
      </c>
      <c r="B2497" s="20" t="str">
        <f>HYPERLINK("https://twitter.com/730RocksMumbles","@730RocksMumbles")</f>
        <v>@730RocksMumbles</v>
      </c>
      <c r="C2497" s="21" t="s">
        <v>313</v>
      </c>
      <c r="D2497" s="22" t="s">
        <v>8415</v>
      </c>
      <c r="E2497" s="23" t="str">
        <f>HYPERLINK("https://zapier.com/","Zapier.com")</f>
        <v>Zapier.com</v>
      </c>
      <c r="F2497" s="19">
        <v>43026.254780092597</v>
      </c>
      <c r="G2497" s="24" t="s">
        <v>171</v>
      </c>
      <c r="H2497" s="35" t="s">
        <v>315</v>
      </c>
      <c r="I2497" s="25" t="s">
        <v>316</v>
      </c>
    </row>
    <row r="2498" spans="1:9" s="31" customFormat="1" ht="75">
      <c r="A2498" s="19">
        <v>43547.271018518513</v>
      </c>
      <c r="B2498" s="20" t="str">
        <f>HYPERLINK("https://twitter.com/LeucarumP","@LeucarumP")</f>
        <v>@LeucarumP</v>
      </c>
      <c r="C2498" s="21" t="s">
        <v>8607</v>
      </c>
      <c r="D2498" s="22" t="s">
        <v>8608</v>
      </c>
      <c r="E2498" s="23" t="str">
        <f>HYPERLINK("https://buffer.com","Buffer")</f>
        <v>Buffer</v>
      </c>
      <c r="F2498" s="19">
        <v>43172.068206018521</v>
      </c>
      <c r="G2498" s="24" t="s">
        <v>171</v>
      </c>
      <c r="H2498" s="35" t="s">
        <v>315</v>
      </c>
      <c r="I2498" s="25" t="s">
        <v>8609</v>
      </c>
    </row>
    <row r="2499" spans="1:9" s="31" customFormat="1" ht="60">
      <c r="A2499" s="19">
        <v>43547.214351851857</v>
      </c>
      <c r="B2499" s="20" t="str">
        <f>HYPERLINK("https://twitter.com/730RocksMumbles","@730RocksMumbles")</f>
        <v>@730RocksMumbles</v>
      </c>
      <c r="C2499" s="21" t="s">
        <v>313</v>
      </c>
      <c r="D2499" s="22" t="s">
        <v>8634</v>
      </c>
      <c r="E2499" s="23" t="str">
        <f>HYPERLINK("http://twitter.com/download/iphone","Twitter for iPhone")</f>
        <v>Twitter for iPhone</v>
      </c>
      <c r="F2499" s="19">
        <v>43026.254780092597</v>
      </c>
      <c r="G2499" s="24" t="s">
        <v>171</v>
      </c>
      <c r="H2499" s="35" t="s">
        <v>315</v>
      </c>
      <c r="I2499" s="25" t="s">
        <v>316</v>
      </c>
    </row>
    <row r="2500" spans="1:9" s="31" customFormat="1" ht="60">
      <c r="A2500" s="19">
        <v>43547.086180555554</v>
      </c>
      <c r="B2500" s="20" t="str">
        <f>HYPERLINK("https://twitter.com/730RocksMumbles","@730RocksMumbles")</f>
        <v>@730RocksMumbles</v>
      </c>
      <c r="C2500" s="21" t="s">
        <v>313</v>
      </c>
      <c r="D2500" s="22" t="s">
        <v>8655</v>
      </c>
      <c r="E2500" s="23" t="str">
        <f>HYPERLINK("https://zapier.com/","Zapier.com")</f>
        <v>Zapier.com</v>
      </c>
      <c r="F2500" s="19">
        <v>43026.254780092597</v>
      </c>
      <c r="G2500" s="24" t="s">
        <v>171</v>
      </c>
      <c r="H2500" s="35" t="s">
        <v>315</v>
      </c>
      <c r="I2500" s="25" t="s">
        <v>316</v>
      </c>
    </row>
    <row r="2501" spans="1:9" s="31" customFormat="1" ht="60">
      <c r="A2501" s="19">
        <v>43546.090567129635</v>
      </c>
      <c r="B2501" s="20" t="str">
        <f>HYPERLINK("https://twitter.com/730RocksMumbles","@730RocksMumbles")</f>
        <v>@730RocksMumbles</v>
      </c>
      <c r="C2501" s="21" t="s">
        <v>313</v>
      </c>
      <c r="D2501" s="22" t="s">
        <v>8961</v>
      </c>
      <c r="E2501" s="23" t="str">
        <f>HYPERLINK("https://zapier.com/","Zapier.com")</f>
        <v>Zapier.com</v>
      </c>
      <c r="F2501" s="19">
        <v>43026.254780092597</v>
      </c>
      <c r="G2501" s="24" t="s">
        <v>171</v>
      </c>
      <c r="H2501" s="35" t="s">
        <v>315</v>
      </c>
      <c r="I2501" s="25" t="s">
        <v>316</v>
      </c>
    </row>
    <row r="2502" spans="1:9" s="31" customFormat="1" ht="60">
      <c r="A2502" s="19">
        <v>43545.40626157407</v>
      </c>
      <c r="B2502" s="20" t="str">
        <f>HYPERLINK("https://twitter.com/LeucarumP","@LeucarumP")</f>
        <v>@LeucarumP</v>
      </c>
      <c r="C2502" s="21" t="s">
        <v>8607</v>
      </c>
      <c r="D2502" s="22" t="s">
        <v>9151</v>
      </c>
      <c r="E2502" s="23" t="str">
        <f>HYPERLINK("https://buffer.com","Buffer")</f>
        <v>Buffer</v>
      </c>
      <c r="F2502" s="19">
        <v>43172.068206018521</v>
      </c>
      <c r="G2502" s="24" t="s">
        <v>171</v>
      </c>
      <c r="H2502" s="35" t="s">
        <v>315</v>
      </c>
      <c r="I2502" s="25" t="s">
        <v>8609</v>
      </c>
    </row>
    <row r="2503" spans="1:9" s="31" customFormat="1" ht="60">
      <c r="A2503" s="19">
        <v>43545.086782407408</v>
      </c>
      <c r="B2503" s="20" t="str">
        <f t="shared" ref="B2503:B2512" si="107">HYPERLINK("https://twitter.com/730RocksMumbles","@730RocksMumbles")</f>
        <v>@730RocksMumbles</v>
      </c>
      <c r="C2503" s="21" t="s">
        <v>313</v>
      </c>
      <c r="D2503" s="22" t="s">
        <v>9283</v>
      </c>
      <c r="E2503" s="23" t="str">
        <f t="shared" ref="E2503:E2512" si="108">HYPERLINK("https://zapier.com/","Zapier.com")</f>
        <v>Zapier.com</v>
      </c>
      <c r="F2503" s="19">
        <v>43026.254780092597</v>
      </c>
      <c r="G2503" s="24" t="s">
        <v>171</v>
      </c>
      <c r="H2503" s="35" t="s">
        <v>315</v>
      </c>
      <c r="I2503" s="25" t="s">
        <v>316</v>
      </c>
    </row>
    <row r="2504" spans="1:9" s="31" customFormat="1" ht="60">
      <c r="A2504" s="19">
        <v>43544.095208333332</v>
      </c>
      <c r="B2504" s="20" t="str">
        <f t="shared" si="107"/>
        <v>@730RocksMumbles</v>
      </c>
      <c r="C2504" s="21" t="s">
        <v>313</v>
      </c>
      <c r="D2504" s="22" t="s">
        <v>9617</v>
      </c>
      <c r="E2504" s="23" t="str">
        <f t="shared" si="108"/>
        <v>Zapier.com</v>
      </c>
      <c r="F2504" s="19">
        <v>43026.254780092597</v>
      </c>
      <c r="G2504" s="24" t="s">
        <v>171</v>
      </c>
      <c r="H2504" s="35" t="s">
        <v>315</v>
      </c>
      <c r="I2504" s="25" t="s">
        <v>316</v>
      </c>
    </row>
    <row r="2505" spans="1:9" s="31" customFormat="1" ht="60">
      <c r="A2505" s="19">
        <v>43543.084374999999</v>
      </c>
      <c r="B2505" s="20" t="str">
        <f t="shared" si="107"/>
        <v>@730RocksMumbles</v>
      </c>
      <c r="C2505" s="21" t="s">
        <v>313</v>
      </c>
      <c r="D2505" s="22" t="s">
        <v>9940</v>
      </c>
      <c r="E2505" s="23" t="str">
        <f t="shared" si="108"/>
        <v>Zapier.com</v>
      </c>
      <c r="F2505" s="19">
        <v>43026.254780092597</v>
      </c>
      <c r="G2505" s="24" t="s">
        <v>171</v>
      </c>
      <c r="H2505" s="35" t="s">
        <v>315</v>
      </c>
      <c r="I2505" s="25" t="s">
        <v>316</v>
      </c>
    </row>
    <row r="2506" spans="1:9" s="31" customFormat="1" ht="60">
      <c r="A2506" s="4">
        <v>43565.043287037042</v>
      </c>
      <c r="B2506" s="5" t="str">
        <f t="shared" si="107"/>
        <v>@730RocksMumbles</v>
      </c>
      <c r="C2506" s="6" t="s">
        <v>313</v>
      </c>
      <c r="D2506" s="7" t="s">
        <v>6333</v>
      </c>
      <c r="E2506" s="8" t="str">
        <f t="shared" si="108"/>
        <v>Zapier.com</v>
      </c>
      <c r="F2506" s="4">
        <v>43026.254780092597</v>
      </c>
      <c r="G2506" s="24" t="s">
        <v>171</v>
      </c>
      <c r="H2506" s="35" t="s">
        <v>315</v>
      </c>
      <c r="I2506" s="10" t="s">
        <v>316</v>
      </c>
    </row>
    <row r="2507" spans="1:9" s="31" customFormat="1" ht="60">
      <c r="A2507" s="4">
        <v>43564.045324074075</v>
      </c>
      <c r="B2507" s="5" t="str">
        <f t="shared" si="107"/>
        <v>@730RocksMumbles</v>
      </c>
      <c r="C2507" s="6" t="s">
        <v>313</v>
      </c>
      <c r="D2507" s="7" t="s">
        <v>6809</v>
      </c>
      <c r="E2507" s="8" t="str">
        <f t="shared" si="108"/>
        <v>Zapier.com</v>
      </c>
      <c r="F2507" s="4">
        <v>43026.254780092597</v>
      </c>
      <c r="G2507" s="24" t="s">
        <v>171</v>
      </c>
      <c r="H2507" s="35" t="s">
        <v>315</v>
      </c>
      <c r="I2507" s="10" t="s">
        <v>316</v>
      </c>
    </row>
    <row r="2508" spans="1:9" s="31" customFormat="1" ht="60">
      <c r="A2508" s="4">
        <v>43563.045775462961</v>
      </c>
      <c r="B2508" s="5" t="str">
        <f t="shared" si="107"/>
        <v>@730RocksMumbles</v>
      </c>
      <c r="C2508" s="6" t="s">
        <v>313</v>
      </c>
      <c r="D2508" s="7" t="s">
        <v>10486</v>
      </c>
      <c r="E2508" s="8" t="str">
        <f t="shared" si="108"/>
        <v>Zapier.com</v>
      </c>
      <c r="F2508" s="4">
        <v>43026.254780092597</v>
      </c>
      <c r="G2508" s="24" t="s">
        <v>171</v>
      </c>
      <c r="H2508" s="35" t="s">
        <v>315</v>
      </c>
      <c r="I2508" s="10" t="s">
        <v>316</v>
      </c>
    </row>
    <row r="2509" spans="1:9" s="31" customFormat="1" ht="60">
      <c r="A2509" s="4">
        <v>43562.04378472222</v>
      </c>
      <c r="B2509" s="5" t="str">
        <f t="shared" si="107"/>
        <v>@730RocksMumbles</v>
      </c>
      <c r="C2509" s="6" t="s">
        <v>313</v>
      </c>
      <c r="D2509" s="7" t="s">
        <v>10768</v>
      </c>
      <c r="E2509" s="8" t="str">
        <f t="shared" si="108"/>
        <v>Zapier.com</v>
      </c>
      <c r="F2509" s="4">
        <v>43026.254780092597</v>
      </c>
      <c r="G2509" s="24" t="s">
        <v>171</v>
      </c>
      <c r="H2509" s="35" t="s">
        <v>315</v>
      </c>
      <c r="I2509" s="10" t="s">
        <v>316</v>
      </c>
    </row>
    <row r="2510" spans="1:9" s="31" customFormat="1" ht="60">
      <c r="A2510" s="4">
        <v>43561.042476851857</v>
      </c>
      <c r="B2510" s="5" t="str">
        <f t="shared" si="107"/>
        <v>@730RocksMumbles</v>
      </c>
      <c r="C2510" s="6" t="s">
        <v>313</v>
      </c>
      <c r="D2510" s="7" t="s">
        <v>11108</v>
      </c>
      <c r="E2510" s="8" t="str">
        <f t="shared" si="108"/>
        <v>Zapier.com</v>
      </c>
      <c r="F2510" s="4">
        <v>43026.254780092597</v>
      </c>
      <c r="G2510" s="24" t="s">
        <v>171</v>
      </c>
      <c r="H2510" s="35" t="s">
        <v>315</v>
      </c>
      <c r="I2510" s="10" t="s">
        <v>316</v>
      </c>
    </row>
    <row r="2511" spans="1:9" s="31" customFormat="1" ht="60">
      <c r="A2511" s="4">
        <v>43560.047372685185</v>
      </c>
      <c r="B2511" s="5" t="str">
        <f t="shared" si="107"/>
        <v>@730RocksMumbles</v>
      </c>
      <c r="C2511" s="6" t="s">
        <v>313</v>
      </c>
      <c r="D2511" s="7" t="s">
        <v>11629</v>
      </c>
      <c r="E2511" s="8" t="str">
        <f t="shared" si="108"/>
        <v>Zapier.com</v>
      </c>
      <c r="F2511" s="4">
        <v>43026.254780092597</v>
      </c>
      <c r="G2511" s="24" t="s">
        <v>171</v>
      </c>
      <c r="H2511" s="35" t="s">
        <v>315</v>
      </c>
      <c r="I2511" s="10" t="s">
        <v>316</v>
      </c>
    </row>
    <row r="2512" spans="1:9" s="31" customFormat="1" ht="60">
      <c r="A2512" s="4">
        <v>43559.047812500001</v>
      </c>
      <c r="B2512" s="5" t="str">
        <f t="shared" si="107"/>
        <v>@730RocksMumbles</v>
      </c>
      <c r="C2512" s="6" t="s">
        <v>313</v>
      </c>
      <c r="D2512" s="7" t="s">
        <v>11956</v>
      </c>
      <c r="E2512" s="8" t="str">
        <f t="shared" si="108"/>
        <v>Zapier.com</v>
      </c>
      <c r="F2512" s="4">
        <v>43026.254780092597</v>
      </c>
      <c r="G2512" s="24" t="s">
        <v>171</v>
      </c>
      <c r="H2512" s="35" t="s">
        <v>315</v>
      </c>
      <c r="I2512" s="10" t="s">
        <v>316</v>
      </c>
    </row>
    <row r="2513" spans="1:9" s="31" customFormat="1" ht="75">
      <c r="A2513" s="4">
        <v>43558.361157407402</v>
      </c>
      <c r="B2513" s="5" t="str">
        <f>HYPERLINK("https://twitter.com/LeucarumP","@LeucarumP")</f>
        <v>@LeucarumP</v>
      </c>
      <c r="C2513" s="6" t="s">
        <v>8607</v>
      </c>
      <c r="D2513" s="7" t="s">
        <v>12224</v>
      </c>
      <c r="E2513" s="8" t="str">
        <f>HYPERLINK("https://buffer.com","Buffer")</f>
        <v>Buffer</v>
      </c>
      <c r="F2513" s="4">
        <v>43172.068206018521</v>
      </c>
      <c r="G2513" s="24" t="s">
        <v>171</v>
      </c>
      <c r="H2513" s="35" t="s">
        <v>315</v>
      </c>
      <c r="I2513" s="10" t="s">
        <v>8609</v>
      </c>
    </row>
    <row r="2514" spans="1:9" s="31" customFormat="1" ht="60">
      <c r="A2514" s="4">
        <v>43558.045601851853</v>
      </c>
      <c r="B2514" s="5" t="str">
        <f t="shared" ref="B2514:B2526" si="109">HYPERLINK("https://twitter.com/730RocksMumbles","@730RocksMumbles")</f>
        <v>@730RocksMumbles</v>
      </c>
      <c r="C2514" s="6" t="s">
        <v>313</v>
      </c>
      <c r="D2514" s="7" t="s">
        <v>12339</v>
      </c>
      <c r="E2514" s="8" t="str">
        <f t="shared" ref="E2514:E2521" si="110">HYPERLINK("https://zapier.com/","Zapier.com")</f>
        <v>Zapier.com</v>
      </c>
      <c r="F2514" s="4">
        <v>43026.254780092597</v>
      </c>
      <c r="G2514" s="24" t="s">
        <v>171</v>
      </c>
      <c r="H2514" s="35" t="s">
        <v>315</v>
      </c>
      <c r="I2514" s="10" t="s">
        <v>316</v>
      </c>
    </row>
    <row r="2515" spans="1:9" s="31" customFormat="1" ht="60">
      <c r="A2515" s="4">
        <v>43557.045416666668</v>
      </c>
      <c r="B2515" s="5" t="str">
        <f t="shared" si="109"/>
        <v>@730RocksMumbles</v>
      </c>
      <c r="C2515" s="6" t="s">
        <v>313</v>
      </c>
      <c r="D2515" s="7" t="s">
        <v>12671</v>
      </c>
      <c r="E2515" s="8" t="str">
        <f t="shared" si="110"/>
        <v>Zapier.com</v>
      </c>
      <c r="F2515" s="4">
        <v>43026.254780092597</v>
      </c>
      <c r="G2515" s="24" t="s">
        <v>171</v>
      </c>
      <c r="H2515" s="35" t="s">
        <v>315</v>
      </c>
      <c r="I2515" s="10" t="s">
        <v>316</v>
      </c>
    </row>
    <row r="2516" spans="1:9" s="31" customFormat="1" ht="60">
      <c r="A2516" s="12">
        <v>43580.043958333335</v>
      </c>
      <c r="B2516" s="13" t="str">
        <f t="shared" si="109"/>
        <v>@730RocksMumbles</v>
      </c>
      <c r="C2516" s="14" t="s">
        <v>313</v>
      </c>
      <c r="D2516" s="15" t="s">
        <v>314</v>
      </c>
      <c r="E2516" s="16" t="str">
        <f t="shared" si="110"/>
        <v>Zapier.com</v>
      </c>
      <c r="F2516" s="12">
        <v>43026.254780092597</v>
      </c>
      <c r="G2516" s="24" t="s">
        <v>171</v>
      </c>
      <c r="H2516" s="35" t="s">
        <v>315</v>
      </c>
      <c r="I2516" s="18" t="s">
        <v>316</v>
      </c>
    </row>
    <row r="2517" spans="1:9" s="31" customFormat="1" ht="60">
      <c r="A2517" s="12">
        <v>43579.046134259261</v>
      </c>
      <c r="B2517" s="13" t="str">
        <f t="shared" si="109"/>
        <v>@730RocksMumbles</v>
      </c>
      <c r="C2517" s="14" t="s">
        <v>313</v>
      </c>
      <c r="D2517" s="15" t="s">
        <v>951</v>
      </c>
      <c r="E2517" s="16" t="str">
        <f t="shared" si="110"/>
        <v>Zapier.com</v>
      </c>
      <c r="F2517" s="12">
        <v>43026.254780092597</v>
      </c>
      <c r="G2517" s="24" t="s">
        <v>171</v>
      </c>
      <c r="H2517" s="35" t="s">
        <v>315</v>
      </c>
      <c r="I2517" s="18" t="s">
        <v>316</v>
      </c>
    </row>
    <row r="2518" spans="1:9" s="31" customFormat="1" ht="60">
      <c r="A2518" s="12">
        <v>43578.048344907409</v>
      </c>
      <c r="B2518" s="13" t="str">
        <f t="shared" si="109"/>
        <v>@730RocksMumbles</v>
      </c>
      <c r="C2518" s="14" t="s">
        <v>313</v>
      </c>
      <c r="D2518" s="15" t="s">
        <v>1409</v>
      </c>
      <c r="E2518" s="16" t="str">
        <f t="shared" si="110"/>
        <v>Zapier.com</v>
      </c>
      <c r="F2518" s="12">
        <v>43026.254780092597</v>
      </c>
      <c r="G2518" s="24" t="s">
        <v>171</v>
      </c>
      <c r="H2518" s="35" t="s">
        <v>315</v>
      </c>
      <c r="I2518" s="18" t="s">
        <v>316</v>
      </c>
    </row>
    <row r="2519" spans="1:9" s="31" customFormat="1" ht="60">
      <c r="A2519" s="12">
        <v>43577.045555555553</v>
      </c>
      <c r="B2519" s="13" t="str">
        <f t="shared" si="109"/>
        <v>@730RocksMumbles</v>
      </c>
      <c r="C2519" s="14" t="s">
        <v>313</v>
      </c>
      <c r="D2519" s="15" t="s">
        <v>1764</v>
      </c>
      <c r="E2519" s="16" t="str">
        <f t="shared" si="110"/>
        <v>Zapier.com</v>
      </c>
      <c r="F2519" s="12">
        <v>43026.254780092597</v>
      </c>
      <c r="G2519" s="24" t="s">
        <v>171</v>
      </c>
      <c r="H2519" s="35" t="s">
        <v>315</v>
      </c>
      <c r="I2519" s="18" t="s">
        <v>316</v>
      </c>
    </row>
    <row r="2520" spans="1:9" s="31" customFormat="1" ht="60">
      <c r="A2520" s="12">
        <v>43576.051423611112</v>
      </c>
      <c r="B2520" s="13" t="str">
        <f t="shared" si="109"/>
        <v>@730RocksMumbles</v>
      </c>
      <c r="C2520" s="14" t="s">
        <v>313</v>
      </c>
      <c r="D2520" s="15" t="s">
        <v>2065</v>
      </c>
      <c r="E2520" s="16" t="str">
        <f t="shared" si="110"/>
        <v>Zapier.com</v>
      </c>
      <c r="F2520" s="12">
        <v>43026.254780092597</v>
      </c>
      <c r="G2520" s="24" t="s">
        <v>171</v>
      </c>
      <c r="H2520" s="35" t="s">
        <v>315</v>
      </c>
      <c r="I2520" s="18" t="s">
        <v>316</v>
      </c>
    </row>
    <row r="2521" spans="1:9" s="31" customFormat="1" ht="60">
      <c r="A2521" s="12">
        <v>43575.045219907406</v>
      </c>
      <c r="B2521" s="13" t="str">
        <f t="shared" si="109"/>
        <v>@730RocksMumbles</v>
      </c>
      <c r="C2521" s="14" t="s">
        <v>313</v>
      </c>
      <c r="D2521" s="15" t="s">
        <v>2381</v>
      </c>
      <c r="E2521" s="16" t="str">
        <f t="shared" si="110"/>
        <v>Zapier.com</v>
      </c>
      <c r="F2521" s="12">
        <v>43026.254780092597</v>
      </c>
      <c r="G2521" s="24" t="s">
        <v>171</v>
      </c>
      <c r="H2521" s="35" t="s">
        <v>315</v>
      </c>
      <c r="I2521" s="18" t="s">
        <v>316</v>
      </c>
    </row>
    <row r="2522" spans="1:9" s="31" customFormat="1" ht="30">
      <c r="A2522" s="12">
        <v>43575.007222222222</v>
      </c>
      <c r="B2522" s="13" t="str">
        <f t="shared" si="109"/>
        <v>@730RocksMumbles</v>
      </c>
      <c r="C2522" s="14" t="s">
        <v>313</v>
      </c>
      <c r="D2522" s="15" t="s">
        <v>2391</v>
      </c>
      <c r="E2522" s="16" t="str">
        <f>HYPERLINK("http://twitter.com/download/iphone","Twitter for iPhone")</f>
        <v>Twitter for iPhone</v>
      </c>
      <c r="F2522" s="12">
        <v>43026.254780092597</v>
      </c>
      <c r="G2522" s="24" t="s">
        <v>171</v>
      </c>
      <c r="H2522" s="35" t="s">
        <v>315</v>
      </c>
      <c r="I2522" s="18" t="s">
        <v>316</v>
      </c>
    </row>
    <row r="2523" spans="1:9" s="31" customFormat="1" ht="60">
      <c r="A2523" s="12">
        <v>43574.048668981486</v>
      </c>
      <c r="B2523" s="13" t="str">
        <f t="shared" si="109"/>
        <v>@730RocksMumbles</v>
      </c>
      <c r="C2523" s="14" t="s">
        <v>313</v>
      </c>
      <c r="D2523" s="15" t="s">
        <v>2679</v>
      </c>
      <c r="E2523" s="16" t="str">
        <f>HYPERLINK("https://zapier.com/","Zapier.com")</f>
        <v>Zapier.com</v>
      </c>
      <c r="F2523" s="12">
        <v>43026.254780092597</v>
      </c>
      <c r="G2523" s="24" t="s">
        <v>171</v>
      </c>
      <c r="H2523" s="35" t="s">
        <v>315</v>
      </c>
      <c r="I2523" s="18" t="s">
        <v>316</v>
      </c>
    </row>
    <row r="2524" spans="1:9" s="31" customFormat="1" ht="60">
      <c r="A2524" s="12">
        <v>43573.045983796299</v>
      </c>
      <c r="B2524" s="13" t="str">
        <f t="shared" si="109"/>
        <v>@730RocksMumbles</v>
      </c>
      <c r="C2524" s="14" t="s">
        <v>313</v>
      </c>
      <c r="D2524" s="15" t="s">
        <v>3020</v>
      </c>
      <c r="E2524" s="16" t="str">
        <f>HYPERLINK("https://zapier.com/","Zapier.com")</f>
        <v>Zapier.com</v>
      </c>
      <c r="F2524" s="12">
        <v>43026.254780092597</v>
      </c>
      <c r="G2524" s="24" t="s">
        <v>171</v>
      </c>
      <c r="H2524" s="35" t="s">
        <v>315</v>
      </c>
      <c r="I2524" s="18" t="s">
        <v>316</v>
      </c>
    </row>
    <row r="2525" spans="1:9" s="31" customFormat="1" ht="60">
      <c r="A2525" s="12">
        <v>43572.04724537037</v>
      </c>
      <c r="B2525" s="13" t="str">
        <f t="shared" si="109"/>
        <v>@730RocksMumbles</v>
      </c>
      <c r="C2525" s="14" t="s">
        <v>313</v>
      </c>
      <c r="D2525" s="15" t="s">
        <v>3453</v>
      </c>
      <c r="E2525" s="16" t="str">
        <f>HYPERLINK("https://zapier.com/","Zapier.com")</f>
        <v>Zapier.com</v>
      </c>
      <c r="F2525" s="12">
        <v>43026.254780092597</v>
      </c>
      <c r="G2525" s="24" t="s">
        <v>171</v>
      </c>
      <c r="H2525" s="35" t="s">
        <v>315</v>
      </c>
      <c r="I2525" s="18" t="s">
        <v>316</v>
      </c>
    </row>
    <row r="2526" spans="1:9" s="31" customFormat="1" ht="60">
      <c r="A2526" s="12">
        <v>43571.043113425927</v>
      </c>
      <c r="B2526" s="13" t="str">
        <f t="shared" si="109"/>
        <v>@730RocksMumbles</v>
      </c>
      <c r="C2526" s="14" t="s">
        <v>313</v>
      </c>
      <c r="D2526" s="15" t="s">
        <v>3890</v>
      </c>
      <c r="E2526" s="16" t="str">
        <f>HYPERLINK("https://zapier.com/","Zapier.com")</f>
        <v>Zapier.com</v>
      </c>
      <c r="F2526" s="12">
        <v>43026.254780092597</v>
      </c>
      <c r="G2526" s="24" t="s">
        <v>171</v>
      </c>
      <c r="H2526" s="35" t="s">
        <v>315</v>
      </c>
      <c r="I2526" s="18" t="s">
        <v>316</v>
      </c>
    </row>
    <row r="2527" spans="1:9" s="31" customFormat="1" ht="45">
      <c r="A2527" s="12">
        <v>43570.107025462959</v>
      </c>
      <c r="B2527" s="13" t="str">
        <f>HYPERLINK("https://twitter.com/CristinaM_SANS","@CristinaM_SANS")</f>
        <v>@CristinaM_SANS</v>
      </c>
      <c r="C2527" s="14" t="s">
        <v>4329</v>
      </c>
      <c r="D2527" s="15" t="s">
        <v>4330</v>
      </c>
      <c r="E2527" s="16" t="str">
        <f>HYPERLINK("http://www.linkedin.com/","LinkedIn")</f>
        <v>LinkedIn</v>
      </c>
      <c r="F2527" s="12">
        <v>42947.286805555559</v>
      </c>
      <c r="G2527" s="24" t="s">
        <v>171</v>
      </c>
      <c r="H2527" s="35" t="s">
        <v>315</v>
      </c>
      <c r="I2527" s="18" t="s">
        <v>4331</v>
      </c>
    </row>
    <row r="2528" spans="1:9" s="31" customFormat="1" ht="60">
      <c r="A2528" s="12">
        <v>43570.052025462966</v>
      </c>
      <c r="B2528" s="13" t="str">
        <f>HYPERLINK("https://twitter.com/730RocksMumbles","@730RocksMumbles")</f>
        <v>@730RocksMumbles</v>
      </c>
      <c r="C2528" s="14" t="s">
        <v>313</v>
      </c>
      <c r="D2528" s="15" t="s">
        <v>4355</v>
      </c>
      <c r="E2528" s="16" t="str">
        <f>HYPERLINK("https://zapier.com/","Zapier.com")</f>
        <v>Zapier.com</v>
      </c>
      <c r="F2528" s="12">
        <v>43026.254780092597</v>
      </c>
      <c r="G2528" s="24" t="s">
        <v>171</v>
      </c>
      <c r="H2528" s="35" t="s">
        <v>315</v>
      </c>
      <c r="I2528" s="18" t="s">
        <v>316</v>
      </c>
    </row>
    <row r="2529" spans="1:9" s="31" customFormat="1" ht="60">
      <c r="A2529" s="12">
        <v>43569.042442129634</v>
      </c>
      <c r="B2529" s="13" t="str">
        <f>HYPERLINK("https://twitter.com/730RocksMumbles","@730RocksMumbles")</f>
        <v>@730RocksMumbles</v>
      </c>
      <c r="C2529" s="14" t="s">
        <v>313</v>
      </c>
      <c r="D2529" s="15" t="s">
        <v>4605</v>
      </c>
      <c r="E2529" s="16" t="str">
        <f>HYPERLINK("https://zapier.com/","Zapier.com")</f>
        <v>Zapier.com</v>
      </c>
      <c r="F2529" s="12">
        <v>43026.254780092597</v>
      </c>
      <c r="G2529" s="24" t="s">
        <v>171</v>
      </c>
      <c r="H2529" s="35" t="s">
        <v>315</v>
      </c>
      <c r="I2529" s="18" t="s">
        <v>316</v>
      </c>
    </row>
    <row r="2530" spans="1:9" s="31" customFormat="1" ht="60">
      <c r="A2530" s="12">
        <v>43568.045717592591</v>
      </c>
      <c r="B2530" s="13" t="str">
        <f>HYPERLINK("https://twitter.com/730RocksMumbles","@730RocksMumbles")</f>
        <v>@730RocksMumbles</v>
      </c>
      <c r="C2530" s="14" t="s">
        <v>313</v>
      </c>
      <c r="D2530" s="15" t="s">
        <v>4889</v>
      </c>
      <c r="E2530" s="16" t="str">
        <f>HYPERLINK("https://zapier.com/","Zapier.com")</f>
        <v>Zapier.com</v>
      </c>
      <c r="F2530" s="12">
        <v>43026.254780092597</v>
      </c>
      <c r="G2530" s="24" t="s">
        <v>171</v>
      </c>
      <c r="H2530" s="35" t="s">
        <v>315</v>
      </c>
      <c r="I2530" s="18" t="s">
        <v>316</v>
      </c>
    </row>
    <row r="2531" spans="1:9" s="31" customFormat="1" ht="60">
      <c r="A2531" s="12">
        <v>43567.050023148149</v>
      </c>
      <c r="B2531" s="13" t="str">
        <f>HYPERLINK("https://twitter.com/730RocksMumbles","@730RocksMumbles")</f>
        <v>@730RocksMumbles</v>
      </c>
      <c r="C2531" s="14" t="s">
        <v>313</v>
      </c>
      <c r="D2531" s="15" t="s">
        <v>5258</v>
      </c>
      <c r="E2531" s="16" t="str">
        <f>HYPERLINK("https://zapier.com/","Zapier.com")</f>
        <v>Zapier.com</v>
      </c>
      <c r="F2531" s="12">
        <v>43026.254780092597</v>
      </c>
      <c r="G2531" s="24" t="s">
        <v>171</v>
      </c>
      <c r="H2531" s="35" t="s">
        <v>315</v>
      </c>
      <c r="I2531" s="18" t="s">
        <v>316</v>
      </c>
    </row>
    <row r="2532" spans="1:9" s="31" customFormat="1" ht="60">
      <c r="A2532" s="12">
        <v>43566.043645833328</v>
      </c>
      <c r="B2532" s="13" t="str">
        <f>HYPERLINK("https://twitter.com/730RocksMumbles","@730RocksMumbles")</f>
        <v>@730RocksMumbles</v>
      </c>
      <c r="C2532" s="14" t="s">
        <v>313</v>
      </c>
      <c r="D2532" s="15" t="s">
        <v>5811</v>
      </c>
      <c r="E2532" s="16" t="str">
        <f>HYPERLINK("https://zapier.com/","Zapier.com")</f>
        <v>Zapier.com</v>
      </c>
      <c r="F2532" s="12">
        <v>43026.254780092597</v>
      </c>
      <c r="G2532" s="24" t="s">
        <v>171</v>
      </c>
      <c r="H2532" s="35" t="s">
        <v>315</v>
      </c>
      <c r="I2532" s="18" t="s">
        <v>316</v>
      </c>
    </row>
    <row r="2533" spans="1:9" s="31" customFormat="1" ht="45">
      <c r="A2533" s="19">
        <v>43542.5466087963</v>
      </c>
      <c r="B2533" s="20" t="str">
        <f>HYPERLINK("https://twitter.com/kimothy300","@kimothy300")</f>
        <v>@kimothy300</v>
      </c>
      <c r="C2533" s="21" t="s">
        <v>10109</v>
      </c>
      <c r="D2533" s="22" t="s">
        <v>10110</v>
      </c>
      <c r="E2533" s="23" t="str">
        <f>HYPERLINK("http://twitter.com/download/iphone","Twitter for iPhone")</f>
        <v>Twitter for iPhone</v>
      </c>
      <c r="F2533" s="19">
        <v>41250.265150462961</v>
      </c>
      <c r="G2533" s="24" t="s">
        <v>171</v>
      </c>
      <c r="H2533" s="35" t="s">
        <v>10111</v>
      </c>
      <c r="I2533" s="25" t="s">
        <v>10112</v>
      </c>
    </row>
    <row r="2534" spans="1:9" s="31" customFormat="1" ht="60">
      <c r="A2534" s="12">
        <v>43569.123668981483</v>
      </c>
      <c r="B2534" s="13" t="str">
        <f>HYPERLINK("https://twitter.com/Swekiik","@Swekiik")</f>
        <v>@Swekiik</v>
      </c>
      <c r="C2534" s="14" t="s">
        <v>4594</v>
      </c>
      <c r="D2534" s="15" t="s">
        <v>4595</v>
      </c>
      <c r="E2534" s="16" t="str">
        <f>HYPERLINK("http://twitter.com","Twitter Web Client")</f>
        <v>Twitter Web Client</v>
      </c>
      <c r="F2534" s="12">
        <v>43204.127372685187</v>
      </c>
      <c r="G2534" s="24" t="s">
        <v>171</v>
      </c>
      <c r="H2534" s="35" t="s">
        <v>4596</v>
      </c>
      <c r="I2534" s="18" t="s">
        <v>4597</v>
      </c>
    </row>
    <row r="2535" spans="1:9" s="31" customFormat="1" ht="45">
      <c r="A2535" s="4">
        <v>43559.057881944449</v>
      </c>
      <c r="B2535" s="5" t="str">
        <f>HYPERLINK("https://twitter.com/magdabrzdak","@magdabrzdak")</f>
        <v>@magdabrzdak</v>
      </c>
      <c r="C2535" s="6" t="s">
        <v>11948</v>
      </c>
      <c r="D2535" s="7" t="s">
        <v>11949</v>
      </c>
      <c r="E2535" s="8" t="str">
        <f>HYPERLINK("http://twitter.com","Twitter Web Client")</f>
        <v>Twitter Web Client</v>
      </c>
      <c r="F2535" s="4">
        <v>41245.623541666668</v>
      </c>
      <c r="G2535" s="24" t="s">
        <v>171</v>
      </c>
      <c r="H2535" s="35" t="s">
        <v>11950</v>
      </c>
      <c r="I2535" s="10"/>
    </row>
    <row r="2536" spans="1:9" s="31" customFormat="1" ht="45">
      <c r="A2536" s="4">
        <v>43561.150127314817</v>
      </c>
      <c r="B2536" s="5" t="str">
        <f>HYPERLINK("https://twitter.com/MarkusPeter","@MarkusPeter")</f>
        <v>@MarkusPeter</v>
      </c>
      <c r="C2536" s="6" t="s">
        <v>11049</v>
      </c>
      <c r="D2536" s="7" t="s">
        <v>12794</v>
      </c>
      <c r="E2536" s="8" t="str">
        <f>HYPERLINK("http://twitter.com/download/iphone","Twitter for iPhone")</f>
        <v>Twitter for iPhone</v>
      </c>
      <c r="F2536" s="4">
        <v>39852.147962962961</v>
      </c>
      <c r="G2536" s="24" t="s">
        <v>171</v>
      </c>
      <c r="H2536" s="35" t="s">
        <v>12795</v>
      </c>
      <c r="I2536" s="10" t="s">
        <v>12796</v>
      </c>
    </row>
    <row r="2537" spans="1:9" s="31" customFormat="1" ht="105">
      <c r="A2537" s="19">
        <v>43551.678449074076</v>
      </c>
      <c r="B2537" s="20" t="str">
        <f>HYPERLINK("https://twitter.com/UrsBolt","@UrsBolt")</f>
        <v>@UrsBolt</v>
      </c>
      <c r="C2537" s="21" t="s">
        <v>7053</v>
      </c>
      <c r="D2537" s="22" t="s">
        <v>7054</v>
      </c>
      <c r="E2537" s="23" t="str">
        <f>HYPERLINK("http://twitter.com/download/android","Twitter for Android")</f>
        <v>Twitter for Android</v>
      </c>
      <c r="F2537" s="19">
        <v>41194.013356481482</v>
      </c>
      <c r="G2537" s="24" t="s">
        <v>171</v>
      </c>
      <c r="H2537" s="35" t="s">
        <v>7055</v>
      </c>
      <c r="I2537" s="25" t="s">
        <v>7056</v>
      </c>
    </row>
    <row r="2538" spans="1:9" s="31" customFormat="1" ht="45">
      <c r="A2538" s="12">
        <v>43570.123784722222</v>
      </c>
      <c r="B2538" s="13" t="str">
        <f>HYPERLINK("https://twitter.com/ptracesecurity","@ptracesecurity")</f>
        <v>@ptracesecurity</v>
      </c>
      <c r="C2538" s="14" t="s">
        <v>4325</v>
      </c>
      <c r="D2538" s="15" t="s">
        <v>4326</v>
      </c>
      <c r="E2538" s="16" t="str">
        <f>HYPERLINK("https://panel.socialpilot.co/","SocialPilot.co")</f>
        <v>SocialPilot.co</v>
      </c>
      <c r="F2538" s="12">
        <v>39962.97519675926</v>
      </c>
      <c r="G2538" s="24" t="s">
        <v>171</v>
      </c>
      <c r="H2538" s="35" t="s">
        <v>4327</v>
      </c>
      <c r="I2538" s="18" t="s">
        <v>4328</v>
      </c>
    </row>
    <row r="2539" spans="1:9" s="31" customFormat="1" ht="105">
      <c r="A2539" s="12">
        <v>43575.6877662037</v>
      </c>
      <c r="B2539" s="13" t="str">
        <f>HYPERLINK("https://twitter.com/chr_frei","@chr_frei")</f>
        <v>@chr_frei</v>
      </c>
      <c r="C2539" s="14" t="s">
        <v>2145</v>
      </c>
      <c r="D2539" s="15" t="s">
        <v>2146</v>
      </c>
      <c r="E2539" s="16" t="str">
        <f>HYPERLINK("http://postplanner.com","Post Planner Inc.")</f>
        <v>Post Planner Inc.</v>
      </c>
      <c r="F2539" s="12">
        <v>40234.098854166667</v>
      </c>
      <c r="G2539" s="24" t="s">
        <v>171</v>
      </c>
      <c r="H2539" s="35" t="s">
        <v>2147</v>
      </c>
      <c r="I2539" s="18" t="s">
        <v>2148</v>
      </c>
    </row>
    <row r="2540" spans="1:9" s="31" customFormat="1" ht="75">
      <c r="A2540" s="19">
        <v>43549.096307870372</v>
      </c>
      <c r="B2540" s="20" t="str">
        <f>HYPERLINK("https://twitter.com/lottakm","@lottakm")</f>
        <v>@lottakm</v>
      </c>
      <c r="C2540" s="21" t="s">
        <v>8172</v>
      </c>
      <c r="D2540" s="22" t="s">
        <v>8173</v>
      </c>
      <c r="E2540" s="23" t="str">
        <f>HYPERLINK("http://twitter.com","Twitter Web Client")</f>
        <v>Twitter Web Client</v>
      </c>
      <c r="F2540" s="19">
        <v>42758.456423611111</v>
      </c>
      <c r="G2540" s="24" t="s">
        <v>171</v>
      </c>
      <c r="H2540" s="35" t="s">
        <v>4122</v>
      </c>
      <c r="I2540" s="25" t="s">
        <v>8174</v>
      </c>
    </row>
    <row r="2541" spans="1:9" s="31" customFormat="1" ht="60">
      <c r="A2541" s="4">
        <v>43564.379583333328</v>
      </c>
      <c r="B2541" s="5" t="str">
        <f>HYPERLINK("https://twitter.com/OTimme","@OTimme")</f>
        <v>@OTimme</v>
      </c>
      <c r="C2541" s="6" t="s">
        <v>6644</v>
      </c>
      <c r="D2541" s="7" t="s">
        <v>6645</v>
      </c>
      <c r="E2541" s="8" t="str">
        <f>HYPERLINK("http://twitter.com","Twitter Web Client")</f>
        <v>Twitter Web Client</v>
      </c>
      <c r="F2541" s="4">
        <v>39830.220821759256</v>
      </c>
      <c r="G2541" s="24" t="s">
        <v>171</v>
      </c>
      <c r="H2541" s="35" t="s">
        <v>4122</v>
      </c>
      <c r="I2541" s="10" t="s">
        <v>6646</v>
      </c>
    </row>
    <row r="2542" spans="1:9" s="31" customFormat="1" ht="75">
      <c r="A2542" s="4">
        <v>43561.244004629625</v>
      </c>
      <c r="B2542" s="5" t="str">
        <f>HYPERLINK("https://twitter.com/SeppRuchti","@SeppRuchti")</f>
        <v>@SeppRuchti</v>
      </c>
      <c r="C2542" s="6" t="s">
        <v>11016</v>
      </c>
      <c r="D2542" s="7" t="s">
        <v>11017</v>
      </c>
      <c r="E2542" s="8" t="str">
        <f>HYPERLINK("http://www.linkedin.com/","LinkedIn")</f>
        <v>LinkedIn</v>
      </c>
      <c r="F2542" s="4">
        <v>42139.579317129625</v>
      </c>
      <c r="G2542" s="24" t="s">
        <v>171</v>
      </c>
      <c r="H2542" s="35" t="s">
        <v>4122</v>
      </c>
      <c r="I2542" s="10" t="s">
        <v>11018</v>
      </c>
    </row>
    <row r="2543" spans="1:9" s="31" customFormat="1" ht="45">
      <c r="A2543" s="12">
        <v>43570.477581018524</v>
      </c>
      <c r="B2543" s="13" t="str">
        <f>HYPERLINK("https://twitter.com/sureshone","@sureshone")</f>
        <v>@sureshone</v>
      </c>
      <c r="C2543" s="14" t="s">
        <v>4120</v>
      </c>
      <c r="D2543" s="15" t="s">
        <v>4121</v>
      </c>
      <c r="E2543" s="16" t="str">
        <f>HYPERLINK("http://www.linkedin.com/","LinkedIn")</f>
        <v>LinkedIn</v>
      </c>
      <c r="F2543" s="12">
        <v>39867.153946759259</v>
      </c>
      <c r="G2543" s="24" t="s">
        <v>171</v>
      </c>
      <c r="H2543" s="35" t="s">
        <v>4122</v>
      </c>
      <c r="I2543" s="18" t="s">
        <v>4123</v>
      </c>
    </row>
    <row r="2544" spans="1:9" s="31" customFormat="1" ht="45">
      <c r="A2544" s="19">
        <v>43545.034768518519</v>
      </c>
      <c r="B2544" s="20" t="str">
        <f>HYPERLINK("https://twitter.com/NotchTweets","@NotchTweets")</f>
        <v>@NotchTweets</v>
      </c>
      <c r="C2544" s="21" t="s">
        <v>9294</v>
      </c>
      <c r="D2544" s="22" t="s">
        <v>9295</v>
      </c>
      <c r="E2544" s="23" t="str">
        <f>HYPERLINK("https://buffer.com","Buffer")</f>
        <v>Buffer</v>
      </c>
      <c r="F2544" s="19">
        <v>40282.05196759259</v>
      </c>
      <c r="G2544" s="24" t="s">
        <v>171</v>
      </c>
      <c r="H2544" s="35" t="s">
        <v>9296</v>
      </c>
      <c r="I2544" s="25" t="s">
        <v>9297</v>
      </c>
    </row>
    <row r="2545" spans="1:9" s="31" customFormat="1" ht="30">
      <c r="A2545" s="4">
        <v>43565.538043981476</v>
      </c>
      <c r="B2545" s="5" t="str">
        <f t="shared" ref="B2545:B2553" si="111">HYPERLINK("https://twitter.com/KuunoLotamois","@KuunoLotamois")</f>
        <v>@KuunoLotamois</v>
      </c>
      <c r="C2545" s="6" t="s">
        <v>52</v>
      </c>
      <c r="D2545" s="7" t="s">
        <v>6038</v>
      </c>
      <c r="E2545" s="8" t="str">
        <f>HYPERLINK("http://twitter.com/download/iphone","Twitter for iPhone")</f>
        <v>Twitter for iPhone</v>
      </c>
      <c r="F2545" s="4">
        <v>43562.530775462961</v>
      </c>
      <c r="G2545" s="17" t="s">
        <v>171</v>
      </c>
      <c r="H2545" s="35" t="s">
        <v>54</v>
      </c>
      <c r="I2545" s="10" t="s">
        <v>55</v>
      </c>
    </row>
    <row r="2546" spans="1:9" s="31" customFormat="1" ht="60">
      <c r="A2546" s="4">
        <v>43565.305833333332</v>
      </c>
      <c r="B2546" s="5" t="str">
        <f t="shared" si="111"/>
        <v>@KuunoLotamois</v>
      </c>
      <c r="C2546" s="6" t="s">
        <v>52</v>
      </c>
      <c r="D2546" s="7" t="s">
        <v>6186</v>
      </c>
      <c r="E2546" s="8" t="str">
        <f>HYPERLINK("http://twitter.com/download/iphone","Twitter for iPhone")</f>
        <v>Twitter for iPhone</v>
      </c>
      <c r="F2546" s="4">
        <v>43562.530775462961</v>
      </c>
      <c r="G2546" s="17" t="s">
        <v>171</v>
      </c>
      <c r="H2546" s="35" t="s">
        <v>54</v>
      </c>
      <c r="I2546" s="10" t="s">
        <v>55</v>
      </c>
    </row>
    <row r="2547" spans="1:9" s="31" customFormat="1" ht="75">
      <c r="A2547" s="4">
        <v>43564.266099537039</v>
      </c>
      <c r="B2547" s="5" t="str">
        <f t="shared" si="111"/>
        <v>@KuunoLotamois</v>
      </c>
      <c r="C2547" s="6" t="s">
        <v>52</v>
      </c>
      <c r="D2547" s="7" t="s">
        <v>6708</v>
      </c>
      <c r="E2547" s="8" t="str">
        <f>HYPERLINK("http://twitter.com/download/iphone","Twitter for iPhone")</f>
        <v>Twitter for iPhone</v>
      </c>
      <c r="F2547" s="4">
        <v>43562.530775462961</v>
      </c>
      <c r="G2547" s="17" t="s">
        <v>171</v>
      </c>
      <c r="H2547" s="35" t="s">
        <v>54</v>
      </c>
      <c r="I2547" s="10" t="s">
        <v>55</v>
      </c>
    </row>
    <row r="2548" spans="1:9" s="31" customFormat="1" ht="45">
      <c r="A2548" s="4">
        <v>43564.01152777778</v>
      </c>
      <c r="B2548" s="5" t="str">
        <f t="shared" si="111"/>
        <v>@KuunoLotamois</v>
      </c>
      <c r="C2548" s="6" t="s">
        <v>52</v>
      </c>
      <c r="D2548" s="7" t="s">
        <v>6827</v>
      </c>
      <c r="E2548" s="8" t="str">
        <f>HYPERLINK("http://twitter.com/download/iphone","Twitter for iPhone")</f>
        <v>Twitter for iPhone</v>
      </c>
      <c r="F2548" s="4">
        <v>43562.530775462961</v>
      </c>
      <c r="G2548" s="17" t="s">
        <v>171</v>
      </c>
      <c r="H2548" s="35" t="s">
        <v>54</v>
      </c>
      <c r="I2548" s="10" t="s">
        <v>55</v>
      </c>
    </row>
    <row r="2549" spans="1:9" s="31" customFormat="1" ht="75">
      <c r="A2549" s="12">
        <v>43580.811689814815</v>
      </c>
      <c r="B2549" s="13" t="str">
        <f t="shared" si="111"/>
        <v>@KuunoLotamois</v>
      </c>
      <c r="C2549" s="14" t="s">
        <v>52</v>
      </c>
      <c r="D2549" s="15" t="s">
        <v>53</v>
      </c>
      <c r="E2549" s="16" t="str">
        <f>HYPERLINK("http://instagram.com","Instagram")</f>
        <v>Instagram</v>
      </c>
      <c r="F2549" s="12">
        <v>43562.989108796297</v>
      </c>
      <c r="G2549" s="17" t="s">
        <v>171</v>
      </c>
      <c r="H2549" s="35" t="s">
        <v>54</v>
      </c>
      <c r="I2549" s="18" t="s">
        <v>55</v>
      </c>
    </row>
    <row r="2550" spans="1:9" s="31" customFormat="1" ht="75">
      <c r="A2550" s="12">
        <v>43580.809247685189</v>
      </c>
      <c r="B2550" s="13" t="str">
        <f t="shared" si="111"/>
        <v>@KuunoLotamois</v>
      </c>
      <c r="C2550" s="14" t="s">
        <v>52</v>
      </c>
      <c r="D2550" s="15" t="s">
        <v>56</v>
      </c>
      <c r="E2550" s="16" t="str">
        <f>HYPERLINK("http://instagram.com","Instagram")</f>
        <v>Instagram</v>
      </c>
      <c r="F2550" s="12">
        <v>43562.989108796297</v>
      </c>
      <c r="G2550" s="17" t="s">
        <v>171</v>
      </c>
      <c r="H2550" s="35" t="s">
        <v>54</v>
      </c>
      <c r="I2550" s="18" t="s">
        <v>55</v>
      </c>
    </row>
    <row r="2551" spans="1:9" s="31" customFormat="1" ht="60">
      <c r="A2551" s="12">
        <v>43580.798333333332</v>
      </c>
      <c r="B2551" s="13" t="str">
        <f t="shared" si="111"/>
        <v>@KuunoLotamois</v>
      </c>
      <c r="C2551" s="14" t="s">
        <v>52</v>
      </c>
      <c r="D2551" s="15" t="s">
        <v>65</v>
      </c>
      <c r="E2551" s="16" t="str">
        <f>HYPERLINK("http://twitter.com/download/iphone","Twitter for iPhone")</f>
        <v>Twitter for iPhone</v>
      </c>
      <c r="F2551" s="12">
        <v>43562.989108796297</v>
      </c>
      <c r="G2551" s="17" t="s">
        <v>171</v>
      </c>
      <c r="H2551" s="35" t="s">
        <v>54</v>
      </c>
      <c r="I2551" s="18" t="s">
        <v>55</v>
      </c>
    </row>
    <row r="2552" spans="1:9" s="31" customFormat="1" ht="45">
      <c r="A2552" s="12">
        <v>43570.369456018518</v>
      </c>
      <c r="B2552" s="13" t="str">
        <f t="shared" si="111"/>
        <v>@KuunoLotamois</v>
      </c>
      <c r="C2552" s="14" t="s">
        <v>52</v>
      </c>
      <c r="D2552" s="15" t="s">
        <v>4205</v>
      </c>
      <c r="E2552" s="16" t="str">
        <f>HYPERLINK("http://twitter.com/download/iphone","Twitter for iPhone")</f>
        <v>Twitter for iPhone</v>
      </c>
      <c r="F2552" s="12">
        <v>43562.530775462961</v>
      </c>
      <c r="G2552" s="17" t="s">
        <v>171</v>
      </c>
      <c r="H2552" s="35" t="s">
        <v>54</v>
      </c>
      <c r="I2552" s="18" t="s">
        <v>55</v>
      </c>
    </row>
    <row r="2553" spans="1:9" s="31" customFormat="1" ht="75">
      <c r="A2553" s="12">
        <v>43566.188101851847</v>
      </c>
      <c r="B2553" s="13" t="str">
        <f t="shared" si="111"/>
        <v>@KuunoLotamois</v>
      </c>
      <c r="C2553" s="14" t="s">
        <v>52</v>
      </c>
      <c r="D2553" s="15" t="s">
        <v>5739</v>
      </c>
      <c r="E2553" s="16" t="str">
        <f>HYPERLINK("http://twitter.com/download/iphone","Twitter for iPhone")</f>
        <v>Twitter for iPhone</v>
      </c>
      <c r="F2553" s="12">
        <v>43562.530775462961</v>
      </c>
      <c r="G2553" s="17" t="s">
        <v>171</v>
      </c>
      <c r="H2553" s="35" t="s">
        <v>54</v>
      </c>
      <c r="I2553" s="18" t="s">
        <v>55</v>
      </c>
    </row>
    <row r="2554" spans="1:9" s="31" customFormat="1" ht="45">
      <c r="A2554" s="4">
        <v>43564.350949074069</v>
      </c>
      <c r="B2554" s="5" t="str">
        <f>HYPERLINK("https://twitter.com/johnbikerjohn","@johnbikerjohn")</f>
        <v>@johnbikerjohn</v>
      </c>
      <c r="C2554" s="6" t="s">
        <v>6666</v>
      </c>
      <c r="D2554" s="7" t="s">
        <v>6642</v>
      </c>
      <c r="E2554" s="8" t="str">
        <f>HYPERLINK("https://paper.li","Paper.li")</f>
        <v>Paper.li</v>
      </c>
      <c r="F2554" s="4">
        <v>43482.490324074075</v>
      </c>
      <c r="G2554" s="17" t="s">
        <v>171</v>
      </c>
      <c r="H2554" s="35" t="s">
        <v>6667</v>
      </c>
      <c r="I2554" s="10" t="s">
        <v>6668</v>
      </c>
    </row>
    <row r="2555" spans="1:9" s="31" customFormat="1" ht="30">
      <c r="A2555" s="12">
        <v>43580.646620370375</v>
      </c>
      <c r="B2555" s="13" t="str">
        <f>HYPERLINK("https://twitter.com/sam_stuteley","@sam_stuteley")</f>
        <v>@sam_stuteley</v>
      </c>
      <c r="C2555" s="14" t="s">
        <v>177</v>
      </c>
      <c r="D2555" s="15" t="s">
        <v>178</v>
      </c>
      <c r="E2555" s="16" t="str">
        <f>HYPERLINK("http://twitter.com","Twitter Web Client")</f>
        <v>Twitter Web Client</v>
      </c>
      <c r="F2555" s="12">
        <v>42378.111770833333</v>
      </c>
      <c r="G2555" s="17" t="s">
        <v>171</v>
      </c>
      <c r="H2555" s="35" t="s">
        <v>179</v>
      </c>
      <c r="I2555" s="18"/>
    </row>
    <row r="2556" spans="1:9" s="31" customFormat="1" ht="75">
      <c r="A2556" s="12">
        <v>43580.639641203699</v>
      </c>
      <c r="B2556" s="13" t="str">
        <f>HYPERLINK("https://twitter.com/sam_stuteley","@sam_stuteley")</f>
        <v>@sam_stuteley</v>
      </c>
      <c r="C2556" s="14" t="s">
        <v>177</v>
      </c>
      <c r="D2556" s="15" t="s">
        <v>194</v>
      </c>
      <c r="E2556" s="16" t="str">
        <f>HYPERLINK("http://twitter.com","Twitter Web Client")</f>
        <v>Twitter Web Client</v>
      </c>
      <c r="F2556" s="12">
        <v>42378.111770833333</v>
      </c>
      <c r="G2556" s="17" t="s">
        <v>171</v>
      </c>
      <c r="H2556" s="35" t="s">
        <v>179</v>
      </c>
      <c r="I2556" s="18"/>
    </row>
    <row r="2557" spans="1:9" s="31" customFormat="1" ht="45">
      <c r="A2557" s="12">
        <v>43571.426851851851</v>
      </c>
      <c r="B2557" s="13" t="str">
        <f>HYPERLINK("https://twitter.com/alexunderworld","@alexunderworld")</f>
        <v>@alexunderworld</v>
      </c>
      <c r="C2557" s="14" t="s">
        <v>3673</v>
      </c>
      <c r="D2557" s="15" t="s">
        <v>3674</v>
      </c>
      <c r="E2557" s="16" t="str">
        <f>HYPERLINK("http://www.facebook.com/twitter","Facebook")</f>
        <v>Facebook</v>
      </c>
      <c r="F2557" s="12">
        <v>40075.144085648149</v>
      </c>
      <c r="G2557" s="17" t="s">
        <v>171</v>
      </c>
      <c r="H2557" s="35" t="s">
        <v>3675</v>
      </c>
      <c r="I2557" s="18" t="s">
        <v>3676</v>
      </c>
    </row>
    <row r="2558" spans="1:9" s="31" customFormat="1" ht="75">
      <c r="A2558" s="12">
        <v>43571.209444444445</v>
      </c>
      <c r="B2558" s="13" t="str">
        <f>HYPERLINK("https://twitter.com/LoveYourStayUK","@LoveYourStayUK")</f>
        <v>@LoveYourStayUK</v>
      </c>
      <c r="C2558" s="14" t="s">
        <v>3785</v>
      </c>
      <c r="D2558" s="15" t="s">
        <v>3786</v>
      </c>
      <c r="E2558" s="16" t="str">
        <f t="shared" ref="E2558:E2568" si="112">HYPERLINK("https://www.hootsuite.com","Hootsuite Inc.")</f>
        <v>Hootsuite Inc.</v>
      </c>
      <c r="F2558" s="12">
        <v>40677.589733796296</v>
      </c>
      <c r="G2558" s="17" t="s">
        <v>171</v>
      </c>
      <c r="H2558" s="35" t="s">
        <v>3787</v>
      </c>
      <c r="I2558" s="18" t="s">
        <v>3788</v>
      </c>
    </row>
    <row r="2559" spans="1:9" s="31" customFormat="1" ht="105">
      <c r="A2559" s="19">
        <v>43551.062893518523</v>
      </c>
      <c r="B2559" s="20" t="str">
        <f t="shared" ref="B2559:B2568" si="113">HYPERLINK("https://twitter.com/surveyorshouse","@surveyorshouse")</f>
        <v>@surveyorshouse</v>
      </c>
      <c r="C2559" s="21" t="s">
        <v>1398</v>
      </c>
      <c r="D2559" s="22" t="s">
        <v>7450</v>
      </c>
      <c r="E2559" s="23" t="str">
        <f t="shared" si="112"/>
        <v>Hootsuite Inc.</v>
      </c>
      <c r="F2559" s="19">
        <v>43125.260752314818</v>
      </c>
      <c r="G2559" s="17" t="s">
        <v>171</v>
      </c>
      <c r="H2559" s="35" t="s">
        <v>1400</v>
      </c>
      <c r="I2559" s="25" t="s">
        <v>1401</v>
      </c>
    </row>
    <row r="2560" spans="1:9" s="31" customFormat="1" ht="105">
      <c r="A2560" s="19">
        <v>43548.146087962959</v>
      </c>
      <c r="B2560" s="20" t="str">
        <f t="shared" si="113"/>
        <v>@surveyorshouse</v>
      </c>
      <c r="C2560" s="21" t="s">
        <v>1398</v>
      </c>
      <c r="D2560" s="22" t="s">
        <v>7450</v>
      </c>
      <c r="E2560" s="23" t="str">
        <f t="shared" si="112"/>
        <v>Hootsuite Inc.</v>
      </c>
      <c r="F2560" s="19">
        <v>43125.260752314818</v>
      </c>
      <c r="G2560" s="17" t="s">
        <v>171</v>
      </c>
      <c r="H2560" s="35" t="s">
        <v>1400</v>
      </c>
      <c r="I2560" s="25" t="s">
        <v>1401</v>
      </c>
    </row>
    <row r="2561" spans="1:9" s="31" customFormat="1" ht="105">
      <c r="A2561" s="19">
        <v>43544.062835648147</v>
      </c>
      <c r="B2561" s="20" t="str">
        <f t="shared" si="113"/>
        <v>@surveyorshouse</v>
      </c>
      <c r="C2561" s="21" t="s">
        <v>1398</v>
      </c>
      <c r="D2561" s="22" t="s">
        <v>7450</v>
      </c>
      <c r="E2561" s="23" t="str">
        <f t="shared" si="112"/>
        <v>Hootsuite Inc.</v>
      </c>
      <c r="F2561" s="19">
        <v>43125.260752314818</v>
      </c>
      <c r="G2561" s="17" t="s">
        <v>171</v>
      </c>
      <c r="H2561" s="35" t="s">
        <v>1400</v>
      </c>
      <c r="I2561" s="25" t="s">
        <v>1401</v>
      </c>
    </row>
    <row r="2562" spans="1:9" s="31" customFormat="1" ht="90">
      <c r="A2562" s="4">
        <v>43564.104537037041</v>
      </c>
      <c r="B2562" s="5" t="str">
        <f t="shared" si="113"/>
        <v>@surveyorshouse</v>
      </c>
      <c r="C2562" s="6" t="s">
        <v>1398</v>
      </c>
      <c r="D2562" s="7" t="s">
        <v>1399</v>
      </c>
      <c r="E2562" s="8" t="str">
        <f t="shared" si="112"/>
        <v>Hootsuite Inc.</v>
      </c>
      <c r="F2562" s="4">
        <v>43125.260752314818</v>
      </c>
      <c r="G2562" s="17" t="s">
        <v>171</v>
      </c>
      <c r="H2562" s="35" t="s">
        <v>1400</v>
      </c>
      <c r="I2562" s="10" t="s">
        <v>1401</v>
      </c>
    </row>
    <row r="2563" spans="1:9" s="31" customFormat="1" ht="90">
      <c r="A2563" s="4">
        <v>43560.354814814811</v>
      </c>
      <c r="B2563" s="5" t="str">
        <f t="shared" si="113"/>
        <v>@surveyorshouse</v>
      </c>
      <c r="C2563" s="6" t="s">
        <v>1398</v>
      </c>
      <c r="D2563" s="7" t="s">
        <v>1399</v>
      </c>
      <c r="E2563" s="8" t="str">
        <f t="shared" si="112"/>
        <v>Hootsuite Inc.</v>
      </c>
      <c r="F2563" s="4">
        <v>43125.260752314818</v>
      </c>
      <c r="G2563" s="17" t="s">
        <v>171</v>
      </c>
      <c r="H2563" s="35" t="s">
        <v>1400</v>
      </c>
      <c r="I2563" s="10" t="s">
        <v>1401</v>
      </c>
    </row>
    <row r="2564" spans="1:9" s="31" customFormat="1" ht="90">
      <c r="A2564" s="12">
        <v>43578.104537037041</v>
      </c>
      <c r="B2564" s="13" t="str">
        <f t="shared" si="113"/>
        <v>@surveyorshouse</v>
      </c>
      <c r="C2564" s="14" t="s">
        <v>1398</v>
      </c>
      <c r="D2564" s="15" t="s">
        <v>1399</v>
      </c>
      <c r="E2564" s="16" t="str">
        <f t="shared" si="112"/>
        <v>Hootsuite Inc.</v>
      </c>
      <c r="F2564" s="12">
        <v>43125.260752314818</v>
      </c>
      <c r="G2564" s="17" t="s">
        <v>171</v>
      </c>
      <c r="H2564" s="35" t="s">
        <v>1400</v>
      </c>
      <c r="I2564" s="18" t="s">
        <v>1401</v>
      </c>
    </row>
    <row r="2565" spans="1:9" s="31" customFormat="1" ht="90">
      <c r="A2565" s="12">
        <v>43574.354803240742</v>
      </c>
      <c r="B2565" s="13" t="str">
        <f t="shared" si="113"/>
        <v>@surveyorshouse</v>
      </c>
      <c r="C2565" s="14" t="s">
        <v>1398</v>
      </c>
      <c r="D2565" s="15" t="s">
        <v>1399</v>
      </c>
      <c r="E2565" s="16" t="str">
        <f t="shared" si="112"/>
        <v>Hootsuite Inc.</v>
      </c>
      <c r="F2565" s="12">
        <v>43125.260752314818</v>
      </c>
      <c r="G2565" s="17" t="s">
        <v>171</v>
      </c>
      <c r="H2565" s="35" t="s">
        <v>1400</v>
      </c>
      <c r="I2565" s="18" t="s">
        <v>1401</v>
      </c>
    </row>
    <row r="2566" spans="1:9" s="31" customFormat="1" ht="90">
      <c r="A2566" s="12">
        <v>43570.104502314818</v>
      </c>
      <c r="B2566" s="13" t="str">
        <f t="shared" si="113"/>
        <v>@surveyorshouse</v>
      </c>
      <c r="C2566" s="14" t="s">
        <v>1398</v>
      </c>
      <c r="D2566" s="15" t="s">
        <v>1399</v>
      </c>
      <c r="E2566" s="16" t="str">
        <f t="shared" si="112"/>
        <v>Hootsuite Inc.</v>
      </c>
      <c r="F2566" s="12">
        <v>43125.260752314818</v>
      </c>
      <c r="G2566" s="17" t="s">
        <v>171</v>
      </c>
      <c r="H2566" s="35" t="s">
        <v>1400</v>
      </c>
      <c r="I2566" s="18" t="s">
        <v>1401</v>
      </c>
    </row>
    <row r="2567" spans="1:9" s="31" customFormat="1" ht="105">
      <c r="A2567" s="12">
        <v>43569.146111111113</v>
      </c>
      <c r="B2567" s="13" t="str">
        <f t="shared" si="113"/>
        <v>@surveyorshouse</v>
      </c>
      <c r="C2567" s="14" t="s">
        <v>1398</v>
      </c>
      <c r="D2567" s="15" t="s">
        <v>4593</v>
      </c>
      <c r="E2567" s="16" t="str">
        <f t="shared" si="112"/>
        <v>Hootsuite Inc.</v>
      </c>
      <c r="F2567" s="12">
        <v>43125.260752314818</v>
      </c>
      <c r="G2567" s="17" t="s">
        <v>171</v>
      </c>
      <c r="H2567" s="35" t="s">
        <v>1400</v>
      </c>
      <c r="I2567" s="18" t="s">
        <v>1401</v>
      </c>
    </row>
    <row r="2568" spans="1:9" s="31" customFormat="1" ht="90">
      <c r="A2568" s="12">
        <v>43567.354872685188</v>
      </c>
      <c r="B2568" s="13" t="str">
        <f t="shared" si="113"/>
        <v>@surveyorshouse</v>
      </c>
      <c r="C2568" s="14" t="s">
        <v>1398</v>
      </c>
      <c r="D2568" s="15" t="s">
        <v>1399</v>
      </c>
      <c r="E2568" s="16" t="str">
        <f t="shared" si="112"/>
        <v>Hootsuite Inc.</v>
      </c>
      <c r="F2568" s="12">
        <v>43125.260752314818</v>
      </c>
      <c r="G2568" s="17" t="s">
        <v>171</v>
      </c>
      <c r="H2568" s="35" t="s">
        <v>1400</v>
      </c>
      <c r="I2568" s="18" t="s">
        <v>1401</v>
      </c>
    </row>
    <row r="2569" spans="1:9" s="31" customFormat="1" ht="120">
      <c r="A2569" s="4">
        <v>43559.037048611106</v>
      </c>
      <c r="B2569" s="5" t="str">
        <f>HYPERLINK("https://twitter.com/ExperiencetheC1","@ExperiencetheC1")</f>
        <v>@ExperiencetheC1</v>
      </c>
      <c r="C2569" s="6" t="s">
        <v>11962</v>
      </c>
      <c r="D2569" s="7" t="s">
        <v>11963</v>
      </c>
      <c r="E2569" s="8" t="str">
        <f>HYPERLINK("http://twitter.com/download/iphone","Twitter for iPhone")</f>
        <v>Twitter for iPhone</v>
      </c>
      <c r="F2569" s="4">
        <v>43534.237534722226</v>
      </c>
      <c r="G2569" s="9" t="s">
        <v>171</v>
      </c>
      <c r="H2569" s="35" t="s">
        <v>11964</v>
      </c>
      <c r="I2569" s="10" t="s">
        <v>11965</v>
      </c>
    </row>
    <row r="2570" spans="1:9" s="31" customFormat="1" ht="45">
      <c r="A2570" s="19">
        <v>43547.203668981485</v>
      </c>
      <c r="B2570" s="20" t="str">
        <f>HYPERLINK("https://twitter.com/ejdn","@ejdn")</f>
        <v>@ejdn</v>
      </c>
      <c r="C2570" s="21" t="s">
        <v>8635</v>
      </c>
      <c r="D2570" s="22" t="s">
        <v>8636</v>
      </c>
      <c r="E2570" s="23" t="str">
        <f>HYPERLINK("https://missinglettr.com","Missinglettr")</f>
        <v>Missinglettr</v>
      </c>
      <c r="F2570" s="19">
        <v>39855.891724537039</v>
      </c>
      <c r="G2570" s="17" t="s">
        <v>171</v>
      </c>
      <c r="H2570" s="35" t="s">
        <v>4314</v>
      </c>
      <c r="I2570" s="25" t="s">
        <v>8637</v>
      </c>
    </row>
    <row r="2571" spans="1:9" s="31" customFormat="1" ht="30">
      <c r="A2571" s="12">
        <v>43570.167013888888</v>
      </c>
      <c r="B2571" s="13" t="str">
        <f>HYPERLINK("https://twitter.com/MyBeauDes","@MyBeauDes")</f>
        <v>@MyBeauDes</v>
      </c>
      <c r="C2571" s="14" t="s">
        <v>4312</v>
      </c>
      <c r="D2571" s="15" t="s">
        <v>4313</v>
      </c>
      <c r="E2571" s="16" t="str">
        <f>HYPERLINK("https://buffer.com","Buffer")</f>
        <v>Buffer</v>
      </c>
      <c r="F2571" s="12">
        <v>42628.014999999999</v>
      </c>
      <c r="G2571" s="17" t="s">
        <v>171</v>
      </c>
      <c r="H2571" s="35" t="s">
        <v>4314</v>
      </c>
      <c r="I2571" s="18" t="s">
        <v>4315</v>
      </c>
    </row>
    <row r="2572" spans="1:9" s="31" customFormat="1" ht="120">
      <c r="A2572" s="4">
        <v>43561.767766203702</v>
      </c>
      <c r="B2572" s="5" t="str">
        <f>HYPERLINK("https://twitter.com/IainFitzgerald","@IainFitzgerald")</f>
        <v>@IainFitzgerald</v>
      </c>
      <c r="C2572" s="6" t="s">
        <v>10838</v>
      </c>
      <c r="D2572" s="7" t="s">
        <v>10839</v>
      </c>
      <c r="E2572" s="8" t="str">
        <f>HYPERLINK("https://mobile.twitter.com","Twitter Web App")</f>
        <v>Twitter Web App</v>
      </c>
      <c r="F2572" s="4">
        <v>43545.683564814812</v>
      </c>
      <c r="G2572" s="9" t="s">
        <v>171</v>
      </c>
      <c r="H2572" s="35" t="s">
        <v>10840</v>
      </c>
      <c r="I2572" s="10" t="s">
        <v>10841</v>
      </c>
    </row>
    <row r="2573" spans="1:9" s="31" customFormat="1" ht="75">
      <c r="A2573" s="12">
        <v>43574.478020833332</v>
      </c>
      <c r="B2573" s="13" t="str">
        <f>HYPERLINK("https://twitter.com/elenischool","@elenischool")</f>
        <v>@elenischool</v>
      </c>
      <c r="C2573" s="14" t="s">
        <v>2533</v>
      </c>
      <c r="D2573" s="15" t="s">
        <v>2534</v>
      </c>
      <c r="E2573" s="16" t="str">
        <f>HYPERLINK("http://twitter.com","Twitter Web Client")</f>
        <v>Twitter Web Client</v>
      </c>
      <c r="F2573" s="12">
        <v>40376.59611111111</v>
      </c>
      <c r="G2573" s="17" t="s">
        <v>171</v>
      </c>
      <c r="H2573" s="35" t="s">
        <v>2535</v>
      </c>
      <c r="I2573" s="18" t="s">
        <v>2536</v>
      </c>
    </row>
    <row r="2574" spans="1:9" s="31" customFormat="1" ht="105">
      <c r="A2574" s="19">
        <v>43551.500868055555</v>
      </c>
      <c r="B2574" s="20" t="str">
        <f>HYPERLINK("https://twitter.com/LaFlorida303","@LaFlorida303")</f>
        <v>@LaFlorida303</v>
      </c>
      <c r="C2574" s="21" t="s">
        <v>7148</v>
      </c>
      <c r="D2574" s="22" t="s">
        <v>7149</v>
      </c>
      <c r="E2574" s="23" t="str">
        <f>HYPERLINK("https://ifttt.com","IFTTT")</f>
        <v>IFTTT</v>
      </c>
      <c r="F2574" s="19">
        <v>43479.652245370366</v>
      </c>
      <c r="G2574" s="24" t="s">
        <v>171</v>
      </c>
      <c r="H2574" s="35" t="s">
        <v>7150</v>
      </c>
      <c r="I2574" s="25" t="s">
        <v>7151</v>
      </c>
    </row>
    <row r="2575" spans="1:9" s="31" customFormat="1" ht="75">
      <c r="A2575" s="12">
        <v>43565.91920138889</v>
      </c>
      <c r="B2575" s="13" t="str">
        <f>HYPERLINK("https://twitter.com/ArcandaVilla","@ArcandaVilla")</f>
        <v>@ArcandaVilla</v>
      </c>
      <c r="C2575" s="14" t="s">
        <v>5860</v>
      </c>
      <c r="D2575" s="15" t="s">
        <v>5861</v>
      </c>
      <c r="E2575" s="16" t="str">
        <f>HYPERLINK("http://instagram.com","Instagram")</f>
        <v>Instagram</v>
      </c>
      <c r="F2575" s="12">
        <v>43175.236956018518</v>
      </c>
      <c r="G2575" s="17" t="s">
        <v>171</v>
      </c>
      <c r="H2575" s="35" t="s">
        <v>5862</v>
      </c>
      <c r="I2575" s="18" t="s">
        <v>5863</v>
      </c>
    </row>
    <row r="2576" spans="1:9" s="31" customFormat="1" ht="75">
      <c r="A2576" s="4">
        <v>43564.502627314811</v>
      </c>
      <c r="B2576" s="5" t="str">
        <f>HYPERLINK("https://twitter.com/PAUSEtomelilla","@PAUSEtomelilla")</f>
        <v>@PAUSEtomelilla</v>
      </c>
      <c r="C2576" s="6" t="s">
        <v>1754</v>
      </c>
      <c r="D2576" s="7" t="s">
        <v>6571</v>
      </c>
      <c r="E2576" s="8" t="str">
        <f>HYPERLINK("http://instagram.com","Instagram")</f>
        <v>Instagram</v>
      </c>
      <c r="F2576" s="4">
        <v>42175.185543981483</v>
      </c>
      <c r="G2576" s="17" t="s">
        <v>171</v>
      </c>
      <c r="H2576" s="35" t="s">
        <v>1756</v>
      </c>
      <c r="I2576" s="10" t="s">
        <v>1757</v>
      </c>
    </row>
    <row r="2577" spans="1:9" s="31" customFormat="1" ht="75">
      <c r="A2577" s="4">
        <v>43557.486215277779</v>
      </c>
      <c r="B2577" s="5" t="str">
        <f>HYPERLINK("https://twitter.com/PAUSEtomelilla","@PAUSEtomelilla")</f>
        <v>@PAUSEtomelilla</v>
      </c>
      <c r="C2577" s="6" t="s">
        <v>1754</v>
      </c>
      <c r="D2577" s="7" t="s">
        <v>12502</v>
      </c>
      <c r="E2577" s="8" t="str">
        <f>HYPERLINK("http://instagram.com","Instagram")</f>
        <v>Instagram</v>
      </c>
      <c r="F2577" s="4">
        <v>42175.185543981483</v>
      </c>
      <c r="G2577" s="17" t="s">
        <v>171</v>
      </c>
      <c r="H2577" s="35" t="s">
        <v>1756</v>
      </c>
      <c r="I2577" s="10" t="s">
        <v>1757</v>
      </c>
    </row>
    <row r="2578" spans="1:9" s="31" customFormat="1" ht="75">
      <c r="A2578" s="12">
        <v>43577.104502314818</v>
      </c>
      <c r="B2578" s="13" t="str">
        <f>HYPERLINK("https://twitter.com/PAUSEtomelilla","@PAUSEtomelilla")</f>
        <v>@PAUSEtomelilla</v>
      </c>
      <c r="C2578" s="14" t="s">
        <v>1754</v>
      </c>
      <c r="D2578" s="15" t="s">
        <v>1755</v>
      </c>
      <c r="E2578" s="16" t="str">
        <f>HYPERLINK("http://instagram.com","Instagram")</f>
        <v>Instagram</v>
      </c>
      <c r="F2578" s="12">
        <v>42175.185543981483</v>
      </c>
      <c r="G2578" s="17" t="s">
        <v>171</v>
      </c>
      <c r="H2578" s="35" t="s">
        <v>1756</v>
      </c>
      <c r="I2578" s="18" t="s">
        <v>1757</v>
      </c>
    </row>
    <row r="2579" spans="1:9" s="31" customFormat="1" ht="75">
      <c r="A2579" s="12">
        <v>43574.413194444445</v>
      </c>
      <c r="B2579" s="13" t="str">
        <f>HYPERLINK("https://twitter.com/PAUSEtomelilla","@PAUSEtomelilla")</f>
        <v>@PAUSEtomelilla</v>
      </c>
      <c r="C2579" s="14" t="s">
        <v>1754</v>
      </c>
      <c r="D2579" s="15" t="s">
        <v>2559</v>
      </c>
      <c r="E2579" s="16" t="str">
        <f>HYPERLINK("http://instagram.com","Instagram")</f>
        <v>Instagram</v>
      </c>
      <c r="F2579" s="12">
        <v>42175.185543981483</v>
      </c>
      <c r="G2579" s="17" t="s">
        <v>171</v>
      </c>
      <c r="H2579" s="35" t="s">
        <v>1756</v>
      </c>
      <c r="I2579" s="18" t="s">
        <v>1757</v>
      </c>
    </row>
    <row r="2580" spans="1:9" s="31" customFormat="1" ht="105">
      <c r="A2580" s="12">
        <v>43570.327604166669</v>
      </c>
      <c r="B2580" s="13" t="str">
        <f>HYPERLINK("https://twitter.com/DecreaseCleani1","@DecreaseCleani1")</f>
        <v>@DecreaseCleani1</v>
      </c>
      <c r="C2580" s="14" t="s">
        <v>4223</v>
      </c>
      <c r="D2580" s="15" t="s">
        <v>4224</v>
      </c>
      <c r="E2580" s="16" t="str">
        <f>HYPERLINK("http://twitter.com/download/android","Twitter for Android")</f>
        <v>Twitter for Android</v>
      </c>
      <c r="F2580" s="12">
        <v>43538.365173611106</v>
      </c>
      <c r="G2580" s="17" t="s">
        <v>171</v>
      </c>
      <c r="H2580" s="35" t="s">
        <v>4225</v>
      </c>
      <c r="I2580" s="18" t="s">
        <v>4226</v>
      </c>
    </row>
    <row r="2581" spans="1:9" s="31" customFormat="1" ht="45">
      <c r="A2581" s="19">
        <v>43545.208425925928</v>
      </c>
      <c r="B2581" s="20" t="str">
        <f>HYPERLINK("https://twitter.com/faroesenews","@faroesenews")</f>
        <v>@faroesenews</v>
      </c>
      <c r="C2581" s="21" t="s">
        <v>9248</v>
      </c>
      <c r="D2581" s="22" t="s">
        <v>9249</v>
      </c>
      <c r="E2581" s="23" t="str">
        <f>HYPERLINK("http://twitter.com","Twitter Web Client")</f>
        <v>Twitter Web Client</v>
      </c>
      <c r="F2581" s="19">
        <v>42180.629074074073</v>
      </c>
      <c r="G2581" s="24" t="s">
        <v>171</v>
      </c>
      <c r="H2581" s="35" t="s">
        <v>9250</v>
      </c>
      <c r="I2581" s="25" t="s">
        <v>9251</v>
      </c>
    </row>
    <row r="2582" spans="1:9" s="31" customFormat="1" ht="180">
      <c r="A2582" s="19">
        <v>43548.551747685182</v>
      </c>
      <c r="B2582" s="20" t="str">
        <f>HYPERLINK("https://twitter.com/MyriamWardei","@MyriamWardei")</f>
        <v>@MyriamWardei</v>
      </c>
      <c r="C2582" s="21" t="s">
        <v>8279</v>
      </c>
      <c r="D2582" s="22" t="s">
        <v>8280</v>
      </c>
      <c r="E2582" s="23" t="str">
        <f>HYPERLINK("http://twitter.com/download/android","Twitter for Android")</f>
        <v>Twitter for Android</v>
      </c>
      <c r="F2582" s="19">
        <v>40324.812743055554</v>
      </c>
      <c r="G2582" s="24" t="s">
        <v>171</v>
      </c>
      <c r="H2582" s="35" t="s">
        <v>8281</v>
      </c>
      <c r="I2582" s="25" t="s">
        <v>8282</v>
      </c>
    </row>
    <row r="2583" spans="1:9" s="31" customFormat="1" ht="90">
      <c r="A2583" s="12">
        <v>43570.060081018513</v>
      </c>
      <c r="B2583" s="13" t="str">
        <f>HYPERLINK("https://twitter.com/borgodelgallo","@borgodelgallo")</f>
        <v>@borgodelgallo</v>
      </c>
      <c r="C2583" s="14" t="s">
        <v>4349</v>
      </c>
      <c r="D2583" s="15" t="s">
        <v>4350</v>
      </c>
      <c r="E2583" s="16" t="str">
        <f>HYPERLINK("http://twitter.com/download/android","Twitter for Android")</f>
        <v>Twitter for Android</v>
      </c>
      <c r="F2583" s="12">
        <v>42149.32068287037</v>
      </c>
      <c r="G2583" s="17" t="s">
        <v>171</v>
      </c>
      <c r="H2583" s="35" t="s">
        <v>4351</v>
      </c>
      <c r="I2583" s="18" t="s">
        <v>4352</v>
      </c>
    </row>
    <row r="2584" spans="1:9" s="31" customFormat="1" ht="45">
      <c r="A2584" s="12">
        <v>43566.121898148151</v>
      </c>
      <c r="B2584" s="13" t="str">
        <f>HYPERLINK("https://twitter.com/borgodelgallo","@borgodelgallo")</f>
        <v>@borgodelgallo</v>
      </c>
      <c r="C2584" s="14" t="s">
        <v>4349</v>
      </c>
      <c r="D2584" s="15" t="s">
        <v>5777</v>
      </c>
      <c r="E2584" s="16" t="str">
        <f>HYPERLINK("http://twitter.com/download/android","Twitter for Android")</f>
        <v>Twitter for Android</v>
      </c>
      <c r="F2584" s="12">
        <v>42149.32068287037</v>
      </c>
      <c r="G2584" s="17" t="s">
        <v>171</v>
      </c>
      <c r="H2584" s="35" t="s">
        <v>4351</v>
      </c>
      <c r="I2584" s="18" t="s">
        <v>4352</v>
      </c>
    </row>
    <row r="2585" spans="1:9" s="31" customFormat="1" ht="45">
      <c r="A2585" s="12">
        <v>43565.452025462961</v>
      </c>
      <c r="B2585" s="13" t="str">
        <f>HYPERLINK("https://twitter.com/Lance63","@Lance63")</f>
        <v>@Lance63</v>
      </c>
      <c r="C2585" s="14" t="s">
        <v>6080</v>
      </c>
      <c r="D2585" s="15" t="s">
        <v>6081</v>
      </c>
      <c r="E2585" s="16" t="str">
        <f>HYPERLINK("http://twitter.com/download/android","Twitter for Android")</f>
        <v>Twitter for Android</v>
      </c>
      <c r="F2585" s="12">
        <v>39926.47819444444</v>
      </c>
      <c r="G2585" s="17" t="s">
        <v>171</v>
      </c>
      <c r="H2585" s="35" t="s">
        <v>6082</v>
      </c>
      <c r="I2585" s="18" t="s">
        <v>6083</v>
      </c>
    </row>
    <row r="2586" spans="1:9" s="31" customFormat="1" ht="45">
      <c r="A2586" s="19">
        <v>43548.024618055555</v>
      </c>
      <c r="B2586" s="20" t="str">
        <f>HYPERLINK("https://twitter.com/katesfxmakeup","@katesfxmakeup")</f>
        <v>@katesfxmakeup</v>
      </c>
      <c r="C2586" s="21" t="s">
        <v>8425</v>
      </c>
      <c r="D2586" s="22" t="s">
        <v>8426</v>
      </c>
      <c r="E2586" s="23" t="str">
        <f>HYPERLINK("http://twitter.com/download/android","Twitter for Android")</f>
        <v>Twitter for Android</v>
      </c>
      <c r="F2586" s="19">
        <v>39997.041574074072</v>
      </c>
      <c r="G2586" s="9" t="s">
        <v>171</v>
      </c>
      <c r="H2586" s="35" t="s">
        <v>8427</v>
      </c>
      <c r="I2586" s="25" t="s">
        <v>8428</v>
      </c>
    </row>
    <row r="2587" spans="1:9" s="31" customFormat="1" ht="30">
      <c r="A2587" s="4">
        <v>43561.783483796295</v>
      </c>
      <c r="B2587" s="5" t="str">
        <f>HYPERLINK("https://twitter.com/universenews35","@universenews35")</f>
        <v>@universenews35</v>
      </c>
      <c r="C2587" s="6" t="s">
        <v>10834</v>
      </c>
      <c r="D2587" s="7" t="s">
        <v>10835</v>
      </c>
      <c r="E2587" s="8" t="str">
        <f>HYPERLINK("http://www.universenews.site/","universenews")</f>
        <v>universenews</v>
      </c>
      <c r="F2587" s="4">
        <v>41421.100902777776</v>
      </c>
      <c r="G2587" s="9" t="s">
        <v>171</v>
      </c>
      <c r="H2587" s="35" t="s">
        <v>10836</v>
      </c>
      <c r="I2587" s="10" t="s">
        <v>10837</v>
      </c>
    </row>
    <row r="2588" spans="1:9" s="31" customFormat="1" ht="45">
      <c r="A2588" s="4">
        <v>43560.79996527778</v>
      </c>
      <c r="B2588" s="5" t="str">
        <f>HYPERLINK("https://twitter.com/universenews35","@universenews35")</f>
        <v>@universenews35</v>
      </c>
      <c r="C2588" s="6" t="s">
        <v>10834</v>
      </c>
      <c r="D2588" s="7" t="s">
        <v>11158</v>
      </c>
      <c r="E2588" s="8" t="str">
        <f>HYPERLINK("http://www.universenews.site/","universenews")</f>
        <v>universenews</v>
      </c>
      <c r="F2588" s="4">
        <v>41421.100902777776</v>
      </c>
      <c r="G2588" s="9" t="s">
        <v>171</v>
      </c>
      <c r="H2588" s="35" t="s">
        <v>10836</v>
      </c>
      <c r="I2588" s="10" t="s">
        <v>10837</v>
      </c>
    </row>
    <row r="2589" spans="1:9" s="31" customFormat="1" ht="45">
      <c r="A2589" s="4">
        <v>43560.247847222221</v>
      </c>
      <c r="B2589" s="5" t="str">
        <f>HYPERLINK("https://twitter.com/universenews35","@universenews35")</f>
        <v>@universenews35</v>
      </c>
      <c r="C2589" s="6" t="s">
        <v>10834</v>
      </c>
      <c r="D2589" s="7" t="s">
        <v>11536</v>
      </c>
      <c r="E2589" s="8" t="str">
        <f>HYPERLINK("http://www.universenews.site/","universenews")</f>
        <v>universenews</v>
      </c>
      <c r="F2589" s="4">
        <v>41421.100902777776</v>
      </c>
      <c r="G2589" s="9" t="s">
        <v>171</v>
      </c>
      <c r="H2589" s="35" t="s">
        <v>10836</v>
      </c>
      <c r="I2589" s="10" t="s">
        <v>10837</v>
      </c>
    </row>
    <row r="2590" spans="1:9" s="31" customFormat="1" ht="45">
      <c r="A2590" s="19">
        <v>43547.217546296291</v>
      </c>
      <c r="B2590" s="20" t="str">
        <f>HYPERLINK("https://twitter.com/lynnchapman4","@lynnchapman4")</f>
        <v>@lynnchapman4</v>
      </c>
      <c r="C2590" s="21" t="s">
        <v>8625</v>
      </c>
      <c r="D2590" s="22" t="s">
        <v>8626</v>
      </c>
      <c r="E2590" s="23" t="str">
        <f>HYPERLINK("http://twitter.com/download/android","Twitter for Android")</f>
        <v>Twitter for Android</v>
      </c>
      <c r="F2590" s="19">
        <v>40800.420555555553</v>
      </c>
      <c r="G2590" s="24" t="s">
        <v>171</v>
      </c>
      <c r="H2590" s="35" t="s">
        <v>8627</v>
      </c>
      <c r="I2590" s="25" t="s">
        <v>8628</v>
      </c>
    </row>
    <row r="2591" spans="1:9" s="31" customFormat="1" ht="75">
      <c r="A2591" s="19">
        <v>43551.28534722222</v>
      </c>
      <c r="B2591" s="20" t="str">
        <f>HYPERLINK("https://twitter.com/eduardoruales","@eduardoruales")</f>
        <v>@eduardoruales</v>
      </c>
      <c r="C2591" s="21" t="s">
        <v>7351</v>
      </c>
      <c r="D2591" s="22" t="s">
        <v>7352</v>
      </c>
      <c r="E2591" s="23" t="str">
        <f>HYPERLINK("http://twitter.com/download/iphone","Twitter for iPhone")</f>
        <v>Twitter for iPhone</v>
      </c>
      <c r="F2591" s="19">
        <v>40414.791886574072</v>
      </c>
      <c r="G2591" s="9" t="s">
        <v>171</v>
      </c>
      <c r="H2591" s="35" t="s">
        <v>7353</v>
      </c>
      <c r="I2591" s="25" t="s">
        <v>7354</v>
      </c>
    </row>
    <row r="2592" spans="1:9" s="31" customFormat="1" ht="60">
      <c r="A2592" s="19">
        <v>43551.166087962964</v>
      </c>
      <c r="B2592" s="20" t="str">
        <f>HYPERLINK("https://twitter.com/AC_Banchory","@AC_Banchory")</f>
        <v>@AC_Banchory</v>
      </c>
      <c r="C2592" s="21" t="s">
        <v>7407</v>
      </c>
      <c r="D2592" s="22" t="s">
        <v>12888</v>
      </c>
      <c r="E2592" s="23" t="str">
        <f>HYPERLINK("http://twitter.com","Twitter Web Client")</f>
        <v>Twitter Web Client</v>
      </c>
      <c r="F2592" s="19">
        <v>41813.07576388889</v>
      </c>
      <c r="G2592" s="9" t="s">
        <v>171</v>
      </c>
      <c r="H2592" s="35" t="s">
        <v>7408</v>
      </c>
      <c r="I2592" s="25" t="s">
        <v>12889</v>
      </c>
    </row>
    <row r="2593" spans="1:9" s="31" customFormat="1" ht="150">
      <c r="A2593" s="12">
        <v>43577.627037037033</v>
      </c>
      <c r="B2593" s="13" t="str">
        <f>HYPERLINK("https://twitter.com/oculusaye","@oculusaye")</f>
        <v>@oculusaye</v>
      </c>
      <c r="C2593" s="14" t="s">
        <v>1538</v>
      </c>
      <c r="D2593" s="15" t="s">
        <v>12800</v>
      </c>
      <c r="E2593" s="16" t="str">
        <f>HYPERLINK("http://twitter.com","Twitter Web Client")</f>
        <v>Twitter Web Client</v>
      </c>
      <c r="F2593" s="12">
        <v>42108.691099537042</v>
      </c>
      <c r="G2593" s="9" t="s">
        <v>171</v>
      </c>
      <c r="H2593" s="35" t="s">
        <v>12801</v>
      </c>
      <c r="I2593" s="18" t="s">
        <v>12802</v>
      </c>
    </row>
    <row r="2594" spans="1:9" s="31" customFormat="1" ht="105">
      <c r="A2594" s="19">
        <v>43549.142523148148</v>
      </c>
      <c r="B2594" s="20" t="str">
        <f t="shared" ref="B2594:B2614" si="114">HYPERLINK("https://twitter.com/AmberandColtd","@AmberandColtd")</f>
        <v>@AmberandColtd</v>
      </c>
      <c r="C2594" s="21" t="s">
        <v>1402</v>
      </c>
      <c r="D2594" s="22" t="s">
        <v>12830</v>
      </c>
      <c r="E2594" s="23" t="str">
        <f>HYPERLINK("http://twitter.com","Twitter Web Client")</f>
        <v>Twitter Web Client</v>
      </c>
      <c r="F2594" s="19">
        <v>41080.311620370368</v>
      </c>
      <c r="G2594" s="9" t="s">
        <v>171</v>
      </c>
      <c r="H2594" s="35" t="s">
        <v>1403</v>
      </c>
      <c r="I2594" s="25" t="s">
        <v>1404</v>
      </c>
    </row>
    <row r="2595" spans="1:9" s="31" customFormat="1" ht="120">
      <c r="A2595" s="4">
        <v>43565.105682870373</v>
      </c>
      <c r="B2595" s="5" t="str">
        <f t="shared" si="114"/>
        <v>@AmberandColtd</v>
      </c>
      <c r="C2595" s="6" t="s">
        <v>1402</v>
      </c>
      <c r="D2595" s="7" t="s">
        <v>12831</v>
      </c>
      <c r="E2595" s="8" t="str">
        <f>HYPERLINK("http://twitter.com","Twitter Web Client")</f>
        <v>Twitter Web Client</v>
      </c>
      <c r="F2595" s="4">
        <v>41080.311620370368</v>
      </c>
      <c r="G2595" s="9" t="s">
        <v>171</v>
      </c>
      <c r="H2595" s="35" t="s">
        <v>1403</v>
      </c>
      <c r="I2595" s="10" t="s">
        <v>1404</v>
      </c>
    </row>
    <row r="2596" spans="1:9" s="31" customFormat="1" ht="90">
      <c r="A2596" s="4">
        <v>43564.123796296291</v>
      </c>
      <c r="B2596" s="5" t="str">
        <f t="shared" si="114"/>
        <v>@AmberandColtd</v>
      </c>
      <c r="C2596" s="6" t="s">
        <v>1402</v>
      </c>
      <c r="D2596" s="7" t="s">
        <v>12832</v>
      </c>
      <c r="E2596" s="8" t="str">
        <f>HYPERLINK("http://twitter.com","Twitter Web Client")</f>
        <v>Twitter Web Client</v>
      </c>
      <c r="F2596" s="4">
        <v>41080.311620370368</v>
      </c>
      <c r="G2596" s="9" t="s">
        <v>171</v>
      </c>
      <c r="H2596" s="35" t="s">
        <v>1403</v>
      </c>
      <c r="I2596" s="10" t="s">
        <v>1404</v>
      </c>
    </row>
    <row r="2597" spans="1:9" s="31" customFormat="1" ht="105">
      <c r="A2597" s="4">
        <v>43564.071539351848</v>
      </c>
      <c r="B2597" s="5" t="str">
        <f t="shared" si="114"/>
        <v>@AmberandColtd</v>
      </c>
      <c r="C2597" s="6" t="s">
        <v>1402</v>
      </c>
      <c r="D2597" s="7" t="s">
        <v>12833</v>
      </c>
      <c r="E2597" s="8" t="str">
        <f>HYPERLINK("https://buffer.com","Buffer")</f>
        <v>Buffer</v>
      </c>
      <c r="F2597" s="4">
        <v>41080.311620370368</v>
      </c>
      <c r="G2597" s="9" t="s">
        <v>171</v>
      </c>
      <c r="H2597" s="35" t="s">
        <v>1403</v>
      </c>
      <c r="I2597" s="10" t="s">
        <v>1404</v>
      </c>
    </row>
    <row r="2598" spans="1:9" s="31" customFormat="1" ht="90">
      <c r="A2598" s="4">
        <v>43563.277581018519</v>
      </c>
      <c r="B2598" s="5" t="str">
        <f t="shared" si="114"/>
        <v>@AmberandColtd</v>
      </c>
      <c r="C2598" s="6" t="s">
        <v>1402</v>
      </c>
      <c r="D2598" s="7" t="s">
        <v>12834</v>
      </c>
      <c r="E2598" s="8" t="str">
        <f>HYPERLINK("http://twitter.com","Twitter Web Client")</f>
        <v>Twitter Web Client</v>
      </c>
      <c r="F2598" s="4">
        <v>41080.311620370368</v>
      </c>
      <c r="G2598" s="9" t="s">
        <v>171</v>
      </c>
      <c r="H2598" s="35" t="s">
        <v>1403</v>
      </c>
      <c r="I2598" s="10" t="s">
        <v>1404</v>
      </c>
    </row>
    <row r="2599" spans="1:9" s="31" customFormat="1" ht="90">
      <c r="A2599" s="4">
        <v>43563.115532407406</v>
      </c>
      <c r="B2599" s="5" t="str">
        <f t="shared" si="114"/>
        <v>@AmberandColtd</v>
      </c>
      <c r="C2599" s="6" t="s">
        <v>1402</v>
      </c>
      <c r="D2599" s="7" t="s">
        <v>12835</v>
      </c>
      <c r="E2599" s="8" t="str">
        <f>HYPERLINK("http://twitter.com","Twitter Web Client")</f>
        <v>Twitter Web Client</v>
      </c>
      <c r="F2599" s="4">
        <v>41080.311620370368</v>
      </c>
      <c r="G2599" s="9" t="s">
        <v>171</v>
      </c>
      <c r="H2599" s="35" t="s">
        <v>1403</v>
      </c>
      <c r="I2599" s="10" t="s">
        <v>1404</v>
      </c>
    </row>
    <row r="2600" spans="1:9" s="31" customFormat="1" ht="105">
      <c r="A2600" s="4">
        <v>43561.116805555561</v>
      </c>
      <c r="B2600" s="5" t="str">
        <f t="shared" si="114"/>
        <v>@AmberandColtd</v>
      </c>
      <c r="C2600" s="6" t="s">
        <v>1402</v>
      </c>
      <c r="D2600" s="7" t="s">
        <v>12836</v>
      </c>
      <c r="E2600" s="8" t="str">
        <f>HYPERLINK("http://twitter.com","Twitter Web Client")</f>
        <v>Twitter Web Client</v>
      </c>
      <c r="F2600" s="4">
        <v>41080.311620370368</v>
      </c>
      <c r="G2600" s="9" t="s">
        <v>171</v>
      </c>
      <c r="H2600" s="35" t="s">
        <v>1403</v>
      </c>
      <c r="I2600" s="10" t="s">
        <v>1404</v>
      </c>
    </row>
    <row r="2601" spans="1:9" s="31" customFormat="1" ht="120">
      <c r="A2601" s="4">
        <v>43560.017395833333</v>
      </c>
      <c r="B2601" s="5" t="str">
        <f t="shared" si="114"/>
        <v>@AmberandColtd</v>
      </c>
      <c r="C2601" s="6" t="s">
        <v>1402</v>
      </c>
      <c r="D2601" s="7" t="s">
        <v>12837</v>
      </c>
      <c r="E2601" s="8" t="str">
        <f>HYPERLINK("https://buffer.com","Buffer")</f>
        <v>Buffer</v>
      </c>
      <c r="F2601" s="4">
        <v>41080.311620370368</v>
      </c>
      <c r="G2601" s="9" t="s">
        <v>171</v>
      </c>
      <c r="H2601" s="35" t="s">
        <v>1403</v>
      </c>
      <c r="I2601" s="10" t="s">
        <v>1404</v>
      </c>
    </row>
    <row r="2602" spans="1:9" s="31" customFormat="1" ht="105">
      <c r="A2602" s="4">
        <v>43559.150347222225</v>
      </c>
      <c r="B2602" s="5" t="str">
        <f t="shared" si="114"/>
        <v>@AmberandColtd</v>
      </c>
      <c r="C2602" s="6" t="s">
        <v>1402</v>
      </c>
      <c r="D2602" s="7" t="s">
        <v>12838</v>
      </c>
      <c r="E2602" s="8" t="str">
        <f>HYPERLINK("http://twitter.com","Twitter Web Client")</f>
        <v>Twitter Web Client</v>
      </c>
      <c r="F2602" s="4">
        <v>41080.311620370368</v>
      </c>
      <c r="G2602" s="9" t="s">
        <v>171</v>
      </c>
      <c r="H2602" s="35" t="s">
        <v>1403</v>
      </c>
      <c r="I2602" s="10" t="s">
        <v>1404</v>
      </c>
    </row>
    <row r="2603" spans="1:9" s="31" customFormat="1" ht="105">
      <c r="A2603" s="4">
        <v>43558.134479166663</v>
      </c>
      <c r="B2603" s="5" t="str">
        <f t="shared" si="114"/>
        <v>@AmberandColtd</v>
      </c>
      <c r="C2603" s="6" t="s">
        <v>1402</v>
      </c>
      <c r="D2603" s="7" t="s">
        <v>12839</v>
      </c>
      <c r="E2603" s="8" t="str">
        <f>HYPERLINK("http://twitter.com","Twitter Web Client")</f>
        <v>Twitter Web Client</v>
      </c>
      <c r="F2603" s="4">
        <v>41080.311620370368</v>
      </c>
      <c r="G2603" s="9" t="s">
        <v>171</v>
      </c>
      <c r="H2603" s="35" t="s">
        <v>1403</v>
      </c>
      <c r="I2603" s="10" t="s">
        <v>1404</v>
      </c>
    </row>
    <row r="2604" spans="1:9" s="31" customFormat="1" ht="120">
      <c r="A2604" s="4">
        <v>43558.029872685191</v>
      </c>
      <c r="B2604" s="5" t="str">
        <f t="shared" si="114"/>
        <v>@AmberandColtd</v>
      </c>
      <c r="C2604" s="6" t="s">
        <v>1402</v>
      </c>
      <c r="D2604" s="7" t="s">
        <v>12840</v>
      </c>
      <c r="E2604" s="8" t="str">
        <f>HYPERLINK("https://buffer.com","Buffer")</f>
        <v>Buffer</v>
      </c>
      <c r="F2604" s="4">
        <v>41080.311620370368</v>
      </c>
      <c r="G2604" s="9" t="s">
        <v>171</v>
      </c>
      <c r="H2604" s="35" t="s">
        <v>1403</v>
      </c>
      <c r="I2604" s="10" t="s">
        <v>1404</v>
      </c>
    </row>
    <row r="2605" spans="1:9" s="31" customFormat="1" ht="105">
      <c r="A2605" s="4">
        <v>43557.113877314812</v>
      </c>
      <c r="B2605" s="5" t="str">
        <f t="shared" si="114"/>
        <v>@AmberandColtd</v>
      </c>
      <c r="C2605" s="6" t="s">
        <v>1402</v>
      </c>
      <c r="D2605" s="7" t="s">
        <v>12841</v>
      </c>
      <c r="E2605" s="8" t="str">
        <f>HYPERLINK("https://buffer.com","Buffer")</f>
        <v>Buffer</v>
      </c>
      <c r="F2605" s="4">
        <v>41080.311620370368</v>
      </c>
      <c r="G2605" s="9" t="s">
        <v>171</v>
      </c>
      <c r="H2605" s="35" t="s">
        <v>1403</v>
      </c>
      <c r="I2605" s="10" t="s">
        <v>1404</v>
      </c>
    </row>
    <row r="2606" spans="1:9" s="31" customFormat="1" ht="120">
      <c r="A2606" s="12">
        <v>43578.103680555556</v>
      </c>
      <c r="B2606" s="13" t="str">
        <f t="shared" si="114"/>
        <v>@AmberandColtd</v>
      </c>
      <c r="C2606" s="14" t="s">
        <v>1402</v>
      </c>
      <c r="D2606" s="15" t="s">
        <v>12842</v>
      </c>
      <c r="E2606" s="16" t="str">
        <f>HYPERLINK("http://twitter.com","Twitter Web Client")</f>
        <v>Twitter Web Client</v>
      </c>
      <c r="F2606" s="12">
        <v>41080.311620370368</v>
      </c>
      <c r="G2606" s="9" t="s">
        <v>171</v>
      </c>
      <c r="H2606" s="35" t="s">
        <v>1403</v>
      </c>
      <c r="I2606" s="18" t="s">
        <v>1404</v>
      </c>
    </row>
    <row r="2607" spans="1:9" s="31" customFormat="1" ht="105">
      <c r="A2607" s="12">
        <v>43571.108611111107</v>
      </c>
      <c r="B2607" s="13" t="str">
        <f t="shared" si="114"/>
        <v>@AmberandColtd</v>
      </c>
      <c r="C2607" s="14" t="s">
        <v>1402</v>
      </c>
      <c r="D2607" s="15" t="s">
        <v>12843</v>
      </c>
      <c r="E2607" s="16" t="str">
        <f>HYPERLINK("http://twitter.com","Twitter Web Client")</f>
        <v>Twitter Web Client</v>
      </c>
      <c r="F2607" s="12">
        <v>41080.311620370368</v>
      </c>
      <c r="G2607" s="9" t="s">
        <v>171</v>
      </c>
      <c r="H2607" s="35" t="s">
        <v>1403</v>
      </c>
      <c r="I2607" s="18" t="s">
        <v>1404</v>
      </c>
    </row>
    <row r="2608" spans="1:9" s="31" customFormat="1" ht="105">
      <c r="A2608" s="12">
        <v>43570.161539351851</v>
      </c>
      <c r="B2608" s="13" t="str">
        <f t="shared" si="114"/>
        <v>@AmberandColtd</v>
      </c>
      <c r="C2608" s="14" t="s">
        <v>1402</v>
      </c>
      <c r="D2608" s="15" t="s">
        <v>12844</v>
      </c>
      <c r="E2608" s="16" t="str">
        <f>HYPERLINK("http://twitter.com","Twitter Web Client")</f>
        <v>Twitter Web Client</v>
      </c>
      <c r="F2608" s="12">
        <v>41080.311620370368</v>
      </c>
      <c r="G2608" s="9" t="s">
        <v>171</v>
      </c>
      <c r="H2608" s="35" t="s">
        <v>1403</v>
      </c>
      <c r="I2608" s="18" t="s">
        <v>1404</v>
      </c>
    </row>
    <row r="2609" spans="1:9" s="31" customFormat="1" ht="105">
      <c r="A2609" s="12">
        <v>43570.095590277779</v>
      </c>
      <c r="B2609" s="13" t="str">
        <f t="shared" si="114"/>
        <v>@AmberandColtd</v>
      </c>
      <c r="C2609" s="14" t="s">
        <v>1402</v>
      </c>
      <c r="D2609" s="15" t="s">
        <v>12845</v>
      </c>
      <c r="E2609" s="16" t="str">
        <f>HYPERLINK("http://twitter.com","Twitter Web Client")</f>
        <v>Twitter Web Client</v>
      </c>
      <c r="F2609" s="12">
        <v>41080.311620370368</v>
      </c>
      <c r="G2609" s="9" t="s">
        <v>171</v>
      </c>
      <c r="H2609" s="35" t="s">
        <v>1403</v>
      </c>
      <c r="I2609" s="18" t="s">
        <v>1404</v>
      </c>
    </row>
    <row r="2610" spans="1:9" s="31" customFormat="1" ht="105">
      <c r="A2610" s="12">
        <v>43568.003495370373</v>
      </c>
      <c r="B2610" s="13" t="str">
        <f t="shared" si="114"/>
        <v>@AmberandColtd</v>
      </c>
      <c r="C2610" s="14" t="s">
        <v>1402</v>
      </c>
      <c r="D2610" s="15" t="s">
        <v>12846</v>
      </c>
      <c r="E2610" s="16" t="str">
        <f>HYPERLINK("https://buffer.com","Buffer")</f>
        <v>Buffer</v>
      </c>
      <c r="F2610" s="12">
        <v>41080.311620370368</v>
      </c>
      <c r="G2610" s="9" t="s">
        <v>171</v>
      </c>
      <c r="H2610" s="35" t="s">
        <v>1403</v>
      </c>
      <c r="I2610" s="18" t="s">
        <v>1404</v>
      </c>
    </row>
    <row r="2611" spans="1:9" s="31" customFormat="1" ht="105">
      <c r="A2611" s="12">
        <v>43567.326284722221</v>
      </c>
      <c r="B2611" s="13" t="str">
        <f t="shared" si="114"/>
        <v>@AmberandColtd</v>
      </c>
      <c r="C2611" s="14" t="s">
        <v>1402</v>
      </c>
      <c r="D2611" s="15" t="s">
        <v>12847</v>
      </c>
      <c r="E2611" s="16" t="str">
        <f>HYPERLINK("http://twitter.com","Twitter Web Client")</f>
        <v>Twitter Web Client</v>
      </c>
      <c r="F2611" s="12">
        <v>41080.311620370368</v>
      </c>
      <c r="G2611" s="9" t="s">
        <v>171</v>
      </c>
      <c r="H2611" s="35" t="s">
        <v>1403</v>
      </c>
      <c r="I2611" s="18" t="s">
        <v>1404</v>
      </c>
    </row>
    <row r="2612" spans="1:9" s="31" customFormat="1" ht="105">
      <c r="A2612" s="12">
        <v>43567.043773148151</v>
      </c>
      <c r="B2612" s="13" t="str">
        <f t="shared" si="114"/>
        <v>@AmberandColtd</v>
      </c>
      <c r="C2612" s="14" t="s">
        <v>1402</v>
      </c>
      <c r="D2612" s="15" t="s">
        <v>12848</v>
      </c>
      <c r="E2612" s="16" t="str">
        <f>HYPERLINK("https://buffer.com","Buffer")</f>
        <v>Buffer</v>
      </c>
      <c r="F2612" s="12">
        <v>41080.311620370368</v>
      </c>
      <c r="G2612" s="9" t="s">
        <v>171</v>
      </c>
      <c r="H2612" s="35" t="s">
        <v>1403</v>
      </c>
      <c r="I2612" s="18" t="s">
        <v>1404</v>
      </c>
    </row>
    <row r="2613" spans="1:9" s="31" customFormat="1" ht="90">
      <c r="A2613" s="12">
        <v>43566.918761574074</v>
      </c>
      <c r="B2613" s="13" t="str">
        <f t="shared" si="114"/>
        <v>@AmberandColtd</v>
      </c>
      <c r="C2613" s="14" t="s">
        <v>1402</v>
      </c>
      <c r="D2613" s="15" t="s">
        <v>12849</v>
      </c>
      <c r="E2613" s="16" t="str">
        <f>HYPERLINK("https://buffer.com","Buffer")</f>
        <v>Buffer</v>
      </c>
      <c r="F2613" s="12">
        <v>41080.311620370368</v>
      </c>
      <c r="G2613" s="9" t="s">
        <v>171</v>
      </c>
      <c r="H2613" s="35" t="s">
        <v>1403</v>
      </c>
      <c r="I2613" s="18" t="s">
        <v>1404</v>
      </c>
    </row>
    <row r="2614" spans="1:9" s="31" customFormat="1" ht="105">
      <c r="A2614" s="12">
        <v>43566.113865740743</v>
      </c>
      <c r="B2614" s="13" t="str">
        <f t="shared" si="114"/>
        <v>@AmberandColtd</v>
      </c>
      <c r="C2614" s="14" t="s">
        <v>1402</v>
      </c>
      <c r="D2614" s="15" t="s">
        <v>12850</v>
      </c>
      <c r="E2614" s="16" t="str">
        <f>HYPERLINK("http://twitter.com","Twitter Web Client")</f>
        <v>Twitter Web Client</v>
      </c>
      <c r="F2614" s="12">
        <v>41080.311620370368</v>
      </c>
      <c r="G2614" s="9" t="s">
        <v>171</v>
      </c>
      <c r="H2614" s="35" t="s">
        <v>1403</v>
      </c>
      <c r="I2614" s="18" t="s">
        <v>1404</v>
      </c>
    </row>
    <row r="2615" spans="1:9" s="31" customFormat="1" ht="105">
      <c r="A2615" s="4">
        <v>43563.500405092593</v>
      </c>
      <c r="B2615" s="5" t="str">
        <f>HYPERLINK("https://twitter.com/DebbieQuinney","@DebbieQuinney")</f>
        <v>@DebbieQuinney</v>
      </c>
      <c r="C2615" s="6" t="s">
        <v>10259</v>
      </c>
      <c r="D2615" s="7" t="s">
        <v>12863</v>
      </c>
      <c r="E2615" s="8" t="str">
        <f>HYPERLINK("http://twitter.com/download/iphone","Twitter for iPhone")</f>
        <v>Twitter for iPhone</v>
      </c>
      <c r="F2615" s="4">
        <v>40685.250474537039</v>
      </c>
      <c r="G2615" s="9" t="s">
        <v>171</v>
      </c>
      <c r="H2615" s="35" t="s">
        <v>10260</v>
      </c>
      <c r="I2615" s="10" t="s">
        <v>10261</v>
      </c>
    </row>
    <row r="2616" spans="1:9" s="31" customFormat="1" ht="90">
      <c r="A2616" s="19">
        <v>43551.562673611115</v>
      </c>
      <c r="B2616" s="20" t="str">
        <f>HYPERLINK("https://twitter.com/Keyzapp","@Keyzapp")</f>
        <v>@Keyzapp</v>
      </c>
      <c r="C2616" s="21" t="s">
        <v>7122</v>
      </c>
      <c r="D2616" s="22" t="s">
        <v>7123</v>
      </c>
      <c r="E2616" s="23" t="str">
        <f>HYPERLINK("http://twitter.com/download/iphone","Twitter for iPhone")</f>
        <v>Twitter for iPhone</v>
      </c>
      <c r="F2616" s="19">
        <v>41673.578692129631</v>
      </c>
      <c r="G2616" s="9" t="s">
        <v>171</v>
      </c>
      <c r="H2616" s="35" t="s">
        <v>396</v>
      </c>
      <c r="I2616" s="25" t="s">
        <v>7124</v>
      </c>
    </row>
    <row r="2617" spans="1:9" s="31" customFormat="1" ht="45">
      <c r="A2617" s="19">
        <v>43551.555844907409</v>
      </c>
      <c r="B2617" s="20" t="str">
        <f>HYPERLINK("https://twitter.com/Keyzapp","@Keyzapp")</f>
        <v>@Keyzapp</v>
      </c>
      <c r="C2617" s="21" t="s">
        <v>7122</v>
      </c>
      <c r="D2617" s="22" t="s">
        <v>7135</v>
      </c>
      <c r="E2617" s="23" t="str">
        <f>HYPERLINK("http://twitter.com/download/iphone","Twitter for iPhone")</f>
        <v>Twitter for iPhone</v>
      </c>
      <c r="F2617" s="19">
        <v>41673.578692129631</v>
      </c>
      <c r="G2617" s="9" t="s">
        <v>171</v>
      </c>
      <c r="H2617" s="35" t="s">
        <v>396</v>
      </c>
      <c r="I2617" s="25" t="s">
        <v>7124</v>
      </c>
    </row>
    <row r="2618" spans="1:9" s="31" customFormat="1" ht="105">
      <c r="A2618" s="19">
        <v>43551.393587962964</v>
      </c>
      <c r="B2618" s="20" t="str">
        <f>HYPERLINK("https://twitter.com/EnableMagazine","@EnableMagazine")</f>
        <v>@EnableMagazine</v>
      </c>
      <c r="C2618" s="21" t="s">
        <v>7243</v>
      </c>
      <c r="D2618" s="22" t="s">
        <v>7244</v>
      </c>
      <c r="E2618" s="23" t="str">
        <f>HYPERLINK("http://twitter.com/download/android","Twitter for Android")</f>
        <v>Twitter for Android</v>
      </c>
      <c r="F2618" s="19">
        <v>40653.044016203705</v>
      </c>
      <c r="G2618" s="9" t="s">
        <v>171</v>
      </c>
      <c r="H2618" s="35" t="s">
        <v>396</v>
      </c>
      <c r="I2618" s="25" t="s">
        <v>7245</v>
      </c>
    </row>
    <row r="2619" spans="1:9" s="31" customFormat="1" ht="15">
      <c r="A2619" s="19">
        <v>43551.309733796297</v>
      </c>
      <c r="B2619" s="20" t="str">
        <f>HYPERLINK("https://twitter.com/danielsmonteiro","@danielsmonteiro")</f>
        <v>@danielsmonteiro</v>
      </c>
      <c r="C2619" s="21" t="s">
        <v>7319</v>
      </c>
      <c r="D2619" s="22" t="s">
        <v>7320</v>
      </c>
      <c r="E2619" s="23" t="str">
        <f>HYPERLINK("https://buffer.com","Buffer")</f>
        <v>Buffer</v>
      </c>
      <c r="F2619" s="19">
        <v>39891.91920138889</v>
      </c>
      <c r="G2619" s="9" t="s">
        <v>171</v>
      </c>
      <c r="H2619" s="35" t="s">
        <v>396</v>
      </c>
      <c r="I2619" s="25" t="s">
        <v>7321</v>
      </c>
    </row>
    <row r="2620" spans="1:9" s="31" customFormat="1" ht="90">
      <c r="A2620" s="19">
        <v>43551.239664351851</v>
      </c>
      <c r="B2620" s="20" t="str">
        <f>HYPERLINK("https://twitter.com/LandlordBB","@LandlordBB")</f>
        <v>@LandlordBB</v>
      </c>
      <c r="C2620" s="21" t="s">
        <v>394</v>
      </c>
      <c r="D2620" s="22" t="s">
        <v>7388</v>
      </c>
      <c r="E2620" s="23" t="str">
        <f>HYPERLINK("https://www.hootsuite.com","Hootsuite Inc.")</f>
        <v>Hootsuite Inc.</v>
      </c>
      <c r="F2620" s="19">
        <v>41529.280868055554</v>
      </c>
      <c r="G2620" s="9" t="s">
        <v>171</v>
      </c>
      <c r="H2620" s="35" t="s">
        <v>396</v>
      </c>
      <c r="I2620" s="25" t="s">
        <v>397</v>
      </c>
    </row>
    <row r="2621" spans="1:9" s="31" customFormat="1" ht="60">
      <c r="A2621" s="19">
        <v>43551.220405092594</v>
      </c>
      <c r="B2621" s="20" t="str">
        <f>HYPERLINK("https://twitter.com/ablemag","@ablemag")</f>
        <v>@ablemag</v>
      </c>
      <c r="C2621" s="21" t="s">
        <v>7391</v>
      </c>
      <c r="D2621" s="22" t="s">
        <v>7392</v>
      </c>
      <c r="E2621" s="23" t="str">
        <f>HYPERLINK("http://twitter.com/download/android","Twitter for Android")</f>
        <v>Twitter for Android</v>
      </c>
      <c r="F2621" s="19">
        <v>40136.100185185183</v>
      </c>
      <c r="G2621" s="9" t="s">
        <v>171</v>
      </c>
      <c r="H2621" s="35" t="s">
        <v>396</v>
      </c>
      <c r="I2621" s="25" t="s">
        <v>7393</v>
      </c>
    </row>
    <row r="2622" spans="1:9" s="31" customFormat="1" ht="75">
      <c r="A2622" s="19">
        <v>43550.225752314815</v>
      </c>
      <c r="B2622" s="20" t="str">
        <f>HYPERLINK("https://twitter.com/LandlordBB","@LandlordBB")</f>
        <v>@LandlordBB</v>
      </c>
      <c r="C2622" s="21" t="s">
        <v>394</v>
      </c>
      <c r="D2622" s="22" t="s">
        <v>7784</v>
      </c>
      <c r="E2622" s="23" t="str">
        <f>HYPERLINK("https://www.hootsuite.com","Hootsuite Inc.")</f>
        <v>Hootsuite Inc.</v>
      </c>
      <c r="F2622" s="19">
        <v>41529.280868055554</v>
      </c>
      <c r="G2622" s="9" t="s">
        <v>171</v>
      </c>
      <c r="H2622" s="35" t="s">
        <v>396</v>
      </c>
      <c r="I2622" s="25" t="s">
        <v>397</v>
      </c>
    </row>
    <row r="2623" spans="1:9" s="31" customFormat="1" ht="90">
      <c r="A2623" s="19">
        <v>43549.503599537042</v>
      </c>
      <c r="B2623" s="20" t="str">
        <f>HYPERLINK("https://twitter.com/StudentHolsPlan","@StudentHolsPlan")</f>
        <v>@StudentHolsPlan</v>
      </c>
      <c r="C2623" s="21" t="s">
        <v>8012</v>
      </c>
      <c r="D2623" s="22" t="s">
        <v>8013</v>
      </c>
      <c r="E2623" s="23" t="str">
        <f>HYPERLINK("https://crowdfireapp.com","Crowdfire App")</f>
        <v>Crowdfire App</v>
      </c>
      <c r="F2623" s="19">
        <v>42917.243078703701</v>
      </c>
      <c r="G2623" s="9" t="s">
        <v>171</v>
      </c>
      <c r="H2623" s="35" t="s">
        <v>396</v>
      </c>
      <c r="I2623" s="25" t="s">
        <v>8014</v>
      </c>
    </row>
    <row r="2624" spans="1:9" s="31" customFormat="1" ht="75">
      <c r="A2624" s="19">
        <v>43549.218831018516</v>
      </c>
      <c r="B2624" s="20" t="str">
        <f>HYPERLINK("https://twitter.com/LandlordBB","@LandlordBB")</f>
        <v>@LandlordBB</v>
      </c>
      <c r="C2624" s="21" t="s">
        <v>394</v>
      </c>
      <c r="D2624" s="28" t="s">
        <v>8131</v>
      </c>
      <c r="E2624" s="23" t="str">
        <f>HYPERLINK("https://www.hootsuite.com","Hootsuite Inc.")</f>
        <v>Hootsuite Inc.</v>
      </c>
      <c r="F2624" s="19">
        <v>41529.280868055554</v>
      </c>
      <c r="G2624" s="9" t="s">
        <v>171</v>
      </c>
      <c r="H2624" s="35" t="s">
        <v>396</v>
      </c>
      <c r="I2624" s="25" t="s">
        <v>397</v>
      </c>
    </row>
    <row r="2625" spans="1:9" s="31" customFormat="1" ht="105">
      <c r="A2625" s="19">
        <v>43545.26054398148</v>
      </c>
      <c r="B2625" s="20" t="str">
        <f>HYPERLINK("https://twitter.com/LandlordBB","@LandlordBB")</f>
        <v>@LandlordBB</v>
      </c>
      <c r="C2625" s="21" t="s">
        <v>394</v>
      </c>
      <c r="D2625" s="22" t="s">
        <v>9229</v>
      </c>
      <c r="E2625" s="23" t="str">
        <f>HYPERLINK("https://www.hootsuite.com","Hootsuite Inc.")</f>
        <v>Hootsuite Inc.</v>
      </c>
      <c r="F2625" s="19">
        <v>41529.280868055554</v>
      </c>
      <c r="G2625" s="9" t="s">
        <v>171</v>
      </c>
      <c r="H2625" s="35" t="s">
        <v>396</v>
      </c>
      <c r="I2625" s="25" t="s">
        <v>397</v>
      </c>
    </row>
    <row r="2626" spans="1:9" s="31" customFormat="1" ht="90">
      <c r="A2626" s="19">
        <v>43545.096736111111</v>
      </c>
      <c r="B2626" s="20" t="str">
        <f>HYPERLINK("https://twitter.com/StudentHolsPlan","@StudentHolsPlan")</f>
        <v>@StudentHolsPlan</v>
      </c>
      <c r="C2626" s="21" t="s">
        <v>8012</v>
      </c>
      <c r="D2626" s="22" t="s">
        <v>9281</v>
      </c>
      <c r="E2626" s="23" t="str">
        <f>HYPERLINK("http://publicize.wp.com/","WordPress.com")</f>
        <v>WordPress.com</v>
      </c>
      <c r="F2626" s="19">
        <v>42917.243078703701</v>
      </c>
      <c r="G2626" s="9" t="s">
        <v>171</v>
      </c>
      <c r="H2626" s="35" t="s">
        <v>396</v>
      </c>
      <c r="I2626" s="25" t="s">
        <v>8014</v>
      </c>
    </row>
    <row r="2627" spans="1:9" s="31" customFormat="1" ht="105">
      <c r="A2627" s="19">
        <v>43544.218831018516</v>
      </c>
      <c r="B2627" s="20" t="str">
        <f>HYPERLINK("https://twitter.com/LandlordBB","@LandlordBB")</f>
        <v>@LandlordBB</v>
      </c>
      <c r="C2627" s="21" t="s">
        <v>394</v>
      </c>
      <c r="D2627" s="22" t="s">
        <v>9579</v>
      </c>
      <c r="E2627" s="23" t="str">
        <f>HYPERLINK("https://www.hootsuite.com","Hootsuite Inc.")</f>
        <v>Hootsuite Inc.</v>
      </c>
      <c r="F2627" s="19">
        <v>41529.280868055554</v>
      </c>
      <c r="G2627" s="9" t="s">
        <v>171</v>
      </c>
      <c r="H2627" s="35" t="s">
        <v>396</v>
      </c>
      <c r="I2627" s="25" t="s">
        <v>397</v>
      </c>
    </row>
    <row r="2628" spans="1:9" s="31" customFormat="1" ht="45">
      <c r="A2628" s="19">
        <v>43543.324826388889</v>
      </c>
      <c r="B2628" s="20" t="str">
        <f>HYPERLINK("https://twitter.com/RyanHeyworth","@RyanHeyworth")</f>
        <v>@RyanHeyworth</v>
      </c>
      <c r="C2628" s="21" t="s">
        <v>9866</v>
      </c>
      <c r="D2628" s="22" t="s">
        <v>9867</v>
      </c>
      <c r="E2628" s="23" t="str">
        <f>HYPERLINK("http://twitter.com","Twitter Web Client")</f>
        <v>Twitter Web Client</v>
      </c>
      <c r="F2628" s="19">
        <v>41217.60900462963</v>
      </c>
      <c r="G2628" s="9" t="s">
        <v>171</v>
      </c>
      <c r="H2628" s="35" t="s">
        <v>396</v>
      </c>
      <c r="I2628" s="25" t="s">
        <v>9868</v>
      </c>
    </row>
    <row r="2629" spans="1:9" s="31" customFormat="1" ht="105">
      <c r="A2629" s="19">
        <v>43543.083831018521</v>
      </c>
      <c r="B2629" s="20" t="str">
        <f>HYPERLINK("https://twitter.com/LandlordBB","@LandlordBB")</f>
        <v>@LandlordBB</v>
      </c>
      <c r="C2629" s="21" t="s">
        <v>394</v>
      </c>
      <c r="D2629" s="22" t="s">
        <v>9941</v>
      </c>
      <c r="E2629" s="23" t="str">
        <f>HYPERLINK("https://www.hootsuite.com","Hootsuite Inc.")</f>
        <v>Hootsuite Inc.</v>
      </c>
      <c r="F2629" s="19">
        <v>41529.280868055554</v>
      </c>
      <c r="G2629" s="9" t="s">
        <v>171</v>
      </c>
      <c r="H2629" s="35" t="s">
        <v>396</v>
      </c>
      <c r="I2629" s="25" t="s">
        <v>397</v>
      </c>
    </row>
    <row r="2630" spans="1:9" s="31" customFormat="1" ht="90">
      <c r="A2630" s="4">
        <v>43565.177152777775</v>
      </c>
      <c r="B2630" s="5" t="str">
        <f>HYPERLINK("https://twitter.com/LandlordBB","@LandlordBB")</f>
        <v>@LandlordBB</v>
      </c>
      <c r="C2630" s="6" t="s">
        <v>394</v>
      </c>
      <c r="D2630" s="7" t="s">
        <v>6256</v>
      </c>
      <c r="E2630" s="8" t="str">
        <f>HYPERLINK("https://www.hootsuite.com","Hootsuite Inc.")</f>
        <v>Hootsuite Inc.</v>
      </c>
      <c r="F2630" s="4">
        <v>41529.280868055554</v>
      </c>
      <c r="G2630" s="9" t="s">
        <v>171</v>
      </c>
      <c r="H2630" s="35" t="s">
        <v>396</v>
      </c>
      <c r="I2630" s="10" t="s">
        <v>397</v>
      </c>
    </row>
    <row r="2631" spans="1:9" s="31" customFormat="1" ht="75">
      <c r="A2631" s="4">
        <v>43564.501932870371</v>
      </c>
      <c r="B2631" s="5" t="str">
        <f>HYPERLINK("https://twitter.com/CharlieOnTravel","@CharlieOnTravel")</f>
        <v>@CharlieOnTravel</v>
      </c>
      <c r="C2631" s="6" t="s">
        <v>6572</v>
      </c>
      <c r="D2631" s="7" t="s">
        <v>6573</v>
      </c>
      <c r="E2631" s="8" t="str">
        <f>HYPERLINK("http://twitter.com","Twitter Web Client")</f>
        <v>Twitter Web Client</v>
      </c>
      <c r="F2631" s="4">
        <v>41669.561203703706</v>
      </c>
      <c r="G2631" s="9" t="s">
        <v>171</v>
      </c>
      <c r="H2631" s="35" t="s">
        <v>396</v>
      </c>
      <c r="I2631" s="10" t="s">
        <v>6574</v>
      </c>
    </row>
    <row r="2632" spans="1:9" s="31" customFormat="1" ht="105">
      <c r="A2632" s="4">
        <v>43564.257037037038</v>
      </c>
      <c r="B2632" s="5" t="str">
        <f>HYPERLINK("https://twitter.com/LandlordBB","@LandlordBB")</f>
        <v>@LandlordBB</v>
      </c>
      <c r="C2632" s="6" t="s">
        <v>394</v>
      </c>
      <c r="D2632" s="7" t="s">
        <v>6712</v>
      </c>
      <c r="E2632" s="8" t="str">
        <f>HYPERLINK("https://www.hootsuite.com","Hootsuite Inc.")</f>
        <v>Hootsuite Inc.</v>
      </c>
      <c r="F2632" s="4">
        <v>41529.280868055554</v>
      </c>
      <c r="G2632" s="9" t="s">
        <v>171</v>
      </c>
      <c r="H2632" s="35" t="s">
        <v>396</v>
      </c>
      <c r="I2632" s="10" t="s">
        <v>397</v>
      </c>
    </row>
    <row r="2633" spans="1:9" s="31" customFormat="1" ht="45">
      <c r="A2633" s="4">
        <v>43564.128703703704</v>
      </c>
      <c r="B2633" s="5" t="str">
        <f>HYPERLINK("https://twitter.com/ArtworkRework","@ArtworkRework")</f>
        <v>@ArtworkRework</v>
      </c>
      <c r="C2633" s="6" t="s">
        <v>2925</v>
      </c>
      <c r="D2633" s="7" t="s">
        <v>6771</v>
      </c>
      <c r="E2633" s="8" t="str">
        <f>HYPERLINK("https://about.twitter.com/products/tweetdeck","TweetDeck")</f>
        <v>TweetDeck</v>
      </c>
      <c r="F2633" s="4">
        <v>40504.333877314813</v>
      </c>
      <c r="G2633" s="9" t="s">
        <v>171</v>
      </c>
      <c r="H2633" s="35" t="s">
        <v>396</v>
      </c>
      <c r="I2633" s="10" t="s">
        <v>2927</v>
      </c>
    </row>
    <row r="2634" spans="1:9" s="31" customFormat="1" ht="60">
      <c r="A2634" s="4">
        <v>43559.942743055552</v>
      </c>
      <c r="B2634" s="5" t="str">
        <f>HYPERLINK("https://twitter.com/Dorian_Belvoir","@Dorian_Belvoir")</f>
        <v>@Dorian_Belvoir</v>
      </c>
      <c r="C2634" s="6" t="s">
        <v>11656</v>
      </c>
      <c r="D2634" s="7" t="s">
        <v>11657</v>
      </c>
      <c r="E2634" s="8" t="str">
        <f>HYPERLINK("http://twitter.com/download/iphone","Twitter for iPhone")</f>
        <v>Twitter for iPhone</v>
      </c>
      <c r="F2634" s="4">
        <v>40226.583136574074</v>
      </c>
      <c r="G2634" s="9" t="s">
        <v>171</v>
      </c>
      <c r="H2634" s="35" t="s">
        <v>396</v>
      </c>
      <c r="I2634" s="10" t="s">
        <v>11658</v>
      </c>
    </row>
    <row r="2635" spans="1:9" s="31" customFormat="1" ht="60">
      <c r="A2635" s="4">
        <v>43559.469340277778</v>
      </c>
      <c r="B2635" s="5" t="str">
        <f>HYPERLINK("https://twitter.com/Carollam62","@Carollam62")</f>
        <v>@Carollam62</v>
      </c>
      <c r="C2635" s="6" t="s">
        <v>11802</v>
      </c>
      <c r="D2635" s="7" t="s">
        <v>11803</v>
      </c>
      <c r="E2635" s="8" t="str">
        <f>HYPERLINK("http://twitter.com/download/iphone","Twitter for iPhone")</f>
        <v>Twitter for iPhone</v>
      </c>
      <c r="F2635" s="4">
        <v>40212.512812499997</v>
      </c>
      <c r="G2635" s="9" t="s">
        <v>171</v>
      </c>
      <c r="H2635" s="35" t="s">
        <v>396</v>
      </c>
      <c r="I2635" s="10" t="s">
        <v>11804</v>
      </c>
    </row>
    <row r="2636" spans="1:9" s="31" customFormat="1" ht="75">
      <c r="A2636" s="4">
        <v>43559.287511574075</v>
      </c>
      <c r="B2636" s="5" t="str">
        <f>HYPERLINK("https://twitter.com/ProtectRPolice","@ProtectRPolice")</f>
        <v>@ProtectRPolice</v>
      </c>
      <c r="C2636" s="6" t="s">
        <v>11890</v>
      </c>
      <c r="D2636" s="7" t="s">
        <v>11891</v>
      </c>
      <c r="E2636" s="8" t="str">
        <f>HYPERLINK("http://twitter.com/download/iphone","Twitter for iPhone")</f>
        <v>Twitter for iPhone</v>
      </c>
      <c r="F2636" s="4">
        <v>40634.352685185186</v>
      </c>
      <c r="G2636" s="9" t="s">
        <v>171</v>
      </c>
      <c r="H2636" s="35" t="s">
        <v>396</v>
      </c>
      <c r="I2636" s="10" t="s">
        <v>11892</v>
      </c>
    </row>
    <row r="2637" spans="1:9" s="31" customFormat="1" ht="105">
      <c r="A2637" s="4">
        <v>43559.180613425924</v>
      </c>
      <c r="B2637" s="5" t="str">
        <f>HYPERLINK("https://twitter.com/LandlordBB","@LandlordBB")</f>
        <v>@LandlordBB</v>
      </c>
      <c r="C2637" s="6" t="s">
        <v>394</v>
      </c>
      <c r="D2637" s="7" t="s">
        <v>11917</v>
      </c>
      <c r="E2637" s="8" t="str">
        <f>HYPERLINK("https://www.hootsuite.com","Hootsuite Inc.")</f>
        <v>Hootsuite Inc.</v>
      </c>
      <c r="F2637" s="4">
        <v>41529.280868055554</v>
      </c>
      <c r="G2637" s="9" t="s">
        <v>171</v>
      </c>
      <c r="H2637" s="35" t="s">
        <v>396</v>
      </c>
      <c r="I2637" s="10" t="s">
        <v>397</v>
      </c>
    </row>
    <row r="2638" spans="1:9" s="31" customFormat="1" ht="105">
      <c r="A2638" s="4">
        <v>43558.177141203705</v>
      </c>
      <c r="B2638" s="5" t="str">
        <f>HYPERLINK("https://twitter.com/LandlordBB","@LandlordBB")</f>
        <v>@LandlordBB</v>
      </c>
      <c r="C2638" s="6" t="s">
        <v>394</v>
      </c>
      <c r="D2638" s="7" t="s">
        <v>12300</v>
      </c>
      <c r="E2638" s="8" t="str">
        <f>HYPERLINK("https://www.hootsuite.com","Hootsuite Inc.")</f>
        <v>Hootsuite Inc.</v>
      </c>
      <c r="F2638" s="4">
        <v>41529.280868055554</v>
      </c>
      <c r="G2638" s="9" t="s">
        <v>171</v>
      </c>
      <c r="H2638" s="35" t="s">
        <v>396</v>
      </c>
      <c r="I2638" s="10" t="s">
        <v>397</v>
      </c>
    </row>
    <row r="2639" spans="1:9" s="31" customFormat="1" ht="75">
      <c r="A2639" s="4">
        <v>43558.108414351853</v>
      </c>
      <c r="B2639" s="5" t="str">
        <f>HYPERLINK("https://twitter.com/CharlieOnTravel","@CharlieOnTravel")</f>
        <v>@CharlieOnTravel</v>
      </c>
      <c r="C2639" s="6" t="s">
        <v>6572</v>
      </c>
      <c r="D2639" s="7" t="s">
        <v>12321</v>
      </c>
      <c r="E2639" s="8" t="str">
        <f>HYPERLINK("http://twitter.com","Twitter Web Client")</f>
        <v>Twitter Web Client</v>
      </c>
      <c r="F2639" s="4">
        <v>41669.561203703706</v>
      </c>
      <c r="G2639" s="9" t="s">
        <v>171</v>
      </c>
      <c r="H2639" s="35" t="s">
        <v>396</v>
      </c>
      <c r="I2639" s="10" t="s">
        <v>6574</v>
      </c>
    </row>
    <row r="2640" spans="1:9" s="31" customFormat="1" ht="150">
      <c r="A2640" s="4">
        <v>43558.093969907408</v>
      </c>
      <c r="B2640" s="5" t="str">
        <f>HYPERLINK("https://twitter.com/FreeGaza2010","@FreeGaza2010")</f>
        <v>@FreeGaza2010</v>
      </c>
      <c r="C2640" s="6" t="s">
        <v>12323</v>
      </c>
      <c r="D2640" s="7" t="s">
        <v>12324</v>
      </c>
      <c r="E2640" s="8" t="str">
        <f>HYPERLINK("http://twitter.com/download/android","Twitter for Android")</f>
        <v>Twitter for Android</v>
      </c>
      <c r="F2640" s="4">
        <v>39987.194224537037</v>
      </c>
      <c r="G2640" s="9" t="s">
        <v>171</v>
      </c>
      <c r="H2640" s="35" t="s">
        <v>396</v>
      </c>
      <c r="I2640" s="10" t="s">
        <v>12325</v>
      </c>
    </row>
    <row r="2641" spans="1:9" s="31" customFormat="1" ht="105">
      <c r="A2641" s="4">
        <v>43557.191018518519</v>
      </c>
      <c r="B2641" s="5" t="str">
        <f>HYPERLINK("https://twitter.com/LandlordBB","@LandlordBB")</f>
        <v>@LandlordBB</v>
      </c>
      <c r="C2641" s="6" t="s">
        <v>394</v>
      </c>
      <c r="D2641" s="7" t="s">
        <v>12620</v>
      </c>
      <c r="E2641" s="8" t="str">
        <f>HYPERLINK("https://www.hootsuite.com","Hootsuite Inc.")</f>
        <v>Hootsuite Inc.</v>
      </c>
      <c r="F2641" s="4">
        <v>41529.280868055554</v>
      </c>
      <c r="G2641" s="9" t="s">
        <v>171</v>
      </c>
      <c r="H2641" s="35" t="s">
        <v>396</v>
      </c>
      <c r="I2641" s="10" t="s">
        <v>397</v>
      </c>
    </row>
    <row r="2642" spans="1:9" s="31" customFormat="1" ht="105">
      <c r="A2642" s="12">
        <v>43579.927083333328</v>
      </c>
      <c r="B2642" s="13" t="str">
        <f>HYPERLINK("https://twitter.com/LandlordBB","@LandlordBB")</f>
        <v>@LandlordBB</v>
      </c>
      <c r="C2642" s="14" t="s">
        <v>394</v>
      </c>
      <c r="D2642" s="15" t="s">
        <v>395</v>
      </c>
      <c r="E2642" s="16" t="str">
        <f>HYPERLINK("https://www.semrush.com/","SEMrush Social Media Tool")</f>
        <v>SEMrush Social Media Tool</v>
      </c>
      <c r="F2642" s="12">
        <v>41529.280868055554</v>
      </c>
      <c r="G2642" s="9" t="s">
        <v>171</v>
      </c>
      <c r="H2642" s="35" t="s">
        <v>396</v>
      </c>
      <c r="I2642" s="18" t="s">
        <v>397</v>
      </c>
    </row>
    <row r="2643" spans="1:9" s="31" customFormat="1" ht="90">
      <c r="A2643" s="12">
        <v>43579.177175925928</v>
      </c>
      <c r="B2643" s="13" t="str">
        <f>HYPERLINK("https://twitter.com/LandlordBB","@LandlordBB")</f>
        <v>@LandlordBB</v>
      </c>
      <c r="C2643" s="14" t="s">
        <v>394</v>
      </c>
      <c r="D2643" s="15" t="s">
        <v>882</v>
      </c>
      <c r="E2643" s="16" t="str">
        <f>HYPERLINK("https://www.semrush.com/","SEMrush Social Media Tool")</f>
        <v>SEMrush Social Media Tool</v>
      </c>
      <c r="F2643" s="12">
        <v>41529.280868055554</v>
      </c>
      <c r="G2643" s="9" t="s">
        <v>171</v>
      </c>
      <c r="H2643" s="35" t="s">
        <v>396</v>
      </c>
      <c r="I2643" s="18" t="s">
        <v>397</v>
      </c>
    </row>
    <row r="2644" spans="1:9" s="31" customFormat="1" ht="90">
      <c r="A2644" s="12">
        <v>43578.177175925928</v>
      </c>
      <c r="B2644" s="13" t="str">
        <f>HYPERLINK("https://twitter.com/LandlordBB","@LandlordBB")</f>
        <v>@LandlordBB</v>
      </c>
      <c r="C2644" s="14" t="s">
        <v>394</v>
      </c>
      <c r="D2644" s="15" t="s">
        <v>1376</v>
      </c>
      <c r="E2644" s="16" t="str">
        <f>HYPERLINK("https://www.semrush.com/","SEMrush Social Media Tool")</f>
        <v>SEMrush Social Media Tool</v>
      </c>
      <c r="F2644" s="12">
        <v>41529.280868055554</v>
      </c>
      <c r="G2644" s="9" t="s">
        <v>171</v>
      </c>
      <c r="H2644" s="35" t="s">
        <v>396</v>
      </c>
      <c r="I2644" s="18" t="s">
        <v>397</v>
      </c>
    </row>
    <row r="2645" spans="1:9" s="31" customFormat="1" ht="90">
      <c r="A2645" s="12">
        <v>43575.40351851852</v>
      </c>
      <c r="B2645" s="13" t="str">
        <f>HYPERLINK("https://twitter.com/YolandiID","@YolandiID")</f>
        <v>@YolandiID</v>
      </c>
      <c r="C2645" s="14" t="s">
        <v>2230</v>
      </c>
      <c r="D2645" s="15" t="s">
        <v>2231</v>
      </c>
      <c r="E2645" s="16" t="str">
        <f>HYPERLINK("http://twitter.com/download/android","Twitter for Android")</f>
        <v>Twitter for Android</v>
      </c>
      <c r="F2645" s="12">
        <v>41557.623784722222</v>
      </c>
      <c r="G2645" s="9" t="s">
        <v>171</v>
      </c>
      <c r="H2645" s="35" t="s">
        <v>396</v>
      </c>
      <c r="I2645" s="18" t="s">
        <v>2232</v>
      </c>
    </row>
    <row r="2646" spans="1:9" s="31" customFormat="1" ht="30">
      <c r="A2646" s="12">
        <v>43573.32949074074</v>
      </c>
      <c r="B2646" s="13" t="str">
        <f>HYPERLINK("https://twitter.com/ArtworkRework","@ArtworkRework")</f>
        <v>@ArtworkRework</v>
      </c>
      <c r="C2646" s="14" t="s">
        <v>2925</v>
      </c>
      <c r="D2646" s="15" t="s">
        <v>2926</v>
      </c>
      <c r="E2646" s="16" t="str">
        <f>HYPERLINK("https://about.twitter.com/products/tweetdeck","TweetDeck")</f>
        <v>TweetDeck</v>
      </c>
      <c r="F2646" s="12">
        <v>40504.333877314813</v>
      </c>
      <c r="G2646" s="9" t="s">
        <v>171</v>
      </c>
      <c r="H2646" s="35" t="s">
        <v>396</v>
      </c>
      <c r="I2646" s="18" t="s">
        <v>2927</v>
      </c>
    </row>
    <row r="2647" spans="1:9" s="31" customFormat="1" ht="105">
      <c r="A2647" s="12">
        <v>43572.385428240741</v>
      </c>
      <c r="B2647" s="13" t="str">
        <f>HYPERLINK("https://twitter.com/LandlordBB","@LandlordBB")</f>
        <v>@LandlordBB</v>
      </c>
      <c r="C2647" s="14" t="s">
        <v>394</v>
      </c>
      <c r="D2647" s="15" t="s">
        <v>3273</v>
      </c>
      <c r="E2647" s="16" t="str">
        <f>HYPERLINK("https://www.semrush.com/","SEMrush Social Media Tool")</f>
        <v>SEMrush Social Media Tool</v>
      </c>
      <c r="F2647" s="12">
        <v>41529.280868055554</v>
      </c>
      <c r="G2647" s="9" t="s">
        <v>171</v>
      </c>
      <c r="H2647" s="35" t="s">
        <v>396</v>
      </c>
      <c r="I2647" s="18" t="s">
        <v>397</v>
      </c>
    </row>
    <row r="2648" spans="1:9" s="31" customFormat="1" ht="90">
      <c r="A2648" s="12">
        <v>43571.34376157407</v>
      </c>
      <c r="B2648" s="13" t="str">
        <f>HYPERLINK("https://twitter.com/LandlordBB","@LandlordBB")</f>
        <v>@LandlordBB</v>
      </c>
      <c r="C2648" s="14" t="s">
        <v>394</v>
      </c>
      <c r="D2648" s="15" t="s">
        <v>3719</v>
      </c>
      <c r="E2648" s="16" t="str">
        <f>HYPERLINK("https://www.semrush.com/","SEMrush Social Media Tool")</f>
        <v>SEMrush Social Media Tool</v>
      </c>
      <c r="F2648" s="12">
        <v>41529.280868055554</v>
      </c>
      <c r="G2648" s="9" t="s">
        <v>171</v>
      </c>
      <c r="H2648" s="35" t="s">
        <v>396</v>
      </c>
      <c r="I2648" s="18" t="s">
        <v>397</v>
      </c>
    </row>
    <row r="2649" spans="1:9" s="31" customFormat="1" ht="105">
      <c r="A2649" s="12">
        <v>43570.385567129633</v>
      </c>
      <c r="B2649" s="13" t="str">
        <f>HYPERLINK("https://twitter.com/LandlordBB","@LandlordBB")</f>
        <v>@LandlordBB</v>
      </c>
      <c r="C2649" s="14" t="s">
        <v>394</v>
      </c>
      <c r="D2649" s="15" t="s">
        <v>4186</v>
      </c>
      <c r="E2649" s="16" t="str">
        <f>HYPERLINK("https://www.semrush.com/","SEMrush Social Media Tool")</f>
        <v>SEMrush Social Media Tool</v>
      </c>
      <c r="F2649" s="12">
        <v>41529.280868055554</v>
      </c>
      <c r="G2649" s="9" t="s">
        <v>171</v>
      </c>
      <c r="H2649" s="35" t="s">
        <v>396</v>
      </c>
      <c r="I2649" s="18" t="s">
        <v>397</v>
      </c>
    </row>
    <row r="2650" spans="1:9" s="31" customFormat="1" ht="105">
      <c r="A2650" s="12">
        <v>43567.196516203709</v>
      </c>
      <c r="B2650" s="13" t="str">
        <f>HYPERLINK("https://twitter.com/fourknees","@fourknees")</f>
        <v>@fourknees</v>
      </c>
      <c r="C2650" s="14" t="s">
        <v>5212</v>
      </c>
      <c r="D2650" s="15" t="s">
        <v>5213</v>
      </c>
      <c r="E2650" s="16" t="str">
        <f>HYPERLINK("http://twitter.com/download/iphone","Twitter for iPhone")</f>
        <v>Twitter for iPhone</v>
      </c>
      <c r="F2650" s="12">
        <v>40518.42251157407</v>
      </c>
      <c r="G2650" s="9" t="s">
        <v>171</v>
      </c>
      <c r="H2650" s="35" t="s">
        <v>5214</v>
      </c>
      <c r="I2650" s="18" t="s">
        <v>5215</v>
      </c>
    </row>
    <row r="2651" spans="1:9" s="31" customFormat="1" ht="105">
      <c r="A2651" s="12">
        <v>43566.463622685187</v>
      </c>
      <c r="B2651" s="13" t="str">
        <f>HYPERLINK("https://twitter.com/YolandiID","@YolandiID")</f>
        <v>@YolandiID</v>
      </c>
      <c r="C2651" s="14" t="s">
        <v>2230</v>
      </c>
      <c r="D2651" s="15" t="s">
        <v>5511</v>
      </c>
      <c r="E2651" s="16" t="str">
        <f>HYPERLINK("http://twitter.com/download/android","Twitter for Android")</f>
        <v>Twitter for Android</v>
      </c>
      <c r="F2651" s="12">
        <v>41557.623784722222</v>
      </c>
      <c r="G2651" s="9" t="s">
        <v>171</v>
      </c>
      <c r="H2651" s="35" t="s">
        <v>396</v>
      </c>
      <c r="I2651" s="18" t="s">
        <v>2232</v>
      </c>
    </row>
    <row r="2652" spans="1:9" s="31" customFormat="1" ht="60">
      <c r="A2652" s="12">
        <v>43566.170185185183</v>
      </c>
      <c r="B2652" s="13" t="str">
        <f>HYPERLINK("https://twitter.com/LandlordBB","@LandlordBB")</f>
        <v>@LandlordBB</v>
      </c>
      <c r="C2652" s="14" t="s">
        <v>394</v>
      </c>
      <c r="D2652" s="15" t="s">
        <v>5747</v>
      </c>
      <c r="E2652" s="16" t="str">
        <f>HYPERLINK("https://www.hootsuite.com","Hootsuite Inc.")</f>
        <v>Hootsuite Inc.</v>
      </c>
      <c r="F2652" s="12">
        <v>41529.280868055554</v>
      </c>
      <c r="G2652" s="9" t="s">
        <v>171</v>
      </c>
      <c r="H2652" s="35" t="s">
        <v>396</v>
      </c>
      <c r="I2652" s="18" t="s">
        <v>397</v>
      </c>
    </row>
    <row r="2653" spans="1:9" s="31" customFormat="1" ht="75">
      <c r="A2653" s="12">
        <v>43566.026550925926</v>
      </c>
      <c r="B2653" s="13" t="str">
        <f>HYPERLINK("https://twitter.com/Ismailadampatel","@Ismailadampatel")</f>
        <v>@Ismailadampatel</v>
      </c>
      <c r="C2653" s="14" t="s">
        <v>5819</v>
      </c>
      <c r="D2653" s="15" t="s">
        <v>5820</v>
      </c>
      <c r="E2653" s="16" t="str">
        <f>HYPERLINK("http://twitter.com/download/android","Twitter for Android")</f>
        <v>Twitter for Android</v>
      </c>
      <c r="F2653" s="12">
        <v>41231.435567129629</v>
      </c>
      <c r="G2653" s="9" t="s">
        <v>171</v>
      </c>
      <c r="H2653" s="35" t="s">
        <v>396</v>
      </c>
      <c r="I2653" s="18" t="s">
        <v>5821</v>
      </c>
    </row>
    <row r="2654" spans="1:9" s="31" customFormat="1" ht="15">
      <c r="A2654" s="12">
        <v>43575.516585648147</v>
      </c>
      <c r="B2654" s="13" t="str">
        <f>HYPERLINK("https://twitter.com/leed926_lee","@leed926_lee")</f>
        <v>@leed926_lee</v>
      </c>
      <c r="C2654" s="14" t="s">
        <v>2178</v>
      </c>
      <c r="D2654" s="15" t="s">
        <v>2179</v>
      </c>
      <c r="E2654" s="16" t="str">
        <f>HYPERLINK("http://twitter.com","Twitter Web Client")</f>
        <v>Twitter Web Client</v>
      </c>
      <c r="F2654" s="12">
        <v>41669.238634259258</v>
      </c>
      <c r="G2654" s="9" t="s">
        <v>171</v>
      </c>
      <c r="H2654" s="35" t="s">
        <v>2180</v>
      </c>
      <c r="I2654" s="18" t="s">
        <v>2181</v>
      </c>
    </row>
    <row r="2655" spans="1:9" s="31" customFormat="1" ht="105">
      <c r="A2655" s="4">
        <v>43558.051736111112</v>
      </c>
      <c r="B2655" s="5" t="str">
        <f>HYPERLINK("https://twitter.com/AdrianMooney01","@AdrianMooney01")</f>
        <v>@AdrianMooney01</v>
      </c>
      <c r="C2655" s="6" t="s">
        <v>12335</v>
      </c>
      <c r="D2655" s="7" t="s">
        <v>12336</v>
      </c>
      <c r="E2655" s="8" t="str">
        <f>HYPERLINK("http://twitter.com/download/iphone","Twitter for iPhone")</f>
        <v>Twitter for iPhone</v>
      </c>
      <c r="F2655" s="4">
        <v>41877.266134259262</v>
      </c>
      <c r="G2655" s="9" t="s">
        <v>171</v>
      </c>
      <c r="H2655" s="35" t="s">
        <v>12337</v>
      </c>
      <c r="I2655" s="10" t="s">
        <v>12338</v>
      </c>
    </row>
    <row r="2656" spans="1:9" s="31" customFormat="1" ht="45">
      <c r="A2656" s="19">
        <v>43546.402835648143</v>
      </c>
      <c r="B2656" s="20" t="str">
        <f t="shared" ref="B2656:B2661" si="115">HYPERLINK("https://twitter.com/MartinAButters","@MartinAButters")</f>
        <v>@MartinAButters</v>
      </c>
      <c r="C2656" s="21" t="s">
        <v>2211</v>
      </c>
      <c r="D2656" s="22" t="s">
        <v>2212</v>
      </c>
      <c r="E2656" s="23" t="str">
        <f t="shared" ref="E2656:E2661" si="116">HYPERLINK("https://buffer.com","Buffer")</f>
        <v>Buffer</v>
      </c>
      <c r="F2656" s="19">
        <v>40728.179756944446</v>
      </c>
      <c r="G2656" s="9" t="s">
        <v>171</v>
      </c>
      <c r="H2656" s="35" t="s">
        <v>2213</v>
      </c>
      <c r="I2656" s="25" t="s">
        <v>2214</v>
      </c>
    </row>
    <row r="2657" spans="1:9" s="31" customFormat="1" ht="45">
      <c r="A2657" s="19">
        <v>43543.458715277782</v>
      </c>
      <c r="B2657" s="20" t="str">
        <f t="shared" si="115"/>
        <v>@MartinAButters</v>
      </c>
      <c r="C2657" s="21" t="s">
        <v>2211</v>
      </c>
      <c r="D2657" s="22" t="s">
        <v>2212</v>
      </c>
      <c r="E2657" s="23" t="str">
        <f t="shared" si="116"/>
        <v>Buffer</v>
      </c>
      <c r="F2657" s="19">
        <v>40728.179756944446</v>
      </c>
      <c r="G2657" s="9" t="s">
        <v>171</v>
      </c>
      <c r="H2657" s="35" t="s">
        <v>2213</v>
      </c>
      <c r="I2657" s="25" t="s">
        <v>2214</v>
      </c>
    </row>
    <row r="2658" spans="1:9" s="31" customFormat="1" ht="45">
      <c r="A2658" s="4">
        <v>43563.500162037039</v>
      </c>
      <c r="B2658" s="5" t="str">
        <f t="shared" si="115"/>
        <v>@MartinAButters</v>
      </c>
      <c r="C2658" s="6" t="s">
        <v>2211</v>
      </c>
      <c r="D2658" s="7" t="s">
        <v>2212</v>
      </c>
      <c r="E2658" s="8" t="str">
        <f t="shared" si="116"/>
        <v>Buffer</v>
      </c>
      <c r="F2658" s="4">
        <v>40728.179756944446</v>
      </c>
      <c r="G2658" s="9" t="s">
        <v>171</v>
      </c>
      <c r="H2658" s="35" t="s">
        <v>2213</v>
      </c>
      <c r="I2658" s="10" t="s">
        <v>2214</v>
      </c>
    </row>
    <row r="2659" spans="1:9" s="31" customFormat="1" ht="45">
      <c r="A2659" s="4">
        <v>43557.666967592595</v>
      </c>
      <c r="B2659" s="5" t="str">
        <f t="shared" si="115"/>
        <v>@MartinAButters</v>
      </c>
      <c r="C2659" s="6" t="s">
        <v>2211</v>
      </c>
      <c r="D2659" s="7" t="s">
        <v>2212</v>
      </c>
      <c r="E2659" s="8" t="str">
        <f t="shared" si="116"/>
        <v>Buffer</v>
      </c>
      <c r="F2659" s="4">
        <v>40728.179756944446</v>
      </c>
      <c r="G2659" s="9" t="s">
        <v>171</v>
      </c>
      <c r="H2659" s="35" t="s">
        <v>2213</v>
      </c>
      <c r="I2659" s="10" t="s">
        <v>2214</v>
      </c>
    </row>
    <row r="2660" spans="1:9" s="31" customFormat="1" ht="45">
      <c r="A2660" s="12">
        <v>43575.458506944444</v>
      </c>
      <c r="B2660" s="13" t="str">
        <f t="shared" si="115"/>
        <v>@MartinAButters</v>
      </c>
      <c r="C2660" s="14" t="s">
        <v>2211</v>
      </c>
      <c r="D2660" s="15" t="s">
        <v>2212</v>
      </c>
      <c r="E2660" s="16" t="str">
        <f t="shared" si="116"/>
        <v>Buffer</v>
      </c>
      <c r="F2660" s="12">
        <v>40728.179756944446</v>
      </c>
      <c r="G2660" s="9" t="s">
        <v>171</v>
      </c>
      <c r="H2660" s="35" t="s">
        <v>2213</v>
      </c>
      <c r="I2660" s="18" t="s">
        <v>2214</v>
      </c>
    </row>
    <row r="2661" spans="1:9" s="31" customFormat="1" ht="45">
      <c r="A2661" s="12">
        <v>43569.458333333328</v>
      </c>
      <c r="B2661" s="13" t="str">
        <f t="shared" si="115"/>
        <v>@MartinAButters</v>
      </c>
      <c r="C2661" s="14" t="s">
        <v>2211</v>
      </c>
      <c r="D2661" s="15" t="s">
        <v>2212</v>
      </c>
      <c r="E2661" s="16" t="str">
        <f t="shared" si="116"/>
        <v>Buffer</v>
      </c>
      <c r="F2661" s="12">
        <v>40728.179756944446</v>
      </c>
      <c r="G2661" s="9" t="s">
        <v>171</v>
      </c>
      <c r="H2661" s="35" t="s">
        <v>2213</v>
      </c>
      <c r="I2661" s="18" t="s">
        <v>2214</v>
      </c>
    </row>
    <row r="2662" spans="1:9" s="31" customFormat="1" ht="60">
      <c r="A2662" s="19">
        <v>43546.194502314815</v>
      </c>
      <c r="B2662" s="20" t="str">
        <f>HYPERLINK("https://twitter.com/GuestHook","@GuestHook")</f>
        <v>@GuestHook</v>
      </c>
      <c r="C2662" s="21" t="s">
        <v>8942</v>
      </c>
      <c r="D2662" s="22" t="s">
        <v>8943</v>
      </c>
      <c r="E2662" s="23" t="str">
        <f>HYPERLINK("https://www.hootsuite.com","Hootsuite Inc.")</f>
        <v>Hootsuite Inc.</v>
      </c>
      <c r="F2662" s="19">
        <v>42137.364722222221</v>
      </c>
      <c r="G2662" s="9" t="s">
        <v>171</v>
      </c>
      <c r="H2662" s="35" t="s">
        <v>8944</v>
      </c>
      <c r="I2662" s="25" t="s">
        <v>8945</v>
      </c>
    </row>
    <row r="2663" spans="1:9" s="31" customFormat="1" ht="90">
      <c r="A2663" s="19">
        <v>43548.920555555553</v>
      </c>
      <c r="B2663" s="20" t="str">
        <f t="shared" ref="B2663:B2668" si="117">HYPERLINK("https://twitter.com/severefee","@severefee")</f>
        <v>@severefee</v>
      </c>
      <c r="C2663" s="21" t="s">
        <v>8198</v>
      </c>
      <c r="D2663" s="22" t="s">
        <v>8199</v>
      </c>
      <c r="E2663" s="23" t="str">
        <f t="shared" ref="E2663:E2668" si="118">HYPERLINK("http://twitter.com","Twitter Web Client")</f>
        <v>Twitter Web Client</v>
      </c>
      <c r="F2663" s="19">
        <v>43357.513969907406</v>
      </c>
      <c r="G2663" s="9" t="s">
        <v>171</v>
      </c>
      <c r="H2663" s="35" t="s">
        <v>8200</v>
      </c>
      <c r="I2663" s="25" t="s">
        <v>8201</v>
      </c>
    </row>
    <row r="2664" spans="1:9" s="31" customFormat="1" ht="90">
      <c r="A2664" s="19">
        <v>43548.0784837963</v>
      </c>
      <c r="B2664" s="20" t="str">
        <f t="shared" si="117"/>
        <v>@severefee</v>
      </c>
      <c r="C2664" s="21" t="s">
        <v>8198</v>
      </c>
      <c r="D2664" s="22" t="s">
        <v>8420</v>
      </c>
      <c r="E2664" s="23" t="str">
        <f t="shared" si="118"/>
        <v>Twitter Web Client</v>
      </c>
      <c r="F2664" s="19">
        <v>43357.513969907406</v>
      </c>
      <c r="G2664" s="9" t="s">
        <v>171</v>
      </c>
      <c r="H2664" s="35" t="s">
        <v>8200</v>
      </c>
      <c r="I2664" s="25" t="s">
        <v>8201</v>
      </c>
    </row>
    <row r="2665" spans="1:9" s="31" customFormat="1" ht="105">
      <c r="A2665" s="19">
        <v>43547.006400462968</v>
      </c>
      <c r="B2665" s="20" t="str">
        <f t="shared" si="117"/>
        <v>@severefee</v>
      </c>
      <c r="C2665" s="21" t="s">
        <v>8198</v>
      </c>
      <c r="D2665" s="22" t="s">
        <v>8685</v>
      </c>
      <c r="E2665" s="23" t="str">
        <f t="shared" si="118"/>
        <v>Twitter Web Client</v>
      </c>
      <c r="F2665" s="19">
        <v>43357.513969907406</v>
      </c>
      <c r="G2665" s="9" t="s">
        <v>171</v>
      </c>
      <c r="H2665" s="35" t="s">
        <v>8200</v>
      </c>
      <c r="I2665" s="25" t="s">
        <v>8201</v>
      </c>
    </row>
    <row r="2666" spans="1:9" s="31" customFormat="1" ht="105">
      <c r="A2666" s="19">
        <v>43546.251689814817</v>
      </c>
      <c r="B2666" s="20" t="str">
        <f t="shared" si="117"/>
        <v>@severefee</v>
      </c>
      <c r="C2666" s="21" t="s">
        <v>8198</v>
      </c>
      <c r="D2666" s="22" t="s">
        <v>8923</v>
      </c>
      <c r="E2666" s="23" t="str">
        <f t="shared" si="118"/>
        <v>Twitter Web Client</v>
      </c>
      <c r="F2666" s="19">
        <v>43357.513969907406</v>
      </c>
      <c r="G2666" s="9" t="s">
        <v>171</v>
      </c>
      <c r="H2666" s="35" t="s">
        <v>8200</v>
      </c>
      <c r="I2666" s="25" t="s">
        <v>8201</v>
      </c>
    </row>
    <row r="2667" spans="1:9" s="31" customFormat="1" ht="105">
      <c r="A2667" s="19">
        <v>43543.971851851849</v>
      </c>
      <c r="B2667" s="20" t="str">
        <f t="shared" si="117"/>
        <v>@severefee</v>
      </c>
      <c r="C2667" s="21" t="s">
        <v>8198</v>
      </c>
      <c r="D2667" s="22" t="s">
        <v>9651</v>
      </c>
      <c r="E2667" s="23" t="str">
        <f t="shared" si="118"/>
        <v>Twitter Web Client</v>
      </c>
      <c r="F2667" s="19">
        <v>43357.513969907406</v>
      </c>
      <c r="G2667" s="9" t="s">
        <v>171</v>
      </c>
      <c r="H2667" s="35" t="s">
        <v>8200</v>
      </c>
      <c r="I2667" s="25" t="s">
        <v>8201</v>
      </c>
    </row>
    <row r="2668" spans="1:9" s="31" customFormat="1" ht="105">
      <c r="A2668" s="19">
        <v>43542.95711805555</v>
      </c>
      <c r="B2668" s="20" t="str">
        <f t="shared" si="117"/>
        <v>@severefee</v>
      </c>
      <c r="C2668" s="21" t="s">
        <v>8198</v>
      </c>
      <c r="D2668" s="22" t="s">
        <v>9986</v>
      </c>
      <c r="E2668" s="23" t="str">
        <f t="shared" si="118"/>
        <v>Twitter Web Client</v>
      </c>
      <c r="F2668" s="19">
        <v>43357.513969907406</v>
      </c>
      <c r="G2668" s="9" t="s">
        <v>171</v>
      </c>
      <c r="H2668" s="35" t="s">
        <v>8200</v>
      </c>
      <c r="I2668" s="25" t="s">
        <v>8201</v>
      </c>
    </row>
    <row r="2669" spans="1:9" s="31" customFormat="1" ht="75">
      <c r="A2669" s="4">
        <v>43558.458831018521</v>
      </c>
      <c r="B2669" s="5" t="str">
        <f>HYPERLINK("https://twitter.com/yalantis","@yalantis")</f>
        <v>@yalantis</v>
      </c>
      <c r="C2669" s="6" t="s">
        <v>12170</v>
      </c>
      <c r="D2669" s="7" t="s">
        <v>12171</v>
      </c>
      <c r="E2669" s="8" t="str">
        <f>HYPERLINK("https://buffer.com","Buffer")</f>
        <v>Buffer</v>
      </c>
      <c r="F2669" s="4">
        <v>40028.098576388889</v>
      </c>
      <c r="G2669" s="9" t="s">
        <v>171</v>
      </c>
      <c r="H2669" s="35" t="s">
        <v>8200</v>
      </c>
      <c r="I2669" s="10" t="s">
        <v>12172</v>
      </c>
    </row>
    <row r="2670" spans="1:9" s="31" customFormat="1" ht="15">
      <c r="A2670" s="4">
        <v>43559.322060185186</v>
      </c>
      <c r="B2670" s="5" t="str">
        <f>HYPERLINK("https://twitter.com/GalinaMalan","@GalinaMalan")</f>
        <v>@GalinaMalan</v>
      </c>
      <c r="C2670" s="6" t="s">
        <v>11885</v>
      </c>
      <c r="D2670" s="7" t="s">
        <v>11886</v>
      </c>
      <c r="E2670" s="8" t="str">
        <f>HYPERLINK("http://twitter.com","Twitter Web Client")</f>
        <v>Twitter Web Client</v>
      </c>
      <c r="F2670" s="4">
        <v>40706.944039351853</v>
      </c>
      <c r="G2670" s="9" t="s">
        <v>171</v>
      </c>
      <c r="H2670" s="35" t="s">
        <v>11887</v>
      </c>
      <c r="I2670" s="10" t="s">
        <v>11888</v>
      </c>
    </row>
    <row r="2671" spans="1:9" s="31" customFormat="1" ht="45">
      <c r="A2671" s="19">
        <v>43551.250462962962</v>
      </c>
      <c r="B2671" s="20" t="str">
        <f>HYPERLINK("https://twitter.com/Homesecureshop","@Homesecureshop")</f>
        <v>@Homesecureshop</v>
      </c>
      <c r="C2671" s="21" t="s">
        <v>7381</v>
      </c>
      <c r="D2671" s="22" t="s">
        <v>7382</v>
      </c>
      <c r="E2671" s="23" t="str">
        <f>HYPERLINK("https://buffer.com","Buffer")</f>
        <v>Buffer</v>
      </c>
      <c r="F2671" s="19">
        <v>40726.0778125</v>
      </c>
      <c r="G2671" s="17" t="s">
        <v>171</v>
      </c>
      <c r="H2671" s="35" t="s">
        <v>146</v>
      </c>
      <c r="I2671" s="25" t="s">
        <v>7383</v>
      </c>
    </row>
    <row r="2672" spans="1:9" s="31" customFormat="1" ht="90">
      <c r="A2672" s="19">
        <v>43546.239606481482</v>
      </c>
      <c r="B2672" s="20" t="str">
        <f>HYPERLINK("https://twitter.com/beep_digital","@beep_digital")</f>
        <v>@beep_digital</v>
      </c>
      <c r="C2672" s="21" t="s">
        <v>8924</v>
      </c>
      <c r="D2672" s="22" t="s">
        <v>8925</v>
      </c>
      <c r="E2672" s="23" t="str">
        <f>HYPERLINK("https://sproutsocial.com","Sprout Social")</f>
        <v>Sprout Social</v>
      </c>
      <c r="F2672" s="19">
        <v>42117.388368055559</v>
      </c>
      <c r="G2672" s="17" t="s">
        <v>171</v>
      </c>
      <c r="H2672" s="35" t="s">
        <v>146</v>
      </c>
      <c r="I2672" s="25" t="s">
        <v>8926</v>
      </c>
    </row>
    <row r="2673" spans="1:9" s="31" customFormat="1" ht="45">
      <c r="A2673" s="4">
        <v>43565.634606481486</v>
      </c>
      <c r="B2673" s="5" t="str">
        <f>HYPERLINK("https://twitter.com/sideclose1","@sideclose1")</f>
        <v>@sideclose1</v>
      </c>
      <c r="C2673" s="6" t="s">
        <v>5981</v>
      </c>
      <c r="D2673" s="7" t="s">
        <v>5982</v>
      </c>
      <c r="E2673" s="8" t="str">
        <f>HYPERLINK("http://twitter.com/download/iphone","Twitter for iPhone")</f>
        <v>Twitter for iPhone</v>
      </c>
      <c r="F2673" s="4">
        <v>43531.972731481481</v>
      </c>
      <c r="G2673" s="17" t="s">
        <v>171</v>
      </c>
      <c r="H2673" s="35" t="s">
        <v>146</v>
      </c>
      <c r="I2673" s="10" t="s">
        <v>5983</v>
      </c>
    </row>
    <row r="2674" spans="1:9" s="31" customFormat="1" ht="135">
      <c r="A2674" s="4">
        <v>43565.234421296293</v>
      </c>
      <c r="B2674" s="5" t="str">
        <f>HYPERLINK("https://twitter.com/UnrulyBritannia","@UnrulyBritannia")</f>
        <v>@UnrulyBritannia</v>
      </c>
      <c r="C2674" s="6" t="s">
        <v>6220</v>
      </c>
      <c r="D2674" s="7" t="s">
        <v>6221</v>
      </c>
      <c r="E2674" s="8" t="str">
        <f>HYPERLINK("http://twitter.com","Twitter Web Client")</f>
        <v>Twitter Web Client</v>
      </c>
      <c r="F2674" s="4">
        <v>43483.399872685186</v>
      </c>
      <c r="G2674" s="17" t="s">
        <v>171</v>
      </c>
      <c r="H2674" s="35" t="s">
        <v>146</v>
      </c>
      <c r="I2674" s="10" t="s">
        <v>6222</v>
      </c>
    </row>
    <row r="2675" spans="1:9" s="31" customFormat="1" ht="60">
      <c r="A2675" s="4">
        <v>43565.068773148145</v>
      </c>
      <c r="B2675" s="5" t="str">
        <f>HYPERLINK("https://twitter.com/KathlynGadd","@KathlynGadd")</f>
        <v>@KathlynGadd</v>
      </c>
      <c r="C2675" s="6" t="s">
        <v>6303</v>
      </c>
      <c r="D2675" s="7" t="s">
        <v>6304</v>
      </c>
      <c r="E2675" s="8" t="str">
        <f>HYPERLINK("http://twitter.com","Twitter Web Client")</f>
        <v>Twitter Web Client</v>
      </c>
      <c r="F2675" s="4">
        <v>40891.531145833331</v>
      </c>
      <c r="G2675" s="17" t="s">
        <v>171</v>
      </c>
      <c r="H2675" s="35" t="s">
        <v>146</v>
      </c>
      <c r="I2675" s="10" t="s">
        <v>6305</v>
      </c>
    </row>
    <row r="2676" spans="1:9" s="31" customFormat="1" ht="45">
      <c r="A2676" s="4">
        <v>43564.579872685186</v>
      </c>
      <c r="B2676" s="5" t="str">
        <f>HYPERLINK("https://twitter.com/propertyDvision","@propertyDvision")</f>
        <v>@propertyDvision</v>
      </c>
      <c r="C2676" s="6" t="s">
        <v>803</v>
      </c>
      <c r="D2676" s="7" t="s">
        <v>804</v>
      </c>
      <c r="E2676" s="8" t="str">
        <f>HYPERLINK("https://eclincher.com","eClincher")</f>
        <v>eClincher</v>
      </c>
      <c r="F2676" s="4">
        <v>41050.149178240739</v>
      </c>
      <c r="G2676" s="17" t="s">
        <v>171</v>
      </c>
      <c r="H2676" s="35" t="s">
        <v>146</v>
      </c>
      <c r="I2676" s="10" t="s">
        <v>805</v>
      </c>
    </row>
    <row r="2677" spans="1:9" s="31" customFormat="1" ht="45">
      <c r="A2677" s="4">
        <v>43564.382048611107</v>
      </c>
      <c r="B2677" s="5" t="str">
        <f>HYPERLINK("https://twitter.com/MOKUonline","@MOKUonline")</f>
        <v>@MOKUonline</v>
      </c>
      <c r="C2677" s="6" t="s">
        <v>6641</v>
      </c>
      <c r="D2677" s="7" t="s">
        <v>6642</v>
      </c>
      <c r="E2677" s="8" t="str">
        <f>HYPERLINK("https://paper.li","Paper.li")</f>
        <v>Paper.li</v>
      </c>
      <c r="F2677" s="4">
        <v>42907.120520833334</v>
      </c>
      <c r="G2677" s="17" t="s">
        <v>171</v>
      </c>
      <c r="H2677" s="35" t="s">
        <v>146</v>
      </c>
      <c r="I2677" s="10" t="s">
        <v>6643</v>
      </c>
    </row>
    <row r="2678" spans="1:9" s="31" customFormat="1" ht="45">
      <c r="A2678" s="4">
        <v>43563.98269675926</v>
      </c>
      <c r="B2678" s="5" t="str">
        <f>HYPERLINK("https://twitter.com/RatesRelief","@RatesRelief")</f>
        <v>@RatesRelief</v>
      </c>
      <c r="C2678" s="6" t="s">
        <v>6836</v>
      </c>
      <c r="D2678" s="7" t="s">
        <v>6835</v>
      </c>
      <c r="E2678" s="8" t="str">
        <f>HYPERLINK("https://www.hootsuite.com","Hootsuite Inc.")</f>
        <v>Hootsuite Inc.</v>
      </c>
      <c r="F2678" s="4">
        <v>42814.346689814818</v>
      </c>
      <c r="G2678" s="17" t="s">
        <v>171</v>
      </c>
      <c r="H2678" s="35" t="s">
        <v>146</v>
      </c>
      <c r="I2678" s="10" t="s">
        <v>6837</v>
      </c>
    </row>
    <row r="2679" spans="1:9" s="31" customFormat="1" ht="105">
      <c r="A2679" s="4">
        <v>43561.65829861111</v>
      </c>
      <c r="B2679" s="5" t="str">
        <f>HYPERLINK("https://twitter.com/HeatherSnowie","@HeatherSnowie")</f>
        <v>@HeatherSnowie</v>
      </c>
      <c r="C2679" s="6" t="s">
        <v>10876</v>
      </c>
      <c r="D2679" s="7" t="s">
        <v>10877</v>
      </c>
      <c r="E2679" s="8" t="str">
        <f>HYPERLINK("https://ifttt.com","IFTTT")</f>
        <v>IFTTT</v>
      </c>
      <c r="F2679" s="4">
        <v>39884.299212962964</v>
      </c>
      <c r="G2679" s="17" t="s">
        <v>171</v>
      </c>
      <c r="H2679" s="35" t="s">
        <v>146</v>
      </c>
      <c r="I2679" s="10" t="s">
        <v>10878</v>
      </c>
    </row>
    <row r="2680" spans="1:9" s="31" customFormat="1" ht="45">
      <c r="A2680" s="4">
        <v>43560.244456018518</v>
      </c>
      <c r="B2680" s="5" t="str">
        <f>HYPERLINK("https://twitter.com/propertyDvision","@propertyDvision")</f>
        <v>@propertyDvision</v>
      </c>
      <c r="C2680" s="6" t="s">
        <v>803</v>
      </c>
      <c r="D2680" s="7" t="s">
        <v>804</v>
      </c>
      <c r="E2680" s="8" t="str">
        <f>HYPERLINK("https://eclincher.com","eClincher")</f>
        <v>eClincher</v>
      </c>
      <c r="F2680" s="4">
        <v>41050.149178240739</v>
      </c>
      <c r="G2680" s="17" t="s">
        <v>171</v>
      </c>
      <c r="H2680" s="35" t="s">
        <v>146</v>
      </c>
      <c r="I2680" s="10" t="s">
        <v>805</v>
      </c>
    </row>
    <row r="2681" spans="1:9" s="31" customFormat="1" ht="30">
      <c r="A2681" s="4">
        <v>43558.511122685188</v>
      </c>
      <c r="B2681" s="5" t="str">
        <f>HYPERLINK("https://twitter.com/propertyDvision","@propertyDvision")</f>
        <v>@propertyDvision</v>
      </c>
      <c r="C2681" s="6" t="s">
        <v>803</v>
      </c>
      <c r="D2681" s="7" t="s">
        <v>12149</v>
      </c>
      <c r="E2681" s="8" t="str">
        <f>HYPERLINK("https://eclincher.com","eClincher")</f>
        <v>eClincher</v>
      </c>
      <c r="F2681" s="4">
        <v>41050.149178240739</v>
      </c>
      <c r="G2681" s="17" t="s">
        <v>171</v>
      </c>
      <c r="H2681" s="35" t="s">
        <v>146</v>
      </c>
      <c r="I2681" s="10" t="s">
        <v>805</v>
      </c>
    </row>
    <row r="2682" spans="1:9" s="31" customFormat="1" ht="75">
      <c r="A2682" s="4">
        <v>43557.341678240744</v>
      </c>
      <c r="B2682" s="5" t="str">
        <f>HYPERLINK("https://twitter.com/intasure","@intasure")</f>
        <v>@intasure</v>
      </c>
      <c r="C2682" s="6" t="s">
        <v>12548</v>
      </c>
      <c r="D2682" s="7" t="s">
        <v>12549</v>
      </c>
      <c r="E2682" s="8" t="str">
        <f>HYPERLINK("https://www.semrush.com/","SEMrush Social Media Tool")</f>
        <v>SEMrush Social Media Tool</v>
      </c>
      <c r="F2682" s="4">
        <v>39974.362592592595</v>
      </c>
      <c r="G2682" s="17" t="s">
        <v>171</v>
      </c>
      <c r="H2682" s="35" t="s">
        <v>146</v>
      </c>
      <c r="I2682" s="10" t="s">
        <v>12550</v>
      </c>
    </row>
    <row r="2683" spans="1:9" s="31" customFormat="1" ht="60">
      <c r="A2683" s="12">
        <v>43580.142777777779</v>
      </c>
      <c r="B2683" s="13" t="str">
        <f>HYPERLINK("https://twitter.com/BritishInsurers","@BritishInsurers")</f>
        <v>@BritishInsurers</v>
      </c>
      <c r="C2683" s="14" t="s">
        <v>235</v>
      </c>
      <c r="D2683" s="15" t="s">
        <v>236</v>
      </c>
      <c r="E2683" s="16" t="str">
        <f>HYPERLINK("http://twitter.com","Twitter Web Client")</f>
        <v>Twitter Web Client</v>
      </c>
      <c r="F2683" s="12">
        <v>39988.31009259259</v>
      </c>
      <c r="G2683" s="17" t="s">
        <v>171</v>
      </c>
      <c r="H2683" s="35" t="s">
        <v>146</v>
      </c>
      <c r="I2683" s="18" t="s">
        <v>237</v>
      </c>
    </row>
    <row r="2684" spans="1:9" s="31" customFormat="1" ht="45">
      <c r="A2684" s="12">
        <v>43580.131377314814</v>
      </c>
      <c r="B2684" s="13" t="str">
        <f>HYPERLINK("https://twitter.com/CHMConsultancy","@CHMConsultancy")</f>
        <v>@CHMConsultancy</v>
      </c>
      <c r="C2684" s="14" t="s">
        <v>264</v>
      </c>
      <c r="D2684" s="15" t="s">
        <v>265</v>
      </c>
      <c r="E2684" s="16" t="str">
        <f>HYPERLINK("http://www.linkedin.com/","LinkedIn")</f>
        <v>LinkedIn</v>
      </c>
      <c r="F2684" s="12">
        <v>41717.346550925926</v>
      </c>
      <c r="G2684" s="17" t="s">
        <v>171</v>
      </c>
      <c r="H2684" s="35" t="s">
        <v>146</v>
      </c>
      <c r="I2684" s="18" t="s">
        <v>266</v>
      </c>
    </row>
    <row r="2685" spans="1:9" s="31" customFormat="1" ht="45">
      <c r="A2685" s="12">
        <v>43579.278483796297</v>
      </c>
      <c r="B2685" s="13" t="str">
        <f>HYPERLINK("https://twitter.com/propertyDvision","@propertyDvision")</f>
        <v>@propertyDvision</v>
      </c>
      <c r="C2685" s="14" t="s">
        <v>803</v>
      </c>
      <c r="D2685" s="15" t="s">
        <v>804</v>
      </c>
      <c r="E2685" s="16" t="str">
        <f>HYPERLINK("https://eclincher.com","eClincher")</f>
        <v>eClincher</v>
      </c>
      <c r="F2685" s="12">
        <v>41050.149178240739</v>
      </c>
      <c r="G2685" s="17" t="s">
        <v>171</v>
      </c>
      <c r="H2685" s="35" t="s">
        <v>146</v>
      </c>
      <c r="I2685" s="18" t="s">
        <v>805</v>
      </c>
    </row>
    <row r="2686" spans="1:9" s="31" customFormat="1" ht="105">
      <c r="A2686" s="12">
        <v>43577.414976851855</v>
      </c>
      <c r="B2686" s="13" t="str">
        <f>HYPERLINK("https://twitter.com/PackThePJs","@PackThePJs")</f>
        <v>@PackThePJs</v>
      </c>
      <c r="C2686" s="14" t="s">
        <v>1643</v>
      </c>
      <c r="D2686" s="15" t="s">
        <v>1644</v>
      </c>
      <c r="E2686" s="16" t="str">
        <f>HYPERLINK("http://twitter.com","Twitter Web Client")</f>
        <v>Twitter Web Client</v>
      </c>
      <c r="F2686" s="12">
        <v>42163.23133101852</v>
      </c>
      <c r="G2686" s="17" t="s">
        <v>171</v>
      </c>
      <c r="H2686" s="35" t="s">
        <v>146</v>
      </c>
      <c r="I2686" s="18" t="s">
        <v>1645</v>
      </c>
    </row>
    <row r="2687" spans="1:9" s="31" customFormat="1" ht="60">
      <c r="A2687" s="12">
        <v>43576.348611111112</v>
      </c>
      <c r="B2687" s="13" t="str">
        <f>HYPERLINK("https://twitter.com/ConvergeToday","@ConvergeToday")</f>
        <v>@ConvergeToday</v>
      </c>
      <c r="C2687" s="14" t="s">
        <v>1981</v>
      </c>
      <c r="D2687" s="15" t="s">
        <v>405</v>
      </c>
      <c r="E2687" s="16" t="str">
        <f>HYPERLINK("https://buffer.com","Buffer")</f>
        <v>Buffer</v>
      </c>
      <c r="F2687" s="12">
        <v>42046.213900462964</v>
      </c>
      <c r="G2687" s="17" t="s">
        <v>171</v>
      </c>
      <c r="H2687" s="35" t="s">
        <v>146</v>
      </c>
      <c r="I2687" s="18" t="s">
        <v>1982</v>
      </c>
    </row>
    <row r="2688" spans="1:9" s="31" customFormat="1" ht="135">
      <c r="A2688" s="12">
        <v>43574.281296296293</v>
      </c>
      <c r="B2688" s="13" t="str">
        <f>HYPERLINK("https://twitter.com/Celeb_FC","@Celeb_FC")</f>
        <v>@Celeb_FC</v>
      </c>
      <c r="C2688" s="14" t="s">
        <v>2631</v>
      </c>
      <c r="D2688" s="15" t="s">
        <v>2632</v>
      </c>
      <c r="E2688" s="16" t="str">
        <f>HYPERLINK("http://twitter.com/download/android","Twitter for Android")</f>
        <v>Twitter for Android</v>
      </c>
      <c r="F2688" s="12">
        <v>41493.081516203703</v>
      </c>
      <c r="G2688" s="17" t="s">
        <v>171</v>
      </c>
      <c r="H2688" s="35" t="s">
        <v>146</v>
      </c>
      <c r="I2688" s="18" t="s">
        <v>2633</v>
      </c>
    </row>
    <row r="2689" spans="1:9" s="31" customFormat="1" ht="45">
      <c r="A2689" s="12">
        <v>43573.584733796291</v>
      </c>
      <c r="B2689" s="13" t="str">
        <f>HYPERLINK("https://twitter.com/propertyDvision","@propertyDvision")</f>
        <v>@propertyDvision</v>
      </c>
      <c r="C2689" s="14" t="s">
        <v>803</v>
      </c>
      <c r="D2689" s="15" t="s">
        <v>804</v>
      </c>
      <c r="E2689" s="16" t="str">
        <f>HYPERLINK("https://eclincher.com","eClincher")</f>
        <v>eClincher</v>
      </c>
      <c r="F2689" s="12">
        <v>41050.149178240739</v>
      </c>
      <c r="G2689" s="17" t="s">
        <v>171</v>
      </c>
      <c r="H2689" s="35" t="s">
        <v>146</v>
      </c>
      <c r="I2689" s="18" t="s">
        <v>805</v>
      </c>
    </row>
    <row r="2690" spans="1:9" s="31" customFormat="1" ht="60">
      <c r="A2690" s="12">
        <v>43570.9534837963</v>
      </c>
      <c r="B2690" s="13" t="str">
        <f>HYPERLINK("https://twitter.com/hbizmag","@hbizmag")</f>
        <v>@hbizmag</v>
      </c>
      <c r="C2690" s="14" t="s">
        <v>3922</v>
      </c>
      <c r="D2690" s="15" t="s">
        <v>405</v>
      </c>
      <c r="E2690" s="16" t="str">
        <f>HYPERLINK("https://buffer.com","Buffer")</f>
        <v>Buffer</v>
      </c>
      <c r="F2690" s="12">
        <v>42669.128425925926</v>
      </c>
      <c r="G2690" s="17" t="s">
        <v>171</v>
      </c>
      <c r="H2690" s="35" t="s">
        <v>146</v>
      </c>
      <c r="I2690" s="18" t="s">
        <v>3923</v>
      </c>
    </row>
    <row r="2691" spans="1:9" s="31" customFormat="1" ht="75">
      <c r="A2691" s="12">
        <v>43568.194456018522</v>
      </c>
      <c r="B2691" s="13" t="str">
        <f>HYPERLINK("https://twitter.com/_Viewber","@_Viewber")</f>
        <v>@_Viewber</v>
      </c>
      <c r="C2691" s="14" t="s">
        <v>4848</v>
      </c>
      <c r="D2691" s="15" t="s">
        <v>4849</v>
      </c>
      <c r="E2691" s="16" t="str">
        <f>HYPERLINK("https://buffer.com","Buffer")</f>
        <v>Buffer</v>
      </c>
      <c r="F2691" s="12">
        <v>42607.336111111115</v>
      </c>
      <c r="G2691" s="17" t="s">
        <v>171</v>
      </c>
      <c r="H2691" s="35" t="s">
        <v>146</v>
      </c>
      <c r="I2691" s="18" t="s">
        <v>4850</v>
      </c>
    </row>
    <row r="2692" spans="1:9" s="31" customFormat="1" ht="45">
      <c r="A2692" s="12">
        <v>43566.734803240739</v>
      </c>
      <c r="B2692" s="13" t="str">
        <f>HYPERLINK("https://twitter.com/AzulHood","@AzulHood")</f>
        <v>@AzulHood</v>
      </c>
      <c r="C2692" s="14" t="s">
        <v>5365</v>
      </c>
      <c r="D2692" s="15" t="s">
        <v>5366</v>
      </c>
      <c r="E2692" s="16" t="str">
        <f>HYPERLINK("http://twitter.com/download/android","Twitter for Android")</f>
        <v>Twitter for Android</v>
      </c>
      <c r="F2692" s="12">
        <v>41394.582731481481</v>
      </c>
      <c r="G2692" s="17" t="s">
        <v>171</v>
      </c>
      <c r="H2692" s="35" t="s">
        <v>146</v>
      </c>
      <c r="I2692" s="18" t="s">
        <v>5367</v>
      </c>
    </row>
    <row r="2693" spans="1:9" s="31" customFormat="1" ht="45">
      <c r="A2693" s="12">
        <v>43579.304907407408</v>
      </c>
      <c r="B2693" s="13" t="str">
        <f>HYPERLINK("https://twitter.com/BaetensIngrid","@BaetensIngrid")</f>
        <v>@BaetensIngrid</v>
      </c>
      <c r="C2693" s="14" t="s">
        <v>786</v>
      </c>
      <c r="D2693" s="15" t="s">
        <v>787</v>
      </c>
      <c r="E2693" s="16" t="str">
        <f>HYPERLINK("http://twitter.com/download/iphone","Twitter for iPhone")</f>
        <v>Twitter for iPhone</v>
      </c>
      <c r="F2693" s="12">
        <v>43577.290763888886</v>
      </c>
      <c r="G2693" s="17" t="s">
        <v>171</v>
      </c>
      <c r="H2693" s="35" t="s">
        <v>788</v>
      </c>
      <c r="I2693" s="18" t="s">
        <v>789</v>
      </c>
    </row>
    <row r="2694" spans="1:9" s="31" customFormat="1" ht="30">
      <c r="A2694" s="12">
        <v>43577.314467592594</v>
      </c>
      <c r="B2694" s="13" t="str">
        <f>HYPERLINK("https://twitter.com/BaetensIngrid","@BaetensIngrid")</f>
        <v>@BaetensIngrid</v>
      </c>
      <c r="C2694" s="14" t="s">
        <v>1666</v>
      </c>
      <c r="D2694" s="15" t="s">
        <v>1667</v>
      </c>
      <c r="E2694" s="16" t="str">
        <f>HYPERLINK("http://twitter.com/download/iphone","Twitter for iPhone")</f>
        <v>Twitter for iPhone</v>
      </c>
      <c r="F2694" s="12">
        <v>43577.290763888886</v>
      </c>
      <c r="G2694" s="17" t="s">
        <v>171</v>
      </c>
      <c r="H2694" s="35" t="s">
        <v>788</v>
      </c>
      <c r="I2694" s="18" t="s">
        <v>789</v>
      </c>
    </row>
    <row r="2695" spans="1:9" s="31" customFormat="1" ht="60">
      <c r="A2695" s="19">
        <v>43546.791666666672</v>
      </c>
      <c r="B2695" s="20" t="str">
        <f>HYPERLINK("https://twitter.com/placerdiario","@placerdiario")</f>
        <v>@placerdiario</v>
      </c>
      <c r="C2695" s="21" t="s">
        <v>8722</v>
      </c>
      <c r="D2695" s="22" t="s">
        <v>8723</v>
      </c>
      <c r="E2695" s="23" t="str">
        <f>HYPERLINK("https://ribbon.social","Ribbon.Social")</f>
        <v>Ribbon.Social</v>
      </c>
      <c r="F2695" s="19">
        <v>39535.241122685184</v>
      </c>
      <c r="G2695" s="24" t="s">
        <v>171</v>
      </c>
      <c r="H2695" s="35" t="s">
        <v>8724</v>
      </c>
      <c r="I2695" s="25" t="s">
        <v>8725</v>
      </c>
    </row>
    <row r="2696" spans="1:9" s="31" customFormat="1" ht="45">
      <c r="A2696" s="12">
        <v>43580.056250000001</v>
      </c>
      <c r="B2696" s="13" t="str">
        <f>HYPERLINK("https://twitter.com/alxaraya","@alxaraya")</f>
        <v>@alxaraya</v>
      </c>
      <c r="C2696" s="14" t="s">
        <v>305</v>
      </c>
      <c r="D2696" s="15" t="s">
        <v>306</v>
      </c>
      <c r="E2696" s="16" t="str">
        <f>HYPERLINK("http://twitter.com/download/iphone","Twitter for iPhone")</f>
        <v>Twitter for iPhone</v>
      </c>
      <c r="F2696" s="12">
        <v>39635.478414351848</v>
      </c>
      <c r="G2696" s="17" t="s">
        <v>171</v>
      </c>
      <c r="H2696" s="35" t="s">
        <v>307</v>
      </c>
      <c r="I2696" s="18" t="s">
        <v>308</v>
      </c>
    </row>
    <row r="2697" spans="1:9" s="31" customFormat="1" ht="75">
      <c r="A2697" s="19">
        <v>43547.042222222226</v>
      </c>
      <c r="B2697" s="20" t="str">
        <f>HYPERLINK("https://twitter.com/CasaPasqueee","@CasaPasqueee")</f>
        <v>@CasaPasqueee</v>
      </c>
      <c r="C2697" s="21" t="s">
        <v>8668</v>
      </c>
      <c r="D2697" s="22" t="s">
        <v>8669</v>
      </c>
      <c r="E2697" s="23" t="str">
        <f>HYPERLINK("http://twitter.com/download/android","Twitter for Android")</f>
        <v>Twitter for Android</v>
      </c>
      <c r="F2697" s="19">
        <v>43497.618726851855</v>
      </c>
      <c r="G2697" s="24" t="s">
        <v>171</v>
      </c>
      <c r="H2697" s="35" t="s">
        <v>8670</v>
      </c>
      <c r="I2697" s="25" t="s">
        <v>8671</v>
      </c>
    </row>
    <row r="2698" spans="1:9" s="31" customFormat="1" ht="45">
      <c r="A2698" s="4">
        <v>43557.290104166663</v>
      </c>
      <c r="B2698" s="5" t="str">
        <f>HYPERLINK("https://twitter.com/peterkeates","@peterkeates")</f>
        <v>@peterkeates</v>
      </c>
      <c r="C2698" s="6" t="s">
        <v>12582</v>
      </c>
      <c r="D2698" s="7" t="s">
        <v>12583</v>
      </c>
      <c r="E2698" s="8" t="str">
        <f>HYPERLINK("http://www.ajaymatharu.com/","Tweet Old Post")</f>
        <v>Tweet Old Post</v>
      </c>
      <c r="F2698" s="4">
        <v>40067.51048611111</v>
      </c>
      <c r="G2698" s="24" t="s">
        <v>171</v>
      </c>
      <c r="H2698" s="35" t="s">
        <v>12584</v>
      </c>
      <c r="I2698" s="10" t="s">
        <v>12585</v>
      </c>
    </row>
    <row r="2699" spans="1:9" s="31" customFormat="1" ht="75">
      <c r="A2699" s="4">
        <v>43564.412546296298</v>
      </c>
      <c r="B2699" s="5" t="str">
        <f>HYPERLINK("https://twitter.com/RoomsLuccaGemma","@RoomsLuccaGemma")</f>
        <v>@RoomsLuccaGemma</v>
      </c>
      <c r="C2699" s="6" t="s">
        <v>6619</v>
      </c>
      <c r="D2699" s="7" t="s">
        <v>6620</v>
      </c>
      <c r="E2699" s="8" t="str">
        <f>HYPERLINK("http://twitter.com","Twitter Web Client")</f>
        <v>Twitter Web Client</v>
      </c>
      <c r="F2699" s="4">
        <v>42196.602280092593</v>
      </c>
      <c r="G2699" s="24" t="s">
        <v>171</v>
      </c>
      <c r="H2699" s="35" t="s">
        <v>6621</v>
      </c>
      <c r="I2699" s="10" t="s">
        <v>6622</v>
      </c>
    </row>
    <row r="2700" spans="1:9" s="31" customFormat="1" ht="45">
      <c r="A2700" s="19">
        <v>43544.228310185186</v>
      </c>
      <c r="B2700" s="20" t="str">
        <f>HYPERLINK("https://twitter.com/AleAccebbi","@AleAccebbi")</f>
        <v>@AleAccebbi</v>
      </c>
      <c r="C2700" s="21" t="s">
        <v>9573</v>
      </c>
      <c r="D2700" s="22" t="s">
        <v>9574</v>
      </c>
      <c r="E2700" s="23" t="str">
        <f>HYPERLINK("http://twitter.com/#!/download/ipad","Twitter for iPad")</f>
        <v>Twitter for iPad</v>
      </c>
      <c r="F2700" s="19">
        <v>40823.705648148149</v>
      </c>
      <c r="G2700" s="24" t="s">
        <v>171</v>
      </c>
      <c r="H2700" s="35" t="s">
        <v>9575</v>
      </c>
      <c r="I2700" s="25" t="s">
        <v>9576</v>
      </c>
    </row>
    <row r="2701" spans="1:9" s="31" customFormat="1" ht="135">
      <c r="A2701" s="19">
        <v>43551.118611111116</v>
      </c>
      <c r="B2701" s="20" t="str">
        <f>HYPERLINK("https://twitter.com/Govithinks","@Govithinks")</f>
        <v>@Govithinks</v>
      </c>
      <c r="C2701" s="21" t="s">
        <v>7436</v>
      </c>
      <c r="D2701" s="22" t="s">
        <v>7437</v>
      </c>
      <c r="E2701" s="23" t="str">
        <f>HYPERLINK("http://twitter.com/download/android","Twitter for Android")</f>
        <v>Twitter for Android</v>
      </c>
      <c r="F2701" s="19">
        <v>42009.322939814811</v>
      </c>
      <c r="G2701" s="9" t="s">
        <v>171</v>
      </c>
      <c r="H2701" s="35" t="s">
        <v>7438</v>
      </c>
      <c r="I2701" s="25" t="s">
        <v>7439</v>
      </c>
    </row>
    <row r="2702" spans="1:9" s="31" customFormat="1" ht="45">
      <c r="A2702" s="4">
        <v>43557.100601851853</v>
      </c>
      <c r="B2702" s="5" t="str">
        <f>HYPERLINK("https://twitter.com/Govithinks","@Govithinks")</f>
        <v>@Govithinks</v>
      </c>
      <c r="C2702" s="6" t="s">
        <v>7436</v>
      </c>
      <c r="D2702" s="7" t="s">
        <v>12654</v>
      </c>
      <c r="E2702" s="8" t="str">
        <f>HYPERLINK("http://twitter.com/download/android","Twitter for Android")</f>
        <v>Twitter for Android</v>
      </c>
      <c r="F2702" s="4">
        <v>42009.322939814811</v>
      </c>
      <c r="G2702" s="9" t="s">
        <v>171</v>
      </c>
      <c r="H2702" s="35" t="s">
        <v>7438</v>
      </c>
      <c r="I2702" s="10" t="s">
        <v>7439</v>
      </c>
    </row>
    <row r="2703" spans="1:9" s="31" customFormat="1" ht="30">
      <c r="A2703" s="19">
        <v>43551.675520833334</v>
      </c>
      <c r="B2703" s="20" t="str">
        <f>HYPERLINK("https://twitter.com/boredpanda","@boredpanda")</f>
        <v>@boredpanda</v>
      </c>
      <c r="C2703" s="21" t="s">
        <v>155</v>
      </c>
      <c r="D2703" s="22" t="s">
        <v>7057</v>
      </c>
      <c r="E2703" s="23" t="str">
        <f>HYPERLINK("http://twitter.com","Twitter Web Client")</f>
        <v>Twitter Web Client</v>
      </c>
      <c r="F2703" s="19">
        <v>40017.696712962963</v>
      </c>
      <c r="G2703" s="17" t="s">
        <v>171</v>
      </c>
      <c r="H2703" s="35" t="s">
        <v>156</v>
      </c>
      <c r="I2703" s="25" t="s">
        <v>157</v>
      </c>
    </row>
    <row r="2704" spans="1:9" s="31" customFormat="1" ht="45">
      <c r="A2704" s="12">
        <v>43580.659826388888</v>
      </c>
      <c r="B2704" s="13" t="str">
        <f>HYPERLINK("https://twitter.com/boredpanda","@boredpanda")</f>
        <v>@boredpanda</v>
      </c>
      <c r="C2704" s="14" t="s">
        <v>155</v>
      </c>
      <c r="D2704" s="15" t="s">
        <v>144</v>
      </c>
      <c r="E2704" s="16" t="str">
        <f>HYPERLINK("http://twitter.com","Twitter Web Client")</f>
        <v>Twitter Web Client</v>
      </c>
      <c r="F2704" s="12">
        <v>40018.155046296299</v>
      </c>
      <c r="G2704" s="17" t="s">
        <v>171</v>
      </c>
      <c r="H2704" s="35" t="s">
        <v>156</v>
      </c>
      <c r="I2704" s="18" t="s">
        <v>157</v>
      </c>
    </row>
    <row r="2705" spans="1:9" s="31" customFormat="1" ht="75">
      <c r="A2705" s="12">
        <v>43577.30841435185</v>
      </c>
      <c r="B2705" s="13" t="str">
        <f>HYPERLINK("https://twitter.com/vilnius_stay","@vilnius_stay")</f>
        <v>@vilnius_stay</v>
      </c>
      <c r="C2705" s="14" t="s">
        <v>1668</v>
      </c>
      <c r="D2705" s="15" t="s">
        <v>1669</v>
      </c>
      <c r="E2705" s="16" t="str">
        <f>HYPERLINK("http://twitter.com/download/android","Twitter for Android")</f>
        <v>Twitter for Android</v>
      </c>
      <c r="F2705" s="12">
        <v>43318.09103009259</v>
      </c>
      <c r="G2705" s="17" t="s">
        <v>171</v>
      </c>
      <c r="H2705" s="35" t="s">
        <v>156</v>
      </c>
      <c r="I2705" s="18" t="s">
        <v>1670</v>
      </c>
    </row>
    <row r="2706" spans="1:9" s="31" customFormat="1" ht="75">
      <c r="A2706" s="12">
        <v>43566.167615740742</v>
      </c>
      <c r="B2706" s="13" t="str">
        <f>HYPERLINK("https://twitter.com/thpalazzozelli","@thpalazzozelli")</f>
        <v>@thpalazzozelli</v>
      </c>
      <c r="C2706" s="14" t="s">
        <v>5752</v>
      </c>
      <c r="D2706" s="15" t="s">
        <v>5753</v>
      </c>
      <c r="E2706" s="16" t="str">
        <f>HYPERLINK("http://instagram.com","Instagram")</f>
        <v>Instagram</v>
      </c>
      <c r="F2706" s="12">
        <v>42375.122893518521</v>
      </c>
      <c r="G2706" s="17" t="s">
        <v>171</v>
      </c>
      <c r="H2706" s="35" t="s">
        <v>5754</v>
      </c>
      <c r="I2706" s="18"/>
    </row>
    <row r="2707" spans="1:9" s="31" customFormat="1" ht="45">
      <c r="A2707" s="12">
        <v>43579.887372685189</v>
      </c>
      <c r="B2707" s="13" t="str">
        <f>HYPERLINK("https://twitter.com/MZamkevich","@MZamkevich")</f>
        <v>@MZamkevich</v>
      </c>
      <c r="C2707" s="14" t="s">
        <v>411</v>
      </c>
      <c r="D2707" s="15" t="s">
        <v>412</v>
      </c>
      <c r="E2707" s="16" t="str">
        <f>HYPERLINK("http://twitter.com","Twitter Web Client")</f>
        <v>Twitter Web Client</v>
      </c>
      <c r="F2707" s="12">
        <v>42679.233530092592</v>
      </c>
      <c r="G2707" s="17" t="s">
        <v>171</v>
      </c>
      <c r="H2707" s="35" t="s">
        <v>413</v>
      </c>
      <c r="I2707" s="18" t="s">
        <v>414</v>
      </c>
    </row>
    <row r="2708" spans="1:9" s="31" customFormat="1" ht="105">
      <c r="A2708" s="4">
        <v>43561.061967592592</v>
      </c>
      <c r="B2708" s="5" t="str">
        <f>HYPERLINK("https://twitter.com/Eyqueum","@Eyqueum")</f>
        <v>@Eyqueum</v>
      </c>
      <c r="C2708" s="6" t="s">
        <v>11091</v>
      </c>
      <c r="D2708" s="7" t="s">
        <v>11092</v>
      </c>
      <c r="E2708" s="8" t="str">
        <f>HYPERLINK("http://twitter.com/#!/download/ipad","Twitter for iPad")</f>
        <v>Twitter for iPad</v>
      </c>
      <c r="F2708" s="4">
        <v>41363.18104166667</v>
      </c>
      <c r="G2708" s="9" t="s">
        <v>171</v>
      </c>
      <c r="H2708" s="35" t="s">
        <v>11093</v>
      </c>
      <c r="I2708" s="10" t="s">
        <v>11094</v>
      </c>
    </row>
    <row r="2709" spans="1:9" s="31" customFormat="1" ht="105">
      <c r="A2709" s="19">
        <v>43548.375960648147</v>
      </c>
      <c r="B2709" s="20" t="str">
        <f>HYPERLINK("https://twitter.com/TheHDTravels","@TheHDTravels")</f>
        <v>@TheHDTravels</v>
      </c>
      <c r="C2709" s="21" t="s">
        <v>5130</v>
      </c>
      <c r="D2709" s="22" t="s">
        <v>6071</v>
      </c>
      <c r="E2709" s="23" t="str">
        <f>HYPERLINK("https://www.hootsuite.com","Hootsuite Inc.")</f>
        <v>Hootsuite Inc.</v>
      </c>
      <c r="F2709" s="19">
        <v>43275.453680555554</v>
      </c>
      <c r="G2709" s="17" t="s">
        <v>171</v>
      </c>
      <c r="H2709" s="35" t="s">
        <v>5132</v>
      </c>
      <c r="I2709" s="25" t="s">
        <v>5133</v>
      </c>
    </row>
    <row r="2710" spans="1:9" s="31" customFormat="1" ht="105">
      <c r="A2710" s="4">
        <v>43565.459745370375</v>
      </c>
      <c r="B2710" s="5" t="str">
        <f>HYPERLINK("https://twitter.com/TheHDTravels","@TheHDTravels")</f>
        <v>@TheHDTravels</v>
      </c>
      <c r="C2710" s="6" t="s">
        <v>5130</v>
      </c>
      <c r="D2710" s="7" t="s">
        <v>6071</v>
      </c>
      <c r="E2710" s="8" t="str">
        <f>HYPERLINK("https://www.hootsuite.com","Hootsuite Inc.")</f>
        <v>Hootsuite Inc.</v>
      </c>
      <c r="F2710" s="4">
        <v>43275.453680555554</v>
      </c>
      <c r="G2710" s="17" t="s">
        <v>171</v>
      </c>
      <c r="H2710" s="35" t="s">
        <v>5132</v>
      </c>
      <c r="I2710" s="10" t="s">
        <v>5133</v>
      </c>
    </row>
    <row r="2711" spans="1:9" s="31" customFormat="1" ht="105">
      <c r="A2711" s="12">
        <v>43567.382245370369</v>
      </c>
      <c r="B2711" s="13" t="str">
        <f>HYPERLINK("https://twitter.com/TheHDTravels","@TheHDTravels")</f>
        <v>@TheHDTravels</v>
      </c>
      <c r="C2711" s="14" t="s">
        <v>5130</v>
      </c>
      <c r="D2711" s="15" t="s">
        <v>5131</v>
      </c>
      <c r="E2711" s="16" t="str">
        <f>HYPERLINK("https://www.hootsuite.com","Hootsuite Inc.")</f>
        <v>Hootsuite Inc.</v>
      </c>
      <c r="F2711" s="12">
        <v>43275.453680555554</v>
      </c>
      <c r="G2711" s="17" t="s">
        <v>171</v>
      </c>
      <c r="H2711" s="35" t="s">
        <v>5132</v>
      </c>
      <c r="I2711" s="18" t="s">
        <v>5133</v>
      </c>
    </row>
    <row r="2712" spans="1:9" s="31" customFormat="1" ht="90">
      <c r="A2712" s="4">
        <v>43558.246076388888</v>
      </c>
      <c r="B2712" s="5" t="str">
        <f>HYPERLINK("https://twitter.com/mmshah73","@mmshah73")</f>
        <v>@mmshah73</v>
      </c>
      <c r="C2712" s="6" t="s">
        <v>12270</v>
      </c>
      <c r="D2712" s="7" t="s">
        <v>12271</v>
      </c>
      <c r="E2712" s="8" t="str">
        <f>HYPERLINK("http://www.facebook.com/twitter","Facebook")</f>
        <v>Facebook</v>
      </c>
      <c r="F2712" s="4">
        <v>40252.688599537039</v>
      </c>
      <c r="G2712" s="9" t="s">
        <v>171</v>
      </c>
      <c r="H2712" s="35" t="s">
        <v>12272</v>
      </c>
      <c r="I2712" s="10" t="s">
        <v>12273</v>
      </c>
    </row>
    <row r="2713" spans="1:9" s="31" customFormat="1" ht="45">
      <c r="A2713" s="19">
        <v>43543.007488425923</v>
      </c>
      <c r="B2713" s="20" t="str">
        <f>HYPERLINK("https://twitter.com/Ranners","@Ranners")</f>
        <v>@Ranners</v>
      </c>
      <c r="C2713" s="21" t="s">
        <v>9965</v>
      </c>
      <c r="D2713" s="22" t="s">
        <v>9966</v>
      </c>
      <c r="E2713" s="23" t="str">
        <f>HYPERLINK("http://twitter.com/download/android","Twitter for Android")</f>
        <v>Twitter for Android</v>
      </c>
      <c r="F2713" s="19">
        <v>39785.081585648149</v>
      </c>
      <c r="G2713" s="9" t="s">
        <v>171</v>
      </c>
      <c r="H2713" s="35" t="s">
        <v>9967</v>
      </c>
      <c r="I2713" s="25" t="s">
        <v>9968</v>
      </c>
    </row>
    <row r="2714" spans="1:9" s="31" customFormat="1" ht="60">
      <c r="A2714" s="4">
        <v>43560.116469907407</v>
      </c>
      <c r="B2714" s="5" t="str">
        <f>HYPERLINK("https://twitter.com/Ranners","@Ranners")</f>
        <v>@Ranners</v>
      </c>
      <c r="C2714" s="6" t="s">
        <v>9965</v>
      </c>
      <c r="D2714" s="7" t="s">
        <v>11604</v>
      </c>
      <c r="E2714" s="8" t="str">
        <f>HYPERLINK("http://twitter.com/download/android","Twitter for Android")</f>
        <v>Twitter for Android</v>
      </c>
      <c r="F2714" s="4">
        <v>39785.081585648149</v>
      </c>
      <c r="G2714" s="9" t="s">
        <v>171</v>
      </c>
      <c r="H2714" s="35" t="s">
        <v>9967</v>
      </c>
      <c r="I2714" s="10" t="s">
        <v>9968</v>
      </c>
    </row>
    <row r="2715" spans="1:9" s="31" customFormat="1" ht="45">
      <c r="A2715" s="12">
        <v>43580.134641203702</v>
      </c>
      <c r="B2715" s="13" t="str">
        <f>HYPERLINK("https://twitter.com/bizfinancial","@bizfinancial")</f>
        <v>@bizfinancial</v>
      </c>
      <c r="C2715" s="14" t="s">
        <v>258</v>
      </c>
      <c r="D2715" s="15" t="s">
        <v>74</v>
      </c>
      <c r="E2715" s="16" t="str">
        <f>HYPERLINK("https://mobile.twitter.com","Twitter Web App")</f>
        <v>Twitter Web App</v>
      </c>
      <c r="F2715" s="12">
        <v>40448.457858796297</v>
      </c>
      <c r="G2715" s="17" t="s">
        <v>171</v>
      </c>
      <c r="H2715" s="35" t="s">
        <v>259</v>
      </c>
      <c r="I2715" s="18" t="s">
        <v>260</v>
      </c>
    </row>
    <row r="2716" spans="1:9" s="31" customFormat="1" ht="120">
      <c r="A2716" s="19">
        <v>43545.089699074073</v>
      </c>
      <c r="B2716" s="20" t="str">
        <f t="shared" ref="B2716:B2721" si="119">HYPERLINK("https://twitter.com/StMarysSpace","@StMarysSpace")</f>
        <v>@StMarysSpace</v>
      </c>
      <c r="C2716" s="21" t="s">
        <v>965</v>
      </c>
      <c r="D2716" s="22" t="s">
        <v>9282</v>
      </c>
      <c r="E2716" s="23" t="str">
        <f t="shared" ref="E2716:E2721" si="120">HYPERLINK("http://twitter.com","Twitter Web Client")</f>
        <v>Twitter Web Client</v>
      </c>
      <c r="F2716" s="19">
        <v>42109.03396990741</v>
      </c>
      <c r="G2716" s="17" t="s">
        <v>171</v>
      </c>
      <c r="H2716" s="35" t="s">
        <v>967</v>
      </c>
      <c r="I2716" s="25" t="s">
        <v>968</v>
      </c>
    </row>
    <row r="2717" spans="1:9" s="31" customFormat="1" ht="120">
      <c r="A2717" s="4">
        <v>43565.311099537037</v>
      </c>
      <c r="B2717" s="5" t="str">
        <f t="shared" si="119"/>
        <v>@StMarysSpace</v>
      </c>
      <c r="C2717" s="6" t="s">
        <v>965</v>
      </c>
      <c r="D2717" s="7" t="s">
        <v>6184</v>
      </c>
      <c r="E2717" s="8" t="str">
        <f t="shared" si="120"/>
        <v>Twitter Web Client</v>
      </c>
      <c r="F2717" s="4">
        <v>42109.03396990741</v>
      </c>
      <c r="G2717" s="17" t="s">
        <v>171</v>
      </c>
      <c r="H2717" s="35" t="s">
        <v>967</v>
      </c>
      <c r="I2717" s="10" t="s">
        <v>968</v>
      </c>
    </row>
    <row r="2718" spans="1:9" s="31" customFormat="1" ht="105">
      <c r="A2718" s="12">
        <v>43579.002418981487</v>
      </c>
      <c r="B2718" s="13" t="str">
        <f t="shared" si="119"/>
        <v>@StMarysSpace</v>
      </c>
      <c r="C2718" s="14" t="s">
        <v>965</v>
      </c>
      <c r="D2718" s="15" t="s">
        <v>966</v>
      </c>
      <c r="E2718" s="16" t="str">
        <f t="shared" si="120"/>
        <v>Twitter Web Client</v>
      </c>
      <c r="F2718" s="12">
        <v>42109.03396990741</v>
      </c>
      <c r="G2718" s="17" t="s">
        <v>171</v>
      </c>
      <c r="H2718" s="35" t="s">
        <v>967</v>
      </c>
      <c r="I2718" s="18" t="s">
        <v>968</v>
      </c>
    </row>
    <row r="2719" spans="1:9" s="31" customFormat="1" ht="105">
      <c r="A2719" s="12">
        <v>43573.083032407405</v>
      </c>
      <c r="B2719" s="13" t="str">
        <f t="shared" si="119"/>
        <v>@StMarysSpace</v>
      </c>
      <c r="C2719" s="14" t="s">
        <v>965</v>
      </c>
      <c r="D2719" s="15" t="s">
        <v>3014</v>
      </c>
      <c r="E2719" s="16" t="str">
        <f t="shared" si="120"/>
        <v>Twitter Web Client</v>
      </c>
      <c r="F2719" s="12">
        <v>42109.03396990741</v>
      </c>
      <c r="G2719" s="17" t="s">
        <v>171</v>
      </c>
      <c r="H2719" s="35" t="s">
        <v>967</v>
      </c>
      <c r="I2719" s="18" t="s">
        <v>968</v>
      </c>
    </row>
    <row r="2720" spans="1:9" s="31" customFormat="1" ht="120">
      <c r="A2720" s="12">
        <v>43571.071851851855</v>
      </c>
      <c r="B2720" s="13" t="str">
        <f t="shared" si="119"/>
        <v>@StMarysSpace</v>
      </c>
      <c r="C2720" s="14" t="s">
        <v>965</v>
      </c>
      <c r="D2720" s="15" t="s">
        <v>3860</v>
      </c>
      <c r="E2720" s="16" t="str">
        <f t="shared" si="120"/>
        <v>Twitter Web Client</v>
      </c>
      <c r="F2720" s="12">
        <v>42109.03396990741</v>
      </c>
      <c r="G2720" s="17" t="s">
        <v>171</v>
      </c>
      <c r="H2720" s="35" t="s">
        <v>967</v>
      </c>
      <c r="I2720" s="18" t="s">
        <v>968</v>
      </c>
    </row>
    <row r="2721" spans="1:9" s="31" customFormat="1" ht="120">
      <c r="A2721" s="12">
        <v>43566.995532407411</v>
      </c>
      <c r="B2721" s="13" t="str">
        <f t="shared" si="119"/>
        <v>@StMarysSpace</v>
      </c>
      <c r="C2721" s="14" t="s">
        <v>965</v>
      </c>
      <c r="D2721" s="15" t="s">
        <v>5282</v>
      </c>
      <c r="E2721" s="16" t="str">
        <f t="shared" si="120"/>
        <v>Twitter Web Client</v>
      </c>
      <c r="F2721" s="12">
        <v>42109.03396990741</v>
      </c>
      <c r="G2721" s="17" t="s">
        <v>171</v>
      </c>
      <c r="H2721" s="35" t="s">
        <v>967</v>
      </c>
      <c r="I2721" s="18" t="s">
        <v>968</v>
      </c>
    </row>
    <row r="2722" spans="1:9" s="31" customFormat="1" ht="75">
      <c r="A2722" s="19">
        <v>43542.959467592591</v>
      </c>
      <c r="B2722" s="20" t="str">
        <f>HYPERLINK("https://twitter.com/CottageWoodbine","@CottageWoodbine")</f>
        <v>@CottageWoodbine</v>
      </c>
      <c r="C2722" s="21" t="s">
        <v>9981</v>
      </c>
      <c r="D2722" s="22" t="s">
        <v>9982</v>
      </c>
      <c r="E2722" s="23" t="str">
        <f>HYPERLINK("http://twitter.com/download/iphone","Twitter for iPhone")</f>
        <v>Twitter for iPhone</v>
      </c>
      <c r="F2722" s="19">
        <v>43228.164004629631</v>
      </c>
      <c r="G2722" s="24" t="s">
        <v>171</v>
      </c>
      <c r="H2722" s="35" t="s">
        <v>9983</v>
      </c>
      <c r="I2722" s="25" t="s">
        <v>9984</v>
      </c>
    </row>
    <row r="2723" spans="1:9" s="31" customFormat="1" ht="75">
      <c r="A2723" s="19">
        <v>43543.446956018517</v>
      </c>
      <c r="B2723" s="20" t="str">
        <f>HYPERLINK("https://twitter.com/CoilleBheag","@CoilleBheag")</f>
        <v>@CoilleBheag</v>
      </c>
      <c r="C2723" s="21" t="s">
        <v>9793</v>
      </c>
      <c r="D2723" s="22" t="s">
        <v>9794</v>
      </c>
      <c r="E2723" s="23" t="str">
        <f>HYPERLINK("https://about.twitter.com/products/tweetdeck","TweetDeck")</f>
        <v>TweetDeck</v>
      </c>
      <c r="F2723" s="19">
        <v>39945.635509259257</v>
      </c>
      <c r="G2723" s="24" t="s">
        <v>171</v>
      </c>
      <c r="H2723" s="35" t="s">
        <v>9795</v>
      </c>
      <c r="I2723" s="25" t="s">
        <v>9796</v>
      </c>
    </row>
    <row r="2724" spans="1:9" s="31" customFormat="1" ht="180">
      <c r="A2724" s="19">
        <v>43543.221284722225</v>
      </c>
      <c r="B2724" s="20" t="str">
        <f>HYPERLINK("https://twitter.com/DorsetHolidogs","@DorsetHolidogs")</f>
        <v>@DorsetHolidogs</v>
      </c>
      <c r="C2724" s="21" t="s">
        <v>9897</v>
      </c>
      <c r="D2724" s="22" t="s">
        <v>9898</v>
      </c>
      <c r="E2724" s="23" t="str">
        <f>HYPERLINK("http://twitter.com","Twitter Web Client")</f>
        <v>Twitter Web Client</v>
      </c>
      <c r="F2724" s="19">
        <v>42532.34983796296</v>
      </c>
      <c r="G2724" s="24" t="s">
        <v>171</v>
      </c>
      <c r="H2724" s="35" t="s">
        <v>9899</v>
      </c>
      <c r="I2724" s="25" t="s">
        <v>9900</v>
      </c>
    </row>
    <row r="2725" spans="1:9" s="31" customFormat="1" ht="75">
      <c r="A2725" s="19">
        <v>43542.465763888889</v>
      </c>
      <c r="B2725" s="20" t="str">
        <f>HYPERLINK("https://twitter.com/NeptuneCottage","@NeptuneCottage")</f>
        <v>@NeptuneCottage</v>
      </c>
      <c r="C2725" s="21" t="s">
        <v>10151</v>
      </c>
      <c r="D2725" s="22" t="s">
        <v>10152</v>
      </c>
      <c r="E2725" s="23" t="str">
        <f>HYPERLINK("http://instagram.com","Instagram")</f>
        <v>Instagram</v>
      </c>
      <c r="F2725" s="19">
        <v>43485.470034722224</v>
      </c>
      <c r="G2725" s="24" t="s">
        <v>171</v>
      </c>
      <c r="H2725" s="35" t="s">
        <v>10153</v>
      </c>
      <c r="I2725" s="25" t="s">
        <v>10154</v>
      </c>
    </row>
    <row r="2726" spans="1:9" s="31" customFormat="1" ht="150">
      <c r="A2726" s="19">
        <v>43548.545254629629</v>
      </c>
      <c r="B2726" s="20" t="str">
        <f>HYPERLINK("https://twitter.com/napoleonrocke","@napoleonrocke")</f>
        <v>@napoleonrocke</v>
      </c>
      <c r="C2726" s="21" t="s">
        <v>8287</v>
      </c>
      <c r="D2726" s="22" t="s">
        <v>8288</v>
      </c>
      <c r="E2726" s="23" t="str">
        <f>HYPERLINK("http://twitter.com/download/iphone","Twitter for iPhone")</f>
        <v>Twitter for iPhone</v>
      </c>
      <c r="F2726" s="19">
        <v>41540.624849537038</v>
      </c>
      <c r="G2726" s="17" t="s">
        <v>171</v>
      </c>
      <c r="H2726" s="35" t="s">
        <v>8289</v>
      </c>
      <c r="I2726" s="25" t="s">
        <v>8290</v>
      </c>
    </row>
    <row r="2727" spans="1:9" s="31" customFormat="1" ht="60">
      <c r="A2727" s="19">
        <v>43545.097141203703</v>
      </c>
      <c r="B2727" s="20" t="str">
        <f>HYPERLINK("https://twitter.com/aprivatehire","@aprivatehire")</f>
        <v>@aprivatehire</v>
      </c>
      <c r="C2727" s="21" t="s">
        <v>9277</v>
      </c>
      <c r="D2727" s="22" t="s">
        <v>9278</v>
      </c>
      <c r="E2727" s="23" t="str">
        <f>HYPERLINK("http://twitter.com/download/iphone","Twitter for iPhone")</f>
        <v>Twitter for iPhone</v>
      </c>
      <c r="F2727" s="19">
        <v>42590.460752314815</v>
      </c>
      <c r="G2727" s="17" t="s">
        <v>171</v>
      </c>
      <c r="H2727" s="35" t="s">
        <v>9279</v>
      </c>
      <c r="I2727" s="25" t="s">
        <v>9280</v>
      </c>
    </row>
    <row r="2728" spans="1:9" s="31" customFormat="1" ht="75">
      <c r="A2728" s="4">
        <v>43560.058321759258</v>
      </c>
      <c r="B2728" s="5" t="str">
        <f>HYPERLINK("https://twitter.com/15NorthStreet","@15NorthStreet")</f>
        <v>@15NorthStreet</v>
      </c>
      <c r="C2728" s="6" t="s">
        <v>11623</v>
      </c>
      <c r="D2728" s="7" t="s">
        <v>11624</v>
      </c>
      <c r="E2728" s="8" t="str">
        <f>HYPERLINK("http://instagram.com","Instagram")</f>
        <v>Instagram</v>
      </c>
      <c r="F2728" s="4">
        <v>43392.182395833333</v>
      </c>
      <c r="G2728" s="17" t="s">
        <v>171</v>
      </c>
      <c r="H2728" s="35" t="s">
        <v>11625</v>
      </c>
      <c r="I2728" s="10" t="s">
        <v>11626</v>
      </c>
    </row>
    <row r="2729" spans="1:9" s="31" customFormat="1" ht="75">
      <c r="A2729" s="19">
        <v>43549.533645833333</v>
      </c>
      <c r="B2729" s="20" t="str">
        <f>HYPERLINK("https://twitter.com/NicolaAubrey","@NicolaAubrey")</f>
        <v>@NicolaAubrey</v>
      </c>
      <c r="C2729" s="21" t="s">
        <v>7993</v>
      </c>
      <c r="D2729" s="22" t="s">
        <v>7994</v>
      </c>
      <c r="E2729" s="23" t="str">
        <f>HYPERLINK("http://instagram.com","Instagram")</f>
        <v>Instagram</v>
      </c>
      <c r="F2729" s="19">
        <v>40614.389837962961</v>
      </c>
      <c r="G2729" s="17" t="s">
        <v>171</v>
      </c>
      <c r="H2729" s="35" t="s">
        <v>7995</v>
      </c>
      <c r="I2729" s="25"/>
    </row>
    <row r="2730" spans="1:9" s="31" customFormat="1" ht="75">
      <c r="A2730" s="19">
        <v>43551.459479166668</v>
      </c>
      <c r="B2730" s="20" t="str">
        <f>HYPERLINK("https://twitter.com/WinchesterAD8","@WinchesterAD8")</f>
        <v>@WinchesterAD8</v>
      </c>
      <c r="C2730" s="21" t="s">
        <v>3641</v>
      </c>
      <c r="D2730" s="22" t="s">
        <v>7189</v>
      </c>
      <c r="E2730" s="23" t="str">
        <f>HYPERLINK("http://instagram.com","Instagram")</f>
        <v>Instagram</v>
      </c>
      <c r="F2730" s="19">
        <v>42180.58493055556</v>
      </c>
      <c r="G2730" s="17" t="s">
        <v>171</v>
      </c>
      <c r="H2730" s="35" t="s">
        <v>3643</v>
      </c>
      <c r="I2730" s="25" t="s">
        <v>3644</v>
      </c>
    </row>
    <row r="2731" spans="1:9" s="31" customFormat="1" ht="105">
      <c r="A2731" s="12">
        <v>43571.542048611111</v>
      </c>
      <c r="B2731" s="13" t="str">
        <f>HYPERLINK("https://twitter.com/WinchesterAD8","@WinchesterAD8")</f>
        <v>@WinchesterAD8</v>
      </c>
      <c r="C2731" s="14" t="s">
        <v>3641</v>
      </c>
      <c r="D2731" s="15" t="s">
        <v>3642</v>
      </c>
      <c r="E2731" s="16" t="str">
        <f>HYPERLINK("https://www.later.com","LaterMedia")</f>
        <v>LaterMedia</v>
      </c>
      <c r="F2731" s="12">
        <v>42180.58493055556</v>
      </c>
      <c r="G2731" s="17" t="s">
        <v>171</v>
      </c>
      <c r="H2731" s="35" t="s">
        <v>3643</v>
      </c>
      <c r="I2731" s="18" t="s">
        <v>3644</v>
      </c>
    </row>
    <row r="2732" spans="1:9" s="31" customFormat="1" ht="105">
      <c r="A2732" s="4">
        <v>43564.207974537036</v>
      </c>
      <c r="B2732" s="5" t="str">
        <f>HYPERLINK("https://twitter.com/KingEdwardHouse","@KingEdwardHouse")</f>
        <v>@KingEdwardHouse</v>
      </c>
      <c r="C2732" s="6" t="s">
        <v>6731</v>
      </c>
      <c r="D2732" s="7" t="s">
        <v>6732</v>
      </c>
      <c r="E2732" s="8" t="str">
        <f>HYPERLINK("http://twitter.com/download/android","Twitter for Android")</f>
        <v>Twitter for Android</v>
      </c>
      <c r="F2732" s="4">
        <v>43158.308391203704</v>
      </c>
      <c r="G2732" s="17" t="s">
        <v>171</v>
      </c>
      <c r="H2732" s="35" t="s">
        <v>6733</v>
      </c>
      <c r="I2732" s="10" t="s">
        <v>6734</v>
      </c>
    </row>
    <row r="2733" spans="1:9" s="31" customFormat="1" ht="105">
      <c r="A2733" s="4">
        <v>43557.16814814815</v>
      </c>
      <c r="B2733" s="5" t="str">
        <f>HYPERLINK("https://twitter.com/redduckblog","@redduckblog")</f>
        <v>@redduckblog</v>
      </c>
      <c r="C2733" s="6" t="s">
        <v>12628</v>
      </c>
      <c r="D2733" s="7" t="s">
        <v>12629</v>
      </c>
      <c r="E2733" s="8" t="str">
        <f>HYPERLINK("http://twitter.com/download/iphone","Twitter for iPhone")</f>
        <v>Twitter for iPhone</v>
      </c>
      <c r="F2733" s="4">
        <v>42450.599016203705</v>
      </c>
      <c r="G2733" s="9" t="s">
        <v>171</v>
      </c>
      <c r="H2733" s="35" t="s">
        <v>12630</v>
      </c>
      <c r="I2733" s="10" t="s">
        <v>12631</v>
      </c>
    </row>
    <row r="2734" spans="1:9" s="31" customFormat="1" ht="150">
      <c r="A2734" s="4">
        <v>43565.533865740741</v>
      </c>
      <c r="B2734" s="5" t="str">
        <f>HYPERLINK("https://twitter.com/SayF8945","@SayF8945")</f>
        <v>@SayF8945</v>
      </c>
      <c r="C2734" s="6" t="s">
        <v>6039</v>
      </c>
      <c r="D2734" s="7" t="s">
        <v>12790</v>
      </c>
      <c r="E2734" s="8" t="str">
        <f>HYPERLINK("http://twitter.com","Twitter Web Client")</f>
        <v>Twitter Web Client</v>
      </c>
      <c r="F2734" s="4">
        <v>40510.492696759262</v>
      </c>
      <c r="G2734" s="9" t="s">
        <v>13000</v>
      </c>
      <c r="H2734" s="35" t="s">
        <v>6040</v>
      </c>
      <c r="I2734" s="10" t="s">
        <v>6041</v>
      </c>
    </row>
    <row r="2735" spans="1:9" s="31" customFormat="1" ht="75">
      <c r="A2735" s="19">
        <v>43548.439629629633</v>
      </c>
      <c r="B2735" s="20" t="str">
        <f>HYPERLINK("https://twitter.com/tlkwtiff","@tlkwtiff")</f>
        <v>@tlkwtiff</v>
      </c>
      <c r="C2735" s="21" t="s">
        <v>8317</v>
      </c>
      <c r="D2735" s="22" t="s">
        <v>8318</v>
      </c>
      <c r="E2735" s="23" t="str">
        <f>HYPERLINK("https://mobile.twitter.com","Twitter Web App")</f>
        <v>Twitter Web App</v>
      </c>
      <c r="F2735" s="19">
        <v>40448.387685185182</v>
      </c>
      <c r="G2735" s="24" t="s">
        <v>13000</v>
      </c>
      <c r="H2735" s="35" t="s">
        <v>736</v>
      </c>
      <c r="I2735" s="25"/>
    </row>
    <row r="2736" spans="1:9" s="31" customFormat="1" ht="90">
      <c r="A2736" s="4">
        <v>43560.700902777782</v>
      </c>
      <c r="B2736" s="5" t="str">
        <f>HYPERLINK("https://twitter.com/HayleyCatt","@HayleyCatt")</f>
        <v>@HayleyCatt</v>
      </c>
      <c r="C2736" s="6" t="s">
        <v>11220</v>
      </c>
      <c r="D2736" s="7" t="s">
        <v>11221</v>
      </c>
      <c r="E2736" s="8" t="str">
        <f>HYPERLINK("http://twitter.com","Twitter Web Client")</f>
        <v>Twitter Web Client</v>
      </c>
      <c r="F2736" s="4">
        <v>39847.491655092592</v>
      </c>
      <c r="G2736" s="24" t="s">
        <v>13000</v>
      </c>
      <c r="H2736" s="35" t="s">
        <v>736</v>
      </c>
      <c r="I2736" s="10" t="s">
        <v>11222</v>
      </c>
    </row>
    <row r="2737" spans="1:9" s="31" customFormat="1" ht="75">
      <c r="A2737" s="4">
        <v>43558.711805555555</v>
      </c>
      <c r="B2737" s="5" t="str">
        <f>HYPERLINK("https://twitter.com/gpbnews","@gpbnews")</f>
        <v>@gpbnews</v>
      </c>
      <c r="C2737" s="6" t="s">
        <v>12059</v>
      </c>
      <c r="D2737" s="7" t="s">
        <v>12060</v>
      </c>
      <c r="E2737" s="8" t="str">
        <f>HYPERLINK("https://about.twitter.com/products/tweetdeck","TweetDeck")</f>
        <v>TweetDeck</v>
      </c>
      <c r="F2737" s="4">
        <v>39649.882326388892</v>
      </c>
      <c r="G2737" s="24" t="s">
        <v>13000</v>
      </c>
      <c r="H2737" s="35" t="s">
        <v>736</v>
      </c>
      <c r="I2737" s="10" t="s">
        <v>12061</v>
      </c>
    </row>
    <row r="2738" spans="1:9" s="31" customFormat="1" ht="60">
      <c r="A2738" s="12">
        <v>43579.360439814816</v>
      </c>
      <c r="B2738" s="13" t="str">
        <f>HYPERLINK("https://twitter.com/stevekleber","@stevekleber")</f>
        <v>@stevekleber</v>
      </c>
      <c r="C2738" s="14" t="s">
        <v>734</v>
      </c>
      <c r="D2738" s="15" t="s">
        <v>735</v>
      </c>
      <c r="E2738" s="16" t="str">
        <f>HYPERLINK("https://sproutsocial.com","Sprout Social")</f>
        <v>Sprout Social</v>
      </c>
      <c r="F2738" s="12">
        <v>39854.296886574077</v>
      </c>
      <c r="G2738" s="24" t="s">
        <v>13000</v>
      </c>
      <c r="H2738" s="35" t="s">
        <v>736</v>
      </c>
      <c r="I2738" s="18" t="s">
        <v>737</v>
      </c>
    </row>
    <row r="2739" spans="1:9" s="31" customFormat="1" ht="90">
      <c r="A2739" s="12">
        <v>43571.354953703703</v>
      </c>
      <c r="B2739" s="13" t="str">
        <f>HYPERLINK("https://twitter.com/annekosmicki","@annekosmicki")</f>
        <v>@annekosmicki</v>
      </c>
      <c r="C2739" s="14" t="s">
        <v>3713</v>
      </c>
      <c r="D2739" s="15" t="s">
        <v>3714</v>
      </c>
      <c r="E2739" s="16" t="str">
        <f>HYPERLINK("https://ifttt.com","IFTTT")</f>
        <v>IFTTT</v>
      </c>
      <c r="F2739" s="12">
        <v>40645.562546296293</v>
      </c>
      <c r="G2739" s="24" t="s">
        <v>13000</v>
      </c>
      <c r="H2739" s="35" t="s">
        <v>3715</v>
      </c>
      <c r="I2739" s="18" t="s">
        <v>3716</v>
      </c>
    </row>
    <row r="2740" spans="1:9" s="31" customFormat="1" ht="60">
      <c r="A2740" s="12">
        <v>43570.401249999995</v>
      </c>
      <c r="B2740" s="13" t="str">
        <f>HYPERLINK("https://twitter.com/erniesuggs","@erniesuggs")</f>
        <v>@erniesuggs</v>
      </c>
      <c r="C2740" s="14" t="s">
        <v>4175</v>
      </c>
      <c r="D2740" s="15" t="s">
        <v>4176</v>
      </c>
      <c r="E2740" s="16" t="str">
        <f>HYPERLINK("http://twitter.com","Twitter Web Client")</f>
        <v>Twitter Web Client</v>
      </c>
      <c r="F2740" s="12">
        <v>40577.849525462967</v>
      </c>
      <c r="G2740" s="24" t="s">
        <v>13000</v>
      </c>
      <c r="H2740" s="35" t="s">
        <v>736</v>
      </c>
      <c r="I2740" s="18" t="s">
        <v>4177</v>
      </c>
    </row>
    <row r="2741" spans="1:9" s="31" customFormat="1" ht="90">
      <c r="A2741" s="12">
        <v>43569.307060185187</v>
      </c>
      <c r="B2741" s="13" t="str">
        <f>HYPERLINK("https://twitter.com/erniesuggs","@erniesuggs")</f>
        <v>@erniesuggs</v>
      </c>
      <c r="C2741" s="14" t="s">
        <v>4175</v>
      </c>
      <c r="D2741" s="15" t="s">
        <v>4558</v>
      </c>
      <c r="E2741" s="16" t="str">
        <f>HYPERLINK("http://twitter.com","Twitter Web Client")</f>
        <v>Twitter Web Client</v>
      </c>
      <c r="F2741" s="12">
        <v>40577.849525462967</v>
      </c>
      <c r="G2741" s="24" t="s">
        <v>13000</v>
      </c>
      <c r="H2741" s="35" t="s">
        <v>736</v>
      </c>
      <c r="I2741" s="18" t="s">
        <v>4177</v>
      </c>
    </row>
    <row r="2742" spans="1:9" s="31" customFormat="1" ht="60">
      <c r="A2742" s="4">
        <v>43564.4606712963</v>
      </c>
      <c r="B2742" s="5" t="str">
        <f>HYPERLINK("https://twitter.com/atlantagent","@atlantagent")</f>
        <v>@atlantagent</v>
      </c>
      <c r="C2742" s="6" t="s">
        <v>6594</v>
      </c>
      <c r="D2742" s="7" t="s">
        <v>6595</v>
      </c>
      <c r="E2742" s="8" t="str">
        <f>HYPERLINK("http://twitter.com","Twitter Web Client")</f>
        <v>Twitter Web Client</v>
      </c>
      <c r="F2742" s="4">
        <v>39903.368900462963</v>
      </c>
      <c r="G2742" s="24" t="s">
        <v>13000</v>
      </c>
      <c r="H2742" s="35" t="s">
        <v>6596</v>
      </c>
      <c r="I2742" s="10" t="s">
        <v>6597</v>
      </c>
    </row>
    <row r="2743" spans="1:9" s="31" customFormat="1" ht="75">
      <c r="A2743" s="19">
        <v>43551.872662037036</v>
      </c>
      <c r="B2743" s="20" t="str">
        <f>HYPERLINK("https://twitter.com/rockhopperkid","@rockhopperkid")</f>
        <v>@rockhopperkid</v>
      </c>
      <c r="C2743" s="21" t="s">
        <v>4294</v>
      </c>
      <c r="D2743" s="22" t="s">
        <v>6975</v>
      </c>
      <c r="E2743" s="23" t="str">
        <f>HYPERLINK("http://instagram.com","Instagram")</f>
        <v>Instagram</v>
      </c>
      <c r="F2743" s="19">
        <v>39830.894224537034</v>
      </c>
      <c r="G2743" s="24" t="s">
        <v>13000</v>
      </c>
      <c r="H2743" s="35" t="s">
        <v>687</v>
      </c>
      <c r="I2743" s="25"/>
    </row>
    <row r="2744" spans="1:9" s="31" customFormat="1" ht="75">
      <c r="A2744" s="19">
        <v>43551.830682870372</v>
      </c>
      <c r="B2744" s="20" t="str">
        <f>HYPERLINK("https://twitter.com/rockhopperkid","@rockhopperkid")</f>
        <v>@rockhopperkid</v>
      </c>
      <c r="C2744" s="21" t="s">
        <v>4294</v>
      </c>
      <c r="D2744" s="22" t="s">
        <v>6988</v>
      </c>
      <c r="E2744" s="23" t="str">
        <f>HYPERLINK("http://instagram.com","Instagram")</f>
        <v>Instagram</v>
      </c>
      <c r="F2744" s="19">
        <v>39830.894224537034</v>
      </c>
      <c r="G2744" s="24" t="s">
        <v>13000</v>
      </c>
      <c r="H2744" s="35" t="s">
        <v>687</v>
      </c>
      <c r="I2744" s="25"/>
    </row>
    <row r="2745" spans="1:9" s="31" customFormat="1" ht="120">
      <c r="A2745" s="19">
        <v>43551.393217592587</v>
      </c>
      <c r="B2745" s="20" t="str">
        <f>HYPERLINK("https://twitter.com/MAMcConnell","@MAMcConnell")</f>
        <v>@MAMcConnell</v>
      </c>
      <c r="C2745" s="21" t="s">
        <v>7246</v>
      </c>
      <c r="D2745" s="22" t="s">
        <v>7247</v>
      </c>
      <c r="E2745" s="23" t="str">
        <f>HYPERLINK("http://twitter.com","Twitter Web Client")</f>
        <v>Twitter Web Client</v>
      </c>
      <c r="F2745" s="19">
        <v>39234.522638888891</v>
      </c>
      <c r="G2745" s="24" t="s">
        <v>13000</v>
      </c>
      <c r="H2745" s="35" t="s">
        <v>687</v>
      </c>
      <c r="I2745" s="25" t="s">
        <v>7248</v>
      </c>
    </row>
    <row r="2746" spans="1:9" s="31" customFormat="1" ht="60">
      <c r="A2746" s="19">
        <v>43550.869699074072</v>
      </c>
      <c r="B2746" s="20" t="str">
        <f>HYPERLINK("https://twitter.com/rockhopperkid","@rockhopperkid")</f>
        <v>@rockhopperkid</v>
      </c>
      <c r="C2746" s="21" t="s">
        <v>4294</v>
      </c>
      <c r="D2746" s="22" t="s">
        <v>7484</v>
      </c>
      <c r="E2746" s="23" t="str">
        <f>HYPERLINK("http://instagram.com","Instagram")</f>
        <v>Instagram</v>
      </c>
      <c r="F2746" s="19">
        <v>39830.894224537034</v>
      </c>
      <c r="G2746" s="24" t="s">
        <v>13000</v>
      </c>
      <c r="H2746" s="35" t="s">
        <v>687</v>
      </c>
      <c r="I2746" s="25"/>
    </row>
    <row r="2747" spans="1:9" s="31" customFormat="1" ht="75">
      <c r="A2747" s="19">
        <v>43550.862326388888</v>
      </c>
      <c r="B2747" s="20" t="str">
        <f>HYPERLINK("https://twitter.com/rockhopperkid","@rockhopperkid")</f>
        <v>@rockhopperkid</v>
      </c>
      <c r="C2747" s="21" t="s">
        <v>4294</v>
      </c>
      <c r="D2747" s="22" t="s">
        <v>7485</v>
      </c>
      <c r="E2747" s="23" t="str">
        <f>HYPERLINK("http://instagram.com","Instagram")</f>
        <v>Instagram</v>
      </c>
      <c r="F2747" s="19">
        <v>39830.894224537034</v>
      </c>
      <c r="G2747" s="24" t="s">
        <v>13000</v>
      </c>
      <c r="H2747" s="35" t="s">
        <v>687</v>
      </c>
      <c r="I2747" s="25"/>
    </row>
    <row r="2748" spans="1:9" s="31" customFormat="1" ht="60">
      <c r="A2748" s="19">
        <v>43550.689687499995</v>
      </c>
      <c r="B2748" s="20" t="str">
        <f>HYPERLINK("https://twitter.com/rockhopperkid","@rockhopperkid")</f>
        <v>@rockhopperkid</v>
      </c>
      <c r="C2748" s="21" t="s">
        <v>4294</v>
      </c>
      <c r="D2748" s="22" t="s">
        <v>7551</v>
      </c>
      <c r="E2748" s="23" t="str">
        <f>HYPERLINK("http://instagram.com","Instagram")</f>
        <v>Instagram</v>
      </c>
      <c r="F2748" s="19">
        <v>39830.894224537034</v>
      </c>
      <c r="G2748" s="24" t="s">
        <v>13000</v>
      </c>
      <c r="H2748" s="35" t="s">
        <v>687</v>
      </c>
      <c r="I2748" s="25"/>
    </row>
    <row r="2749" spans="1:9" s="31" customFormat="1" ht="75">
      <c r="A2749" s="19">
        <v>43550.623310185183</v>
      </c>
      <c r="B2749" s="20" t="str">
        <f>HYPERLINK("https://twitter.com/rockhopperkid","@rockhopperkid")</f>
        <v>@rockhopperkid</v>
      </c>
      <c r="C2749" s="21" t="s">
        <v>4294</v>
      </c>
      <c r="D2749" s="22" t="s">
        <v>7582</v>
      </c>
      <c r="E2749" s="23" t="str">
        <f>HYPERLINK("http://instagram.com","Instagram")</f>
        <v>Instagram</v>
      </c>
      <c r="F2749" s="19">
        <v>39830.894224537034</v>
      </c>
      <c r="G2749" s="24" t="s">
        <v>13000</v>
      </c>
      <c r="H2749" s="35" t="s">
        <v>687</v>
      </c>
      <c r="I2749" s="25"/>
    </row>
    <row r="2750" spans="1:9" s="31" customFormat="1" ht="45">
      <c r="A2750" s="19">
        <v>43550.422824074078</v>
      </c>
      <c r="B2750" s="20" t="str">
        <f>HYPERLINK("https://twitter.com/CHG_Carver","@CHG_Carver")</f>
        <v>@CHG_Carver</v>
      </c>
      <c r="C2750" s="21" t="s">
        <v>7676</v>
      </c>
      <c r="D2750" s="22" t="s">
        <v>7677</v>
      </c>
      <c r="E2750" s="23" t="str">
        <f>HYPERLINK("http://twitter.com","Twitter Web Client")</f>
        <v>Twitter Web Client</v>
      </c>
      <c r="F2750" s="19">
        <v>41960.522013888884</v>
      </c>
      <c r="G2750" s="24" t="s">
        <v>13000</v>
      </c>
      <c r="H2750" s="35" t="s">
        <v>687</v>
      </c>
      <c r="I2750" s="25" t="s">
        <v>7678</v>
      </c>
    </row>
    <row r="2751" spans="1:9" s="31" customFormat="1" ht="75">
      <c r="A2751" s="19">
        <v>43550.418668981481</v>
      </c>
      <c r="B2751" s="20" t="str">
        <f>HYPERLINK("https://twitter.com/MAMcConnell","@MAMcConnell")</f>
        <v>@MAMcConnell</v>
      </c>
      <c r="C2751" s="21" t="s">
        <v>7246</v>
      </c>
      <c r="D2751" s="22" t="s">
        <v>7679</v>
      </c>
      <c r="E2751" s="23" t="str">
        <f>HYPERLINK("http://twitter.com","Twitter Web Client")</f>
        <v>Twitter Web Client</v>
      </c>
      <c r="F2751" s="19">
        <v>39234.522638888891</v>
      </c>
      <c r="G2751" s="24" t="s">
        <v>13000</v>
      </c>
      <c r="H2751" s="35" t="s">
        <v>687</v>
      </c>
      <c r="I2751" s="25" t="s">
        <v>7248</v>
      </c>
    </row>
    <row r="2752" spans="1:9" s="31" customFormat="1" ht="75">
      <c r="A2752" s="19">
        <v>43549.844895833332</v>
      </c>
      <c r="B2752" s="20" t="str">
        <f t="shared" ref="B2752:B2758" si="121">HYPERLINK("https://twitter.com/rockhopperkid","@rockhopperkid")</f>
        <v>@rockhopperkid</v>
      </c>
      <c r="C2752" s="21" t="s">
        <v>4294</v>
      </c>
      <c r="D2752" s="22" t="s">
        <v>7893</v>
      </c>
      <c r="E2752" s="23" t="str">
        <f t="shared" ref="E2752:E2764" si="122">HYPERLINK("http://instagram.com","Instagram")</f>
        <v>Instagram</v>
      </c>
      <c r="F2752" s="19">
        <v>39830.894224537034</v>
      </c>
      <c r="G2752" s="24" t="s">
        <v>13000</v>
      </c>
      <c r="H2752" s="35" t="s">
        <v>687</v>
      </c>
      <c r="I2752" s="25"/>
    </row>
    <row r="2753" spans="1:9" s="31" customFormat="1" ht="75">
      <c r="A2753" s="19">
        <v>43549.842650462961</v>
      </c>
      <c r="B2753" s="20" t="str">
        <f t="shared" si="121"/>
        <v>@rockhopperkid</v>
      </c>
      <c r="C2753" s="21" t="s">
        <v>4294</v>
      </c>
      <c r="D2753" s="22" t="s">
        <v>7893</v>
      </c>
      <c r="E2753" s="23" t="str">
        <f t="shared" si="122"/>
        <v>Instagram</v>
      </c>
      <c r="F2753" s="19">
        <v>39830.894224537034</v>
      </c>
      <c r="G2753" s="24" t="s">
        <v>13000</v>
      </c>
      <c r="H2753" s="35" t="s">
        <v>687</v>
      </c>
      <c r="I2753" s="25"/>
    </row>
    <row r="2754" spans="1:9" s="31" customFormat="1" ht="75">
      <c r="A2754" s="19">
        <v>43549.833645833336</v>
      </c>
      <c r="B2754" s="20" t="str">
        <f t="shared" si="121"/>
        <v>@rockhopperkid</v>
      </c>
      <c r="C2754" s="21" t="s">
        <v>4294</v>
      </c>
      <c r="D2754" s="22" t="s">
        <v>7906</v>
      </c>
      <c r="E2754" s="23" t="str">
        <f t="shared" si="122"/>
        <v>Instagram</v>
      </c>
      <c r="F2754" s="19">
        <v>39830.894224537034</v>
      </c>
      <c r="G2754" s="24" t="s">
        <v>13000</v>
      </c>
      <c r="H2754" s="35" t="s">
        <v>687</v>
      </c>
      <c r="I2754" s="25"/>
    </row>
    <row r="2755" spans="1:9" s="31" customFormat="1" ht="75">
      <c r="A2755" s="19">
        <v>43549.831747685181</v>
      </c>
      <c r="B2755" s="20" t="str">
        <f t="shared" si="121"/>
        <v>@rockhopperkid</v>
      </c>
      <c r="C2755" s="21" t="s">
        <v>4294</v>
      </c>
      <c r="D2755" s="22" t="s">
        <v>7913</v>
      </c>
      <c r="E2755" s="23" t="str">
        <f t="shared" si="122"/>
        <v>Instagram</v>
      </c>
      <c r="F2755" s="19">
        <v>39830.894224537034</v>
      </c>
      <c r="G2755" s="24" t="s">
        <v>13000</v>
      </c>
      <c r="H2755" s="35" t="s">
        <v>687</v>
      </c>
      <c r="I2755" s="25"/>
    </row>
    <row r="2756" spans="1:9" s="31" customFormat="1" ht="75">
      <c r="A2756" s="19">
        <v>43549.663449074069</v>
      </c>
      <c r="B2756" s="20" t="str">
        <f t="shared" si="121"/>
        <v>@rockhopperkid</v>
      </c>
      <c r="C2756" s="21" t="s">
        <v>4294</v>
      </c>
      <c r="D2756" s="22" t="s">
        <v>7893</v>
      </c>
      <c r="E2756" s="23" t="str">
        <f t="shared" si="122"/>
        <v>Instagram</v>
      </c>
      <c r="F2756" s="19">
        <v>39830.894224537034</v>
      </c>
      <c r="G2756" s="24" t="s">
        <v>13000</v>
      </c>
      <c r="H2756" s="35" t="s">
        <v>687</v>
      </c>
      <c r="I2756" s="25"/>
    </row>
    <row r="2757" spans="1:9" s="31" customFormat="1" ht="60">
      <c r="A2757" s="19">
        <v>43548.346631944441</v>
      </c>
      <c r="B2757" s="20" t="str">
        <f t="shared" si="121"/>
        <v>@rockhopperkid</v>
      </c>
      <c r="C2757" s="21" t="s">
        <v>4294</v>
      </c>
      <c r="D2757" s="22" t="s">
        <v>8348</v>
      </c>
      <c r="E2757" s="23" t="str">
        <f t="shared" si="122"/>
        <v>Instagram</v>
      </c>
      <c r="F2757" s="19">
        <v>39830.894224537034</v>
      </c>
      <c r="G2757" s="24" t="s">
        <v>13000</v>
      </c>
      <c r="H2757" s="35" t="s">
        <v>687</v>
      </c>
      <c r="I2757" s="25"/>
    </row>
    <row r="2758" spans="1:9" s="31" customFormat="1" ht="75">
      <c r="A2758" s="19">
        <v>43548.184178240743</v>
      </c>
      <c r="B2758" s="20" t="str">
        <f t="shared" si="121"/>
        <v>@rockhopperkid</v>
      </c>
      <c r="C2758" s="21" t="s">
        <v>4294</v>
      </c>
      <c r="D2758" s="22" t="s">
        <v>8391</v>
      </c>
      <c r="E2758" s="23" t="str">
        <f t="shared" si="122"/>
        <v>Instagram</v>
      </c>
      <c r="F2758" s="19">
        <v>39830.894224537034</v>
      </c>
      <c r="G2758" s="24" t="s">
        <v>13000</v>
      </c>
      <c r="H2758" s="35" t="s">
        <v>687</v>
      </c>
      <c r="I2758" s="25"/>
    </row>
    <row r="2759" spans="1:9" s="31" customFormat="1" ht="75">
      <c r="A2759" s="19">
        <v>43547.612118055556</v>
      </c>
      <c r="B2759" s="20" t="str">
        <f>HYPERLINK("https://twitter.com/southboundlivin","@southboundlivin")</f>
        <v>@southboundlivin</v>
      </c>
      <c r="C2759" s="21" t="s">
        <v>8495</v>
      </c>
      <c r="D2759" s="22" t="s">
        <v>8496</v>
      </c>
      <c r="E2759" s="23" t="str">
        <f t="shared" si="122"/>
        <v>Instagram</v>
      </c>
      <c r="F2759" s="19">
        <v>43366.793935185182</v>
      </c>
      <c r="G2759" s="24" t="s">
        <v>13000</v>
      </c>
      <c r="H2759" s="35" t="s">
        <v>687</v>
      </c>
      <c r="I2759" s="25" t="s">
        <v>8497</v>
      </c>
    </row>
    <row r="2760" spans="1:9" s="31" customFormat="1" ht="75">
      <c r="A2760" s="19">
        <v>43547.261550925927</v>
      </c>
      <c r="B2760" s="20" t="str">
        <f>HYPERLINK("https://twitter.com/rockhopperkid","@rockhopperkid")</f>
        <v>@rockhopperkid</v>
      </c>
      <c r="C2760" s="21" t="s">
        <v>4294</v>
      </c>
      <c r="D2760" s="22" t="s">
        <v>8614</v>
      </c>
      <c r="E2760" s="23" t="str">
        <f t="shared" si="122"/>
        <v>Instagram</v>
      </c>
      <c r="F2760" s="19">
        <v>39830.894224537034</v>
      </c>
      <c r="G2760" s="24" t="s">
        <v>13000</v>
      </c>
      <c r="H2760" s="35" t="s">
        <v>687</v>
      </c>
      <c r="I2760" s="25"/>
    </row>
    <row r="2761" spans="1:9" s="31" customFormat="1" ht="60">
      <c r="A2761" s="19">
        <v>43547.234340277777</v>
      </c>
      <c r="B2761" s="20" t="str">
        <f>HYPERLINK("https://twitter.com/rockhopperkid","@rockhopperkid")</f>
        <v>@rockhopperkid</v>
      </c>
      <c r="C2761" s="21" t="s">
        <v>4294</v>
      </c>
      <c r="D2761" s="22" t="s">
        <v>8620</v>
      </c>
      <c r="E2761" s="23" t="str">
        <f t="shared" si="122"/>
        <v>Instagram</v>
      </c>
      <c r="F2761" s="19">
        <v>39830.894224537034</v>
      </c>
      <c r="G2761" s="24" t="s">
        <v>13000</v>
      </c>
      <c r="H2761" s="35" t="s">
        <v>687</v>
      </c>
      <c r="I2761" s="25"/>
    </row>
    <row r="2762" spans="1:9" s="31" customFormat="1" ht="75">
      <c r="A2762" s="19">
        <v>43546.645034722227</v>
      </c>
      <c r="B2762" s="20" t="str">
        <f>HYPERLINK("https://twitter.com/rockhopperkid","@rockhopperkid")</f>
        <v>@rockhopperkid</v>
      </c>
      <c r="C2762" s="21" t="s">
        <v>4294</v>
      </c>
      <c r="D2762" s="22" t="s">
        <v>8783</v>
      </c>
      <c r="E2762" s="23" t="str">
        <f t="shared" si="122"/>
        <v>Instagram</v>
      </c>
      <c r="F2762" s="19">
        <v>39830.894224537034</v>
      </c>
      <c r="G2762" s="24" t="s">
        <v>13000</v>
      </c>
      <c r="H2762" s="35" t="s">
        <v>687</v>
      </c>
      <c r="I2762" s="25"/>
    </row>
    <row r="2763" spans="1:9" s="31" customFormat="1" ht="75">
      <c r="A2763" s="19">
        <v>43545.471215277779</v>
      </c>
      <c r="B2763" s="20" t="str">
        <f>HYPERLINK("https://twitter.com/rockhopperkid","@rockhopperkid")</f>
        <v>@rockhopperkid</v>
      </c>
      <c r="C2763" s="21" t="s">
        <v>4294</v>
      </c>
      <c r="D2763" s="22" t="s">
        <v>9124</v>
      </c>
      <c r="E2763" s="23" t="str">
        <f t="shared" si="122"/>
        <v>Instagram</v>
      </c>
      <c r="F2763" s="19">
        <v>39830.894224537034</v>
      </c>
      <c r="G2763" s="24" t="s">
        <v>13000</v>
      </c>
      <c r="H2763" s="35" t="s">
        <v>687</v>
      </c>
      <c r="I2763" s="25"/>
    </row>
    <row r="2764" spans="1:9" s="31" customFormat="1" ht="75">
      <c r="A2764" s="19">
        <v>43545.327939814815</v>
      </c>
      <c r="B2764" s="20" t="str">
        <f>HYPERLINK("https://twitter.com/Tina_YourAgent","@Tina_YourAgent")</f>
        <v>@Tina_YourAgent</v>
      </c>
      <c r="C2764" s="21" t="s">
        <v>1235</v>
      </c>
      <c r="D2764" s="22" t="s">
        <v>9206</v>
      </c>
      <c r="E2764" s="23" t="str">
        <f t="shared" si="122"/>
        <v>Instagram</v>
      </c>
      <c r="F2764" s="19">
        <v>43284.362592592588</v>
      </c>
      <c r="G2764" s="24" t="s">
        <v>13000</v>
      </c>
      <c r="H2764" s="35" t="s">
        <v>687</v>
      </c>
      <c r="I2764" s="25" t="s">
        <v>1237</v>
      </c>
    </row>
    <row r="2765" spans="1:9" s="31" customFormat="1" ht="90">
      <c r="A2765" s="19">
        <v>43544.509618055556</v>
      </c>
      <c r="B2765" s="20" t="str">
        <f>HYPERLINK("https://twitter.com/AJPGroup1","@AJPGroup1")</f>
        <v>@AJPGroup1</v>
      </c>
      <c r="C2765" s="21" t="s">
        <v>9428</v>
      </c>
      <c r="D2765" s="22" t="s">
        <v>9429</v>
      </c>
      <c r="E2765" s="23" t="str">
        <f>HYPERLINK("http://twitter.com/download/iphone","Twitter for iPhone")</f>
        <v>Twitter for iPhone</v>
      </c>
      <c r="F2765" s="19">
        <v>42525.793009259258</v>
      </c>
      <c r="G2765" s="24" t="s">
        <v>13000</v>
      </c>
      <c r="H2765" s="35" t="s">
        <v>687</v>
      </c>
      <c r="I2765" s="25" t="s">
        <v>9430</v>
      </c>
    </row>
    <row r="2766" spans="1:9" s="31" customFormat="1" ht="60">
      <c r="A2766" s="19">
        <v>43544.428703703699</v>
      </c>
      <c r="B2766" s="20" t="str">
        <f>HYPERLINK("https://twitter.com/AJPGroup1","@AJPGroup1")</f>
        <v>@AJPGroup1</v>
      </c>
      <c r="C2766" s="21" t="s">
        <v>9428</v>
      </c>
      <c r="D2766" s="22" t="s">
        <v>9469</v>
      </c>
      <c r="E2766" s="23" t="str">
        <f>HYPERLINK("http://instagram.com","Instagram")</f>
        <v>Instagram</v>
      </c>
      <c r="F2766" s="19">
        <v>42525.793009259258</v>
      </c>
      <c r="G2766" s="24" t="s">
        <v>13000</v>
      </c>
      <c r="H2766" s="35" t="s">
        <v>687</v>
      </c>
      <c r="I2766" s="25" t="s">
        <v>9430</v>
      </c>
    </row>
    <row r="2767" spans="1:9" s="31" customFormat="1" ht="75">
      <c r="A2767" s="19">
        <v>43544.421724537038</v>
      </c>
      <c r="B2767" s="20" t="str">
        <f>HYPERLINK("https://twitter.com/AJPGroup1","@AJPGroup1")</f>
        <v>@AJPGroup1</v>
      </c>
      <c r="C2767" s="21" t="s">
        <v>9428</v>
      </c>
      <c r="D2767" s="22" t="s">
        <v>9470</v>
      </c>
      <c r="E2767" s="23" t="str">
        <f>HYPERLINK("http://instagram.com","Instagram")</f>
        <v>Instagram</v>
      </c>
      <c r="F2767" s="19">
        <v>42525.793009259258</v>
      </c>
      <c r="G2767" s="24" t="s">
        <v>13000</v>
      </c>
      <c r="H2767" s="35" t="s">
        <v>687</v>
      </c>
      <c r="I2767" s="25" t="s">
        <v>9430</v>
      </c>
    </row>
    <row r="2768" spans="1:9" s="31" customFormat="1" ht="60">
      <c r="A2768" s="19">
        <v>43544.417546296296</v>
      </c>
      <c r="B2768" s="20" t="str">
        <f>HYPERLINK("https://twitter.com/AJPGroup1","@AJPGroup1")</f>
        <v>@AJPGroup1</v>
      </c>
      <c r="C2768" s="21" t="s">
        <v>9428</v>
      </c>
      <c r="D2768" s="22" t="s">
        <v>9471</v>
      </c>
      <c r="E2768" s="23" t="str">
        <f>HYPERLINK("http://instagram.com","Instagram")</f>
        <v>Instagram</v>
      </c>
      <c r="F2768" s="19">
        <v>42525.793009259258</v>
      </c>
      <c r="G2768" s="24" t="s">
        <v>13000</v>
      </c>
      <c r="H2768" s="35" t="s">
        <v>687</v>
      </c>
      <c r="I2768" s="25" t="s">
        <v>9430</v>
      </c>
    </row>
    <row r="2769" spans="1:9" s="31" customFormat="1" ht="105">
      <c r="A2769" s="19">
        <v>43544.27851851852</v>
      </c>
      <c r="B2769" s="20" t="str">
        <f>HYPERLINK("https://twitter.com/LiveWireTrainin","@LiveWireTrainin")</f>
        <v>@LiveWireTrainin</v>
      </c>
      <c r="C2769" s="21" t="s">
        <v>1062</v>
      </c>
      <c r="D2769" s="22" t="s">
        <v>9561</v>
      </c>
      <c r="E2769" s="23" t="str">
        <f>HYPERLINK("http://twitter.com/download/android","Twitter for Android")</f>
        <v>Twitter for Android</v>
      </c>
      <c r="F2769" s="19">
        <v>40925.483842592592</v>
      </c>
      <c r="G2769" s="24" t="s">
        <v>13000</v>
      </c>
      <c r="H2769" s="35" t="s">
        <v>687</v>
      </c>
      <c r="I2769" s="25" t="s">
        <v>1064</v>
      </c>
    </row>
    <row r="2770" spans="1:9" s="31" customFormat="1" ht="105">
      <c r="A2770" s="19">
        <v>43543.374178240745</v>
      </c>
      <c r="B2770" s="20" t="str">
        <f>HYPERLINK("https://twitter.com/LiveWireTrainin","@LiveWireTrainin")</f>
        <v>@LiveWireTrainin</v>
      </c>
      <c r="C2770" s="21" t="s">
        <v>1062</v>
      </c>
      <c r="D2770" s="22" t="s">
        <v>9837</v>
      </c>
      <c r="E2770" s="23" t="str">
        <f>HYPERLINK("http://twitter.com/download/android","Twitter for Android")</f>
        <v>Twitter for Android</v>
      </c>
      <c r="F2770" s="19">
        <v>40925.483842592592</v>
      </c>
      <c r="G2770" s="24" t="s">
        <v>13000</v>
      </c>
      <c r="H2770" s="35" t="s">
        <v>687</v>
      </c>
      <c r="I2770" s="25" t="s">
        <v>1064</v>
      </c>
    </row>
    <row r="2771" spans="1:9" s="31" customFormat="1" ht="105">
      <c r="A2771" s="19">
        <v>43543.372766203705</v>
      </c>
      <c r="B2771" s="20" t="str">
        <f>HYPERLINK("https://twitter.com/LiveWireTrainin","@LiveWireTrainin")</f>
        <v>@LiveWireTrainin</v>
      </c>
      <c r="C2771" s="21" t="s">
        <v>1062</v>
      </c>
      <c r="D2771" s="22" t="s">
        <v>9838</v>
      </c>
      <c r="E2771" s="23" t="str">
        <f>HYPERLINK("http://twitter.com/download/android","Twitter for Android")</f>
        <v>Twitter for Android</v>
      </c>
      <c r="F2771" s="19">
        <v>40925.483842592592</v>
      </c>
      <c r="G2771" s="24" t="s">
        <v>13000</v>
      </c>
      <c r="H2771" s="35" t="s">
        <v>687</v>
      </c>
      <c r="I2771" s="25" t="s">
        <v>1064</v>
      </c>
    </row>
    <row r="2772" spans="1:9" s="31" customFormat="1" ht="75">
      <c r="A2772" s="19">
        <v>43543.371319444443</v>
      </c>
      <c r="B2772" s="20" t="str">
        <f>HYPERLINK("https://twitter.com/LiveWireTrainin","@LiveWireTrainin")</f>
        <v>@LiveWireTrainin</v>
      </c>
      <c r="C2772" s="21" t="s">
        <v>1062</v>
      </c>
      <c r="D2772" s="22" t="s">
        <v>9843</v>
      </c>
      <c r="E2772" s="23" t="str">
        <f>HYPERLINK("http://twitter.com/download/android","Twitter for Android")</f>
        <v>Twitter for Android</v>
      </c>
      <c r="F2772" s="19">
        <v>40925.483842592592</v>
      </c>
      <c r="G2772" s="24" t="s">
        <v>13000</v>
      </c>
      <c r="H2772" s="35" t="s">
        <v>687</v>
      </c>
      <c r="I2772" s="25" t="s">
        <v>1064</v>
      </c>
    </row>
    <row r="2773" spans="1:9" s="31" customFormat="1" ht="90">
      <c r="A2773" s="19">
        <v>43543.181504629625</v>
      </c>
      <c r="B2773" s="20" t="str">
        <f>HYPERLINK("https://twitter.com/LiveWireTrainin","@LiveWireTrainin")</f>
        <v>@LiveWireTrainin</v>
      </c>
      <c r="C2773" s="21" t="s">
        <v>1062</v>
      </c>
      <c r="D2773" s="22" t="s">
        <v>9906</v>
      </c>
      <c r="E2773" s="23" t="str">
        <f>HYPERLINK("http://twitter.com/download/android","Twitter for Android")</f>
        <v>Twitter for Android</v>
      </c>
      <c r="F2773" s="19">
        <v>40925.483842592592</v>
      </c>
      <c r="G2773" s="24" t="s">
        <v>13000</v>
      </c>
      <c r="H2773" s="35" t="s">
        <v>687</v>
      </c>
      <c r="I2773" s="25" t="s">
        <v>1064</v>
      </c>
    </row>
    <row r="2774" spans="1:9" s="31" customFormat="1" ht="75">
      <c r="A2774" s="19">
        <v>43542.58284722222</v>
      </c>
      <c r="B2774" s="20" t="str">
        <f>HYPERLINK("https://twitter.com/rockhopperkid","@rockhopperkid")</f>
        <v>@rockhopperkid</v>
      </c>
      <c r="C2774" s="21" t="s">
        <v>4294</v>
      </c>
      <c r="D2774" s="22" t="s">
        <v>10090</v>
      </c>
      <c r="E2774" s="23" t="str">
        <f>HYPERLINK("http://instagram.com","Instagram")</f>
        <v>Instagram</v>
      </c>
      <c r="F2774" s="19">
        <v>39830.894224537034</v>
      </c>
      <c r="G2774" s="24" t="s">
        <v>13000</v>
      </c>
      <c r="H2774" s="35" t="s">
        <v>687</v>
      </c>
      <c r="I2774" s="25"/>
    </row>
    <row r="2775" spans="1:9" s="31" customFormat="1" ht="45">
      <c r="A2775" s="4">
        <v>43565.375798611116</v>
      </c>
      <c r="B2775" s="5" t="str">
        <f>HYPERLINK("https://twitter.com/DotsandLinesLLC","@DotsandLinesLLC")</f>
        <v>@DotsandLinesLLC</v>
      </c>
      <c r="C2775" s="6" t="s">
        <v>6138</v>
      </c>
      <c r="D2775" s="7" t="s">
        <v>6139</v>
      </c>
      <c r="E2775" s="8" t="str">
        <f>HYPERLINK("https://buffer.com","Buffer")</f>
        <v>Buffer</v>
      </c>
      <c r="F2775" s="4">
        <v>42923.370266203703</v>
      </c>
      <c r="G2775" s="24" t="s">
        <v>13000</v>
      </c>
      <c r="H2775" s="35" t="s">
        <v>687</v>
      </c>
      <c r="I2775" s="10" t="s">
        <v>6140</v>
      </c>
    </row>
    <row r="2776" spans="1:9" s="31" customFormat="1" ht="75">
      <c r="A2776" s="4">
        <v>43564.738587962958</v>
      </c>
      <c r="B2776" s="5" t="str">
        <f>HYPERLINK("https://twitter.com/rockhopperkid","@rockhopperkid")</f>
        <v>@rockhopperkid</v>
      </c>
      <c r="C2776" s="6" t="s">
        <v>4294</v>
      </c>
      <c r="D2776" s="7" t="s">
        <v>6436</v>
      </c>
      <c r="E2776" s="8" t="str">
        <f>HYPERLINK("http://instagram.com","Instagram")</f>
        <v>Instagram</v>
      </c>
      <c r="F2776" s="4">
        <v>39830.894224537034</v>
      </c>
      <c r="G2776" s="24" t="s">
        <v>13000</v>
      </c>
      <c r="H2776" s="35" t="s">
        <v>687</v>
      </c>
      <c r="I2776" s="10"/>
    </row>
    <row r="2777" spans="1:9" s="31" customFormat="1" ht="60">
      <c r="A2777" s="4">
        <v>43562.965729166666</v>
      </c>
      <c r="B2777" s="5" t="str">
        <f>HYPERLINK("https://twitter.com/rockhopperkid","@rockhopperkid")</f>
        <v>@rockhopperkid</v>
      </c>
      <c r="C2777" s="6" t="s">
        <v>4294</v>
      </c>
      <c r="D2777" s="7" t="s">
        <v>7551</v>
      </c>
      <c r="E2777" s="8" t="str">
        <f>HYPERLINK("http://instagram.com","Instagram")</f>
        <v>Instagram</v>
      </c>
      <c r="F2777" s="4">
        <v>39830.894224537034</v>
      </c>
      <c r="G2777" s="24" t="s">
        <v>13000</v>
      </c>
      <c r="H2777" s="35" t="s">
        <v>687</v>
      </c>
      <c r="I2777" s="10"/>
    </row>
    <row r="2778" spans="1:9" s="31" customFormat="1" ht="15">
      <c r="A2778" s="4">
        <v>43562.798298611116</v>
      </c>
      <c r="B2778" s="5" t="str">
        <f>HYPERLINK("https://twitter.com/spitelee4","@spitelee4")</f>
        <v>@spitelee4</v>
      </c>
      <c r="C2778" s="6" t="s">
        <v>10577</v>
      </c>
      <c r="D2778" s="7" t="s">
        <v>10578</v>
      </c>
      <c r="E2778" s="8" t="str">
        <f>HYPERLINK("http://twitter.com/download/iphone","Twitter for iPhone")</f>
        <v>Twitter for iPhone</v>
      </c>
      <c r="F2778" s="4">
        <v>43234.093599537038</v>
      </c>
      <c r="G2778" s="24" t="s">
        <v>13000</v>
      </c>
      <c r="H2778" s="35" t="s">
        <v>687</v>
      </c>
      <c r="I2778" s="10" t="s">
        <v>10579</v>
      </c>
    </row>
    <row r="2779" spans="1:9" s="31" customFormat="1" ht="30">
      <c r="A2779" s="4">
        <v>43561.904641203699</v>
      </c>
      <c r="B2779" s="5" t="str">
        <f>HYPERLINK("https://twitter.com/Lena_La_Loca_23","@Lena_La_Loca_23")</f>
        <v>@Lena_La_Loca_23</v>
      </c>
      <c r="C2779" s="6" t="s">
        <v>10803</v>
      </c>
      <c r="D2779" s="7" t="s">
        <v>10804</v>
      </c>
      <c r="E2779" s="8" t="str">
        <f>HYPERLINK("http://twitter.com/download/iphone","Twitter for iPhone")</f>
        <v>Twitter for iPhone</v>
      </c>
      <c r="F2779" s="4">
        <v>40904.545439814814</v>
      </c>
      <c r="G2779" s="24" t="s">
        <v>13000</v>
      </c>
      <c r="H2779" s="35" t="s">
        <v>687</v>
      </c>
      <c r="I2779" s="10" t="s">
        <v>10805</v>
      </c>
    </row>
    <row r="2780" spans="1:9" s="31" customFormat="1" ht="75">
      <c r="A2780" s="4">
        <v>43560.935081018513</v>
      </c>
      <c r="B2780" s="5" t="str">
        <f>HYPERLINK("https://twitter.com/rockhopperkid","@rockhopperkid")</f>
        <v>@rockhopperkid</v>
      </c>
      <c r="C2780" s="6" t="s">
        <v>4294</v>
      </c>
      <c r="D2780" s="7" t="s">
        <v>11125</v>
      </c>
      <c r="E2780" s="8" t="str">
        <f>HYPERLINK("http://instagram.com","Instagram")</f>
        <v>Instagram</v>
      </c>
      <c r="F2780" s="4">
        <v>39830.894224537034</v>
      </c>
      <c r="G2780" s="24" t="s">
        <v>13000</v>
      </c>
      <c r="H2780" s="35" t="s">
        <v>687</v>
      </c>
      <c r="I2780" s="10"/>
    </row>
    <row r="2781" spans="1:9" s="31" customFormat="1" ht="60">
      <c r="A2781" s="4">
        <v>43559.084722222222</v>
      </c>
      <c r="B2781" s="5" t="str">
        <f>HYPERLINK("https://twitter.com/rockhopperkid","@rockhopperkid")</f>
        <v>@rockhopperkid</v>
      </c>
      <c r="C2781" s="6" t="s">
        <v>4294</v>
      </c>
      <c r="D2781" s="7" t="s">
        <v>11946</v>
      </c>
      <c r="E2781" s="8" t="str">
        <f>HYPERLINK("http://instagram.com","Instagram")</f>
        <v>Instagram</v>
      </c>
      <c r="F2781" s="4">
        <v>39830.894224537034</v>
      </c>
      <c r="G2781" s="24" t="s">
        <v>13000</v>
      </c>
      <c r="H2781" s="35" t="s">
        <v>687</v>
      </c>
      <c r="I2781" s="10"/>
    </row>
    <row r="2782" spans="1:9" s="31" customFormat="1" ht="75">
      <c r="A2782" s="4">
        <v>43558.602002314816</v>
      </c>
      <c r="B2782" s="5" t="str">
        <f>HYPERLINK("https://twitter.com/DrinkTravelDine","@DrinkTravelDine")</f>
        <v>@DrinkTravelDine</v>
      </c>
      <c r="C2782" s="6" t="s">
        <v>1691</v>
      </c>
      <c r="D2782" s="7" t="s">
        <v>12110</v>
      </c>
      <c r="E2782" s="8" t="str">
        <f>HYPERLINK("http://twitter.com/download/iphone","Twitter for iPhone")</f>
        <v>Twitter for iPhone</v>
      </c>
      <c r="F2782" s="4">
        <v>42611.378587962958</v>
      </c>
      <c r="G2782" s="24" t="s">
        <v>13000</v>
      </c>
      <c r="H2782" s="35" t="s">
        <v>687</v>
      </c>
      <c r="I2782" s="10" t="s">
        <v>1693</v>
      </c>
    </row>
    <row r="2783" spans="1:9" s="31" customFormat="1" ht="75">
      <c r="A2783" s="4">
        <v>43558.561655092592</v>
      </c>
      <c r="B2783" s="5" t="str">
        <f>HYPERLINK("https://twitter.com/rockhopperkid","@rockhopperkid")</f>
        <v>@rockhopperkid</v>
      </c>
      <c r="C2783" s="6" t="s">
        <v>4294</v>
      </c>
      <c r="D2783" s="7" t="s">
        <v>12132</v>
      </c>
      <c r="E2783" s="8" t="str">
        <f>HYPERLINK("http://instagram.com","Instagram")</f>
        <v>Instagram</v>
      </c>
      <c r="F2783" s="4">
        <v>39830.894224537034</v>
      </c>
      <c r="G2783" s="24" t="s">
        <v>13000</v>
      </c>
      <c r="H2783" s="35" t="s">
        <v>687</v>
      </c>
      <c r="I2783" s="10"/>
    </row>
    <row r="2784" spans="1:9" s="31" customFormat="1" ht="75">
      <c r="A2784" s="4">
        <v>43558.209988425922</v>
      </c>
      <c r="B2784" s="5" t="str">
        <f>HYPERLINK("https://twitter.com/rockhopperkid","@rockhopperkid")</f>
        <v>@rockhopperkid</v>
      </c>
      <c r="C2784" s="6" t="s">
        <v>4294</v>
      </c>
      <c r="D2784" s="7" t="s">
        <v>12277</v>
      </c>
      <c r="E2784" s="8" t="str">
        <f>HYPERLINK("http://instagram.com","Instagram")</f>
        <v>Instagram</v>
      </c>
      <c r="F2784" s="4">
        <v>39830.894224537034</v>
      </c>
      <c r="G2784" s="24" t="s">
        <v>13000</v>
      </c>
      <c r="H2784" s="35" t="s">
        <v>687</v>
      </c>
      <c r="I2784" s="10"/>
    </row>
    <row r="2785" spans="1:9" s="31" customFormat="1" ht="75">
      <c r="A2785" s="4">
        <v>43557.658333333333</v>
      </c>
      <c r="B2785" s="5" t="str">
        <f>HYPERLINK("https://twitter.com/rockhopperkid","@rockhopperkid")</f>
        <v>@rockhopperkid</v>
      </c>
      <c r="C2785" s="6" t="s">
        <v>4294</v>
      </c>
      <c r="D2785" s="7" t="s">
        <v>12420</v>
      </c>
      <c r="E2785" s="8" t="str">
        <f>HYPERLINK("http://instagram.com","Instagram")</f>
        <v>Instagram</v>
      </c>
      <c r="F2785" s="4">
        <v>39830.894224537034</v>
      </c>
      <c r="G2785" s="24" t="s">
        <v>13000</v>
      </c>
      <c r="H2785" s="35" t="s">
        <v>687</v>
      </c>
      <c r="I2785" s="10"/>
    </row>
    <row r="2786" spans="1:9" s="31" customFormat="1" ht="60">
      <c r="A2786" s="4">
        <v>43557.202453703707</v>
      </c>
      <c r="B2786" s="5" t="str">
        <f>HYPERLINK("https://twitter.com/rockhopperkid","@rockhopperkid")</f>
        <v>@rockhopperkid</v>
      </c>
      <c r="C2786" s="6" t="s">
        <v>4294</v>
      </c>
      <c r="D2786" s="7" t="s">
        <v>12619</v>
      </c>
      <c r="E2786" s="8" t="str">
        <f>HYPERLINK("http://instagram.com","Instagram")</f>
        <v>Instagram</v>
      </c>
      <c r="F2786" s="4">
        <v>39830.894224537034</v>
      </c>
      <c r="G2786" s="24" t="s">
        <v>13000</v>
      </c>
      <c r="H2786" s="35" t="s">
        <v>687</v>
      </c>
      <c r="I2786" s="10"/>
    </row>
    <row r="2787" spans="1:9" s="31" customFormat="1" ht="60">
      <c r="A2787" s="4">
        <v>43556.873553240745</v>
      </c>
      <c r="B2787" s="5" t="str">
        <f>HYPERLINK("https://twitter.com/rockhopperkid","@rockhopperkid")</f>
        <v>@rockhopperkid</v>
      </c>
      <c r="C2787" s="6" t="s">
        <v>4294</v>
      </c>
      <c r="D2787" s="7" t="s">
        <v>12619</v>
      </c>
      <c r="E2787" s="8" t="str">
        <f>HYPERLINK("http://instagram.com","Instagram")</f>
        <v>Instagram</v>
      </c>
      <c r="F2787" s="4">
        <v>39830.894224537034</v>
      </c>
      <c r="G2787" s="24" t="s">
        <v>13000</v>
      </c>
      <c r="H2787" s="35" t="s">
        <v>687</v>
      </c>
      <c r="I2787" s="10"/>
    </row>
    <row r="2788" spans="1:9" s="31" customFormat="1" ht="90">
      <c r="A2788" s="4">
        <v>43556.769641203704</v>
      </c>
      <c r="B2788" s="5" t="str">
        <f>HYPERLINK("https://twitter.com/HaroldKMorris","@HaroldKMorris")</f>
        <v>@HaroldKMorris</v>
      </c>
      <c r="C2788" s="6" t="s">
        <v>12747</v>
      </c>
      <c r="D2788" s="7" t="s">
        <v>12748</v>
      </c>
      <c r="E2788" s="8" t="str">
        <f>HYPERLINK("http://twitter.com","Twitter Web Client")</f>
        <v>Twitter Web Client</v>
      </c>
      <c r="F2788" s="4">
        <v>41904.428113425922</v>
      </c>
      <c r="G2788" s="24" t="s">
        <v>13000</v>
      </c>
      <c r="H2788" s="35" t="s">
        <v>687</v>
      </c>
      <c r="I2788" s="10" t="s">
        <v>12749</v>
      </c>
    </row>
    <row r="2789" spans="1:9" s="31" customFormat="1" ht="105">
      <c r="A2789" s="4">
        <v>43556.767604166671</v>
      </c>
      <c r="B2789" s="5" t="str">
        <f>HYPERLINK("https://twitter.com/HaroldKMorris","@HaroldKMorris")</f>
        <v>@HaroldKMorris</v>
      </c>
      <c r="C2789" s="6" t="s">
        <v>12747</v>
      </c>
      <c r="D2789" s="7" t="s">
        <v>12750</v>
      </c>
      <c r="E2789" s="8" t="str">
        <f>HYPERLINK("http://twitter.com","Twitter Web Client")</f>
        <v>Twitter Web Client</v>
      </c>
      <c r="F2789" s="4">
        <v>41904.428113425922</v>
      </c>
      <c r="G2789" s="24" t="s">
        <v>13000</v>
      </c>
      <c r="H2789" s="35" t="s">
        <v>687</v>
      </c>
      <c r="I2789" s="10" t="s">
        <v>12749</v>
      </c>
    </row>
    <row r="2790" spans="1:9" s="31" customFormat="1" ht="60">
      <c r="A2790" s="12">
        <v>43579.410138888888</v>
      </c>
      <c r="B2790" s="13" t="str">
        <f>HYPERLINK("https://twitter.com/RealToth","@RealToth")</f>
        <v>@RealToth</v>
      </c>
      <c r="C2790" s="14" t="s">
        <v>686</v>
      </c>
      <c r="D2790" s="15" t="s">
        <v>594</v>
      </c>
      <c r="E2790" s="16" t="str">
        <f>HYPERLINK("https://mobile.twitter.com","Twitter Web App")</f>
        <v>Twitter Web App</v>
      </c>
      <c r="F2790" s="12">
        <v>43294.581030092595</v>
      </c>
      <c r="G2790" s="24" t="s">
        <v>13000</v>
      </c>
      <c r="H2790" s="35" t="s">
        <v>687</v>
      </c>
      <c r="I2790" s="18" t="s">
        <v>688</v>
      </c>
    </row>
    <row r="2791" spans="1:9" s="31" customFormat="1" ht="45">
      <c r="A2791" s="12">
        <v>43579.346828703703</v>
      </c>
      <c r="B2791" s="13" t="str">
        <f>HYPERLINK("https://twitter.com/TimGrissettATL","@TimGrissettATL")</f>
        <v>@TimGrissettATL</v>
      </c>
      <c r="C2791" s="14" t="s">
        <v>745</v>
      </c>
      <c r="D2791" s="15" t="s">
        <v>746</v>
      </c>
      <c r="E2791" s="16" t="str">
        <f>HYPERLINK("http://twitter.com","Twitter Web Client")</f>
        <v>Twitter Web Client</v>
      </c>
      <c r="F2791" s="12">
        <v>42494.302546296298</v>
      </c>
      <c r="G2791" s="24" t="s">
        <v>13000</v>
      </c>
      <c r="H2791" s="35" t="s">
        <v>687</v>
      </c>
      <c r="I2791" s="18" t="s">
        <v>747</v>
      </c>
    </row>
    <row r="2792" spans="1:9" s="31" customFormat="1" ht="90">
      <c r="A2792" s="12">
        <v>43579.169027777782</v>
      </c>
      <c r="B2792" s="13" t="str">
        <f>HYPERLINK("https://twitter.com/OliverosPadron","@OliverosPadron")</f>
        <v>@OliverosPadron</v>
      </c>
      <c r="C2792" s="14" t="s">
        <v>893</v>
      </c>
      <c r="D2792" s="15" t="s">
        <v>301</v>
      </c>
      <c r="E2792" s="16" t="str">
        <f>HYPERLINK("http://twitter.com","Twitter Web Client")</f>
        <v>Twitter Web Client</v>
      </c>
      <c r="F2792" s="12">
        <v>43568.652037037042</v>
      </c>
      <c r="G2792" s="24" t="s">
        <v>13000</v>
      </c>
      <c r="H2792" s="35" t="s">
        <v>687</v>
      </c>
      <c r="I2792" s="18" t="s">
        <v>894</v>
      </c>
    </row>
    <row r="2793" spans="1:9" s="31" customFormat="1" ht="90">
      <c r="A2793" s="12">
        <v>43579.168564814812</v>
      </c>
      <c r="B2793" s="13" t="str">
        <f>HYPERLINK("https://twitter.com/JoseDavidOlive6","@JoseDavidOlive6")</f>
        <v>@JoseDavidOlive6</v>
      </c>
      <c r="C2793" s="14" t="s">
        <v>901</v>
      </c>
      <c r="D2793" s="15" t="s">
        <v>301</v>
      </c>
      <c r="E2793" s="16" t="str">
        <f>HYPERLINK("http://twitter.com","Twitter Web Client")</f>
        <v>Twitter Web Client</v>
      </c>
      <c r="F2793" s="12">
        <v>43568.672777777778</v>
      </c>
      <c r="G2793" s="24" t="s">
        <v>13000</v>
      </c>
      <c r="H2793" s="35" t="s">
        <v>687</v>
      </c>
      <c r="I2793" s="18" t="s">
        <v>902</v>
      </c>
    </row>
    <row r="2794" spans="1:9" s="31" customFormat="1" ht="90">
      <c r="A2794" s="12">
        <v>43579.167951388888</v>
      </c>
      <c r="B2794" s="13" t="str">
        <f>HYPERLINK("https://twitter.com/LuisOli83889568","@LuisOli83889568")</f>
        <v>@LuisOli83889568</v>
      </c>
      <c r="C2794" s="14" t="s">
        <v>905</v>
      </c>
      <c r="D2794" s="15" t="s">
        <v>301</v>
      </c>
      <c r="E2794" s="16" t="str">
        <f>HYPERLINK("http://twitter.com","Twitter Web Client")</f>
        <v>Twitter Web Client</v>
      </c>
      <c r="F2794" s="12">
        <v>43569.830243055556</v>
      </c>
      <c r="G2794" s="24" t="s">
        <v>13000</v>
      </c>
      <c r="H2794" s="35" t="s">
        <v>687</v>
      </c>
      <c r="I2794" s="18" t="s">
        <v>906</v>
      </c>
    </row>
    <row r="2795" spans="1:9" s="31" customFormat="1" ht="60">
      <c r="A2795" s="12">
        <v>43578.728148148148</v>
      </c>
      <c r="B2795" s="13" t="str">
        <f>HYPERLINK("https://twitter.com/LiveWireTrainin","@LiveWireTrainin")</f>
        <v>@LiveWireTrainin</v>
      </c>
      <c r="C2795" s="14" t="s">
        <v>1062</v>
      </c>
      <c r="D2795" s="15" t="s">
        <v>1063</v>
      </c>
      <c r="E2795" s="16" t="str">
        <f>HYPERLINK("http://twitter.com/download/android","Twitter for Android")</f>
        <v>Twitter for Android</v>
      </c>
      <c r="F2795" s="12">
        <v>40925.483842592592</v>
      </c>
      <c r="G2795" s="24" t="s">
        <v>13000</v>
      </c>
      <c r="H2795" s="35" t="s">
        <v>687</v>
      </c>
      <c r="I2795" s="18" t="s">
        <v>1064</v>
      </c>
    </row>
    <row r="2796" spans="1:9" s="31" customFormat="1" ht="105">
      <c r="A2796" s="12">
        <v>43578.392361111109</v>
      </c>
      <c r="B2796" s="13" t="str">
        <f>HYPERLINK("https://twitter.com/Tina_YourAgent","@Tina_YourAgent")</f>
        <v>@Tina_YourAgent</v>
      </c>
      <c r="C2796" s="14" t="s">
        <v>1235</v>
      </c>
      <c r="D2796" s="15" t="s">
        <v>1236</v>
      </c>
      <c r="E2796" s="16" t="str">
        <f>HYPERLINK("http://twitter.com","Twitter Web Client")</f>
        <v>Twitter Web Client</v>
      </c>
      <c r="F2796" s="12">
        <v>43284.362592592588</v>
      </c>
      <c r="G2796" s="24" t="s">
        <v>13000</v>
      </c>
      <c r="H2796" s="35" t="s">
        <v>687</v>
      </c>
      <c r="I2796" s="18" t="s">
        <v>1237</v>
      </c>
    </row>
    <row r="2797" spans="1:9" s="31" customFormat="1" ht="75">
      <c r="A2797" s="12">
        <v>43578.376099537039</v>
      </c>
      <c r="B2797" s="13" t="str">
        <f>HYPERLINK("https://twitter.com/LuisOli83889568","@LuisOli83889568")</f>
        <v>@LuisOli83889568</v>
      </c>
      <c r="C2797" s="14" t="s">
        <v>905</v>
      </c>
      <c r="D2797" s="15" t="s">
        <v>996</v>
      </c>
      <c r="E2797" s="16" t="str">
        <f>HYPERLINK("http://twitter.com","Twitter Web Client")</f>
        <v>Twitter Web Client</v>
      </c>
      <c r="F2797" s="12">
        <v>43569.830243055556</v>
      </c>
      <c r="G2797" s="24" t="s">
        <v>13000</v>
      </c>
      <c r="H2797" s="35" t="s">
        <v>687</v>
      </c>
      <c r="I2797" s="18" t="s">
        <v>906</v>
      </c>
    </row>
    <row r="2798" spans="1:9" s="31" customFormat="1" ht="90">
      <c r="A2798" s="12">
        <v>43577.574340277773</v>
      </c>
      <c r="B2798" s="13" t="str">
        <f>HYPERLINK("https://twitter.com/LiveWireTrainin","@LiveWireTrainin")</f>
        <v>@LiveWireTrainin</v>
      </c>
      <c r="C2798" s="14" t="s">
        <v>1062</v>
      </c>
      <c r="D2798" s="15" t="s">
        <v>1573</v>
      </c>
      <c r="E2798" s="16" t="str">
        <f>HYPERLINK("http://twitter.com/download/android","Twitter for Android")</f>
        <v>Twitter for Android</v>
      </c>
      <c r="F2798" s="12">
        <v>40925.483842592592</v>
      </c>
      <c r="G2798" s="24" t="s">
        <v>13000</v>
      </c>
      <c r="H2798" s="35" t="s">
        <v>687</v>
      </c>
      <c r="I2798" s="18" t="s">
        <v>1064</v>
      </c>
    </row>
    <row r="2799" spans="1:9" s="31" customFormat="1" ht="90">
      <c r="A2799" s="12">
        <v>43577.574178240742</v>
      </c>
      <c r="B2799" s="13" t="str">
        <f>HYPERLINK("https://twitter.com/LiveWireTrainin","@LiveWireTrainin")</f>
        <v>@LiveWireTrainin</v>
      </c>
      <c r="C2799" s="14" t="s">
        <v>1062</v>
      </c>
      <c r="D2799" s="15" t="s">
        <v>1574</v>
      </c>
      <c r="E2799" s="16" t="str">
        <f>HYPERLINK("http://twitter.com/download/android","Twitter for Android")</f>
        <v>Twitter for Android</v>
      </c>
      <c r="F2799" s="12">
        <v>40925.483842592592</v>
      </c>
      <c r="G2799" s="24" t="s">
        <v>13000</v>
      </c>
      <c r="H2799" s="35" t="s">
        <v>687</v>
      </c>
      <c r="I2799" s="18" t="s">
        <v>1064</v>
      </c>
    </row>
    <row r="2800" spans="1:9" s="31" customFormat="1" ht="90">
      <c r="A2800" s="12">
        <v>43577.56763888889</v>
      </c>
      <c r="B2800" s="13" t="str">
        <f>HYPERLINK("https://twitter.com/LiveWireTrainin","@LiveWireTrainin")</f>
        <v>@LiveWireTrainin</v>
      </c>
      <c r="C2800" s="14" t="s">
        <v>1062</v>
      </c>
      <c r="D2800" s="15" t="s">
        <v>1573</v>
      </c>
      <c r="E2800" s="16" t="str">
        <f>HYPERLINK("http://twitter.com/download/android","Twitter for Android")</f>
        <v>Twitter for Android</v>
      </c>
      <c r="F2800" s="12">
        <v>40925.483842592592</v>
      </c>
      <c r="G2800" s="24" t="s">
        <v>13000</v>
      </c>
      <c r="H2800" s="35" t="s">
        <v>687</v>
      </c>
      <c r="I2800" s="18" t="s">
        <v>1064</v>
      </c>
    </row>
    <row r="2801" spans="1:9" s="31" customFormat="1" ht="75">
      <c r="A2801" s="12">
        <v>43577.567500000005</v>
      </c>
      <c r="B2801" s="13" t="str">
        <f>HYPERLINK("https://twitter.com/LiveWireTrainin","@LiveWireTrainin")</f>
        <v>@LiveWireTrainin</v>
      </c>
      <c r="C2801" s="14" t="s">
        <v>1062</v>
      </c>
      <c r="D2801" s="15" t="s">
        <v>1578</v>
      </c>
      <c r="E2801" s="16" t="str">
        <f>HYPERLINK("http://twitter.com/download/android","Twitter for Android")</f>
        <v>Twitter for Android</v>
      </c>
      <c r="F2801" s="12">
        <v>40925.483842592592</v>
      </c>
      <c r="G2801" s="24" t="s">
        <v>13000</v>
      </c>
      <c r="H2801" s="35" t="s">
        <v>687</v>
      </c>
      <c r="I2801" s="18" t="s">
        <v>1064</v>
      </c>
    </row>
    <row r="2802" spans="1:9" s="31" customFormat="1" ht="135">
      <c r="A2802" s="12">
        <v>43577.484722222223</v>
      </c>
      <c r="B2802" s="13" t="str">
        <f>HYPERLINK("https://twitter.com/LiveWireTrainin","@LiveWireTrainin")</f>
        <v>@LiveWireTrainin</v>
      </c>
      <c r="C2802" s="14" t="s">
        <v>1062</v>
      </c>
      <c r="D2802" s="15" t="s">
        <v>1604</v>
      </c>
      <c r="E2802" s="16" t="str">
        <f>HYPERLINK("http://twitter.com/download/android","Twitter for Android")</f>
        <v>Twitter for Android</v>
      </c>
      <c r="F2802" s="12">
        <v>40925.483842592592</v>
      </c>
      <c r="G2802" s="24" t="s">
        <v>13000</v>
      </c>
      <c r="H2802" s="35" t="s">
        <v>687</v>
      </c>
      <c r="I2802" s="18" t="s">
        <v>1064</v>
      </c>
    </row>
    <row r="2803" spans="1:9" s="31" customFormat="1" ht="75">
      <c r="A2803" s="12">
        <v>43577.250775462962</v>
      </c>
      <c r="B2803" s="13" t="str">
        <f>HYPERLINK("https://twitter.com/DrinkTravelDine","@DrinkTravelDine")</f>
        <v>@DrinkTravelDine</v>
      </c>
      <c r="C2803" s="14" t="s">
        <v>1691</v>
      </c>
      <c r="D2803" s="15" t="s">
        <v>1692</v>
      </c>
      <c r="E2803" s="16" t="str">
        <f>HYPERLINK("http://twitter.com/download/iphone","Twitter for iPhone")</f>
        <v>Twitter for iPhone</v>
      </c>
      <c r="F2803" s="12">
        <v>42611.378587962958</v>
      </c>
      <c r="G2803" s="24" t="s">
        <v>13000</v>
      </c>
      <c r="H2803" s="35" t="s">
        <v>687</v>
      </c>
      <c r="I2803" s="18" t="s">
        <v>1693</v>
      </c>
    </row>
    <row r="2804" spans="1:9" s="31" customFormat="1" ht="60">
      <c r="A2804" s="12">
        <v>43576.435358796298</v>
      </c>
      <c r="B2804" s="13" t="str">
        <f>HYPERLINK("https://twitter.com/WoeIsAustin","@WoeIsAustin")</f>
        <v>@WoeIsAustin</v>
      </c>
      <c r="C2804" s="14" t="s">
        <v>1941</v>
      </c>
      <c r="D2804" s="15" t="s">
        <v>1942</v>
      </c>
      <c r="E2804" s="16" t="str">
        <f>HYPERLINK("http://instagram.com","Instagram")</f>
        <v>Instagram</v>
      </c>
      <c r="F2804" s="12">
        <v>39944.755636574075</v>
      </c>
      <c r="G2804" s="24" t="s">
        <v>13000</v>
      </c>
      <c r="H2804" s="35" t="s">
        <v>687</v>
      </c>
      <c r="I2804" s="18" t="s">
        <v>1943</v>
      </c>
    </row>
    <row r="2805" spans="1:9" s="31" customFormat="1" ht="45">
      <c r="A2805" s="12">
        <v>43575.326516203699</v>
      </c>
      <c r="B2805" s="13" t="str">
        <f>HYPERLINK("https://twitter.com/JoseDavidOlive6","@JoseDavidOlive6")</f>
        <v>@JoseDavidOlive6</v>
      </c>
      <c r="C2805" s="14" t="s">
        <v>901</v>
      </c>
      <c r="D2805" s="15" t="s">
        <v>2279</v>
      </c>
      <c r="E2805" s="16" t="str">
        <f>HYPERLINK("http://twitter.com","Twitter Web Client")</f>
        <v>Twitter Web Client</v>
      </c>
      <c r="F2805" s="12">
        <v>43568.672777777778</v>
      </c>
      <c r="G2805" s="24" t="s">
        <v>13000</v>
      </c>
      <c r="H2805" s="35" t="s">
        <v>687</v>
      </c>
      <c r="I2805" s="18" t="s">
        <v>902</v>
      </c>
    </row>
    <row r="2806" spans="1:9" s="31" customFormat="1" ht="75">
      <c r="A2806" s="12">
        <v>43572.738877314812</v>
      </c>
      <c r="B2806" s="13" t="str">
        <f>HYPERLINK("https://twitter.com/mrjasonbailey","@mrjasonbailey")</f>
        <v>@mrjasonbailey</v>
      </c>
      <c r="C2806" s="14" t="s">
        <v>3104</v>
      </c>
      <c r="D2806" s="15" t="s">
        <v>3105</v>
      </c>
      <c r="E2806" s="16" t="str">
        <f>HYPERLINK("http://instagram.com","Instagram")</f>
        <v>Instagram</v>
      </c>
      <c r="F2806" s="12">
        <v>41129.76390046296</v>
      </c>
      <c r="G2806" s="24" t="s">
        <v>13000</v>
      </c>
      <c r="H2806" s="35" t="s">
        <v>687</v>
      </c>
      <c r="I2806" s="18" t="s">
        <v>3106</v>
      </c>
    </row>
    <row r="2807" spans="1:9" s="31" customFormat="1" ht="60">
      <c r="A2807" s="12">
        <v>43572.520138888889</v>
      </c>
      <c r="B2807" s="13" t="str">
        <f>HYPERLINK("https://twitter.com/socialintents","@socialintents")</f>
        <v>@socialintents</v>
      </c>
      <c r="C2807" s="14" t="s">
        <v>3189</v>
      </c>
      <c r="D2807" s="15" t="s">
        <v>405</v>
      </c>
      <c r="E2807" s="16" t="str">
        <f>HYPERLINK("https://buffer.com","Buffer")</f>
        <v>Buffer</v>
      </c>
      <c r="F2807" s="12">
        <v>41596.398877314816</v>
      </c>
      <c r="G2807" s="24" t="s">
        <v>13000</v>
      </c>
      <c r="H2807" s="35" t="s">
        <v>687</v>
      </c>
      <c r="I2807" s="18" t="s">
        <v>3190</v>
      </c>
    </row>
    <row r="2808" spans="1:9" s="31" customFormat="1" ht="60">
      <c r="A2808" s="12">
        <v>43572.129467592589</v>
      </c>
      <c r="B2808" s="13" t="str">
        <f>HYPERLINK("https://twitter.com/IHGOwners_Assn","@IHGOwners_Assn")</f>
        <v>@IHGOwners_Assn</v>
      </c>
      <c r="C2808" s="14" t="s">
        <v>3413</v>
      </c>
      <c r="D2808" s="15" t="s">
        <v>3414</v>
      </c>
      <c r="E2808" s="16" t="str">
        <f>HYPERLINK("http://twitter.com","Twitter Web Client")</f>
        <v>Twitter Web Client</v>
      </c>
      <c r="F2808" s="12">
        <v>40137.374675925923</v>
      </c>
      <c r="G2808" s="24" t="s">
        <v>13000</v>
      </c>
      <c r="H2808" s="35" t="s">
        <v>687</v>
      </c>
      <c r="I2808" s="18" t="s">
        <v>3415</v>
      </c>
    </row>
    <row r="2809" spans="1:9" s="31" customFormat="1" ht="45">
      <c r="A2809" s="12">
        <v>43570.835439814815</v>
      </c>
      <c r="B2809" s="13" t="str">
        <f>HYPERLINK("https://twitter.com/SammieSaxon","@SammieSaxon")</f>
        <v>@SammieSaxon</v>
      </c>
      <c r="C2809" s="14" t="s">
        <v>3966</v>
      </c>
      <c r="D2809" s="15" t="s">
        <v>3967</v>
      </c>
      <c r="E2809" s="16" t="str">
        <f>HYPERLINK("http://twitter.com/download/iphone","Twitter for iPhone")</f>
        <v>Twitter for iPhone</v>
      </c>
      <c r="F2809" s="12">
        <v>39947.257094907407</v>
      </c>
      <c r="G2809" s="24" t="s">
        <v>13000</v>
      </c>
      <c r="H2809" s="35" t="s">
        <v>687</v>
      </c>
      <c r="I2809" s="18" t="s">
        <v>3968</v>
      </c>
    </row>
    <row r="2810" spans="1:9" s="31" customFormat="1" ht="60">
      <c r="A2810" s="12">
        <v>43570.226273148146</v>
      </c>
      <c r="B2810" s="13" t="str">
        <f>HYPERLINK("https://twitter.com/rockhopperkid","@rockhopperkid")</f>
        <v>@rockhopperkid</v>
      </c>
      <c r="C2810" s="14" t="s">
        <v>4294</v>
      </c>
      <c r="D2810" s="15" t="s">
        <v>4295</v>
      </c>
      <c r="E2810" s="16" t="str">
        <f>HYPERLINK("http://instagram.com","Instagram")</f>
        <v>Instagram</v>
      </c>
      <c r="F2810" s="12">
        <v>39830.894224537034</v>
      </c>
      <c r="G2810" s="24" t="s">
        <v>13000</v>
      </c>
      <c r="H2810" s="35" t="s">
        <v>687</v>
      </c>
      <c r="I2810" s="18"/>
    </row>
    <row r="2811" spans="1:9" s="31" customFormat="1" ht="75">
      <c r="A2811" s="12">
        <v>43567.655659722222</v>
      </c>
      <c r="B2811" s="13" t="str">
        <f>HYPERLINK("https://twitter.com/DrinkTravelDine","@DrinkTravelDine")</f>
        <v>@DrinkTravelDine</v>
      </c>
      <c r="C2811" s="14" t="s">
        <v>1691</v>
      </c>
      <c r="D2811" s="15" t="s">
        <v>5018</v>
      </c>
      <c r="E2811" s="16" t="str">
        <f>HYPERLINK("http://twitter.com/download/iphone","Twitter for iPhone")</f>
        <v>Twitter for iPhone</v>
      </c>
      <c r="F2811" s="12">
        <v>42611.378587962958</v>
      </c>
      <c r="G2811" s="24" t="s">
        <v>13000</v>
      </c>
      <c r="H2811" s="35" t="s">
        <v>687</v>
      </c>
      <c r="I2811" s="18" t="s">
        <v>1693</v>
      </c>
    </row>
    <row r="2812" spans="1:9" s="31" customFormat="1" ht="75">
      <c r="A2812" s="12">
        <v>43567.6019212963</v>
      </c>
      <c r="B2812" s="13" t="str">
        <f>HYPERLINK("https://twitter.com/mrjasonbailey","@mrjasonbailey")</f>
        <v>@mrjasonbailey</v>
      </c>
      <c r="C2812" s="14" t="s">
        <v>3104</v>
      </c>
      <c r="D2812" s="15" t="s">
        <v>5030</v>
      </c>
      <c r="E2812" s="16" t="str">
        <f>HYPERLINK("http://instagram.com","Instagram")</f>
        <v>Instagram</v>
      </c>
      <c r="F2812" s="12">
        <v>41129.76390046296</v>
      </c>
      <c r="G2812" s="24" t="s">
        <v>13000</v>
      </c>
      <c r="H2812" s="35" t="s">
        <v>687</v>
      </c>
      <c r="I2812" s="18" t="s">
        <v>3106</v>
      </c>
    </row>
    <row r="2813" spans="1:9" s="31" customFormat="1" ht="75">
      <c r="A2813" s="12">
        <v>43567.314004629632</v>
      </c>
      <c r="B2813" s="13" t="str">
        <f>HYPERLINK("https://twitter.com/rockhopperkid","@rockhopperkid")</f>
        <v>@rockhopperkid</v>
      </c>
      <c r="C2813" s="14" t="s">
        <v>4294</v>
      </c>
      <c r="D2813" s="15" t="s">
        <v>5169</v>
      </c>
      <c r="E2813" s="16" t="str">
        <f>HYPERLINK("http://instagram.com","Instagram")</f>
        <v>Instagram</v>
      </c>
      <c r="F2813" s="12">
        <v>39830.894224537034</v>
      </c>
      <c r="G2813" s="24" t="s">
        <v>13000</v>
      </c>
      <c r="H2813" s="35" t="s">
        <v>687</v>
      </c>
      <c r="I2813" s="18"/>
    </row>
    <row r="2814" spans="1:9" s="31" customFormat="1" ht="75">
      <c r="A2814" s="12">
        <v>43566.55976851852</v>
      </c>
      <c r="B2814" s="13" t="str">
        <f>HYPERLINK("https://twitter.com/rockhopperkid","@rockhopperkid")</f>
        <v>@rockhopperkid</v>
      </c>
      <c r="C2814" s="14" t="s">
        <v>4294</v>
      </c>
      <c r="D2814" s="15" t="s">
        <v>5445</v>
      </c>
      <c r="E2814" s="16" t="str">
        <f>HYPERLINK("http://instagram.com","Instagram")</f>
        <v>Instagram</v>
      </c>
      <c r="F2814" s="12">
        <v>39830.894224537034</v>
      </c>
      <c r="G2814" s="24" t="s">
        <v>13000</v>
      </c>
      <c r="H2814" s="35" t="s">
        <v>687</v>
      </c>
      <c r="I2814" s="18"/>
    </row>
    <row r="2815" spans="1:9" s="31" customFormat="1" ht="75">
      <c r="A2815" s="12">
        <v>43566.40053240741</v>
      </c>
      <c r="B2815" s="13" t="str">
        <f>HYPERLINK("https://twitter.com/rockhopperkid","@rockhopperkid")</f>
        <v>@rockhopperkid</v>
      </c>
      <c r="C2815" s="14" t="s">
        <v>4294</v>
      </c>
      <c r="D2815" s="15" t="s">
        <v>5563</v>
      </c>
      <c r="E2815" s="16" t="str">
        <f>HYPERLINK("http://instagram.com","Instagram")</f>
        <v>Instagram</v>
      </c>
      <c r="F2815" s="12">
        <v>39830.894224537034</v>
      </c>
      <c r="G2815" s="24" t="s">
        <v>13000</v>
      </c>
      <c r="H2815" s="35" t="s">
        <v>687</v>
      </c>
      <c r="I2815" s="18"/>
    </row>
    <row r="2816" spans="1:9" s="31" customFormat="1" ht="75">
      <c r="A2816" s="4">
        <v>43563.315694444449</v>
      </c>
      <c r="B2816" s="5" t="str">
        <f>HYPERLINK("https://twitter.com/Anjanette_F","@Anjanette_F")</f>
        <v>@Anjanette_F</v>
      </c>
      <c r="C2816" s="6" t="s">
        <v>10381</v>
      </c>
      <c r="D2816" s="7" t="s">
        <v>10382</v>
      </c>
      <c r="E2816" s="8" t="str">
        <f>HYPERLINK("http://instagram.com","Instagram")</f>
        <v>Instagram</v>
      </c>
      <c r="F2816" s="4">
        <v>39959.456238425926</v>
      </c>
      <c r="G2816" s="24" t="s">
        <v>13000</v>
      </c>
      <c r="H2816" s="35" t="s">
        <v>10383</v>
      </c>
      <c r="I2816" s="10" t="s">
        <v>10384</v>
      </c>
    </row>
    <row r="2817" spans="1:9" s="31" customFormat="1" ht="60">
      <c r="A2817" s="19">
        <v>43543.419756944444</v>
      </c>
      <c r="B2817" s="20" t="str">
        <f>HYPERLINK("https://twitter.com/najaelieva","@najaelieva")</f>
        <v>@najaelieva</v>
      </c>
      <c r="C2817" s="21" t="s">
        <v>9816</v>
      </c>
      <c r="D2817" s="22" t="s">
        <v>9817</v>
      </c>
      <c r="E2817" s="23" t="str">
        <f>HYPERLINK("https://mobile.twitter.com","Twitter Web App")</f>
        <v>Twitter Web App</v>
      </c>
      <c r="F2817" s="19">
        <v>40941.571134259255</v>
      </c>
      <c r="G2817" s="24" t="s">
        <v>13000</v>
      </c>
      <c r="H2817" s="35" t="s">
        <v>9818</v>
      </c>
      <c r="I2817" s="25" t="s">
        <v>9819</v>
      </c>
    </row>
    <row r="2818" spans="1:9" s="31" customFormat="1" ht="45">
      <c r="A2818" s="12">
        <v>43579.20512731481</v>
      </c>
      <c r="B2818" s="13" t="str">
        <f>HYPERLINK("https://twitter.com/travelswithbibi","@travelswithbibi")</f>
        <v>@travelswithbibi</v>
      </c>
      <c r="C2818" s="14" t="s">
        <v>854</v>
      </c>
      <c r="D2818" s="15" t="s">
        <v>855</v>
      </c>
      <c r="E2818" s="16" t="str">
        <f>HYPERLINK("http://publicize.wp.com/","WordPress.com")</f>
        <v>WordPress.com</v>
      </c>
      <c r="F2818" s="12">
        <v>43176.646782407406</v>
      </c>
      <c r="G2818" s="17" t="s">
        <v>13000</v>
      </c>
      <c r="H2818" s="35" t="s">
        <v>856</v>
      </c>
      <c r="I2818" s="18" t="s">
        <v>857</v>
      </c>
    </row>
    <row r="2819" spans="1:9" s="31" customFormat="1" ht="75">
      <c r="A2819" s="12">
        <v>43569.866423611107</v>
      </c>
      <c r="B2819" s="13" t="str">
        <f>HYPERLINK("https://twitter.com/bill_akin","@bill_akin")</f>
        <v>@bill_akin</v>
      </c>
      <c r="C2819" s="14" t="s">
        <v>4384</v>
      </c>
      <c r="D2819" s="15" t="s">
        <v>4385</v>
      </c>
      <c r="E2819" s="16" t="str">
        <f>HYPERLINK("http://twitter.com/download/iphone","Twitter for iPhone")</f>
        <v>Twitter for iPhone</v>
      </c>
      <c r="F2819" s="12">
        <v>40856.221643518518</v>
      </c>
      <c r="G2819" s="17" t="s">
        <v>13000</v>
      </c>
      <c r="H2819" s="35" t="s">
        <v>4386</v>
      </c>
      <c r="I2819" s="18" t="s">
        <v>4387</v>
      </c>
    </row>
    <row r="2820" spans="1:9" s="31" customFormat="1" ht="60">
      <c r="A2820" s="12">
        <v>43569.812662037039</v>
      </c>
      <c r="B2820" s="13" t="str">
        <f>HYPERLINK("https://twitter.com/bill_akin","@bill_akin")</f>
        <v>@bill_akin</v>
      </c>
      <c r="C2820" s="14" t="s">
        <v>4384</v>
      </c>
      <c r="D2820" s="15" t="s">
        <v>4398</v>
      </c>
      <c r="E2820" s="16" t="str">
        <f>HYPERLINK("http://twitter.com/download/iphone","Twitter for iPhone")</f>
        <v>Twitter for iPhone</v>
      </c>
      <c r="F2820" s="12">
        <v>40856.221643518518</v>
      </c>
      <c r="G2820" s="17" t="s">
        <v>13000</v>
      </c>
      <c r="H2820" s="35" t="s">
        <v>4386</v>
      </c>
      <c r="I2820" s="18" t="s">
        <v>4387</v>
      </c>
    </row>
    <row r="2821" spans="1:9" s="31" customFormat="1" ht="105">
      <c r="A2821" s="19">
        <v>43551.376157407409</v>
      </c>
      <c r="B2821" s="20" t="str">
        <f>HYPERLINK("https://twitter.com/visiolending","@visiolending")</f>
        <v>@visiolending</v>
      </c>
      <c r="C2821" s="21" t="s">
        <v>3724</v>
      </c>
      <c r="D2821" s="22" t="s">
        <v>7264</v>
      </c>
      <c r="E2821" s="23" t="str">
        <f>HYPERLINK("http://www.hubspot.com/","HubSpot")</f>
        <v>HubSpot</v>
      </c>
      <c r="F2821" s="19">
        <v>41425.357581018521</v>
      </c>
      <c r="G2821" s="17" t="s">
        <v>13000</v>
      </c>
      <c r="H2821" s="35" t="s">
        <v>1281</v>
      </c>
      <c r="I2821" s="25" t="s">
        <v>3726</v>
      </c>
    </row>
    <row r="2822" spans="1:9" s="31" customFormat="1" ht="120">
      <c r="A2822" s="19">
        <v>43551.349722222221</v>
      </c>
      <c r="B2822" s="20" t="str">
        <f>HYPERLINK("https://twitter.com/visiolending","@visiolending")</f>
        <v>@visiolending</v>
      </c>
      <c r="C2822" s="21" t="s">
        <v>3724</v>
      </c>
      <c r="D2822" s="22" t="s">
        <v>7289</v>
      </c>
      <c r="E2822" s="23" t="str">
        <f>HYPERLINK("http://www.hubspot.com/","HubSpot")</f>
        <v>HubSpot</v>
      </c>
      <c r="F2822" s="19">
        <v>41425.357581018521</v>
      </c>
      <c r="G2822" s="17" t="s">
        <v>13000</v>
      </c>
      <c r="H2822" s="35" t="s">
        <v>1281</v>
      </c>
      <c r="I2822" s="25" t="s">
        <v>3726</v>
      </c>
    </row>
    <row r="2823" spans="1:9" s="31" customFormat="1" ht="45">
      <c r="A2823" s="19">
        <v>43548.88994212963</v>
      </c>
      <c r="B2823" s="20" t="str">
        <f>HYPERLINK("https://twitter.com/cmillerrindy","@cmillerrindy")</f>
        <v>@cmillerrindy</v>
      </c>
      <c r="C2823" s="21" t="s">
        <v>1279</v>
      </c>
      <c r="D2823" s="22" t="s">
        <v>8204</v>
      </c>
      <c r="E2823" s="23" t="str">
        <f>HYPERLINK("http://twitter.com/download/iphone","Twitter for iPhone")</f>
        <v>Twitter for iPhone</v>
      </c>
      <c r="F2823" s="19">
        <v>41374.319120370368</v>
      </c>
      <c r="G2823" s="17" t="s">
        <v>13000</v>
      </c>
      <c r="H2823" s="35" t="s">
        <v>1281</v>
      </c>
      <c r="I2823" s="25" t="s">
        <v>1282</v>
      </c>
    </row>
    <row r="2824" spans="1:9" s="31" customFormat="1" ht="105">
      <c r="A2824" s="19">
        <v>43544.534166666665</v>
      </c>
      <c r="B2824" s="20" t="str">
        <f>HYPERLINK("https://twitter.com/visiolending","@visiolending")</f>
        <v>@visiolending</v>
      </c>
      <c r="C2824" s="21" t="s">
        <v>3724</v>
      </c>
      <c r="D2824" s="22" t="s">
        <v>9425</v>
      </c>
      <c r="E2824" s="23" t="str">
        <f>HYPERLINK("http://www.hubspot.com/","HubSpot")</f>
        <v>HubSpot</v>
      </c>
      <c r="F2824" s="19">
        <v>41425.357581018521</v>
      </c>
      <c r="G2824" s="17" t="s">
        <v>13000</v>
      </c>
      <c r="H2824" s="35" t="s">
        <v>1281</v>
      </c>
      <c r="I2824" s="25" t="s">
        <v>3726</v>
      </c>
    </row>
    <row r="2825" spans="1:9" s="31" customFormat="1" ht="45">
      <c r="A2825" s="19">
        <v>43543.530671296292</v>
      </c>
      <c r="B2825" s="20" t="str">
        <f>HYPERLINK("https://twitter.com/cmillerrindy","@cmillerrindy")</f>
        <v>@cmillerrindy</v>
      </c>
      <c r="C2825" s="21" t="s">
        <v>1279</v>
      </c>
      <c r="D2825" s="22" t="s">
        <v>9774</v>
      </c>
      <c r="E2825" s="23" t="str">
        <f>HYPERLINK("http://twitter.com/download/iphone","Twitter for iPhone")</f>
        <v>Twitter for iPhone</v>
      </c>
      <c r="F2825" s="19">
        <v>41374.319120370368</v>
      </c>
      <c r="G2825" s="17" t="s">
        <v>13000</v>
      </c>
      <c r="H2825" s="35" t="s">
        <v>1281</v>
      </c>
      <c r="I2825" s="25" t="s">
        <v>1282</v>
      </c>
    </row>
    <row r="2826" spans="1:9" s="31" customFormat="1" ht="105">
      <c r="A2826" s="4">
        <v>43560.375798611116</v>
      </c>
      <c r="B2826" s="5" t="str">
        <f>HYPERLINK("https://twitter.com/visiolending","@visiolending")</f>
        <v>@visiolending</v>
      </c>
      <c r="C2826" s="6" t="s">
        <v>3724</v>
      </c>
      <c r="D2826" s="7" t="s">
        <v>11411</v>
      </c>
      <c r="E2826" s="8" t="str">
        <f>HYPERLINK("http://www.hubspot.com/","HubSpot")</f>
        <v>HubSpot</v>
      </c>
      <c r="F2826" s="4">
        <v>41425.357581018521</v>
      </c>
      <c r="G2826" s="17" t="s">
        <v>13000</v>
      </c>
      <c r="H2826" s="35" t="s">
        <v>1281</v>
      </c>
      <c r="I2826" s="10" t="s">
        <v>3726</v>
      </c>
    </row>
    <row r="2827" spans="1:9" s="31" customFormat="1" ht="120">
      <c r="A2827" s="4">
        <v>43557.322696759264</v>
      </c>
      <c r="B2827" s="5" t="str">
        <f>HYPERLINK("https://twitter.com/visiolending","@visiolending")</f>
        <v>@visiolending</v>
      </c>
      <c r="C2827" s="6" t="s">
        <v>3724</v>
      </c>
      <c r="D2827" s="7" t="s">
        <v>12556</v>
      </c>
      <c r="E2827" s="8" t="str">
        <f>HYPERLINK("http://www.hubspot.com/","HubSpot")</f>
        <v>HubSpot</v>
      </c>
      <c r="F2827" s="4">
        <v>41425.357581018521</v>
      </c>
      <c r="G2827" s="17" t="s">
        <v>13000</v>
      </c>
      <c r="H2827" s="35" t="s">
        <v>1281</v>
      </c>
      <c r="I2827" s="10" t="s">
        <v>3726</v>
      </c>
    </row>
    <row r="2828" spans="1:9" s="31" customFormat="1" ht="45">
      <c r="A2828" s="12">
        <v>43578.344444444447</v>
      </c>
      <c r="B2828" s="13" t="str">
        <f>HYPERLINK("https://twitter.com/cmillerrindy","@cmillerrindy")</f>
        <v>@cmillerrindy</v>
      </c>
      <c r="C2828" s="14" t="s">
        <v>1279</v>
      </c>
      <c r="D2828" s="15" t="s">
        <v>1280</v>
      </c>
      <c r="E2828" s="16" t="str">
        <f>HYPERLINK("http://twitter.com/download/iphone","Twitter for iPhone")</f>
        <v>Twitter for iPhone</v>
      </c>
      <c r="F2828" s="12">
        <v>41374.319120370368</v>
      </c>
      <c r="G2828" s="17" t="s">
        <v>13000</v>
      </c>
      <c r="H2828" s="35" t="s">
        <v>1281</v>
      </c>
      <c r="I2828" s="18" t="s">
        <v>1282</v>
      </c>
    </row>
    <row r="2829" spans="1:9" s="31" customFormat="1" ht="60">
      <c r="A2829" s="12">
        <v>43572.465277777781</v>
      </c>
      <c r="B2829" s="13" t="str">
        <f>HYPERLINK("https://twitter.com/intlaccelerator","@intlaccelerator")</f>
        <v>@intlaccelerator</v>
      </c>
      <c r="C2829" s="14" t="s">
        <v>3227</v>
      </c>
      <c r="D2829" s="15" t="s">
        <v>405</v>
      </c>
      <c r="E2829" s="16" t="str">
        <f>HYPERLINK("https://buffer.com","Buffer")</f>
        <v>Buffer</v>
      </c>
      <c r="F2829" s="12">
        <v>41682.343715277777</v>
      </c>
      <c r="G2829" s="17" t="s">
        <v>13000</v>
      </c>
      <c r="H2829" s="35" t="s">
        <v>1281</v>
      </c>
      <c r="I2829" s="18" t="s">
        <v>3228</v>
      </c>
    </row>
    <row r="2830" spans="1:9" s="31" customFormat="1" ht="60">
      <c r="A2830" s="12">
        <v>43571.520057870366</v>
      </c>
      <c r="B2830" s="13" t="str">
        <f>HYPERLINK("https://twitter.com/cmillerrindy","@cmillerrindy")</f>
        <v>@cmillerrindy</v>
      </c>
      <c r="C2830" s="14" t="s">
        <v>1279</v>
      </c>
      <c r="D2830" s="15" t="s">
        <v>3657</v>
      </c>
      <c r="E2830" s="16" t="str">
        <f>HYPERLINK("http://twitter.com","Twitter Web Client")</f>
        <v>Twitter Web Client</v>
      </c>
      <c r="F2830" s="12">
        <v>41374.319120370368</v>
      </c>
      <c r="G2830" s="17" t="s">
        <v>13000</v>
      </c>
      <c r="H2830" s="35" t="s">
        <v>1281</v>
      </c>
      <c r="I2830" s="18" t="s">
        <v>1282</v>
      </c>
    </row>
    <row r="2831" spans="1:9" s="31" customFormat="1" ht="105">
      <c r="A2831" s="12">
        <v>43571.338506944448</v>
      </c>
      <c r="B2831" s="13" t="str">
        <f>HYPERLINK("https://twitter.com/visiolending","@visiolending")</f>
        <v>@visiolending</v>
      </c>
      <c r="C2831" s="14" t="s">
        <v>3724</v>
      </c>
      <c r="D2831" s="15" t="s">
        <v>3725</v>
      </c>
      <c r="E2831" s="16" t="str">
        <f>HYPERLINK("http://www.hubspot.com/","HubSpot")</f>
        <v>HubSpot</v>
      </c>
      <c r="F2831" s="12">
        <v>41425.357581018521</v>
      </c>
      <c r="G2831" s="17" t="s">
        <v>13000</v>
      </c>
      <c r="H2831" s="35" t="s">
        <v>1281</v>
      </c>
      <c r="I2831" s="18" t="s">
        <v>3726</v>
      </c>
    </row>
    <row r="2832" spans="1:9" s="31" customFormat="1" ht="45">
      <c r="A2832" s="12">
        <v>43570.252118055556</v>
      </c>
      <c r="B2832" s="13" t="str">
        <f>HYPERLINK("https://twitter.com/cmillerrindy","@cmillerrindy")</f>
        <v>@cmillerrindy</v>
      </c>
      <c r="C2832" s="14" t="s">
        <v>1279</v>
      </c>
      <c r="D2832" s="15" t="s">
        <v>4273</v>
      </c>
      <c r="E2832" s="16" t="str">
        <f>HYPERLINK("http://twitter.com/download/iphone","Twitter for iPhone")</f>
        <v>Twitter for iPhone</v>
      </c>
      <c r="F2832" s="12">
        <v>41374.319120370368</v>
      </c>
      <c r="G2832" s="17" t="s">
        <v>13000</v>
      </c>
      <c r="H2832" s="35" t="s">
        <v>1281</v>
      </c>
      <c r="I2832" s="18" t="s">
        <v>1282</v>
      </c>
    </row>
    <row r="2833" spans="1:9" s="31" customFormat="1" ht="105">
      <c r="A2833" s="12">
        <v>43580.849953703699</v>
      </c>
      <c r="B2833" s="13" t="str">
        <f>HYPERLINK("https://twitter.com/m3designthink","@m3designthink")</f>
        <v>@m3designthink</v>
      </c>
      <c r="C2833" s="14" t="s">
        <v>12</v>
      </c>
      <c r="D2833" s="15" t="s">
        <v>13</v>
      </c>
      <c r="E2833" s="16" t="str">
        <f>HYPERLINK("http://twitter.com/download/iphone","Twitter for iPhone")</f>
        <v>Twitter for iPhone</v>
      </c>
      <c r="F2833" s="12">
        <v>40044.348067129627</v>
      </c>
      <c r="G2833" s="17" t="s">
        <v>13000</v>
      </c>
      <c r="H2833" s="35" t="s">
        <v>14</v>
      </c>
      <c r="I2833" s="18" t="s">
        <v>15</v>
      </c>
    </row>
    <row r="2834" spans="1:9" s="31" customFormat="1" ht="105">
      <c r="A2834" s="19">
        <v>43549.525324074071</v>
      </c>
      <c r="B2834" s="20" t="str">
        <f>HYPERLINK("https://twitter.com/GeorgeDearing","@GeorgeDearing")</f>
        <v>@GeorgeDearing</v>
      </c>
      <c r="C2834" s="21" t="s">
        <v>1295</v>
      </c>
      <c r="D2834" s="22" t="s">
        <v>7997</v>
      </c>
      <c r="E2834" s="23" t="str">
        <f>HYPERLINK("http://twitter.com/download/iphone","Twitter for iPhone")</f>
        <v>Twitter for iPhone</v>
      </c>
      <c r="F2834" s="19">
        <v>39149.301898148144</v>
      </c>
      <c r="G2834" s="17" t="s">
        <v>13000</v>
      </c>
      <c r="H2834" s="35" t="s">
        <v>1145</v>
      </c>
      <c r="I2834" s="25" t="s">
        <v>7998</v>
      </c>
    </row>
    <row r="2835" spans="1:9" s="31" customFormat="1" ht="105">
      <c r="A2835" s="19">
        <v>43547.541678240741</v>
      </c>
      <c r="B2835" s="20" t="str">
        <f>HYPERLINK("https://twitter.com/FelipeAdanLerma","@FelipeAdanLerma")</f>
        <v>@FelipeAdanLerma</v>
      </c>
      <c r="C2835" s="21" t="s">
        <v>8509</v>
      </c>
      <c r="D2835" s="22" t="s">
        <v>8510</v>
      </c>
      <c r="E2835" s="23" t="str">
        <f>HYPERLINK("https://buffer.com","Buffer")</f>
        <v>Buffer</v>
      </c>
      <c r="F2835" s="19">
        <v>39617.276435185187</v>
      </c>
      <c r="G2835" s="17" t="s">
        <v>13000</v>
      </c>
      <c r="H2835" s="35" t="s">
        <v>1145</v>
      </c>
      <c r="I2835" s="25" t="s">
        <v>8511</v>
      </c>
    </row>
    <row r="2836" spans="1:9" s="31" customFormat="1" ht="120">
      <c r="A2836" s="19">
        <v>43544.434108796297</v>
      </c>
      <c r="B2836" s="20" t="str">
        <f>HYPERLINK("https://twitter.com/keepatxclean","@keepatxclean")</f>
        <v>@keepatxclean</v>
      </c>
      <c r="C2836" s="21" t="s">
        <v>9466</v>
      </c>
      <c r="D2836" s="22" t="s">
        <v>9467</v>
      </c>
      <c r="E2836" s="23" t="str">
        <f>HYPERLINK("https://www.hootsuite.com","Hootsuite Inc.")</f>
        <v>Hootsuite Inc.</v>
      </c>
      <c r="F2836" s="19">
        <v>43522.383043981477</v>
      </c>
      <c r="G2836" s="17" t="s">
        <v>13000</v>
      </c>
      <c r="H2836" s="35" t="s">
        <v>1145</v>
      </c>
      <c r="I2836" s="25" t="s">
        <v>9468</v>
      </c>
    </row>
    <row r="2837" spans="1:9" s="31" customFormat="1" ht="120">
      <c r="A2837" s="4">
        <v>43561.700613425928</v>
      </c>
      <c r="B2837" s="5" t="str">
        <f>HYPERLINK("https://twitter.com/DearingGroup","@DearingGroup")</f>
        <v>@DearingGroup</v>
      </c>
      <c r="C2837" s="6" t="s">
        <v>10850</v>
      </c>
      <c r="D2837" s="7" t="s">
        <v>10851</v>
      </c>
      <c r="E2837" s="8" t="str">
        <f>HYPERLINK("http://twitter.com/download/iphone","Twitter for iPhone")</f>
        <v>Twitter for iPhone</v>
      </c>
      <c r="F2837" s="4">
        <v>40225.256724537037</v>
      </c>
      <c r="G2837" s="17" t="s">
        <v>13000</v>
      </c>
      <c r="H2837" s="35" t="s">
        <v>1145</v>
      </c>
      <c r="I2837" s="10" t="s">
        <v>10852</v>
      </c>
    </row>
    <row r="2838" spans="1:9" s="31" customFormat="1" ht="60">
      <c r="A2838" s="4">
        <v>43560.635405092587</v>
      </c>
      <c r="B2838" s="5" t="str">
        <f>HYPERLINK("https://twitter.com/lafetechic","@lafetechic")</f>
        <v>@lafetechic</v>
      </c>
      <c r="C2838" s="6" t="s">
        <v>11233</v>
      </c>
      <c r="D2838" s="7" t="s">
        <v>11234</v>
      </c>
      <c r="E2838" s="8" t="str">
        <f>HYPERLINK("http://twitter.com","Twitter Web Client")</f>
        <v>Twitter Web Client</v>
      </c>
      <c r="F2838" s="4">
        <v>40667.181562500002</v>
      </c>
      <c r="G2838" s="17" t="s">
        <v>13000</v>
      </c>
      <c r="H2838" s="35" t="s">
        <v>1145</v>
      </c>
      <c r="I2838" s="10" t="s">
        <v>11235</v>
      </c>
    </row>
    <row r="2839" spans="1:9" s="31" customFormat="1" ht="105">
      <c r="A2839" s="12">
        <v>43578.583460648151</v>
      </c>
      <c r="B2839" s="13" t="str">
        <f>HYPERLINK("https://twitter.com/gpodamericas","@gpodamericas")</f>
        <v>@gpodamericas</v>
      </c>
      <c r="C2839" s="14" t="s">
        <v>1143</v>
      </c>
      <c r="D2839" s="15" t="s">
        <v>1144</v>
      </c>
      <c r="E2839" s="16" t="str">
        <f>HYPERLINK("https://www.hootsuite.com","Hootsuite Inc.")</f>
        <v>Hootsuite Inc.</v>
      </c>
      <c r="F2839" s="12">
        <v>43178.919178240743</v>
      </c>
      <c r="G2839" s="17" t="s">
        <v>13000</v>
      </c>
      <c r="H2839" s="35" t="s">
        <v>1145</v>
      </c>
      <c r="I2839" s="18" t="s">
        <v>1146</v>
      </c>
    </row>
    <row r="2840" spans="1:9" s="31" customFormat="1" ht="75">
      <c r="A2840" s="12">
        <v>43578.322569444441</v>
      </c>
      <c r="B2840" s="13" t="str">
        <f>HYPERLINK("https://twitter.com/GeorgeDearing","@GeorgeDearing")</f>
        <v>@GeorgeDearing</v>
      </c>
      <c r="C2840" s="14" t="s">
        <v>1295</v>
      </c>
      <c r="D2840" s="15" t="s">
        <v>1296</v>
      </c>
      <c r="E2840" s="16" t="str">
        <f>HYPERLINK("http://twitter.com/download/iphone","Twitter for iPhone")</f>
        <v>Twitter for iPhone</v>
      </c>
      <c r="F2840" s="12">
        <v>39149.301898148144</v>
      </c>
      <c r="G2840" s="17" t="s">
        <v>13000</v>
      </c>
      <c r="H2840" s="35" t="s">
        <v>1145</v>
      </c>
      <c r="I2840" s="18" t="s">
        <v>1297</v>
      </c>
    </row>
    <row r="2841" spans="1:9" s="31" customFormat="1" ht="90">
      <c r="A2841" s="12">
        <v>43577.461909722224</v>
      </c>
      <c r="B2841" s="13" t="str">
        <f>HYPERLINK("https://twitter.com/RifferMusic","@RifferMusic")</f>
        <v>@RifferMusic</v>
      </c>
      <c r="C2841" s="14" t="s">
        <v>1624</v>
      </c>
      <c r="D2841" s="15" t="s">
        <v>1625</v>
      </c>
      <c r="E2841" s="16" t="str">
        <f>HYPERLINK("https://www.postpickr.com","PostPickr")</f>
        <v>PostPickr</v>
      </c>
      <c r="F2841" s="12">
        <v>43296.103645833333</v>
      </c>
      <c r="G2841" s="17" t="s">
        <v>13000</v>
      </c>
      <c r="H2841" s="35" t="s">
        <v>1145</v>
      </c>
      <c r="I2841" s="18" t="s">
        <v>1626</v>
      </c>
    </row>
    <row r="2842" spans="1:9" s="31" customFormat="1" ht="90">
      <c r="A2842" s="12">
        <v>43576.844571759255</v>
      </c>
      <c r="B2842" s="13" t="str">
        <f>HYPERLINK("https://twitter.com/GeorgeDearing","@GeorgeDearing")</f>
        <v>@GeorgeDearing</v>
      </c>
      <c r="C2842" s="14" t="s">
        <v>1295</v>
      </c>
      <c r="D2842" s="15" t="s">
        <v>1806</v>
      </c>
      <c r="E2842" s="16" t="str">
        <f>HYPERLINK("http://twitter.com/download/iphone","Twitter for iPhone")</f>
        <v>Twitter for iPhone</v>
      </c>
      <c r="F2842" s="12">
        <v>39149.301898148144</v>
      </c>
      <c r="G2842" s="17" t="s">
        <v>13000</v>
      </c>
      <c r="H2842" s="35" t="s">
        <v>1145</v>
      </c>
      <c r="I2842" s="18" t="s">
        <v>1297</v>
      </c>
    </row>
    <row r="2843" spans="1:9" s="31" customFormat="1" ht="90">
      <c r="A2843" s="12">
        <v>43575.500393518523</v>
      </c>
      <c r="B2843" s="13" t="str">
        <f>HYPERLINK("https://twitter.com/gpodamericas","@gpodamericas")</f>
        <v>@gpodamericas</v>
      </c>
      <c r="C2843" s="14" t="s">
        <v>1143</v>
      </c>
      <c r="D2843" s="15" t="s">
        <v>2186</v>
      </c>
      <c r="E2843" s="16" t="str">
        <f>HYPERLINK("https://www.hootsuite.com","Hootsuite Inc.")</f>
        <v>Hootsuite Inc.</v>
      </c>
      <c r="F2843" s="12">
        <v>43178.919178240743</v>
      </c>
      <c r="G2843" s="17" t="s">
        <v>13000</v>
      </c>
      <c r="H2843" s="35" t="s">
        <v>1145</v>
      </c>
      <c r="I2843" s="18" t="s">
        <v>1146</v>
      </c>
    </row>
    <row r="2844" spans="1:9" s="31" customFormat="1" ht="105">
      <c r="A2844" s="12">
        <v>43574.375625000001</v>
      </c>
      <c r="B2844" s="13" t="str">
        <f>HYPERLINK("https://twitter.com/gpodamericas","@gpodamericas")</f>
        <v>@gpodamericas</v>
      </c>
      <c r="C2844" s="14" t="s">
        <v>1143</v>
      </c>
      <c r="D2844" s="15" t="s">
        <v>2569</v>
      </c>
      <c r="E2844" s="16" t="str">
        <f>HYPERLINK("https://www.hootsuite.com","Hootsuite Inc.")</f>
        <v>Hootsuite Inc.</v>
      </c>
      <c r="F2844" s="12">
        <v>43178.919178240743</v>
      </c>
      <c r="G2844" s="17" t="s">
        <v>13000</v>
      </c>
      <c r="H2844" s="35" t="s">
        <v>1145</v>
      </c>
      <c r="I2844" s="18" t="s">
        <v>1146</v>
      </c>
    </row>
    <row r="2845" spans="1:9" s="31" customFormat="1" ht="60">
      <c r="A2845" s="12">
        <v>43571.319479166668</v>
      </c>
      <c r="B2845" s="13" t="str">
        <f>HYPERLINK("https://twitter.com/CWBadger12","@CWBadger12")</f>
        <v>@CWBadger12</v>
      </c>
      <c r="C2845" s="14" t="s">
        <v>3742</v>
      </c>
      <c r="D2845" s="15" t="s">
        <v>405</v>
      </c>
      <c r="E2845" s="16" t="str">
        <f>HYPERLINK("https://buffer.com","Buffer")</f>
        <v>Buffer</v>
      </c>
      <c r="F2845" s="12">
        <v>41291.442442129628</v>
      </c>
      <c r="G2845" s="17" t="s">
        <v>13000</v>
      </c>
      <c r="H2845" s="35" t="s">
        <v>1145</v>
      </c>
      <c r="I2845" s="18" t="s">
        <v>3743</v>
      </c>
    </row>
    <row r="2846" spans="1:9" s="31" customFormat="1" ht="60">
      <c r="A2846" s="12">
        <v>43569.365289351852</v>
      </c>
      <c r="B2846" s="13" t="str">
        <f>HYPERLINK("https://twitter.com/janranran","@janranran")</f>
        <v>@janranran</v>
      </c>
      <c r="C2846" s="14" t="s">
        <v>4535</v>
      </c>
      <c r="D2846" s="15" t="s">
        <v>4536</v>
      </c>
      <c r="E2846" s="16" t="str">
        <f>HYPERLINK("http://twitter.com/download/iphone","Twitter for iPhone")</f>
        <v>Twitter for iPhone</v>
      </c>
      <c r="F2846" s="12">
        <v>39993.492754629631</v>
      </c>
      <c r="G2846" s="17" t="s">
        <v>13000</v>
      </c>
      <c r="H2846" s="35" t="s">
        <v>1145</v>
      </c>
      <c r="I2846" s="18"/>
    </row>
    <row r="2847" spans="1:9" s="31" customFormat="1" ht="75">
      <c r="A2847" s="12">
        <v>43567.682569444441</v>
      </c>
      <c r="B2847" s="13" t="str">
        <f>HYPERLINK("https://twitter.com/Heimsath","@Heimsath")</f>
        <v>@Heimsath</v>
      </c>
      <c r="C2847" s="14" t="s">
        <v>5006</v>
      </c>
      <c r="D2847" s="15" t="s">
        <v>5007</v>
      </c>
      <c r="E2847" s="16" t="str">
        <f>HYPERLINK("http://instagram.com","Instagram")</f>
        <v>Instagram</v>
      </c>
      <c r="F2847" s="12">
        <v>40527.275833333333</v>
      </c>
      <c r="G2847" s="17" t="s">
        <v>13000</v>
      </c>
      <c r="H2847" s="35" t="s">
        <v>1145</v>
      </c>
      <c r="I2847" s="18" t="s">
        <v>5008</v>
      </c>
    </row>
    <row r="2848" spans="1:9" s="31" customFormat="1" ht="30">
      <c r="A2848" s="12">
        <v>43571.838645833333</v>
      </c>
      <c r="B2848" s="13" t="str">
        <f>HYPERLINK("https://twitter.com/4ELEVEN512","@4ELEVEN512")</f>
        <v>@4ELEVEN512</v>
      </c>
      <c r="C2848" s="14" t="s">
        <v>3528</v>
      </c>
      <c r="D2848" s="15" t="s">
        <v>3529</v>
      </c>
      <c r="E2848" s="16" t="str">
        <f>HYPERLINK("http://twitter.com/download/iphone","Twitter for iPhone")</f>
        <v>Twitter for iPhone</v>
      </c>
      <c r="F2848" s="12">
        <v>39806.569386574076</v>
      </c>
      <c r="G2848" s="17" t="s">
        <v>13000</v>
      </c>
      <c r="H2848" s="35" t="s">
        <v>3530</v>
      </c>
      <c r="I2848" s="18" t="s">
        <v>3531</v>
      </c>
    </row>
    <row r="2849" spans="1:9" s="31" customFormat="1" ht="90">
      <c r="A2849" s="4">
        <v>43565.691192129627</v>
      </c>
      <c r="B2849" s="5" t="str">
        <f>HYPERLINK("https://twitter.com/46nd2","@46nd2")</f>
        <v>@46nd2</v>
      </c>
      <c r="C2849" s="6" t="s">
        <v>5948</v>
      </c>
      <c r="D2849" s="7" t="s">
        <v>5949</v>
      </c>
      <c r="E2849" s="8" t="str">
        <f>HYPERLINK("https://about.twitter.com/products/tweetdeck","TweetDeck")</f>
        <v>TweetDeck</v>
      </c>
      <c r="F2849" s="4">
        <v>41234.045590277776</v>
      </c>
      <c r="G2849" s="9" t="s">
        <v>13000</v>
      </c>
      <c r="H2849" s="35" t="s">
        <v>5950</v>
      </c>
      <c r="I2849" s="10" t="s">
        <v>5951</v>
      </c>
    </row>
    <row r="2850" spans="1:9" s="31" customFormat="1" ht="75">
      <c r="A2850" s="4">
        <v>43558.583379629628</v>
      </c>
      <c r="B2850" s="5" t="str">
        <f>HYPERLINK("https://twitter.com/save72coupons","@save72coupons")</f>
        <v>@save72coupons</v>
      </c>
      <c r="C2850" s="6" t="s">
        <v>12124</v>
      </c>
      <c r="D2850" s="7" t="s">
        <v>12125</v>
      </c>
      <c r="E2850" s="8" t="str">
        <f>HYPERLINK("http://twitter.com","Twitter Web Client")</f>
        <v>Twitter Web Client</v>
      </c>
      <c r="F2850" s="4">
        <v>42624.248715277776</v>
      </c>
      <c r="G2850" s="9" t="s">
        <v>13000</v>
      </c>
      <c r="H2850" s="35" t="s">
        <v>12126</v>
      </c>
      <c r="I2850" s="10" t="s">
        <v>12127</v>
      </c>
    </row>
    <row r="2851" spans="1:9" s="31" customFormat="1" ht="60">
      <c r="A2851" s="4">
        <v>43564.321111111116</v>
      </c>
      <c r="B2851" s="5" t="str">
        <f>HYPERLINK("https://twitter.com/pilley","@pilley")</f>
        <v>@pilley</v>
      </c>
      <c r="C2851" s="6" t="s">
        <v>1298</v>
      </c>
      <c r="D2851" s="7" t="s">
        <v>6689</v>
      </c>
      <c r="E2851" s="8" t="str">
        <f>HYPERLINK("https://missinglettr.com","Missinglettr")</f>
        <v>Missinglettr</v>
      </c>
      <c r="F2851" s="4">
        <v>39881.842314814814</v>
      </c>
      <c r="G2851" s="9" t="s">
        <v>13000</v>
      </c>
      <c r="H2851" s="35" t="s">
        <v>1300</v>
      </c>
      <c r="I2851" s="10" t="s">
        <v>1301</v>
      </c>
    </row>
    <row r="2852" spans="1:9" s="31" customFormat="1" ht="45">
      <c r="A2852" s="12">
        <v>43578.32130787037</v>
      </c>
      <c r="B2852" s="13" t="str">
        <f>HYPERLINK("https://twitter.com/pilley","@pilley")</f>
        <v>@pilley</v>
      </c>
      <c r="C2852" s="14" t="s">
        <v>1298</v>
      </c>
      <c r="D2852" s="15" t="s">
        <v>1299</v>
      </c>
      <c r="E2852" s="16" t="str">
        <f>HYPERLINK("https://missinglettr.com","Missinglettr")</f>
        <v>Missinglettr</v>
      </c>
      <c r="F2852" s="12">
        <v>39881.842314814814</v>
      </c>
      <c r="G2852" s="9" t="s">
        <v>13000</v>
      </c>
      <c r="H2852" s="35" t="s">
        <v>1300</v>
      </c>
      <c r="I2852" s="18" t="s">
        <v>1301</v>
      </c>
    </row>
    <row r="2853" spans="1:9" s="31" customFormat="1" ht="60">
      <c r="A2853" s="12">
        <v>43571.3200462963</v>
      </c>
      <c r="B2853" s="13" t="str">
        <f>HYPERLINK("https://twitter.com/pilley","@pilley")</f>
        <v>@pilley</v>
      </c>
      <c r="C2853" s="14" t="s">
        <v>1298</v>
      </c>
      <c r="D2853" s="15" t="s">
        <v>3741</v>
      </c>
      <c r="E2853" s="16" t="str">
        <f>HYPERLINK("https://missinglettr.com","Missinglettr")</f>
        <v>Missinglettr</v>
      </c>
      <c r="F2853" s="12">
        <v>39881.842314814814</v>
      </c>
      <c r="G2853" s="9" t="s">
        <v>13000</v>
      </c>
      <c r="H2853" s="35" t="s">
        <v>1300</v>
      </c>
      <c r="I2853" s="18" t="s">
        <v>1301</v>
      </c>
    </row>
    <row r="2854" spans="1:9" s="31" customFormat="1" ht="60">
      <c r="A2854" s="12">
        <v>43567.320462962962</v>
      </c>
      <c r="B2854" s="13" t="str">
        <f>HYPERLINK("https://twitter.com/pilley","@pilley")</f>
        <v>@pilley</v>
      </c>
      <c r="C2854" s="14" t="s">
        <v>1298</v>
      </c>
      <c r="D2854" s="15" t="s">
        <v>5167</v>
      </c>
      <c r="E2854" s="16" t="str">
        <f>HYPERLINK("https://missinglettr.com","Missinglettr")</f>
        <v>Missinglettr</v>
      </c>
      <c r="F2854" s="12">
        <v>39881.842314814814</v>
      </c>
      <c r="G2854" s="9" t="s">
        <v>13000</v>
      </c>
      <c r="H2854" s="35" t="s">
        <v>1300</v>
      </c>
      <c r="I2854" s="18" t="s">
        <v>1301</v>
      </c>
    </row>
    <row r="2855" spans="1:9" s="31" customFormat="1" ht="90">
      <c r="A2855" s="4">
        <v>43564.56753472222</v>
      </c>
      <c r="B2855" s="5" t="str">
        <f>HYPERLINK("https://twitter.com/GabeGroisman","@GabeGroisman")</f>
        <v>@GabeGroisman</v>
      </c>
      <c r="C2855" s="6" t="s">
        <v>6546</v>
      </c>
      <c r="D2855" s="7" t="s">
        <v>6547</v>
      </c>
      <c r="E2855" s="8" t="str">
        <f>HYPERLINK("http://twitter.com/download/iphone","Twitter for iPhone")</f>
        <v>Twitter for iPhone</v>
      </c>
      <c r="F2855" s="4">
        <v>39903.320706018516</v>
      </c>
      <c r="G2855" s="9" t="s">
        <v>13000</v>
      </c>
      <c r="H2855" s="35" t="s">
        <v>6548</v>
      </c>
      <c r="I2855" s="10" t="s">
        <v>6549</v>
      </c>
    </row>
    <row r="2856" spans="1:9" s="31" customFormat="1" ht="105">
      <c r="A2856" s="19">
        <v>43548.515219907407</v>
      </c>
      <c r="B2856" s="20" t="str">
        <f>HYPERLINK("https://twitter.com/two_journeys","@two_journeys")</f>
        <v>@two_journeys</v>
      </c>
      <c r="C2856" s="21" t="s">
        <v>8293</v>
      </c>
      <c r="D2856" s="22" t="s">
        <v>8294</v>
      </c>
      <c r="E2856" s="23" t="str">
        <f>HYPERLINK("https://ifttt.com","IFTTT")</f>
        <v>IFTTT</v>
      </c>
      <c r="F2856" s="19">
        <v>40519.204305555555</v>
      </c>
      <c r="G2856" s="24" t="s">
        <v>13000</v>
      </c>
      <c r="H2856" s="35" t="s">
        <v>8295</v>
      </c>
      <c r="I2856" s="25" t="s">
        <v>8296</v>
      </c>
    </row>
    <row r="2857" spans="1:9" s="31" customFormat="1" ht="105">
      <c r="A2857" s="19">
        <v>43548.515208333338</v>
      </c>
      <c r="B2857" s="20" t="str">
        <f>HYPERLINK("https://twitter.com/two_journeys","@two_journeys")</f>
        <v>@two_journeys</v>
      </c>
      <c r="C2857" s="21" t="s">
        <v>8293</v>
      </c>
      <c r="D2857" s="22" t="s">
        <v>8297</v>
      </c>
      <c r="E2857" s="23" t="str">
        <f>HYPERLINK("https://ifttt.com","IFTTT")</f>
        <v>IFTTT</v>
      </c>
      <c r="F2857" s="19">
        <v>40519.204305555555</v>
      </c>
      <c r="G2857" s="24" t="s">
        <v>13000</v>
      </c>
      <c r="H2857" s="35" t="s">
        <v>8295</v>
      </c>
      <c r="I2857" s="25" t="s">
        <v>8296</v>
      </c>
    </row>
    <row r="2858" spans="1:9" s="31" customFormat="1" ht="90">
      <c r="A2858" s="19">
        <v>43548.098483796297</v>
      </c>
      <c r="B2858" s="20" t="str">
        <f>HYPERLINK("https://twitter.com/two_journeys","@two_journeys")</f>
        <v>@two_journeys</v>
      </c>
      <c r="C2858" s="21" t="s">
        <v>8293</v>
      </c>
      <c r="D2858" s="22" t="s">
        <v>8414</v>
      </c>
      <c r="E2858" s="23" t="str">
        <f>HYPERLINK("https://ifttt.com","IFTTT")</f>
        <v>IFTTT</v>
      </c>
      <c r="F2858" s="19">
        <v>40519.204305555555</v>
      </c>
      <c r="G2858" s="24" t="s">
        <v>13000</v>
      </c>
      <c r="H2858" s="35" t="s">
        <v>8295</v>
      </c>
      <c r="I2858" s="25" t="s">
        <v>8296</v>
      </c>
    </row>
    <row r="2859" spans="1:9" s="31" customFormat="1" ht="120">
      <c r="A2859" s="4">
        <v>43560.874456018515</v>
      </c>
      <c r="B2859" s="5" t="str">
        <f>HYPERLINK("https://twitter.com/Mike_B_Bad","@Mike_B_Bad")</f>
        <v>@Mike_B_Bad</v>
      </c>
      <c r="C2859" s="6" t="s">
        <v>11133</v>
      </c>
      <c r="D2859" s="7" t="s">
        <v>11134</v>
      </c>
      <c r="E2859" s="8" t="str">
        <f>HYPERLINK("http://twitter.com","Twitter Web Client")</f>
        <v>Twitter Web Client</v>
      </c>
      <c r="F2859" s="4">
        <v>40814.315868055557</v>
      </c>
      <c r="G2859" s="9" t="s">
        <v>13000</v>
      </c>
      <c r="H2859" s="35" t="s">
        <v>813</v>
      </c>
      <c r="I2859" s="10"/>
    </row>
    <row r="2860" spans="1:9" s="31" customFormat="1" ht="45">
      <c r="A2860" s="12">
        <v>43579.267604166671</v>
      </c>
      <c r="B2860" s="13" t="str">
        <f>HYPERLINK("https://twitter.com/scottlester","@scottlester")</f>
        <v>@scottlester</v>
      </c>
      <c r="C2860" s="14" t="s">
        <v>811</v>
      </c>
      <c r="D2860" s="15" t="s">
        <v>812</v>
      </c>
      <c r="E2860" s="16" t="str">
        <f>HYPERLINK("https://mobile.twitter.com","Twitter Web App")</f>
        <v>Twitter Web App</v>
      </c>
      <c r="F2860" s="12">
        <v>39865.868530092594</v>
      </c>
      <c r="G2860" s="9" t="s">
        <v>13000</v>
      </c>
      <c r="H2860" s="35" t="s">
        <v>813</v>
      </c>
      <c r="I2860" s="18" t="s">
        <v>814</v>
      </c>
    </row>
    <row r="2861" spans="1:9" s="31" customFormat="1" ht="45">
      <c r="A2861" s="12">
        <v>43577.53125</v>
      </c>
      <c r="B2861" s="13" t="str">
        <f>HYPERLINK("https://twitter.com/MystaN4amous","@MystaN4amous")</f>
        <v>@MystaN4amous</v>
      </c>
      <c r="C2861" s="14" t="s">
        <v>1584</v>
      </c>
      <c r="D2861" s="15" t="s">
        <v>1585</v>
      </c>
      <c r="E2861" s="16" t="str">
        <f>HYPERLINK("http://twitter.com/download/iphone","Twitter for iPhone")</f>
        <v>Twitter for iPhone</v>
      </c>
      <c r="F2861" s="12">
        <v>41342.531736111108</v>
      </c>
      <c r="G2861" s="9" t="s">
        <v>13000</v>
      </c>
      <c r="H2861" s="35" t="s">
        <v>813</v>
      </c>
      <c r="I2861" s="18" t="s">
        <v>1586</v>
      </c>
    </row>
    <row r="2862" spans="1:9" s="31" customFormat="1" ht="45">
      <c r="A2862" s="19">
        <v>43551.288078703699</v>
      </c>
      <c r="B2862" s="20" t="str">
        <f>HYPERLINK("https://twitter.com/DavidGZeiler","@DavidGZeiler")</f>
        <v>@DavidGZeiler</v>
      </c>
      <c r="C2862" s="21" t="s">
        <v>7348</v>
      </c>
      <c r="D2862" s="22" t="s">
        <v>7349</v>
      </c>
      <c r="E2862" s="23" t="str">
        <f>HYPERLINK("http://twitter.com","Twitter Web Client")</f>
        <v>Twitter Web Client</v>
      </c>
      <c r="F2862" s="19">
        <v>41598.89502314815</v>
      </c>
      <c r="G2862" s="9" t="s">
        <v>13000</v>
      </c>
      <c r="H2862" s="35" t="s">
        <v>4245</v>
      </c>
      <c r="I2862" s="25" t="s">
        <v>7350</v>
      </c>
    </row>
    <row r="2863" spans="1:9" s="31" customFormat="1" ht="60">
      <c r="A2863" s="12">
        <v>43570.307222222225</v>
      </c>
      <c r="B2863" s="13" t="str">
        <f>HYPERLINK("https://twitter.com/WBALPhil","@WBALPhil")</f>
        <v>@WBALPhil</v>
      </c>
      <c r="C2863" s="14" t="s">
        <v>4243</v>
      </c>
      <c r="D2863" s="15" t="s">
        <v>4244</v>
      </c>
      <c r="E2863" s="16" t="str">
        <f>HYPERLINK("http://twitter.com","Twitter Web Client")</f>
        <v>Twitter Web Client</v>
      </c>
      <c r="F2863" s="12">
        <v>39896.604907407411</v>
      </c>
      <c r="G2863" s="9" t="s">
        <v>13000</v>
      </c>
      <c r="H2863" s="35" t="s">
        <v>4245</v>
      </c>
      <c r="I2863" s="18" t="s">
        <v>4246</v>
      </c>
    </row>
    <row r="2864" spans="1:9" s="31" customFormat="1" ht="105">
      <c r="A2864" s="19">
        <v>43544.779270833329</v>
      </c>
      <c r="B2864" s="20" t="str">
        <f>HYPERLINK("https://twitter.com/CryptoJustifyMe","@CryptoJustifyMe")</f>
        <v>@CryptoJustifyMe</v>
      </c>
      <c r="C2864" s="21" t="s">
        <v>9341</v>
      </c>
      <c r="D2864" s="22" t="s">
        <v>9342</v>
      </c>
      <c r="E2864" s="23" t="str">
        <f>HYPERLINK("http://twitter.com/download/android","Twitter for Android")</f>
        <v>Twitter for Android</v>
      </c>
      <c r="F2864" s="19">
        <v>43144.263969907406</v>
      </c>
      <c r="G2864" s="24" t="s">
        <v>13000</v>
      </c>
      <c r="H2864" s="35" t="s">
        <v>9343</v>
      </c>
      <c r="I2864" s="25" t="s">
        <v>9344</v>
      </c>
    </row>
    <row r="2865" spans="1:9" s="31" customFormat="1" ht="105">
      <c r="A2865" s="12">
        <v>43578.399293981478</v>
      </c>
      <c r="B2865" s="13" t="str">
        <f>HYPERLINK("https://twitter.com/Barrie360","@Barrie360")</f>
        <v>@Barrie360</v>
      </c>
      <c r="C2865" s="14" t="s">
        <v>1226</v>
      </c>
      <c r="D2865" s="15" t="s">
        <v>1227</v>
      </c>
      <c r="E2865" s="16" t="str">
        <f>HYPERLINK("https://sproutsocial.com","Sprout Social")</f>
        <v>Sprout Social</v>
      </c>
      <c r="F2865" s="12">
        <v>40696.845254629632</v>
      </c>
      <c r="G2865" s="17" t="s">
        <v>13000</v>
      </c>
      <c r="H2865" s="35" t="s">
        <v>1228</v>
      </c>
      <c r="I2865" s="18" t="s">
        <v>1229</v>
      </c>
    </row>
    <row r="2866" spans="1:9" s="31" customFormat="1" ht="30">
      <c r="A2866" s="4">
        <v>43561.475312499999</v>
      </c>
      <c r="B2866" s="5" t="str">
        <f>HYPERLINK("https://twitter.com/JohnLPender","@JohnLPender")</f>
        <v>@JohnLPender</v>
      </c>
      <c r="C2866" s="6" t="s">
        <v>10961</v>
      </c>
      <c r="D2866" s="7" t="s">
        <v>10962</v>
      </c>
      <c r="E2866" s="8" t="str">
        <f>HYPERLINK("http://twitter.com","Twitter Web Client")</f>
        <v>Twitter Web Client</v>
      </c>
      <c r="F2866" s="4">
        <v>39928.464432870373</v>
      </c>
      <c r="G2866" s="17" t="s">
        <v>13000</v>
      </c>
      <c r="H2866" s="35" t="s">
        <v>10963</v>
      </c>
      <c r="I2866" s="10" t="s">
        <v>10964</v>
      </c>
    </row>
    <row r="2867" spans="1:9" s="31" customFormat="1" ht="45">
      <c r="A2867" s="4">
        <v>43556.696932870371</v>
      </c>
      <c r="B2867" s="5" t="str">
        <f>HYPERLINK("https://twitter.com/DeonGuillory","@DeonGuillory")</f>
        <v>@DeonGuillory</v>
      </c>
      <c r="C2867" s="6" t="s">
        <v>12771</v>
      </c>
      <c r="D2867" s="7" t="s">
        <v>12772</v>
      </c>
      <c r="E2867" s="8" t="str">
        <f>HYPERLINK("https://mobile.twitter.com","Twitter Web App")</f>
        <v>Twitter Web App</v>
      </c>
      <c r="F2867" s="4">
        <v>39881.930601851855</v>
      </c>
      <c r="G2867" s="9" t="s">
        <v>13000</v>
      </c>
      <c r="H2867" s="35" t="s">
        <v>12773</v>
      </c>
      <c r="I2867" s="10" t="s">
        <v>12774</v>
      </c>
    </row>
    <row r="2868" spans="1:9" s="31" customFormat="1" ht="120">
      <c r="A2868" s="12">
        <v>43567.42359953704</v>
      </c>
      <c r="B2868" s="13" t="str">
        <f>HYPERLINK("https://twitter.com/AlphSt_Tech","@AlphSt_Tech")</f>
        <v>@AlphSt_Tech</v>
      </c>
      <c r="C2868" s="14" t="s">
        <v>5108</v>
      </c>
      <c r="D2868" s="15" t="s">
        <v>5109</v>
      </c>
      <c r="E2868" s="16" t="str">
        <f>HYPERLINK("https://about.twitter.com/products/tweetdeck","TweetDeck")</f>
        <v>TweetDeck</v>
      </c>
      <c r="F2868" s="12">
        <v>42389.258344907408</v>
      </c>
      <c r="G2868" s="17" t="s">
        <v>13000</v>
      </c>
      <c r="H2868" s="35" t="s">
        <v>5110</v>
      </c>
      <c r="I2868" s="18" t="s">
        <v>5111</v>
      </c>
    </row>
    <row r="2869" spans="1:9" s="31" customFormat="1" ht="30">
      <c r="A2869" s="12">
        <v>43575.485034722224</v>
      </c>
      <c r="B2869" s="13" t="str">
        <f>HYPERLINK("https://twitter.com/GambinosTwin","@GambinosTwin")</f>
        <v>@GambinosTwin</v>
      </c>
      <c r="C2869" s="14" t="s">
        <v>2195</v>
      </c>
      <c r="D2869" s="15" t="s">
        <v>2196</v>
      </c>
      <c r="E2869" s="16" t="str">
        <f>HYPERLINK("http://twitter.com/download/iphone","Twitter for iPhone")</f>
        <v>Twitter for iPhone</v>
      </c>
      <c r="F2869" s="12">
        <v>40541.389016203706</v>
      </c>
      <c r="G2869" s="17" t="s">
        <v>13000</v>
      </c>
      <c r="H2869" s="35" t="s">
        <v>2197</v>
      </c>
      <c r="I2869" s="18" t="s">
        <v>2198</v>
      </c>
    </row>
    <row r="2870" spans="1:9" s="31" customFormat="1" ht="105">
      <c r="A2870" s="12">
        <v>43570.585486111115</v>
      </c>
      <c r="B2870" s="13" t="str">
        <f>HYPERLINK("https://twitter.com/TraceyRudolph","@TraceyRudolph")</f>
        <v>@TraceyRudolph</v>
      </c>
      <c r="C2870" s="14" t="s">
        <v>4042</v>
      </c>
      <c r="D2870" s="15" t="s">
        <v>4043</v>
      </c>
      <c r="E2870" s="16" t="str">
        <f>HYPERLINK("https://app.agorapulse.com","AgoraPulse Manager")</f>
        <v>AgoraPulse Manager</v>
      </c>
      <c r="F2870" s="12">
        <v>40666.456701388888</v>
      </c>
      <c r="G2870" s="17" t="s">
        <v>13000</v>
      </c>
      <c r="H2870" s="35" t="s">
        <v>4044</v>
      </c>
      <c r="I2870" s="18" t="s">
        <v>4045</v>
      </c>
    </row>
    <row r="2871" spans="1:9" s="31" customFormat="1" ht="120">
      <c r="A2871" s="12">
        <v>43566.503541666665</v>
      </c>
      <c r="B2871" s="13" t="str">
        <f>HYPERLINK("https://twitter.com/TraceyRudolph","@TraceyRudolph")</f>
        <v>@TraceyRudolph</v>
      </c>
      <c r="C2871" s="14" t="s">
        <v>4042</v>
      </c>
      <c r="D2871" s="15" t="s">
        <v>5474</v>
      </c>
      <c r="E2871" s="16" t="str">
        <f>HYPERLINK("https://app.agorapulse.com","AgoraPulse Manager")</f>
        <v>AgoraPulse Manager</v>
      </c>
      <c r="F2871" s="12">
        <v>40666.456701388888</v>
      </c>
      <c r="G2871" s="17" t="s">
        <v>13000</v>
      </c>
      <c r="H2871" s="35" t="s">
        <v>4044</v>
      </c>
      <c r="I2871" s="18" t="s">
        <v>4045</v>
      </c>
    </row>
    <row r="2872" spans="1:9" s="31" customFormat="1" ht="45">
      <c r="A2872" s="12">
        <v>43573.44599537037</v>
      </c>
      <c r="B2872" s="13" t="str">
        <f>HYPERLINK("https://twitter.com/MLeanosVIP","@MLeanosVIP")</f>
        <v>@MLeanosVIP</v>
      </c>
      <c r="C2872" s="14" t="s">
        <v>2858</v>
      </c>
      <c r="D2872" s="15" t="s">
        <v>2859</v>
      </c>
      <c r="E2872" s="16" t="str">
        <f>HYPERLINK("https://www.circlepix.com/","Circlepix")</f>
        <v>Circlepix</v>
      </c>
      <c r="F2872" s="12">
        <v>40888.658587962964</v>
      </c>
      <c r="G2872" s="17" t="s">
        <v>13000</v>
      </c>
      <c r="H2872" s="35" t="s">
        <v>2860</v>
      </c>
      <c r="I2872" s="18" t="s">
        <v>1544</v>
      </c>
    </row>
    <row r="2873" spans="1:9" s="31" customFormat="1" ht="60">
      <c r="A2873" s="4">
        <v>43565.342372685191</v>
      </c>
      <c r="B2873" s="5" t="str">
        <f>HYPERLINK("https://twitter.com/Intelius","@Intelius")</f>
        <v>@Intelius</v>
      </c>
      <c r="C2873" s="6" t="s">
        <v>6152</v>
      </c>
      <c r="D2873" s="7" t="s">
        <v>6153</v>
      </c>
      <c r="E2873" s="8" t="str">
        <f>HYPERLINK("https://sproutsocial.com","Sprout Social")</f>
        <v>Sprout Social</v>
      </c>
      <c r="F2873" s="4">
        <v>39850.49019675926</v>
      </c>
      <c r="G2873" s="9" t="s">
        <v>13000</v>
      </c>
      <c r="H2873" s="35" t="s">
        <v>6154</v>
      </c>
      <c r="I2873" s="10" t="s">
        <v>6155</v>
      </c>
    </row>
    <row r="2874" spans="1:9" s="31" customFormat="1" ht="45">
      <c r="A2874" s="4">
        <v>43562.450717592597</v>
      </c>
      <c r="B2874" s="5" t="str">
        <f>HYPERLINK("https://twitter.com/Intelius","@Intelius")</f>
        <v>@Intelius</v>
      </c>
      <c r="C2874" s="6" t="s">
        <v>6152</v>
      </c>
      <c r="D2874" s="7" t="s">
        <v>10677</v>
      </c>
      <c r="E2874" s="8" t="str">
        <f>HYPERLINK("https://sproutsocial.com","Sprout Social")</f>
        <v>Sprout Social</v>
      </c>
      <c r="F2874" s="4">
        <v>39850.49019675926</v>
      </c>
      <c r="G2874" s="9" t="s">
        <v>13000</v>
      </c>
      <c r="H2874" s="35" t="s">
        <v>6154</v>
      </c>
      <c r="I2874" s="10" t="s">
        <v>6155</v>
      </c>
    </row>
    <row r="2875" spans="1:9" s="31" customFormat="1" ht="75">
      <c r="A2875" s="19">
        <v>43547.82476851852</v>
      </c>
      <c r="B2875" s="20" t="str">
        <f>HYPERLINK("https://twitter.com/RockSolidFinish","@RockSolidFinish")</f>
        <v>@RockSolidFinish</v>
      </c>
      <c r="C2875" s="21" t="s">
        <v>8468</v>
      </c>
      <c r="D2875" s="22" t="s">
        <v>8469</v>
      </c>
      <c r="E2875" s="23" t="str">
        <f>HYPERLINK("http://instagram.com","Instagram")</f>
        <v>Instagram</v>
      </c>
      <c r="F2875" s="19">
        <v>42352.552002314813</v>
      </c>
      <c r="G2875" s="24" t="s">
        <v>13000</v>
      </c>
      <c r="H2875" s="35" t="s">
        <v>2827</v>
      </c>
      <c r="I2875" s="25"/>
    </row>
    <row r="2876" spans="1:9" s="31" customFormat="1" ht="105">
      <c r="A2876" s="19">
        <v>43545.54184027778</v>
      </c>
      <c r="B2876" s="20" t="str">
        <f>HYPERLINK("https://twitter.com/AccentAmenities","@AccentAmenities")</f>
        <v>@AccentAmenities</v>
      </c>
      <c r="C2876" s="21" t="s">
        <v>2825</v>
      </c>
      <c r="D2876" s="22" t="s">
        <v>9100</v>
      </c>
      <c r="E2876" s="23" t="str">
        <f>HYPERLINK("https://www.hootsuite.com","Hootsuite Inc.")</f>
        <v>Hootsuite Inc.</v>
      </c>
      <c r="F2876" s="19">
        <v>41617.49417824074</v>
      </c>
      <c r="G2876" s="24" t="s">
        <v>13000</v>
      </c>
      <c r="H2876" s="35" t="s">
        <v>2827</v>
      </c>
      <c r="I2876" s="25" t="s">
        <v>2828</v>
      </c>
    </row>
    <row r="2877" spans="1:9" s="31" customFormat="1" ht="75">
      <c r="A2877" s="12">
        <v>43573.541863425926</v>
      </c>
      <c r="B2877" s="13" t="str">
        <f>HYPERLINK("https://twitter.com/AccentAmenities","@AccentAmenities")</f>
        <v>@AccentAmenities</v>
      </c>
      <c r="C2877" s="14" t="s">
        <v>2825</v>
      </c>
      <c r="D2877" s="15" t="s">
        <v>2826</v>
      </c>
      <c r="E2877" s="16" t="str">
        <f>HYPERLINK("https://www.hootsuite.com","Hootsuite Inc.")</f>
        <v>Hootsuite Inc.</v>
      </c>
      <c r="F2877" s="12">
        <v>41617.49417824074</v>
      </c>
      <c r="G2877" s="24" t="s">
        <v>13000</v>
      </c>
      <c r="H2877" s="35" t="s">
        <v>2827</v>
      </c>
      <c r="I2877" s="18" t="s">
        <v>2828</v>
      </c>
    </row>
    <row r="2878" spans="1:9" s="31" customFormat="1" ht="30">
      <c r="A2878" s="19">
        <v>43550.669537037036</v>
      </c>
      <c r="B2878" s="20" t="str">
        <f>HYPERLINK("https://twitter.com/2ndStRetreat","@2ndStRetreat")</f>
        <v>@2ndStRetreat</v>
      </c>
      <c r="C2878" s="21" t="s">
        <v>7555</v>
      </c>
      <c r="D2878" s="22" t="s">
        <v>7556</v>
      </c>
      <c r="E2878" s="23" t="str">
        <f>HYPERLINK("http://twitter.com/download/android","Twitter for Android")</f>
        <v>Twitter for Android</v>
      </c>
      <c r="F2878" s="19">
        <v>43382.398333333331</v>
      </c>
      <c r="G2878" s="24" t="s">
        <v>13000</v>
      </c>
      <c r="H2878" s="35" t="s">
        <v>7557</v>
      </c>
      <c r="I2878" s="25" t="s">
        <v>7558</v>
      </c>
    </row>
    <row r="2879" spans="1:9" s="31" customFormat="1" ht="60">
      <c r="A2879" s="4">
        <v>43565.638402777782</v>
      </c>
      <c r="B2879" s="5" t="str">
        <f>HYPERLINK("https://twitter.com/HGHAfarm","@HGHAfarm")</f>
        <v>@HGHAfarm</v>
      </c>
      <c r="C2879" s="6" t="s">
        <v>5974</v>
      </c>
      <c r="D2879" s="7" t="s">
        <v>5975</v>
      </c>
      <c r="E2879" s="8" t="str">
        <f>HYPERLINK("http://instagram.com","Instagram")</f>
        <v>Instagram</v>
      </c>
      <c r="F2879" s="4">
        <v>42769.220891203702</v>
      </c>
      <c r="G2879" s="9" t="s">
        <v>13000</v>
      </c>
      <c r="H2879" s="35" t="s">
        <v>5976</v>
      </c>
      <c r="I2879" s="10" t="s">
        <v>5977</v>
      </c>
    </row>
    <row r="2880" spans="1:9" s="31" customFormat="1" ht="120">
      <c r="A2880" s="19">
        <v>43551.355810185181</v>
      </c>
      <c r="B2880" s="20" t="str">
        <f>HYPERLINK("https://twitter.com/michelleqsells","@michelleqsells")</f>
        <v>@michelleqsells</v>
      </c>
      <c r="C2880" s="21" t="s">
        <v>3079</v>
      </c>
      <c r="D2880" s="22" t="s">
        <v>7285</v>
      </c>
      <c r="E2880" s="23" t="str">
        <f t="shared" ref="E2880:E2885" si="123">HYPERLINK("http://twitter.com/download/iphone","Twitter for iPhone")</f>
        <v>Twitter for iPhone</v>
      </c>
      <c r="F2880" s="19">
        <v>42067.711678240739</v>
      </c>
      <c r="G2880" s="17" t="s">
        <v>13000</v>
      </c>
      <c r="H2880" s="35" t="s">
        <v>3081</v>
      </c>
      <c r="I2880" s="25" t="s">
        <v>3082</v>
      </c>
    </row>
    <row r="2881" spans="1:9" s="31" customFormat="1" ht="120">
      <c r="A2881" s="19">
        <v>43550.320057870369</v>
      </c>
      <c r="B2881" s="20" t="str">
        <f>HYPERLINK("https://twitter.com/michelleqsells","@michelleqsells")</f>
        <v>@michelleqsells</v>
      </c>
      <c r="C2881" s="21" t="s">
        <v>3079</v>
      </c>
      <c r="D2881" s="22" t="s">
        <v>7734</v>
      </c>
      <c r="E2881" s="23" t="str">
        <f t="shared" si="123"/>
        <v>Twitter for iPhone</v>
      </c>
      <c r="F2881" s="19">
        <v>42067.711678240739</v>
      </c>
      <c r="G2881" s="17" t="s">
        <v>13000</v>
      </c>
      <c r="H2881" s="35" t="s">
        <v>3081</v>
      </c>
      <c r="I2881" s="25" t="s">
        <v>3082</v>
      </c>
    </row>
    <row r="2882" spans="1:9" s="31" customFormat="1" ht="105">
      <c r="A2882" s="19">
        <v>43548.755393518513</v>
      </c>
      <c r="B2882" s="20" t="str">
        <f>HYPERLINK("https://twitter.com/michelleqsells","@michelleqsells")</f>
        <v>@michelleqsells</v>
      </c>
      <c r="C2882" s="21" t="s">
        <v>3079</v>
      </c>
      <c r="D2882" s="22" t="s">
        <v>8228</v>
      </c>
      <c r="E2882" s="23" t="str">
        <f t="shared" si="123"/>
        <v>Twitter for iPhone</v>
      </c>
      <c r="F2882" s="19">
        <v>42067.711678240739</v>
      </c>
      <c r="G2882" s="17" t="s">
        <v>13000</v>
      </c>
      <c r="H2882" s="35" t="s">
        <v>3081</v>
      </c>
      <c r="I2882" s="25" t="s">
        <v>3082</v>
      </c>
    </row>
    <row r="2883" spans="1:9" s="31" customFormat="1" ht="120">
      <c r="A2883" s="19">
        <v>43542.812523148154</v>
      </c>
      <c r="B2883" s="20" t="str">
        <f>HYPERLINK("https://twitter.com/michelleqsells","@michelleqsells")</f>
        <v>@michelleqsells</v>
      </c>
      <c r="C2883" s="21" t="s">
        <v>3079</v>
      </c>
      <c r="D2883" s="22" t="s">
        <v>10010</v>
      </c>
      <c r="E2883" s="23" t="str">
        <f t="shared" si="123"/>
        <v>Twitter for iPhone</v>
      </c>
      <c r="F2883" s="19">
        <v>42067.711678240739</v>
      </c>
      <c r="G2883" s="17" t="s">
        <v>13000</v>
      </c>
      <c r="H2883" s="35" t="s">
        <v>3081</v>
      </c>
      <c r="I2883" s="25" t="s">
        <v>3082</v>
      </c>
    </row>
    <row r="2884" spans="1:9" s="31" customFormat="1" ht="105">
      <c r="A2884" s="12">
        <v>43572.829293981486</v>
      </c>
      <c r="B2884" s="13" t="str">
        <f>HYPERLINK("https://twitter.com/michelleqsells","@michelleqsells")</f>
        <v>@michelleqsells</v>
      </c>
      <c r="C2884" s="14" t="s">
        <v>3079</v>
      </c>
      <c r="D2884" s="15" t="s">
        <v>3080</v>
      </c>
      <c r="E2884" s="16" t="str">
        <f t="shared" si="123"/>
        <v>Twitter for iPhone</v>
      </c>
      <c r="F2884" s="12">
        <v>42067.711678240739</v>
      </c>
      <c r="G2884" s="17" t="s">
        <v>13000</v>
      </c>
      <c r="H2884" s="35" t="s">
        <v>3081</v>
      </c>
      <c r="I2884" s="18" t="s">
        <v>3082</v>
      </c>
    </row>
    <row r="2885" spans="1:9" s="31" customFormat="1" ht="105">
      <c r="A2885" s="4">
        <v>43565.125347222223</v>
      </c>
      <c r="B2885" s="5" t="str">
        <f>HYPERLINK("https://twitter.com/joshuabloom01","@joshuabloom01")</f>
        <v>@joshuabloom01</v>
      </c>
      <c r="C2885" s="6" t="s">
        <v>6269</v>
      </c>
      <c r="D2885" s="7" t="s">
        <v>6270</v>
      </c>
      <c r="E2885" s="8" t="str">
        <f t="shared" si="123"/>
        <v>Twitter for iPhone</v>
      </c>
      <c r="F2885" s="4">
        <v>40031.916562500002</v>
      </c>
      <c r="G2885" s="17" t="s">
        <v>13000</v>
      </c>
      <c r="H2885" s="35" t="s">
        <v>6271</v>
      </c>
      <c r="I2885" s="10" t="s">
        <v>6272</v>
      </c>
    </row>
    <row r="2886" spans="1:9" s="31" customFormat="1" ht="90">
      <c r="A2886" s="12">
        <v>43572.756724537037</v>
      </c>
      <c r="B2886" s="13" t="str">
        <f>HYPERLINK("https://twitter.com/ShackBda","@ShackBda")</f>
        <v>@ShackBda</v>
      </c>
      <c r="C2886" s="14" t="s">
        <v>3094</v>
      </c>
      <c r="D2886" s="15" t="s">
        <v>3095</v>
      </c>
      <c r="E2886" s="16" t="str">
        <f>HYPERLINK("http://instagram.com","Instagram")</f>
        <v>Instagram</v>
      </c>
      <c r="F2886" s="12">
        <v>42578.512256944443</v>
      </c>
      <c r="G2886" s="17" t="s">
        <v>13000</v>
      </c>
      <c r="H2886" s="35" t="s">
        <v>3096</v>
      </c>
      <c r="I2886" s="18" t="s">
        <v>3097</v>
      </c>
    </row>
    <row r="2887" spans="1:9" s="31" customFormat="1" ht="60">
      <c r="A2887" s="12">
        <v>43566.474108796298</v>
      </c>
      <c r="B2887" s="13" t="str">
        <f>HYPERLINK("https://twitter.com/SunsetBermuda","@SunsetBermuda")</f>
        <v>@SunsetBermuda</v>
      </c>
      <c r="C2887" s="14" t="s">
        <v>5501</v>
      </c>
      <c r="D2887" s="15" t="s">
        <v>5502</v>
      </c>
      <c r="E2887" s="16" t="str">
        <f>HYPERLINK("http://twitter.com","Twitter Web Client")</f>
        <v>Twitter Web Client</v>
      </c>
      <c r="F2887" s="12">
        <v>41729.664444444446</v>
      </c>
      <c r="G2887" s="17" t="s">
        <v>13000</v>
      </c>
      <c r="H2887" s="35" t="s">
        <v>3096</v>
      </c>
      <c r="I2887" s="18" t="s">
        <v>5503</v>
      </c>
    </row>
    <row r="2888" spans="1:9" s="31" customFormat="1" ht="105">
      <c r="A2888" s="19">
        <v>43546.416678240741</v>
      </c>
      <c r="B2888" s="20" t="str">
        <f>HYPERLINK("https://twitter.com/southpondfarms","@southpondfarms")</f>
        <v>@southpondfarms</v>
      </c>
      <c r="C2888" s="21" t="s">
        <v>8870</v>
      </c>
      <c r="D2888" s="22" t="s">
        <v>8871</v>
      </c>
      <c r="E2888" s="23" t="str">
        <f>HYPERLINK("https://ads-api.twitter.com","Twitter Ads Composer")</f>
        <v>Twitter Ads Composer</v>
      </c>
      <c r="F2888" s="19">
        <v>40721.838159722218</v>
      </c>
      <c r="G2888" s="17" t="s">
        <v>13000</v>
      </c>
      <c r="H2888" s="35" t="s">
        <v>8872</v>
      </c>
      <c r="I2888" s="25" t="s">
        <v>8873</v>
      </c>
    </row>
    <row r="2889" spans="1:9" s="31" customFormat="1" ht="45">
      <c r="A2889" s="12">
        <v>43566.351469907408</v>
      </c>
      <c r="B2889" s="13" t="str">
        <f>HYPERLINK("https://twitter.com/sans_isc","@sans_isc")</f>
        <v>@sans_isc</v>
      </c>
      <c r="C2889" s="14" t="s">
        <v>5631</v>
      </c>
      <c r="D2889" s="15" t="s">
        <v>5632</v>
      </c>
      <c r="E2889" s="16" t="str">
        <f>HYPERLINK("https://www.hootsuite.com","Hootsuite Inc.")</f>
        <v>Hootsuite Inc.</v>
      </c>
      <c r="F2889" s="12">
        <v>39247.633414351854</v>
      </c>
      <c r="G2889" s="17" t="s">
        <v>13000</v>
      </c>
      <c r="H2889" s="35" t="s">
        <v>5633</v>
      </c>
      <c r="I2889" s="18" t="s">
        <v>5634</v>
      </c>
    </row>
    <row r="2890" spans="1:9" s="31" customFormat="1" ht="90">
      <c r="A2890" s="12">
        <v>43572.095671296294</v>
      </c>
      <c r="B2890" s="13" t="str">
        <f>HYPERLINK("https://twitter.com/Burt_Blackarach","@Burt_Blackarach")</f>
        <v>@Burt_Blackarach</v>
      </c>
      <c r="C2890" s="14" t="s">
        <v>3429</v>
      </c>
      <c r="D2890" s="15" t="s">
        <v>3430</v>
      </c>
      <c r="E2890" s="16" t="str">
        <f>HYPERLINK("http://www.facebook.com/twitter","Facebook")</f>
        <v>Facebook</v>
      </c>
      <c r="F2890" s="12">
        <v>39935.655543981484</v>
      </c>
      <c r="G2890" s="17" t="s">
        <v>13000</v>
      </c>
      <c r="H2890" s="35" t="s">
        <v>3431</v>
      </c>
      <c r="I2890" s="18" t="s">
        <v>3432</v>
      </c>
    </row>
    <row r="2891" spans="1:9" s="31" customFormat="1" ht="105">
      <c r="A2891" s="12">
        <v>43578.995532407411</v>
      </c>
      <c r="B2891" s="13" t="str">
        <f t="shared" ref="B2891:B2896" si="124">HYPERLINK("https://twitter.com/BearKubKabin","@BearKubKabin")</f>
        <v>@BearKubKabin</v>
      </c>
      <c r="C2891" s="14" t="s">
        <v>976</v>
      </c>
      <c r="D2891" s="15" t="s">
        <v>977</v>
      </c>
      <c r="E2891" s="16" t="str">
        <f t="shared" ref="E2891:E2896" si="125">HYPERLINK("http://twitter.com/#!/download/ipad","Twitter for iPad")</f>
        <v>Twitter for iPad</v>
      </c>
      <c r="F2891" s="12">
        <v>43280.429270833338</v>
      </c>
      <c r="G2891" s="17" t="s">
        <v>13000</v>
      </c>
      <c r="H2891" s="35" t="s">
        <v>978</v>
      </c>
      <c r="I2891" s="18" t="s">
        <v>979</v>
      </c>
    </row>
    <row r="2892" spans="1:9" s="31" customFormat="1" ht="120">
      <c r="A2892" s="12">
        <v>43577.933912037042</v>
      </c>
      <c r="B2892" s="13" t="str">
        <f t="shared" si="124"/>
        <v>@BearKubKabin</v>
      </c>
      <c r="C2892" s="14" t="s">
        <v>976</v>
      </c>
      <c r="D2892" s="15" t="s">
        <v>1454</v>
      </c>
      <c r="E2892" s="16" t="str">
        <f t="shared" si="125"/>
        <v>Twitter for iPad</v>
      </c>
      <c r="F2892" s="12">
        <v>43280.429270833338</v>
      </c>
      <c r="G2892" s="17" t="s">
        <v>13000</v>
      </c>
      <c r="H2892" s="35" t="s">
        <v>978</v>
      </c>
      <c r="I2892" s="18" t="s">
        <v>979</v>
      </c>
    </row>
    <row r="2893" spans="1:9" s="31" customFormat="1" ht="105">
      <c r="A2893" s="12">
        <v>43575.945243055554</v>
      </c>
      <c r="B2893" s="13" t="str">
        <f t="shared" si="124"/>
        <v>@BearKubKabin</v>
      </c>
      <c r="C2893" s="14" t="s">
        <v>976</v>
      </c>
      <c r="D2893" s="15" t="s">
        <v>2092</v>
      </c>
      <c r="E2893" s="16" t="str">
        <f t="shared" si="125"/>
        <v>Twitter for iPad</v>
      </c>
      <c r="F2893" s="12">
        <v>43280.429270833338</v>
      </c>
      <c r="G2893" s="17" t="s">
        <v>13000</v>
      </c>
      <c r="H2893" s="35" t="s">
        <v>978</v>
      </c>
      <c r="I2893" s="18" t="s">
        <v>979</v>
      </c>
    </row>
    <row r="2894" spans="1:9" s="31" customFormat="1" ht="105">
      <c r="A2894" s="12">
        <v>43574.953298611115</v>
      </c>
      <c r="B2894" s="13" t="str">
        <f t="shared" si="124"/>
        <v>@BearKubKabin</v>
      </c>
      <c r="C2894" s="14" t="s">
        <v>976</v>
      </c>
      <c r="D2894" s="15" t="s">
        <v>2398</v>
      </c>
      <c r="E2894" s="16" t="str">
        <f t="shared" si="125"/>
        <v>Twitter for iPad</v>
      </c>
      <c r="F2894" s="12">
        <v>43280.429270833338</v>
      </c>
      <c r="G2894" s="17" t="s">
        <v>13000</v>
      </c>
      <c r="H2894" s="35" t="s">
        <v>978</v>
      </c>
      <c r="I2894" s="18" t="s">
        <v>979</v>
      </c>
    </row>
    <row r="2895" spans="1:9" s="31" customFormat="1" ht="105">
      <c r="A2895" s="12">
        <v>43572.955740740741</v>
      </c>
      <c r="B2895" s="13" t="str">
        <f t="shared" si="124"/>
        <v>@BearKubKabin</v>
      </c>
      <c r="C2895" s="14" t="s">
        <v>976</v>
      </c>
      <c r="D2895" s="15" t="s">
        <v>3045</v>
      </c>
      <c r="E2895" s="16" t="str">
        <f t="shared" si="125"/>
        <v>Twitter for iPad</v>
      </c>
      <c r="F2895" s="12">
        <v>43280.429270833338</v>
      </c>
      <c r="G2895" s="17" t="s">
        <v>13000</v>
      </c>
      <c r="H2895" s="35" t="s">
        <v>978</v>
      </c>
      <c r="I2895" s="18" t="s">
        <v>979</v>
      </c>
    </row>
    <row r="2896" spans="1:9" s="31" customFormat="1" ht="120">
      <c r="A2896" s="12">
        <v>43569.040451388893</v>
      </c>
      <c r="B2896" s="13" t="str">
        <f t="shared" si="124"/>
        <v>@BearKubKabin</v>
      </c>
      <c r="C2896" s="14" t="s">
        <v>976</v>
      </c>
      <c r="D2896" s="15" t="s">
        <v>4606</v>
      </c>
      <c r="E2896" s="16" t="str">
        <f t="shared" si="125"/>
        <v>Twitter for iPad</v>
      </c>
      <c r="F2896" s="12">
        <v>43280.429270833338</v>
      </c>
      <c r="G2896" s="17" t="s">
        <v>13000</v>
      </c>
      <c r="H2896" s="35" t="s">
        <v>978</v>
      </c>
      <c r="I2896" s="18" t="s">
        <v>979</v>
      </c>
    </row>
    <row r="2897" spans="1:9" s="31" customFormat="1" ht="90">
      <c r="A2897" s="19">
        <v>43543.438969907409</v>
      </c>
      <c r="B2897" s="20" t="str">
        <f>HYPERLINK("https://twitter.com/LibertyVacation","@LibertyVacation")</f>
        <v>@LibertyVacation</v>
      </c>
      <c r="C2897" s="21" t="s">
        <v>9797</v>
      </c>
      <c r="D2897" s="22" t="s">
        <v>9798</v>
      </c>
      <c r="E2897" s="23" t="str">
        <f>HYPERLINK("http://twitter.com/download/android","Twitter for Android")</f>
        <v>Twitter for Android</v>
      </c>
      <c r="F2897" s="19">
        <v>42893.603229166663</v>
      </c>
      <c r="G2897" s="17" t="s">
        <v>13000</v>
      </c>
      <c r="H2897" s="35" t="s">
        <v>9799</v>
      </c>
      <c r="I2897" s="25" t="s">
        <v>9800</v>
      </c>
    </row>
    <row r="2898" spans="1:9" s="31" customFormat="1" ht="90">
      <c r="A2898" s="19">
        <v>43551.267187500001</v>
      </c>
      <c r="B2898" s="20" t="str">
        <f>HYPERLINK("https://twitter.com/Southpace","@Southpace")</f>
        <v>@Southpace</v>
      </c>
      <c r="C2898" s="21" t="s">
        <v>7365</v>
      </c>
      <c r="D2898" s="22" t="s">
        <v>7366</v>
      </c>
      <c r="E2898" s="23" t="str">
        <f>HYPERLINK("http://twitter.com","Twitter Web Client")</f>
        <v>Twitter Web Client</v>
      </c>
      <c r="F2898" s="19">
        <v>40784.500081018516</v>
      </c>
      <c r="G2898" s="24" t="s">
        <v>13000</v>
      </c>
      <c r="H2898" s="35" t="s">
        <v>7367</v>
      </c>
      <c r="I2898" s="25" t="s">
        <v>7368</v>
      </c>
    </row>
    <row r="2899" spans="1:9" s="31" customFormat="1" ht="30">
      <c r="A2899" s="12">
        <v>43567.570439814815</v>
      </c>
      <c r="B2899" s="13" t="str">
        <f>HYPERLINK("https://twitter.com/offtothepoconos","@offtothepoconos")</f>
        <v>@offtothepoconos</v>
      </c>
      <c r="C2899" s="14" t="s">
        <v>5039</v>
      </c>
      <c r="D2899" s="15" t="s">
        <v>5040</v>
      </c>
      <c r="E2899" s="16" t="str">
        <f>HYPERLINK("http://twitter.com/download/android","Twitter for Android")</f>
        <v>Twitter for Android</v>
      </c>
      <c r="F2899" s="12">
        <v>43294.489050925928</v>
      </c>
      <c r="G2899" s="17" t="s">
        <v>13000</v>
      </c>
      <c r="H2899" s="35" t="s">
        <v>5041</v>
      </c>
      <c r="I2899" s="18" t="s">
        <v>5042</v>
      </c>
    </row>
    <row r="2900" spans="1:9" s="31" customFormat="1" ht="45">
      <c r="A2900" s="12">
        <v>43579.646226851852</v>
      </c>
      <c r="B2900" s="13" t="str">
        <f>HYPERLINK("https://twitter.com/chimerakim","@chimerakim")</f>
        <v>@chimerakim</v>
      </c>
      <c r="C2900" s="14" t="s">
        <v>526</v>
      </c>
      <c r="D2900" s="15" t="s">
        <v>527</v>
      </c>
      <c r="E2900" s="16" t="str">
        <f>HYPERLINK("http://twitter.com","Twitter Web Client")</f>
        <v>Twitter Web Client</v>
      </c>
      <c r="F2900" s="12">
        <v>39966.48101851852</v>
      </c>
      <c r="G2900" s="17" t="s">
        <v>13000</v>
      </c>
      <c r="H2900" s="35" t="s">
        <v>528</v>
      </c>
      <c r="I2900" s="18" t="s">
        <v>529</v>
      </c>
    </row>
    <row r="2901" spans="1:9" s="31" customFormat="1" ht="75">
      <c r="A2901" s="12">
        <v>43577.470150462963</v>
      </c>
      <c r="B2901" s="13" t="str">
        <f>HYPERLINK("https://twitter.com/k_talerico","@k_talerico")</f>
        <v>@k_talerico</v>
      </c>
      <c r="C2901" s="14" t="s">
        <v>1613</v>
      </c>
      <c r="D2901" s="15" t="s">
        <v>1614</v>
      </c>
      <c r="E2901" s="16" t="str">
        <f>HYPERLINK("https://about.twitter.com/products/tweetdeck","TweetDeck")</f>
        <v>TweetDeck</v>
      </c>
      <c r="F2901" s="12">
        <v>41054.272511574076</v>
      </c>
      <c r="G2901" s="17" t="s">
        <v>13000</v>
      </c>
      <c r="H2901" s="35" t="s">
        <v>528</v>
      </c>
      <c r="I2901" s="18" t="s">
        <v>1615</v>
      </c>
    </row>
    <row r="2902" spans="1:9" s="31" customFormat="1" ht="45">
      <c r="A2902" s="12">
        <v>43577.224050925928</v>
      </c>
      <c r="B2902" s="13" t="str">
        <f>HYPERLINK("https://twitter.com/diegueno","@diegueno")</f>
        <v>@diegueno</v>
      </c>
      <c r="C2902" s="14" t="s">
        <v>1699</v>
      </c>
      <c r="D2902" s="15" t="s">
        <v>1700</v>
      </c>
      <c r="E2902" s="16" t="str">
        <f>HYPERLINK("http://twitter.com/download/android","Twitter for Android")</f>
        <v>Twitter for Android</v>
      </c>
      <c r="F2902" s="12">
        <v>39784.673715277779</v>
      </c>
      <c r="G2902" s="17" t="s">
        <v>13000</v>
      </c>
      <c r="H2902" s="35" t="s">
        <v>1701</v>
      </c>
      <c r="I2902" s="18" t="s">
        <v>1702</v>
      </c>
    </row>
    <row r="2903" spans="1:9" s="31" customFormat="1" ht="90">
      <c r="A2903" s="19">
        <v>43551.784652777773</v>
      </c>
      <c r="B2903" s="20" t="str">
        <f t="shared" ref="B2903:B2929" si="126">HYPERLINK("https://twitter.com/KradelsK","@KradelsK")</f>
        <v>@KradelsK</v>
      </c>
      <c r="C2903" s="21" t="s">
        <v>505</v>
      </c>
      <c r="D2903" s="22" t="s">
        <v>7001</v>
      </c>
      <c r="E2903" s="23" t="str">
        <f t="shared" ref="E2903:E2929" si="127">HYPERLINK("http://twitter.com/download/iphone","Twitter for iPhone")</f>
        <v>Twitter for iPhone</v>
      </c>
      <c r="F2903" s="19">
        <v>43457.842812499999</v>
      </c>
      <c r="G2903" s="24" t="s">
        <v>13000</v>
      </c>
      <c r="H2903" s="35" t="s">
        <v>507</v>
      </c>
      <c r="I2903" s="25" t="s">
        <v>508</v>
      </c>
    </row>
    <row r="2904" spans="1:9" s="31" customFormat="1" ht="105">
      <c r="A2904" s="19">
        <v>43550.693611111114</v>
      </c>
      <c r="B2904" s="20" t="str">
        <f t="shared" si="126"/>
        <v>@KradelsK</v>
      </c>
      <c r="C2904" s="21" t="s">
        <v>505</v>
      </c>
      <c r="D2904" s="22" t="s">
        <v>7550</v>
      </c>
      <c r="E2904" s="23" t="str">
        <f t="shared" si="127"/>
        <v>Twitter for iPhone</v>
      </c>
      <c r="F2904" s="19">
        <v>43457.842812499999</v>
      </c>
      <c r="G2904" s="24" t="s">
        <v>13000</v>
      </c>
      <c r="H2904" s="35" t="s">
        <v>507</v>
      </c>
      <c r="I2904" s="25" t="s">
        <v>508</v>
      </c>
    </row>
    <row r="2905" spans="1:9" s="31" customFormat="1" ht="105">
      <c r="A2905" s="19">
        <v>43548.72929398148</v>
      </c>
      <c r="B2905" s="20" t="str">
        <f t="shared" si="126"/>
        <v>@KradelsK</v>
      </c>
      <c r="C2905" s="21" t="s">
        <v>505</v>
      </c>
      <c r="D2905" s="22" t="s">
        <v>8232</v>
      </c>
      <c r="E2905" s="23" t="str">
        <f t="shared" si="127"/>
        <v>Twitter for iPhone</v>
      </c>
      <c r="F2905" s="19">
        <v>43457.842812499999</v>
      </c>
      <c r="G2905" s="24" t="s">
        <v>13000</v>
      </c>
      <c r="H2905" s="35" t="s">
        <v>507</v>
      </c>
      <c r="I2905" s="25" t="s">
        <v>508</v>
      </c>
    </row>
    <row r="2906" spans="1:9" s="31" customFormat="1" ht="105">
      <c r="A2906" s="19">
        <v>43547.75886574074</v>
      </c>
      <c r="B2906" s="20" t="str">
        <f t="shared" si="126"/>
        <v>@KradelsK</v>
      </c>
      <c r="C2906" s="21" t="s">
        <v>505</v>
      </c>
      <c r="D2906" s="22" t="s">
        <v>8477</v>
      </c>
      <c r="E2906" s="23" t="str">
        <f t="shared" si="127"/>
        <v>Twitter for iPhone</v>
      </c>
      <c r="F2906" s="19">
        <v>43457.842812499999</v>
      </c>
      <c r="G2906" s="24" t="s">
        <v>13000</v>
      </c>
      <c r="H2906" s="35" t="s">
        <v>507</v>
      </c>
      <c r="I2906" s="25" t="s">
        <v>508</v>
      </c>
    </row>
    <row r="2907" spans="1:9" s="31" customFormat="1" ht="90">
      <c r="A2907" s="19">
        <v>43546.73773148148</v>
      </c>
      <c r="B2907" s="20" t="str">
        <f t="shared" si="126"/>
        <v>@KradelsK</v>
      </c>
      <c r="C2907" s="21" t="s">
        <v>505</v>
      </c>
      <c r="D2907" s="22" t="s">
        <v>8743</v>
      </c>
      <c r="E2907" s="23" t="str">
        <f t="shared" si="127"/>
        <v>Twitter for iPhone</v>
      </c>
      <c r="F2907" s="19">
        <v>43457.842812499999</v>
      </c>
      <c r="G2907" s="24" t="s">
        <v>13000</v>
      </c>
      <c r="H2907" s="35" t="s">
        <v>507</v>
      </c>
      <c r="I2907" s="25" t="s">
        <v>508</v>
      </c>
    </row>
    <row r="2908" spans="1:9" s="31" customFormat="1" ht="60">
      <c r="A2908" s="19">
        <v>43545.76563657407</v>
      </c>
      <c r="B2908" s="20" t="str">
        <f t="shared" si="126"/>
        <v>@KradelsK</v>
      </c>
      <c r="C2908" s="21" t="s">
        <v>505</v>
      </c>
      <c r="D2908" s="22" t="s">
        <v>9057</v>
      </c>
      <c r="E2908" s="23" t="str">
        <f t="shared" si="127"/>
        <v>Twitter for iPhone</v>
      </c>
      <c r="F2908" s="19">
        <v>43457.842812499999</v>
      </c>
      <c r="G2908" s="24" t="s">
        <v>13000</v>
      </c>
      <c r="H2908" s="35" t="s">
        <v>507</v>
      </c>
      <c r="I2908" s="25" t="s">
        <v>508</v>
      </c>
    </row>
    <row r="2909" spans="1:9" s="31" customFormat="1" ht="90">
      <c r="A2909" s="19">
        <v>43544.706238425926</v>
      </c>
      <c r="B2909" s="20" t="str">
        <f t="shared" si="126"/>
        <v>@KradelsK</v>
      </c>
      <c r="C2909" s="21" t="s">
        <v>505</v>
      </c>
      <c r="D2909" s="22" t="s">
        <v>9372</v>
      </c>
      <c r="E2909" s="23" t="str">
        <f t="shared" si="127"/>
        <v>Twitter for iPhone</v>
      </c>
      <c r="F2909" s="19">
        <v>43457.842812499999</v>
      </c>
      <c r="G2909" s="24" t="s">
        <v>13000</v>
      </c>
      <c r="H2909" s="35" t="s">
        <v>507</v>
      </c>
      <c r="I2909" s="25" t="s">
        <v>508</v>
      </c>
    </row>
    <row r="2910" spans="1:9" s="31" customFormat="1" ht="75">
      <c r="A2910" s="19">
        <v>43543.809201388889</v>
      </c>
      <c r="B2910" s="20" t="str">
        <f t="shared" si="126"/>
        <v>@KradelsK</v>
      </c>
      <c r="C2910" s="21" t="s">
        <v>505</v>
      </c>
      <c r="D2910" s="22" t="s">
        <v>9681</v>
      </c>
      <c r="E2910" s="23" t="str">
        <f t="shared" si="127"/>
        <v>Twitter for iPhone</v>
      </c>
      <c r="F2910" s="19">
        <v>43457.842812499999</v>
      </c>
      <c r="G2910" s="24" t="s">
        <v>13000</v>
      </c>
      <c r="H2910" s="35" t="s">
        <v>507</v>
      </c>
      <c r="I2910" s="25" t="s">
        <v>508</v>
      </c>
    </row>
    <row r="2911" spans="1:9" s="31" customFormat="1" ht="105">
      <c r="A2911" s="4">
        <v>43564.833090277782</v>
      </c>
      <c r="B2911" s="5" t="str">
        <f t="shared" si="126"/>
        <v>@KradelsK</v>
      </c>
      <c r="C2911" s="6" t="s">
        <v>505</v>
      </c>
      <c r="D2911" s="7" t="s">
        <v>6401</v>
      </c>
      <c r="E2911" s="8" t="str">
        <f t="shared" si="127"/>
        <v>Twitter for iPhone</v>
      </c>
      <c r="F2911" s="4">
        <v>43457.842812499999</v>
      </c>
      <c r="G2911" s="24" t="s">
        <v>13000</v>
      </c>
      <c r="H2911" s="35" t="s">
        <v>507</v>
      </c>
      <c r="I2911" s="10" t="s">
        <v>508</v>
      </c>
    </row>
    <row r="2912" spans="1:9" s="31" customFormat="1" ht="105">
      <c r="A2912" s="4">
        <v>43563.827673611115</v>
      </c>
      <c r="B2912" s="5" t="str">
        <f t="shared" si="126"/>
        <v>@KradelsK</v>
      </c>
      <c r="C2912" s="6" t="s">
        <v>505</v>
      </c>
      <c r="D2912" s="7" t="s">
        <v>6869</v>
      </c>
      <c r="E2912" s="8" t="str">
        <f t="shared" si="127"/>
        <v>Twitter for iPhone</v>
      </c>
      <c r="F2912" s="4">
        <v>43457.842812499999</v>
      </c>
      <c r="G2912" s="24" t="s">
        <v>13000</v>
      </c>
      <c r="H2912" s="35" t="s">
        <v>507</v>
      </c>
      <c r="I2912" s="10" t="s">
        <v>508</v>
      </c>
    </row>
    <row r="2913" spans="1:9" s="31" customFormat="1" ht="60">
      <c r="A2913" s="4">
        <v>43562.838206018518</v>
      </c>
      <c r="B2913" s="5" t="str">
        <f t="shared" si="126"/>
        <v>@KradelsK</v>
      </c>
      <c r="C2913" s="6" t="s">
        <v>505</v>
      </c>
      <c r="D2913" s="7" t="s">
        <v>10567</v>
      </c>
      <c r="E2913" s="8" t="str">
        <f t="shared" si="127"/>
        <v>Twitter for iPhone</v>
      </c>
      <c r="F2913" s="4">
        <v>43457.842812499999</v>
      </c>
      <c r="G2913" s="24" t="s">
        <v>13000</v>
      </c>
      <c r="H2913" s="35" t="s">
        <v>507</v>
      </c>
      <c r="I2913" s="10" t="s">
        <v>508</v>
      </c>
    </row>
    <row r="2914" spans="1:9" s="31" customFormat="1" ht="60">
      <c r="A2914" s="4">
        <v>43561.746932870374</v>
      </c>
      <c r="B2914" s="5" t="str">
        <f t="shared" si="126"/>
        <v>@KradelsK</v>
      </c>
      <c r="C2914" s="6" t="s">
        <v>505</v>
      </c>
      <c r="D2914" s="7" t="s">
        <v>10844</v>
      </c>
      <c r="E2914" s="8" t="str">
        <f t="shared" si="127"/>
        <v>Twitter for iPhone</v>
      </c>
      <c r="F2914" s="4">
        <v>43457.842812499999</v>
      </c>
      <c r="G2914" s="24" t="s">
        <v>13000</v>
      </c>
      <c r="H2914" s="35" t="s">
        <v>507</v>
      </c>
      <c r="I2914" s="10" t="s">
        <v>508</v>
      </c>
    </row>
    <row r="2915" spans="1:9" s="31" customFormat="1" ht="75">
      <c r="A2915" s="4">
        <v>43560.593495370369</v>
      </c>
      <c r="B2915" s="5" t="str">
        <f t="shared" si="126"/>
        <v>@KradelsK</v>
      </c>
      <c r="C2915" s="6" t="s">
        <v>505</v>
      </c>
      <c r="D2915" s="7" t="s">
        <v>11269</v>
      </c>
      <c r="E2915" s="8" t="str">
        <f t="shared" si="127"/>
        <v>Twitter for iPhone</v>
      </c>
      <c r="F2915" s="4">
        <v>43457.842812499999</v>
      </c>
      <c r="G2915" s="24" t="s">
        <v>13000</v>
      </c>
      <c r="H2915" s="35" t="s">
        <v>507</v>
      </c>
      <c r="I2915" s="10" t="s">
        <v>508</v>
      </c>
    </row>
    <row r="2916" spans="1:9" s="31" customFormat="1" ht="90">
      <c r="A2916" s="4">
        <v>43559.82430555555</v>
      </c>
      <c r="B2916" s="5" t="str">
        <f t="shared" si="126"/>
        <v>@KradelsK</v>
      </c>
      <c r="C2916" s="6" t="s">
        <v>505</v>
      </c>
      <c r="D2916" s="7" t="s">
        <v>11680</v>
      </c>
      <c r="E2916" s="8" t="str">
        <f t="shared" si="127"/>
        <v>Twitter for iPhone</v>
      </c>
      <c r="F2916" s="4">
        <v>43457.842812499999</v>
      </c>
      <c r="G2916" s="24" t="s">
        <v>13000</v>
      </c>
      <c r="H2916" s="35" t="s">
        <v>507</v>
      </c>
      <c r="I2916" s="10" t="s">
        <v>508</v>
      </c>
    </row>
    <row r="2917" spans="1:9" s="31" customFormat="1" ht="45">
      <c r="A2917" s="4">
        <v>43558.837395833332</v>
      </c>
      <c r="B2917" s="5" t="str">
        <f t="shared" si="126"/>
        <v>@KradelsK</v>
      </c>
      <c r="C2917" s="6" t="s">
        <v>505</v>
      </c>
      <c r="D2917" s="7" t="s">
        <v>12026</v>
      </c>
      <c r="E2917" s="8" t="str">
        <f t="shared" si="127"/>
        <v>Twitter for iPhone</v>
      </c>
      <c r="F2917" s="4">
        <v>43457.842812499999</v>
      </c>
      <c r="G2917" s="24" t="s">
        <v>13000</v>
      </c>
      <c r="H2917" s="35" t="s">
        <v>507</v>
      </c>
      <c r="I2917" s="10" t="s">
        <v>508</v>
      </c>
    </row>
    <row r="2918" spans="1:9" s="31" customFormat="1" ht="90">
      <c r="A2918" s="4">
        <v>43557.816921296297</v>
      </c>
      <c r="B2918" s="5" t="str">
        <f t="shared" si="126"/>
        <v>@KradelsK</v>
      </c>
      <c r="C2918" s="6" t="s">
        <v>505</v>
      </c>
      <c r="D2918" s="7" t="s">
        <v>12388</v>
      </c>
      <c r="E2918" s="8" t="str">
        <f t="shared" si="127"/>
        <v>Twitter for iPhone</v>
      </c>
      <c r="F2918" s="4">
        <v>43457.842812499999</v>
      </c>
      <c r="G2918" s="24" t="s">
        <v>13000</v>
      </c>
      <c r="H2918" s="35" t="s">
        <v>507</v>
      </c>
      <c r="I2918" s="10" t="s">
        <v>508</v>
      </c>
    </row>
    <row r="2919" spans="1:9" s="31" customFormat="1" ht="105">
      <c r="A2919" s="4">
        <v>43556.85365740741</v>
      </c>
      <c r="B2919" s="5" t="str">
        <f t="shared" si="126"/>
        <v>@KradelsK</v>
      </c>
      <c r="C2919" s="6" t="s">
        <v>505</v>
      </c>
      <c r="D2919" s="7" t="s">
        <v>12722</v>
      </c>
      <c r="E2919" s="8" t="str">
        <f t="shared" si="127"/>
        <v>Twitter for iPhone</v>
      </c>
      <c r="F2919" s="4">
        <v>43457.842812499999</v>
      </c>
      <c r="G2919" s="24" t="s">
        <v>13000</v>
      </c>
      <c r="H2919" s="35" t="s">
        <v>507</v>
      </c>
      <c r="I2919" s="10" t="s">
        <v>508</v>
      </c>
    </row>
    <row r="2920" spans="1:9" s="31" customFormat="1" ht="105">
      <c r="A2920" s="12">
        <v>43579.699756944443</v>
      </c>
      <c r="B2920" s="13" t="str">
        <f t="shared" si="126"/>
        <v>@KradelsK</v>
      </c>
      <c r="C2920" s="14" t="s">
        <v>505</v>
      </c>
      <c r="D2920" s="15" t="s">
        <v>506</v>
      </c>
      <c r="E2920" s="16" t="str">
        <f t="shared" si="127"/>
        <v>Twitter for iPhone</v>
      </c>
      <c r="F2920" s="12">
        <v>43457.842812499999</v>
      </c>
      <c r="G2920" s="24" t="s">
        <v>13000</v>
      </c>
      <c r="H2920" s="35" t="s">
        <v>507</v>
      </c>
      <c r="I2920" s="18" t="s">
        <v>508</v>
      </c>
    </row>
    <row r="2921" spans="1:9" s="31" customFormat="1" ht="45">
      <c r="A2921" s="12">
        <v>43578.674409722225</v>
      </c>
      <c r="B2921" s="13" t="str">
        <f t="shared" si="126"/>
        <v>@KradelsK</v>
      </c>
      <c r="C2921" s="14" t="s">
        <v>505</v>
      </c>
      <c r="D2921" s="15" t="s">
        <v>1116</v>
      </c>
      <c r="E2921" s="16" t="str">
        <f t="shared" si="127"/>
        <v>Twitter for iPhone</v>
      </c>
      <c r="F2921" s="12">
        <v>43457.842812499999</v>
      </c>
      <c r="G2921" s="24" t="s">
        <v>13000</v>
      </c>
      <c r="H2921" s="35" t="s">
        <v>507</v>
      </c>
      <c r="I2921" s="18" t="s">
        <v>508</v>
      </c>
    </row>
    <row r="2922" spans="1:9" s="31" customFormat="1" ht="105">
      <c r="A2922" s="12">
        <v>43576.71162037037</v>
      </c>
      <c r="B2922" s="13" t="str">
        <f t="shared" si="126"/>
        <v>@KradelsK</v>
      </c>
      <c r="C2922" s="14" t="s">
        <v>505</v>
      </c>
      <c r="D2922" s="15" t="s">
        <v>1861</v>
      </c>
      <c r="E2922" s="16" t="str">
        <f t="shared" si="127"/>
        <v>Twitter for iPhone</v>
      </c>
      <c r="F2922" s="12">
        <v>43457.842812499999</v>
      </c>
      <c r="G2922" s="24" t="s">
        <v>13000</v>
      </c>
      <c r="H2922" s="35" t="s">
        <v>507</v>
      </c>
      <c r="I2922" s="18" t="s">
        <v>508</v>
      </c>
    </row>
    <row r="2923" spans="1:9" s="31" customFormat="1" ht="60">
      <c r="A2923" s="12">
        <v>43575.716944444444</v>
      </c>
      <c r="B2923" s="13" t="str">
        <f t="shared" si="126"/>
        <v>@KradelsK</v>
      </c>
      <c r="C2923" s="14" t="s">
        <v>505</v>
      </c>
      <c r="D2923" s="15" t="s">
        <v>2136</v>
      </c>
      <c r="E2923" s="16" t="str">
        <f t="shared" si="127"/>
        <v>Twitter for iPhone</v>
      </c>
      <c r="F2923" s="12">
        <v>43457.842812499999</v>
      </c>
      <c r="G2923" s="24" t="s">
        <v>13000</v>
      </c>
      <c r="H2923" s="35" t="s">
        <v>507</v>
      </c>
      <c r="I2923" s="18" t="s">
        <v>508</v>
      </c>
    </row>
    <row r="2924" spans="1:9" s="31" customFormat="1" ht="105">
      <c r="A2924" s="12">
        <v>43574.680196759262</v>
      </c>
      <c r="B2924" s="13" t="str">
        <f t="shared" si="126"/>
        <v>@KradelsK</v>
      </c>
      <c r="C2924" s="14" t="s">
        <v>505</v>
      </c>
      <c r="D2924" s="15" t="s">
        <v>2482</v>
      </c>
      <c r="E2924" s="16" t="str">
        <f t="shared" si="127"/>
        <v>Twitter for iPhone</v>
      </c>
      <c r="F2924" s="12">
        <v>43457.842812499999</v>
      </c>
      <c r="G2924" s="24" t="s">
        <v>13000</v>
      </c>
      <c r="H2924" s="35" t="s">
        <v>507</v>
      </c>
      <c r="I2924" s="18" t="s">
        <v>508</v>
      </c>
    </row>
    <row r="2925" spans="1:9" s="31" customFormat="1" ht="45">
      <c r="A2925" s="12">
        <v>43572.739016203705</v>
      </c>
      <c r="B2925" s="13" t="str">
        <f t="shared" si="126"/>
        <v>@KradelsK</v>
      </c>
      <c r="C2925" s="14" t="s">
        <v>505</v>
      </c>
      <c r="D2925" s="15" t="s">
        <v>3103</v>
      </c>
      <c r="E2925" s="16" t="str">
        <f t="shared" si="127"/>
        <v>Twitter for iPhone</v>
      </c>
      <c r="F2925" s="12">
        <v>43457.842812499999</v>
      </c>
      <c r="G2925" s="24" t="s">
        <v>13000</v>
      </c>
      <c r="H2925" s="35" t="s">
        <v>507</v>
      </c>
      <c r="I2925" s="18" t="s">
        <v>508</v>
      </c>
    </row>
    <row r="2926" spans="1:9" s="31" customFormat="1" ht="60">
      <c r="A2926" s="12">
        <v>43571.74046296296</v>
      </c>
      <c r="B2926" s="13" t="str">
        <f t="shared" si="126"/>
        <v>@KradelsK</v>
      </c>
      <c r="C2926" s="14" t="s">
        <v>505</v>
      </c>
      <c r="D2926" s="15" t="s">
        <v>3566</v>
      </c>
      <c r="E2926" s="16" t="str">
        <f t="shared" si="127"/>
        <v>Twitter for iPhone</v>
      </c>
      <c r="F2926" s="12">
        <v>43457.842812499999</v>
      </c>
      <c r="G2926" s="24" t="s">
        <v>13000</v>
      </c>
      <c r="H2926" s="35" t="s">
        <v>507</v>
      </c>
      <c r="I2926" s="18" t="s">
        <v>508</v>
      </c>
    </row>
    <row r="2927" spans="1:9" s="31" customFormat="1" ht="105">
      <c r="A2927" s="12">
        <v>43569.815532407403</v>
      </c>
      <c r="B2927" s="13" t="str">
        <f t="shared" si="126"/>
        <v>@KradelsK</v>
      </c>
      <c r="C2927" s="14" t="s">
        <v>505</v>
      </c>
      <c r="D2927" s="15" t="s">
        <v>4397</v>
      </c>
      <c r="E2927" s="16" t="str">
        <f t="shared" si="127"/>
        <v>Twitter for iPhone</v>
      </c>
      <c r="F2927" s="12">
        <v>43457.842812499999</v>
      </c>
      <c r="G2927" s="24" t="s">
        <v>13000</v>
      </c>
      <c r="H2927" s="35" t="s">
        <v>507</v>
      </c>
      <c r="I2927" s="18" t="s">
        <v>508</v>
      </c>
    </row>
    <row r="2928" spans="1:9" s="31" customFormat="1" ht="60">
      <c r="A2928" s="12">
        <v>43568.771053240736</v>
      </c>
      <c r="B2928" s="13" t="str">
        <f t="shared" si="126"/>
        <v>@KradelsK</v>
      </c>
      <c r="C2928" s="14" t="s">
        <v>505</v>
      </c>
      <c r="D2928" s="15" t="s">
        <v>4661</v>
      </c>
      <c r="E2928" s="16" t="str">
        <f t="shared" si="127"/>
        <v>Twitter for iPhone</v>
      </c>
      <c r="F2928" s="12">
        <v>43457.842812499999</v>
      </c>
      <c r="G2928" s="24" t="s">
        <v>13000</v>
      </c>
      <c r="H2928" s="35" t="s">
        <v>507</v>
      </c>
      <c r="I2928" s="18" t="s">
        <v>508</v>
      </c>
    </row>
    <row r="2929" spans="1:9" s="31" customFormat="1" ht="45">
      <c r="A2929" s="12">
        <v>43566.765949074077</v>
      </c>
      <c r="B2929" s="13" t="str">
        <f t="shared" si="126"/>
        <v>@KradelsK</v>
      </c>
      <c r="C2929" s="14" t="s">
        <v>505</v>
      </c>
      <c r="D2929" s="15" t="s">
        <v>5346</v>
      </c>
      <c r="E2929" s="16" t="str">
        <f t="shared" si="127"/>
        <v>Twitter for iPhone</v>
      </c>
      <c r="F2929" s="12">
        <v>43457.842812499999</v>
      </c>
      <c r="G2929" s="24" t="s">
        <v>13000</v>
      </c>
      <c r="H2929" s="35" t="s">
        <v>507</v>
      </c>
      <c r="I2929" s="18" t="s">
        <v>508</v>
      </c>
    </row>
    <row r="2930" spans="1:9" s="31" customFormat="1" ht="105">
      <c r="A2930" s="4">
        <v>43563.627326388887</v>
      </c>
      <c r="B2930" s="5" t="str">
        <f>HYPERLINK("https://twitter.com/lajunglaexp","@lajunglaexp")</f>
        <v>@lajunglaexp</v>
      </c>
      <c r="C2930" s="6" t="s">
        <v>6933</v>
      </c>
      <c r="D2930" s="7" t="s">
        <v>6934</v>
      </c>
      <c r="E2930" s="8" t="str">
        <f>HYPERLINK("http://twitter.com/download/android","Twitter for Android")</f>
        <v>Twitter for Android</v>
      </c>
      <c r="F2930" s="4">
        <v>42321.48274305556</v>
      </c>
      <c r="G2930" s="9" t="s">
        <v>13000</v>
      </c>
      <c r="H2930" s="35" t="s">
        <v>6935</v>
      </c>
      <c r="I2930" s="10" t="s">
        <v>6936</v>
      </c>
    </row>
    <row r="2931" spans="1:9" s="31" customFormat="1" ht="105">
      <c r="A2931" s="4">
        <v>43561.283020833333</v>
      </c>
      <c r="B2931" s="5" t="str">
        <f>HYPERLINK("https://twitter.com/lajunglaexp","@lajunglaexp")</f>
        <v>@lajunglaexp</v>
      </c>
      <c r="C2931" s="6" t="s">
        <v>6933</v>
      </c>
      <c r="D2931" s="7" t="s">
        <v>11014</v>
      </c>
      <c r="E2931" s="8" t="str">
        <f>HYPERLINK("http://twitter.com/download/android","Twitter for Android")</f>
        <v>Twitter for Android</v>
      </c>
      <c r="F2931" s="4">
        <v>42321.48274305556</v>
      </c>
      <c r="G2931" s="9" t="s">
        <v>13000</v>
      </c>
      <c r="H2931" s="35" t="s">
        <v>6935</v>
      </c>
      <c r="I2931" s="10" t="s">
        <v>6936</v>
      </c>
    </row>
    <row r="2932" spans="1:9" s="31" customFormat="1" ht="90">
      <c r="A2932" s="4">
        <v>43557.283391203702</v>
      </c>
      <c r="B2932" s="5" t="str">
        <f>HYPERLINK("https://twitter.com/BorregoHHomes","@BorregoHHomes")</f>
        <v>@BorregoHHomes</v>
      </c>
      <c r="C2932" s="6" t="s">
        <v>12587</v>
      </c>
      <c r="D2932" s="7" t="s">
        <v>12588</v>
      </c>
      <c r="E2932" s="8" t="str">
        <f>HYPERLINK("http://twitter.com","Twitter Web Client")</f>
        <v>Twitter Web Client</v>
      </c>
      <c r="F2932" s="4">
        <v>42385.47729166667</v>
      </c>
      <c r="G2932" s="9" t="s">
        <v>13000</v>
      </c>
      <c r="H2932" s="35" t="s">
        <v>12589</v>
      </c>
      <c r="I2932" s="10" t="s">
        <v>12590</v>
      </c>
    </row>
    <row r="2933" spans="1:9" s="31" customFormat="1" ht="105">
      <c r="A2933" s="19">
        <v>43547.192777777775</v>
      </c>
      <c r="B2933" s="20" t="str">
        <f>HYPERLINK("https://twitter.com/Bluebell1892","@Bluebell1892")</f>
        <v>@Bluebell1892</v>
      </c>
      <c r="C2933" s="21" t="s">
        <v>1793</v>
      </c>
      <c r="D2933" s="22" t="s">
        <v>8639</v>
      </c>
      <c r="E2933" s="23" t="str">
        <f>HYPERLINK("http://twitter.com/download/android","Twitter for Android")</f>
        <v>Twitter for Android</v>
      </c>
      <c r="F2933" s="19">
        <v>42908.010370370372</v>
      </c>
      <c r="G2933" s="24" t="s">
        <v>13000</v>
      </c>
      <c r="H2933" s="35" t="s">
        <v>1795</v>
      </c>
      <c r="I2933" s="25" t="s">
        <v>1796</v>
      </c>
    </row>
    <row r="2934" spans="1:9" s="31" customFormat="1" ht="105">
      <c r="A2934" s="12">
        <v>43576.951504629629</v>
      </c>
      <c r="B2934" s="13" t="str">
        <f>HYPERLINK("https://twitter.com/Bluebell1892","@Bluebell1892")</f>
        <v>@Bluebell1892</v>
      </c>
      <c r="C2934" s="14" t="s">
        <v>1793</v>
      </c>
      <c r="D2934" s="15" t="s">
        <v>1794</v>
      </c>
      <c r="E2934" s="16" t="str">
        <f>HYPERLINK("http://twitter.com/download/android","Twitter for Android")</f>
        <v>Twitter for Android</v>
      </c>
      <c r="F2934" s="12">
        <v>42908.010370370372</v>
      </c>
      <c r="G2934" s="24" t="s">
        <v>13000</v>
      </c>
      <c r="H2934" s="35" t="s">
        <v>1795</v>
      </c>
      <c r="I2934" s="18" t="s">
        <v>1796</v>
      </c>
    </row>
    <row r="2935" spans="1:9" s="31" customFormat="1" ht="30">
      <c r="A2935" s="12">
        <v>43576.269479166665</v>
      </c>
      <c r="B2935" s="13" t="str">
        <f>HYPERLINK("https://twitter.com/snapjudge","@snapjudge")</f>
        <v>@snapjudge</v>
      </c>
      <c r="C2935" s="14" t="s">
        <v>2013</v>
      </c>
      <c r="D2935" s="15" t="s">
        <v>2014</v>
      </c>
      <c r="E2935" s="16" t="str">
        <f>HYPERLINK("http://twitter.com/download/android","Twitter for Android")</f>
        <v>Twitter for Android</v>
      </c>
      <c r="F2935" s="12">
        <v>39054.73878472222</v>
      </c>
      <c r="G2935" s="24" t="s">
        <v>13000</v>
      </c>
      <c r="H2935" s="35" t="s">
        <v>2015</v>
      </c>
      <c r="I2935" s="18" t="s">
        <v>2016</v>
      </c>
    </row>
    <row r="2936" spans="1:9" s="31" customFormat="1" ht="60">
      <c r="A2936" s="12">
        <v>43567.849756944444</v>
      </c>
      <c r="B2936" s="13" t="str">
        <f>HYPERLINK("https://twitter.com/GryphonDC","@GryphonDC")</f>
        <v>@GryphonDC</v>
      </c>
      <c r="C2936" s="14" t="s">
        <v>4937</v>
      </c>
      <c r="D2936" s="15" t="s">
        <v>4938</v>
      </c>
      <c r="E2936" s="16" t="str">
        <f>HYPERLINK("http://www.linkedin.com/","LinkedIn")</f>
        <v>LinkedIn</v>
      </c>
      <c r="F2936" s="12">
        <v>40967.508113425924</v>
      </c>
      <c r="G2936" s="24" t="s">
        <v>13000</v>
      </c>
      <c r="H2936" s="35" t="s">
        <v>2015</v>
      </c>
      <c r="I2936" s="18" t="s">
        <v>4939</v>
      </c>
    </row>
    <row r="2937" spans="1:9" s="31" customFormat="1" ht="105">
      <c r="A2937" s="12">
        <v>43573.416770833333</v>
      </c>
      <c r="B2937" s="13" t="str">
        <f>HYPERLINK("https://twitter.com/BUJOSTL","@BUJOSTL")</f>
        <v>@BUJOSTL</v>
      </c>
      <c r="C2937" s="14" t="s">
        <v>2881</v>
      </c>
      <c r="D2937" s="15" t="s">
        <v>2882</v>
      </c>
      <c r="E2937" s="16" t="str">
        <f>HYPERLINK("http://twuffer.com","Twuffer")</f>
        <v>Twuffer</v>
      </c>
      <c r="F2937" s="12">
        <v>41499.830358796295</v>
      </c>
      <c r="G2937" s="24" t="s">
        <v>13000</v>
      </c>
      <c r="H2937" s="35" t="s">
        <v>2883</v>
      </c>
      <c r="I2937" s="18" t="s">
        <v>2884</v>
      </c>
    </row>
    <row r="2938" spans="1:9" s="31" customFormat="1" ht="60">
      <c r="A2938" s="4">
        <v>43557.473275462966</v>
      </c>
      <c r="B2938" s="5" t="str">
        <f>HYPERLINK("https://twitter.com/kmillerman","@kmillerman")</f>
        <v>@kmillerman</v>
      </c>
      <c r="C2938" s="6" t="s">
        <v>12506</v>
      </c>
      <c r="D2938" s="7" t="s">
        <v>12507</v>
      </c>
      <c r="E2938" s="8" t="str">
        <f>HYPERLINK("http://www.linkedin.com/","LinkedIn")</f>
        <v>LinkedIn</v>
      </c>
      <c r="F2938" s="4">
        <v>39861.800821759258</v>
      </c>
      <c r="G2938" s="24" t="s">
        <v>13000</v>
      </c>
      <c r="H2938" s="35" t="s">
        <v>12508</v>
      </c>
      <c r="I2938" s="10" t="s">
        <v>12509</v>
      </c>
    </row>
    <row r="2939" spans="1:9" s="31" customFormat="1" ht="60">
      <c r="A2939" s="19">
        <v>43550.749548611115</v>
      </c>
      <c r="B2939" s="20" t="str">
        <f>HYPERLINK("https://twitter.com/useguestbook","@useguestbook")</f>
        <v>@useguestbook</v>
      </c>
      <c r="C2939" s="21" t="s">
        <v>3379</v>
      </c>
      <c r="D2939" s="22" t="s">
        <v>7521</v>
      </c>
      <c r="E2939" s="23" t="str">
        <f>HYPERLINK("http://twitter.com/download/android","Twitter for Android")</f>
        <v>Twitter for Android</v>
      </c>
      <c r="F2939" s="19">
        <v>42809.537291666667</v>
      </c>
      <c r="G2939" s="24" t="s">
        <v>13000</v>
      </c>
      <c r="H2939" s="35" t="s">
        <v>2051</v>
      </c>
      <c r="I2939" s="25" t="s">
        <v>3381</v>
      </c>
    </row>
    <row r="2940" spans="1:9" s="31" customFormat="1" ht="75">
      <c r="A2940" s="19">
        <v>43550.385312500002</v>
      </c>
      <c r="B2940" s="20" t="str">
        <f>HYPERLINK("https://twitter.com/BUHospitality","@BUHospitality")</f>
        <v>@BUHospitality</v>
      </c>
      <c r="C2940" s="21" t="s">
        <v>7690</v>
      </c>
      <c r="D2940" s="22" t="s">
        <v>7691</v>
      </c>
      <c r="E2940" s="23" t="str">
        <f>HYPERLINK("https://www.sprinklr.com","Sprinklr")</f>
        <v>Sprinklr</v>
      </c>
      <c r="F2940" s="19">
        <v>40738.261759259258</v>
      </c>
      <c r="G2940" s="24" t="s">
        <v>13000</v>
      </c>
      <c r="H2940" s="35" t="s">
        <v>2051</v>
      </c>
      <c r="I2940" s="25" t="s">
        <v>7692</v>
      </c>
    </row>
    <row r="2941" spans="1:9" s="31" customFormat="1" ht="90">
      <c r="A2941" s="19">
        <v>43550.334907407407</v>
      </c>
      <c r="B2941" s="20" t="str">
        <f>HYPERLINK("https://twitter.com/PenroseRealty","@PenroseRealty")</f>
        <v>@PenroseRealty</v>
      </c>
      <c r="C2941" s="21" t="s">
        <v>7724</v>
      </c>
      <c r="D2941" s="22" t="s">
        <v>7725</v>
      </c>
      <c r="E2941" s="23" t="str">
        <f>HYPERLINK("https://ifttt.com","IFTTT")</f>
        <v>IFTTT</v>
      </c>
      <c r="F2941" s="19">
        <v>40784.438703703701</v>
      </c>
      <c r="G2941" s="24" t="s">
        <v>13000</v>
      </c>
      <c r="H2941" s="35" t="s">
        <v>2051</v>
      </c>
      <c r="I2941" s="25" t="s">
        <v>7726</v>
      </c>
    </row>
    <row r="2942" spans="1:9" s="31" customFormat="1" ht="60">
      <c r="A2942" s="19">
        <v>43550.291655092587</v>
      </c>
      <c r="B2942" s="20" t="str">
        <f>HYPERLINK("https://twitter.com/HeyBreezeway","@HeyBreezeway")</f>
        <v>@HeyBreezeway</v>
      </c>
      <c r="C2942" s="21" t="s">
        <v>2619</v>
      </c>
      <c r="D2942" s="22" t="s">
        <v>7748</v>
      </c>
      <c r="E2942" s="23" t="str">
        <f>HYPERLINK("http://www.hubspot.com/","HubSpot")</f>
        <v>HubSpot</v>
      </c>
      <c r="F2942" s="19">
        <v>42235.569247685184</v>
      </c>
      <c r="G2942" s="24" t="s">
        <v>13000</v>
      </c>
      <c r="H2942" s="35" t="s">
        <v>2051</v>
      </c>
      <c r="I2942" s="25" t="s">
        <v>2621</v>
      </c>
    </row>
    <row r="2943" spans="1:9" s="31" customFormat="1" ht="105">
      <c r="A2943" s="19">
        <v>43549.396307870367</v>
      </c>
      <c r="B2943" s="20" t="str">
        <f>HYPERLINK("https://twitter.com/SherpaReport","@SherpaReport")</f>
        <v>@SherpaReport</v>
      </c>
      <c r="C2943" s="21" t="s">
        <v>8061</v>
      </c>
      <c r="D2943" s="22" t="s">
        <v>8062</v>
      </c>
      <c r="E2943" s="23" t="str">
        <f>HYPERLINK("https://www.hootsuite.com","Hootsuite Inc.")</f>
        <v>Hootsuite Inc.</v>
      </c>
      <c r="F2943" s="19">
        <v>39904.622847222221</v>
      </c>
      <c r="G2943" s="24" t="s">
        <v>13000</v>
      </c>
      <c r="H2943" s="35" t="s">
        <v>2051</v>
      </c>
      <c r="I2943" s="25" t="s">
        <v>8063</v>
      </c>
    </row>
    <row r="2944" spans="1:9" s="31" customFormat="1" ht="105">
      <c r="A2944" s="19">
        <v>43547.697094907402</v>
      </c>
      <c r="B2944" s="20" t="str">
        <f>HYPERLINK("https://twitter.com/AMLinehan","@AMLinehan")</f>
        <v>@AMLinehan</v>
      </c>
      <c r="C2944" s="21" t="s">
        <v>8482</v>
      </c>
      <c r="D2944" s="22" t="s">
        <v>8483</v>
      </c>
      <c r="E2944" s="23" t="str">
        <f>HYPERLINK("http://twitter.com/download/iphone","Twitter for iPhone")</f>
        <v>Twitter for iPhone</v>
      </c>
      <c r="F2944" s="19">
        <v>39842.421261574076</v>
      </c>
      <c r="G2944" s="24" t="s">
        <v>13000</v>
      </c>
      <c r="H2944" s="35" t="s">
        <v>2051</v>
      </c>
      <c r="I2944" s="25" t="s">
        <v>8484</v>
      </c>
    </row>
    <row r="2945" spans="1:9" s="31" customFormat="1" ht="90">
      <c r="A2945" s="19">
        <v>43545.43478009259</v>
      </c>
      <c r="B2945" s="20" t="str">
        <f>HYPERLINK("https://twitter.com/miss_daisyface","@miss_daisyface")</f>
        <v>@miss_daisyface</v>
      </c>
      <c r="C2945" s="21" t="s">
        <v>9134</v>
      </c>
      <c r="D2945" s="22" t="s">
        <v>9135</v>
      </c>
      <c r="E2945" s="23" t="str">
        <f>HYPERLINK("http://instagram.com","Instagram")</f>
        <v>Instagram</v>
      </c>
      <c r="F2945" s="19">
        <v>40218.485937500001</v>
      </c>
      <c r="G2945" s="24" t="s">
        <v>13000</v>
      </c>
      <c r="H2945" s="35" t="s">
        <v>2051</v>
      </c>
      <c r="I2945" s="25" t="s">
        <v>9136</v>
      </c>
    </row>
    <row r="2946" spans="1:9" s="31" customFormat="1" ht="45">
      <c r="A2946" s="4">
        <v>43565.24998842593</v>
      </c>
      <c r="B2946" s="5" t="str">
        <f>HYPERLINK("https://twitter.com/HeyBreezeway","@HeyBreezeway")</f>
        <v>@HeyBreezeway</v>
      </c>
      <c r="C2946" s="6" t="s">
        <v>2619</v>
      </c>
      <c r="D2946" s="7" t="s">
        <v>6208</v>
      </c>
      <c r="E2946" s="8" t="str">
        <f>HYPERLINK("http://www.hubspot.com/","HubSpot")</f>
        <v>HubSpot</v>
      </c>
      <c r="F2946" s="4">
        <v>42235.569247685184</v>
      </c>
      <c r="G2946" s="24" t="s">
        <v>13000</v>
      </c>
      <c r="H2946" s="35" t="s">
        <v>2051</v>
      </c>
      <c r="I2946" s="10" t="s">
        <v>2621</v>
      </c>
    </row>
    <row r="2947" spans="1:9" s="31" customFormat="1" ht="45">
      <c r="A2947" s="4">
        <v>43564.67024305556</v>
      </c>
      <c r="B2947" s="5" t="str">
        <f>HYPERLINK("https://twitter.com/CSMUSArmy","@CSMUSArmy")</f>
        <v>@CSMUSArmy</v>
      </c>
      <c r="C2947" s="6" t="s">
        <v>6459</v>
      </c>
      <c r="D2947" s="7" t="s">
        <v>6460</v>
      </c>
      <c r="E2947" s="8" t="str">
        <f>HYPERLINK("http://twitter.com/download/iphone","Twitter for iPhone")</f>
        <v>Twitter for iPhone</v>
      </c>
      <c r="F2947" s="4">
        <v>41711.286678240736</v>
      </c>
      <c r="G2947" s="24" t="s">
        <v>13000</v>
      </c>
      <c r="H2947" s="35" t="s">
        <v>2051</v>
      </c>
      <c r="I2947" s="10" t="s">
        <v>6461</v>
      </c>
    </row>
    <row r="2948" spans="1:9" s="31" customFormat="1" ht="60">
      <c r="A2948" s="4">
        <v>43563.250057870369</v>
      </c>
      <c r="B2948" s="5" t="str">
        <f>HYPERLINK("https://twitter.com/HeyBreezeway","@HeyBreezeway")</f>
        <v>@HeyBreezeway</v>
      </c>
      <c r="C2948" s="6" t="s">
        <v>2619</v>
      </c>
      <c r="D2948" s="7" t="s">
        <v>10422</v>
      </c>
      <c r="E2948" s="8" t="str">
        <f>HYPERLINK("http://www.hubspot.com/","HubSpot")</f>
        <v>HubSpot</v>
      </c>
      <c r="F2948" s="4">
        <v>42235.569247685184</v>
      </c>
      <c r="G2948" s="24" t="s">
        <v>13000</v>
      </c>
      <c r="H2948" s="35" t="s">
        <v>2051</v>
      </c>
      <c r="I2948" s="10" t="s">
        <v>2621</v>
      </c>
    </row>
    <row r="2949" spans="1:9" s="31" customFormat="1" ht="45">
      <c r="A2949" s="4">
        <v>43560.335011574076</v>
      </c>
      <c r="B2949" s="5" t="str">
        <f>HYPERLINK("https://twitter.com/__ashleysnaps","@__ashleysnaps")</f>
        <v>@__ashleysnaps</v>
      </c>
      <c r="C2949" s="6" t="s">
        <v>11440</v>
      </c>
      <c r="D2949" s="7" t="s">
        <v>11441</v>
      </c>
      <c r="E2949" s="8" t="str">
        <f>HYPERLINK("http://twitter.com/download/iphone","Twitter for iPhone")</f>
        <v>Twitter for iPhone</v>
      </c>
      <c r="F2949" s="4">
        <v>40841.584780092591</v>
      </c>
      <c r="G2949" s="24" t="s">
        <v>13000</v>
      </c>
      <c r="H2949" s="35" t="s">
        <v>2051</v>
      </c>
      <c r="I2949" s="10" t="s">
        <v>11442</v>
      </c>
    </row>
    <row r="2950" spans="1:9" s="31" customFormat="1" ht="45">
      <c r="A2950" s="4">
        <v>43560.216678240744</v>
      </c>
      <c r="B2950" s="5" t="str">
        <f>HYPERLINK("https://twitter.com/evankirstel","@evankirstel")</f>
        <v>@evankirstel</v>
      </c>
      <c r="C2950" s="6" t="s">
        <v>11563</v>
      </c>
      <c r="D2950" s="7" t="s">
        <v>11564</v>
      </c>
      <c r="E2950" s="8" t="str">
        <f>HYPERLINK("https://drumup.io","drumup.io")</f>
        <v>drumup.io</v>
      </c>
      <c r="F2950" s="4">
        <v>39928.239768518521</v>
      </c>
      <c r="G2950" s="24" t="s">
        <v>13000</v>
      </c>
      <c r="H2950" s="35" t="s">
        <v>2051</v>
      </c>
      <c r="I2950" s="10" t="s">
        <v>11565</v>
      </c>
    </row>
    <row r="2951" spans="1:9" s="31" customFormat="1" ht="60">
      <c r="A2951" s="4">
        <v>43557.291666666672</v>
      </c>
      <c r="B2951" s="5" t="str">
        <f>HYPERLINK("https://twitter.com/HeyBreezeway","@HeyBreezeway")</f>
        <v>@HeyBreezeway</v>
      </c>
      <c r="C2951" s="6" t="s">
        <v>2619</v>
      </c>
      <c r="D2951" s="7" t="s">
        <v>12581</v>
      </c>
      <c r="E2951" s="8" t="str">
        <f>HYPERLINK("http://www.hubspot.com/","HubSpot")</f>
        <v>HubSpot</v>
      </c>
      <c r="F2951" s="4">
        <v>42235.569247685184</v>
      </c>
      <c r="G2951" s="24" t="s">
        <v>13000</v>
      </c>
      <c r="H2951" s="35" t="s">
        <v>2051</v>
      </c>
      <c r="I2951" s="10" t="s">
        <v>2621</v>
      </c>
    </row>
    <row r="2952" spans="1:9" s="31" customFormat="1" ht="60">
      <c r="A2952" s="12">
        <v>43576.093541666662</v>
      </c>
      <c r="B2952" s="13" t="str">
        <f>HYPERLINK("https://twitter.com/GlobeHomes","@GlobeHomes")</f>
        <v>@GlobeHomes</v>
      </c>
      <c r="C2952" s="14" t="s">
        <v>2049</v>
      </c>
      <c r="D2952" s="15" t="s">
        <v>2050</v>
      </c>
      <c r="E2952" s="16" t="str">
        <f>HYPERLINK("http://www.socialflow.com","SocialFlow")</f>
        <v>SocialFlow</v>
      </c>
      <c r="F2952" s="12">
        <v>39883.311944444446</v>
      </c>
      <c r="G2952" s="24" t="s">
        <v>13000</v>
      </c>
      <c r="H2952" s="35" t="s">
        <v>2051</v>
      </c>
      <c r="I2952" s="18" t="s">
        <v>2052</v>
      </c>
    </row>
    <row r="2953" spans="1:9" s="31" customFormat="1" ht="60">
      <c r="A2953" s="12">
        <v>43574.874328703707</v>
      </c>
      <c r="B2953" s="13" t="str">
        <f>HYPERLINK("https://twitter.com/BostonDotCom","@BostonDotCom")</f>
        <v>@BostonDotCom</v>
      </c>
      <c r="C2953" s="13" t="s">
        <v>2410</v>
      </c>
      <c r="D2953" s="15" t="s">
        <v>2050</v>
      </c>
      <c r="E2953" s="16" t="str">
        <f>HYPERLINK("http://www.socialflow.com","SocialFlow")</f>
        <v>SocialFlow</v>
      </c>
      <c r="F2953" s="12">
        <v>39568.394675925927</v>
      </c>
      <c r="G2953" s="24" t="s">
        <v>13000</v>
      </c>
      <c r="H2953" s="35" t="s">
        <v>2051</v>
      </c>
      <c r="I2953" s="18" t="s">
        <v>2411</v>
      </c>
    </row>
    <row r="2954" spans="1:9" s="31" customFormat="1" ht="60">
      <c r="A2954" s="12">
        <v>43574.555405092593</v>
      </c>
      <c r="B2954" s="13" t="str">
        <f>HYPERLINK("https://twitter.com/GlobeHomes","@GlobeHomes")</f>
        <v>@GlobeHomes</v>
      </c>
      <c r="C2954" s="14" t="s">
        <v>2049</v>
      </c>
      <c r="D2954" s="15" t="s">
        <v>2050</v>
      </c>
      <c r="E2954" s="16" t="str">
        <f>HYPERLINK("http://www.socialflow.com","SocialFlow")</f>
        <v>SocialFlow</v>
      </c>
      <c r="F2954" s="12">
        <v>39883.311944444446</v>
      </c>
      <c r="G2954" s="24" t="s">
        <v>13000</v>
      </c>
      <c r="H2954" s="35" t="s">
        <v>2051</v>
      </c>
      <c r="I2954" s="18" t="s">
        <v>2052</v>
      </c>
    </row>
    <row r="2955" spans="1:9" s="31" customFormat="1" ht="60">
      <c r="A2955" s="12">
        <v>43574.291712962964</v>
      </c>
      <c r="B2955" s="13" t="str">
        <f>HYPERLINK("https://twitter.com/HeyBreezeway","@HeyBreezeway")</f>
        <v>@HeyBreezeway</v>
      </c>
      <c r="C2955" s="14" t="s">
        <v>2619</v>
      </c>
      <c r="D2955" s="15" t="s">
        <v>2620</v>
      </c>
      <c r="E2955" s="16" t="str">
        <f>HYPERLINK("http://www.hubspot.com/","HubSpot")</f>
        <v>HubSpot</v>
      </c>
      <c r="F2955" s="12">
        <v>42235.569247685184</v>
      </c>
      <c r="G2955" s="24" t="s">
        <v>13000</v>
      </c>
      <c r="H2955" s="35" t="s">
        <v>2051</v>
      </c>
      <c r="I2955" s="18" t="s">
        <v>2621</v>
      </c>
    </row>
    <row r="2956" spans="1:9" s="31" customFormat="1" ht="45">
      <c r="A2956" s="12">
        <v>43572.195625</v>
      </c>
      <c r="B2956" s="13" t="str">
        <f>HYPERLINK("https://twitter.com/useguestbook","@useguestbook")</f>
        <v>@useguestbook</v>
      </c>
      <c r="C2956" s="14" t="s">
        <v>3379</v>
      </c>
      <c r="D2956" s="15" t="s">
        <v>3380</v>
      </c>
      <c r="E2956" s="16" t="str">
        <f>HYPERLINK("http://twitter.com","Twitter Web Client")</f>
        <v>Twitter Web Client</v>
      </c>
      <c r="F2956" s="12">
        <v>42809.537291666667</v>
      </c>
      <c r="G2956" s="24" t="s">
        <v>13000</v>
      </c>
      <c r="H2956" s="35" t="s">
        <v>2051</v>
      </c>
      <c r="I2956" s="18" t="s">
        <v>3381</v>
      </c>
    </row>
    <row r="2957" spans="1:9" s="31" customFormat="1" ht="75">
      <c r="A2957" s="12">
        <v>43569.311979166669</v>
      </c>
      <c r="B2957" s="13" t="str">
        <f>HYPERLINK("https://twitter.com/Pistachio","@Pistachio")</f>
        <v>@Pistachio</v>
      </c>
      <c r="C2957" s="14" t="s">
        <v>4555</v>
      </c>
      <c r="D2957" s="15" t="s">
        <v>4556</v>
      </c>
      <c r="E2957" s="16" t="str">
        <f>HYPERLINK("http://twitter.com/download/iphone","Twitter for iPhone")</f>
        <v>Twitter for iPhone</v>
      </c>
      <c r="F2957" s="12">
        <v>39177.380775462967</v>
      </c>
      <c r="G2957" s="24" t="s">
        <v>13000</v>
      </c>
      <c r="H2957" s="35" t="s">
        <v>2051</v>
      </c>
      <c r="I2957" s="18" t="s">
        <v>4557</v>
      </c>
    </row>
    <row r="2958" spans="1:9" s="31" customFormat="1" ht="45">
      <c r="A2958" s="12">
        <v>43568.191145833334</v>
      </c>
      <c r="B2958" s="13" t="str">
        <f>HYPERLINK("https://twitter.com/ErikaTarlow","@ErikaTarlow")</f>
        <v>@ErikaTarlow</v>
      </c>
      <c r="C2958" s="14" t="s">
        <v>4851</v>
      </c>
      <c r="D2958" s="15" t="s">
        <v>4852</v>
      </c>
      <c r="E2958" s="16" t="str">
        <f>HYPERLINK("https://www.backatyou.com","Back At You Media")</f>
        <v>Back At You Media</v>
      </c>
      <c r="F2958" s="12">
        <v>41617.654085648144</v>
      </c>
      <c r="G2958" s="24" t="s">
        <v>13000</v>
      </c>
      <c r="H2958" s="35" t="s">
        <v>2051</v>
      </c>
      <c r="I2958" s="18" t="s">
        <v>4853</v>
      </c>
    </row>
    <row r="2959" spans="1:9" s="31" customFormat="1" ht="60">
      <c r="A2959" s="12">
        <v>43567.402245370366</v>
      </c>
      <c r="B2959" s="13" t="str">
        <f>HYPERLINK("https://twitter.com/Up2Boston","@Up2Boston")</f>
        <v>@Up2Boston</v>
      </c>
      <c r="C2959" s="14" t="s">
        <v>5118</v>
      </c>
      <c r="D2959" s="15" t="s">
        <v>5119</v>
      </c>
      <c r="E2959" s="16" t="str">
        <f>HYPERLINK("https://buffer.com","Buffer")</f>
        <v>Buffer</v>
      </c>
      <c r="F2959" s="12">
        <v>43257.733506944445</v>
      </c>
      <c r="G2959" s="24" t="s">
        <v>13000</v>
      </c>
      <c r="H2959" s="35" t="s">
        <v>2051</v>
      </c>
      <c r="I2959" s="18" t="s">
        <v>5120</v>
      </c>
    </row>
    <row r="2960" spans="1:9" s="31" customFormat="1" ht="90">
      <c r="A2960" s="19">
        <v>43543.166747685187</v>
      </c>
      <c r="B2960" s="20" t="str">
        <f>HYPERLINK("https://twitter.com/HarvardHBS","@HarvardHBS")</f>
        <v>@HarvardHBS</v>
      </c>
      <c r="C2960" s="21" t="s">
        <v>9915</v>
      </c>
      <c r="D2960" s="22" t="s">
        <v>9916</v>
      </c>
      <c r="E2960" s="23" t="str">
        <f>HYPERLINK("https://www.spredfast.com","Spredfast")</f>
        <v>Spredfast</v>
      </c>
      <c r="F2960" s="19">
        <v>39840.435173611113</v>
      </c>
      <c r="G2960" s="24" t="s">
        <v>13000</v>
      </c>
      <c r="H2960" s="35" t="s">
        <v>9917</v>
      </c>
      <c r="I2960" s="25" t="s">
        <v>9918</v>
      </c>
    </row>
    <row r="2961" spans="1:9" s="31" customFormat="1" ht="90">
      <c r="A2961" s="12">
        <v>43569.630393518513</v>
      </c>
      <c r="B2961" s="13" t="str">
        <f>HYPERLINK("https://twitter.com/GS_VCactivist","@GS_VCactivist")</f>
        <v>@GS_VCactivist</v>
      </c>
      <c r="C2961" s="14" t="s">
        <v>4453</v>
      </c>
      <c r="D2961" s="15" t="s">
        <v>4454</v>
      </c>
      <c r="E2961" s="16" t="str">
        <f>HYPERLINK("http://twitter.com/download/iphone","Twitter for iPhone")</f>
        <v>Twitter for iPhone</v>
      </c>
      <c r="F2961" s="12">
        <v>42940.357916666668</v>
      </c>
      <c r="G2961" s="24" t="s">
        <v>13000</v>
      </c>
      <c r="H2961" s="35" t="s">
        <v>4455</v>
      </c>
      <c r="I2961" s="18" t="s">
        <v>4456</v>
      </c>
    </row>
    <row r="2962" spans="1:9" s="31" customFormat="1" ht="30">
      <c r="A2962" s="19">
        <v>43547.215775462959</v>
      </c>
      <c r="B2962" s="20" t="str">
        <f>HYPERLINK("https://twitter.com/RealEstateBNRE","@RealEstateBNRE")</f>
        <v>@RealEstateBNRE</v>
      </c>
      <c r="C2962" s="21" t="s">
        <v>8630</v>
      </c>
      <c r="D2962" s="22" t="s">
        <v>8631</v>
      </c>
      <c r="E2962" s="23" t="str">
        <f>HYPERLINK("http://www.facebook.com/twitter","Facebook")</f>
        <v>Facebook</v>
      </c>
      <c r="F2962" s="19">
        <v>40943.665648148148</v>
      </c>
      <c r="G2962" s="24" t="s">
        <v>13000</v>
      </c>
      <c r="H2962" s="35" t="s">
        <v>8632</v>
      </c>
      <c r="I2962" s="25" t="s">
        <v>8633</v>
      </c>
    </row>
    <row r="2963" spans="1:9" s="31" customFormat="1" ht="75">
      <c r="A2963" s="4">
        <v>43565.621516203704</v>
      </c>
      <c r="B2963" s="5" t="str">
        <f>HYPERLINK("https://twitter.com/ManningMortgage","@ManningMortgage")</f>
        <v>@ManningMortgage</v>
      </c>
      <c r="C2963" s="6" t="s">
        <v>5987</v>
      </c>
      <c r="D2963" s="7" t="s">
        <v>5988</v>
      </c>
      <c r="E2963" s="8" t="str">
        <f>HYPERLINK("https://www.hootsuite.com","Hootsuite Inc.")</f>
        <v>Hootsuite Inc.</v>
      </c>
      <c r="F2963" s="4">
        <v>41075.259027777778</v>
      </c>
      <c r="G2963" s="24" t="s">
        <v>13000</v>
      </c>
      <c r="H2963" s="35" t="s">
        <v>5989</v>
      </c>
      <c r="I2963" s="10" t="s">
        <v>5990</v>
      </c>
    </row>
    <row r="2964" spans="1:9" s="31" customFormat="1" ht="30">
      <c r="A2964" s="4">
        <v>43560.559374999997</v>
      </c>
      <c r="B2964" s="5" t="str">
        <f>HYPERLINK("https://twitter.com/spilltojill","@spilltojill")</f>
        <v>@spilltojill</v>
      </c>
      <c r="C2964" s="6" t="s">
        <v>11289</v>
      </c>
      <c r="D2964" s="7" t="s">
        <v>11290</v>
      </c>
      <c r="E2964" s="8" t="str">
        <f>HYPERLINK("http://twitter.com/download/iphone","Twitter for iPhone")</f>
        <v>Twitter for iPhone</v>
      </c>
      <c r="F2964" s="4">
        <v>39647.661203703705</v>
      </c>
      <c r="G2964" s="24" t="s">
        <v>13000</v>
      </c>
      <c r="H2964" s="35" t="s">
        <v>11291</v>
      </c>
      <c r="I2964" s="10" t="s">
        <v>11292</v>
      </c>
    </row>
    <row r="2965" spans="1:9" s="31" customFormat="1" ht="45">
      <c r="A2965" s="19">
        <v>43548.762997685189</v>
      </c>
      <c r="B2965" s="20" t="str">
        <f>HYPERLINK("https://twitter.com/chuczek_huczek","@chuczek_huczek")</f>
        <v>@chuczek_huczek</v>
      </c>
      <c r="C2965" s="21" t="s">
        <v>8224</v>
      </c>
      <c r="D2965" s="22" t="s">
        <v>8225</v>
      </c>
      <c r="E2965" s="23" t="str">
        <f>HYPERLINK("https://mobile.twitter.com","Twitter Web App")</f>
        <v>Twitter Web App</v>
      </c>
      <c r="F2965" s="19">
        <v>41137.280057870368</v>
      </c>
      <c r="G2965" s="24" t="s">
        <v>13000</v>
      </c>
      <c r="H2965" s="35" t="s">
        <v>8226</v>
      </c>
      <c r="I2965" s="25" t="s">
        <v>8227</v>
      </c>
    </row>
    <row r="2966" spans="1:9" s="31" customFormat="1" ht="90">
      <c r="A2966" s="4">
        <v>43557.521111111113</v>
      </c>
      <c r="B2966" s="5" t="str">
        <f>HYPERLINK("https://twitter.com/PMIHolmesBeach","@PMIHolmesBeach")</f>
        <v>@PMIHolmesBeach</v>
      </c>
      <c r="C2966" s="6" t="s">
        <v>12487</v>
      </c>
      <c r="D2966" s="7" t="s">
        <v>10985</v>
      </c>
      <c r="E2966" s="8" t="str">
        <f>HYPERLINK("http://www.facebook.com/twitter","Facebook")</f>
        <v>Facebook</v>
      </c>
      <c r="F2966" s="4">
        <v>43032.60092592593</v>
      </c>
      <c r="G2966" s="9" t="s">
        <v>13000</v>
      </c>
      <c r="H2966" s="35" t="s">
        <v>12488</v>
      </c>
      <c r="I2966" s="10" t="s">
        <v>12489</v>
      </c>
    </row>
    <row r="2967" spans="1:9" s="31" customFormat="1" ht="60">
      <c r="A2967" s="4">
        <v>43564.700428240743</v>
      </c>
      <c r="B2967" s="5" t="str">
        <f>HYPERLINK("https://twitter.com/kevint905","@kevint905")</f>
        <v>@kevint905</v>
      </c>
      <c r="C2967" s="6" t="s">
        <v>10200</v>
      </c>
      <c r="D2967" s="7" t="s">
        <v>10201</v>
      </c>
      <c r="E2967" s="8" t="str">
        <f>HYPERLINK("http://twitter.com","Twitter Web Client")</f>
        <v>Twitter Web Client</v>
      </c>
      <c r="F2967" s="4">
        <v>43137.574988425928</v>
      </c>
      <c r="G2967" s="9" t="s">
        <v>13000</v>
      </c>
      <c r="H2967" s="35" t="s">
        <v>10202</v>
      </c>
      <c r="I2967" s="10" t="s">
        <v>10203</v>
      </c>
    </row>
    <row r="2968" spans="1:9" s="31" customFormat="1" ht="75">
      <c r="A2968" s="4">
        <v>43559.841168981482</v>
      </c>
      <c r="B2968" s="5" t="str">
        <f>HYPERLINK("https://twitter.com/KweenLexiLyfe","@KweenLexiLyfe")</f>
        <v>@KweenLexiLyfe</v>
      </c>
      <c r="C2968" s="6" t="s">
        <v>11674</v>
      </c>
      <c r="D2968" s="7" t="s">
        <v>11675</v>
      </c>
      <c r="E2968" s="8" t="str">
        <f>HYPERLINK("http://twitter.com/download/iphone","Twitter for iPhone")</f>
        <v>Twitter for iPhone</v>
      </c>
      <c r="F2968" s="4">
        <v>39982.607361111113</v>
      </c>
      <c r="G2968" s="9" t="s">
        <v>13000</v>
      </c>
      <c r="H2968" s="35" t="s">
        <v>10202</v>
      </c>
      <c r="I2968" s="10" t="s">
        <v>11676</v>
      </c>
    </row>
    <row r="2969" spans="1:9" s="31" customFormat="1" ht="90">
      <c r="A2969" s="19">
        <v>43550.219317129631</v>
      </c>
      <c r="B2969" s="20" t="str">
        <f>HYPERLINK("https://twitter.com/timmask","@timmask")</f>
        <v>@timmask</v>
      </c>
      <c r="C2969" s="21" t="s">
        <v>7785</v>
      </c>
      <c r="D2969" s="22" t="s">
        <v>7786</v>
      </c>
      <c r="E2969" s="23" t="str">
        <f>HYPERLINK("http://twitter.com/download/iphone","Twitter for iPhone")</f>
        <v>Twitter for iPhone</v>
      </c>
      <c r="F2969" s="19">
        <v>40617.295405092591</v>
      </c>
      <c r="G2969" s="9" t="s">
        <v>13000</v>
      </c>
      <c r="H2969" s="35" t="s">
        <v>7787</v>
      </c>
      <c r="I2969" s="25" t="s">
        <v>7788</v>
      </c>
    </row>
    <row r="2970" spans="1:9" s="31" customFormat="1" ht="105">
      <c r="A2970" s="4">
        <v>43563.591238425928</v>
      </c>
      <c r="B2970" s="5" t="str">
        <f>HYPERLINK("https://twitter.com/HeidyHurst","@HeidyHurst")</f>
        <v>@HeidyHurst</v>
      </c>
      <c r="C2970" s="6" t="s">
        <v>6956</v>
      </c>
      <c r="D2970" s="7" t="s">
        <v>6957</v>
      </c>
      <c r="E2970" s="8" t="str">
        <f>HYPERLINK("http://app.sendblur.com","Social Media Publisher App ")</f>
        <v xml:space="preserve">Social Media Publisher App </v>
      </c>
      <c r="F2970" s="4">
        <v>41550.734456018516</v>
      </c>
      <c r="G2970" s="9" t="s">
        <v>13000</v>
      </c>
      <c r="H2970" s="35" t="s">
        <v>6958</v>
      </c>
      <c r="I2970" s="10" t="s">
        <v>6959</v>
      </c>
    </row>
    <row r="2971" spans="1:9" s="31" customFormat="1" ht="45">
      <c r="A2971" s="12">
        <v>43568.589421296296</v>
      </c>
      <c r="B2971" s="13" t="str">
        <f>HYPERLINK("https://twitter.com/Took_The_Plunge","@Took_The_Plunge")</f>
        <v>@Took_The_Plunge</v>
      </c>
      <c r="C2971" s="14" t="s">
        <v>4691</v>
      </c>
      <c r="D2971" s="15" t="s">
        <v>4692</v>
      </c>
      <c r="E2971" s="16" t="str">
        <f>HYPERLINK("http://twitter.com/download/iphone","Twitter for iPhone")</f>
        <v>Twitter for iPhone</v>
      </c>
      <c r="F2971" s="12">
        <v>40817.539606481485</v>
      </c>
      <c r="G2971" s="9" t="s">
        <v>13000</v>
      </c>
      <c r="H2971" s="35" t="s">
        <v>4693</v>
      </c>
      <c r="I2971" s="18" t="s">
        <v>4694</v>
      </c>
    </row>
    <row r="2972" spans="1:9" s="31" customFormat="1" ht="105">
      <c r="A2972" s="4">
        <v>43560.26840277778</v>
      </c>
      <c r="B2972" s="5" t="str">
        <f>HYPERLINK("https://twitter.com/ChrisInRealTime","@ChrisInRealTime")</f>
        <v>@ChrisInRealTime</v>
      </c>
      <c r="C2972" s="6" t="s">
        <v>11514</v>
      </c>
      <c r="D2972" s="7" t="s">
        <v>11515</v>
      </c>
      <c r="E2972" s="8" t="str">
        <f>HYPERLINK("http://www.facebook.com/twitter","Facebook")</f>
        <v>Facebook</v>
      </c>
      <c r="F2972" s="4">
        <v>40310.366041666668</v>
      </c>
      <c r="G2972" s="9" t="s">
        <v>13000</v>
      </c>
      <c r="H2972" s="35" t="s">
        <v>11516</v>
      </c>
      <c r="I2972" s="10" t="s">
        <v>11517</v>
      </c>
    </row>
    <row r="2973" spans="1:9" s="31" customFormat="1" ht="105">
      <c r="A2973" s="12">
        <v>43570.458831018521</v>
      </c>
      <c r="B2973" s="13" t="str">
        <f>HYPERLINK("https://twitter.com/jackiee_online","@jackiee_online")</f>
        <v>@jackiee_online</v>
      </c>
      <c r="C2973" s="14" t="s">
        <v>4133</v>
      </c>
      <c r="D2973" s="15" t="s">
        <v>4132</v>
      </c>
      <c r="E2973" s="16" t="str">
        <f>HYPERLINK("https://www.hootsuite.com","Hootsuite Inc.")</f>
        <v>Hootsuite Inc.</v>
      </c>
      <c r="F2973" s="12">
        <v>41347.800057870372</v>
      </c>
      <c r="G2973" s="17" t="s">
        <v>13000</v>
      </c>
      <c r="H2973" s="35" t="s">
        <v>4134</v>
      </c>
      <c r="I2973" s="18" t="s">
        <v>4135</v>
      </c>
    </row>
    <row r="2974" spans="1:9" s="31" customFormat="1" ht="60">
      <c r="A2974" s="12">
        <v>43579.145162037035</v>
      </c>
      <c r="B2974" s="13" t="str">
        <f>HYPERLINK("https://twitter.com/Bklnmom","@Bklnmom")</f>
        <v>@Bklnmom</v>
      </c>
      <c r="C2974" s="14" t="s">
        <v>911</v>
      </c>
      <c r="D2974" s="15" t="s">
        <v>912</v>
      </c>
      <c r="E2974" s="16" t="str">
        <f>HYPERLINK("http://instagram.com","Instagram")</f>
        <v>Instagram</v>
      </c>
      <c r="F2974" s="12">
        <v>40678.562615740739</v>
      </c>
      <c r="G2974" s="17" t="s">
        <v>13000</v>
      </c>
      <c r="H2974" s="35" t="s">
        <v>913</v>
      </c>
      <c r="I2974" s="18" t="s">
        <v>914</v>
      </c>
    </row>
    <row r="2975" spans="1:9" s="31" customFormat="1" ht="120">
      <c r="A2975" s="19">
        <v>43550.833993055552</v>
      </c>
      <c r="B2975" s="20" t="str">
        <f>HYPERLINK("https://twitter.com/CarlosC3030","@CarlosC3030")</f>
        <v>@CarlosC3030</v>
      </c>
      <c r="C2975" s="21" t="s">
        <v>7487</v>
      </c>
      <c r="D2975" s="22" t="s">
        <v>7488</v>
      </c>
      <c r="E2975" s="23" t="str">
        <f>HYPERLINK("http://twitter.com/download/android","Twitter for Android")</f>
        <v>Twitter for Android</v>
      </c>
      <c r="F2975" s="19">
        <v>40439.488263888888</v>
      </c>
      <c r="G2975" s="17" t="s">
        <v>13000</v>
      </c>
      <c r="H2975" s="35" t="s">
        <v>7489</v>
      </c>
      <c r="I2975" s="25" t="s">
        <v>7490</v>
      </c>
    </row>
    <row r="2976" spans="1:9" s="31" customFormat="1" ht="75">
      <c r="A2976" s="4">
        <v>43562.270833333328</v>
      </c>
      <c r="B2976" s="5" t="str">
        <f>HYPERLINK("https://twitter.com/atelierBB","@atelierBB")</f>
        <v>@atelierBB</v>
      </c>
      <c r="C2976" s="6" t="s">
        <v>10715</v>
      </c>
      <c r="D2976" s="7" t="s">
        <v>10716</v>
      </c>
      <c r="E2976" s="8" t="str">
        <f>HYPERLINK("http://instagram.com","Instagram")</f>
        <v>Instagram</v>
      </c>
      <c r="F2976" s="4">
        <v>39858.303506944445</v>
      </c>
      <c r="G2976" s="17" t="s">
        <v>13000</v>
      </c>
      <c r="H2976" s="35" t="s">
        <v>10717</v>
      </c>
      <c r="I2976" s="10" t="s">
        <v>10718</v>
      </c>
    </row>
    <row r="2977" spans="1:9" s="31" customFormat="1" ht="45">
      <c r="A2977" s="4">
        <v>43565.793761574074</v>
      </c>
      <c r="B2977" s="5" t="str">
        <f>HYPERLINK("https://twitter.com/alittletravel_","@alittletravel_")</f>
        <v>@alittletravel_</v>
      </c>
      <c r="C2977" s="6" t="s">
        <v>5383</v>
      </c>
      <c r="D2977" s="7" t="s">
        <v>5893</v>
      </c>
      <c r="E2977" s="8" t="str">
        <f>HYPERLINK("https://buffer.com","Buffer")</f>
        <v>Buffer</v>
      </c>
      <c r="F2977" s="4">
        <v>43106.684189814812</v>
      </c>
      <c r="G2977" s="17" t="s">
        <v>13000</v>
      </c>
      <c r="H2977" s="35" t="s">
        <v>5385</v>
      </c>
      <c r="I2977" s="10" t="s">
        <v>5386</v>
      </c>
    </row>
    <row r="2978" spans="1:9" s="31" customFormat="1" ht="60">
      <c r="A2978" s="4">
        <v>43565.622233796297</v>
      </c>
      <c r="B2978" s="5" t="str">
        <f>HYPERLINK("https://twitter.com/alittletravel_","@alittletravel_")</f>
        <v>@alittletravel_</v>
      </c>
      <c r="C2978" s="6" t="s">
        <v>5383</v>
      </c>
      <c r="D2978" s="7" t="s">
        <v>5986</v>
      </c>
      <c r="E2978" s="8" t="str">
        <f>HYPERLINK("https://buffer.com","Buffer")</f>
        <v>Buffer</v>
      </c>
      <c r="F2978" s="4">
        <v>43106.684189814812</v>
      </c>
      <c r="G2978" s="17" t="s">
        <v>13000</v>
      </c>
      <c r="H2978" s="35" t="s">
        <v>5385</v>
      </c>
      <c r="I2978" s="10" t="s">
        <v>5386</v>
      </c>
    </row>
    <row r="2979" spans="1:9" s="31" customFormat="1" ht="60">
      <c r="A2979" s="12">
        <v>43566.635474537034</v>
      </c>
      <c r="B2979" s="13" t="str">
        <f>HYPERLINK("https://twitter.com/alittletravel_","@alittletravel_")</f>
        <v>@alittletravel_</v>
      </c>
      <c r="C2979" s="14" t="s">
        <v>5383</v>
      </c>
      <c r="D2979" s="15" t="s">
        <v>5384</v>
      </c>
      <c r="E2979" s="16" t="str">
        <f>HYPERLINK("https://buffer.com","Buffer")</f>
        <v>Buffer</v>
      </c>
      <c r="F2979" s="12">
        <v>43106.684189814812</v>
      </c>
      <c r="G2979" s="17" t="s">
        <v>13000</v>
      </c>
      <c r="H2979" s="35" t="s">
        <v>5385</v>
      </c>
      <c r="I2979" s="18" t="s">
        <v>5386</v>
      </c>
    </row>
    <row r="2980" spans="1:9" s="31" customFormat="1" ht="60">
      <c r="A2980" s="12">
        <v>43566.420856481476</v>
      </c>
      <c r="B2980" s="13" t="str">
        <f>HYPERLINK("https://twitter.com/alittletravel_","@alittletravel_")</f>
        <v>@alittletravel_</v>
      </c>
      <c r="C2980" s="14" t="s">
        <v>5383</v>
      </c>
      <c r="D2980" s="15" t="s">
        <v>5384</v>
      </c>
      <c r="E2980" s="16" t="str">
        <f>HYPERLINK("https://buffer.com","Buffer")</f>
        <v>Buffer</v>
      </c>
      <c r="F2980" s="12">
        <v>43106.684189814812</v>
      </c>
      <c r="G2980" s="17" t="s">
        <v>13000</v>
      </c>
      <c r="H2980" s="35" t="s">
        <v>5385</v>
      </c>
      <c r="I2980" s="18" t="s">
        <v>5386</v>
      </c>
    </row>
    <row r="2981" spans="1:9" s="31" customFormat="1" ht="30">
      <c r="A2981" s="19">
        <v>43551.686307870375</v>
      </c>
      <c r="B2981" s="20" t="str">
        <f>HYPERLINK("https://twitter.com/Delran856","@Delran856")</f>
        <v>@Delran856</v>
      </c>
      <c r="C2981" s="21" t="s">
        <v>913</v>
      </c>
      <c r="D2981" s="22" t="s">
        <v>7051</v>
      </c>
      <c r="E2981" s="23" t="str">
        <f>HYPERLINK("http://twitter.com/download/iphone","Twitter for iPhone")</f>
        <v>Twitter for iPhone</v>
      </c>
      <c r="F2981" s="19">
        <v>41223.150231481479</v>
      </c>
      <c r="G2981" s="17" t="s">
        <v>13000</v>
      </c>
      <c r="H2981" s="35" t="s">
        <v>1836</v>
      </c>
      <c r="I2981" s="25" t="s">
        <v>7052</v>
      </c>
    </row>
    <row r="2982" spans="1:9" s="31" customFormat="1" ht="60">
      <c r="A2982" s="19">
        <v>43545.406111111108</v>
      </c>
      <c r="B2982" s="20" t="str">
        <f>HYPERLINK("https://twitter.com/ErikaDiana128","@ErikaDiana128")</f>
        <v>@ErikaDiana128</v>
      </c>
      <c r="C2982" s="21" t="s">
        <v>9152</v>
      </c>
      <c r="D2982" s="22" t="s">
        <v>9153</v>
      </c>
      <c r="E2982" s="23" t="str">
        <f>HYPERLINK("http://instagram.com","Instagram")</f>
        <v>Instagram</v>
      </c>
      <c r="F2982" s="19">
        <v>42767.80537037037</v>
      </c>
      <c r="G2982" s="17" t="s">
        <v>13000</v>
      </c>
      <c r="H2982" s="35" t="s">
        <v>1836</v>
      </c>
      <c r="I2982" s="25" t="s">
        <v>9154</v>
      </c>
    </row>
    <row r="2983" spans="1:9" s="31" customFormat="1" ht="75">
      <c r="A2983" s="4">
        <v>43565.695821759262</v>
      </c>
      <c r="B2983" s="5" t="str">
        <f>HYPERLINK("https://twitter.com/MichaelLetwin","@MichaelLetwin")</f>
        <v>@MichaelLetwin</v>
      </c>
      <c r="C2983" s="6" t="s">
        <v>5939</v>
      </c>
      <c r="D2983" s="7" t="s">
        <v>5940</v>
      </c>
      <c r="E2983" s="8" t="str">
        <f>HYPERLINK("http://www.facebook.com/twitter","Facebook")</f>
        <v>Facebook</v>
      </c>
      <c r="F2983" s="4">
        <v>41157.525694444441</v>
      </c>
      <c r="G2983" s="17" t="s">
        <v>13000</v>
      </c>
      <c r="H2983" s="35" t="s">
        <v>1836</v>
      </c>
      <c r="I2983" s="10" t="s">
        <v>5941</v>
      </c>
    </row>
    <row r="2984" spans="1:9" s="31" customFormat="1" ht="90">
      <c r="A2984" s="4">
        <v>43562.633761574078</v>
      </c>
      <c r="B2984" s="5" t="str">
        <f>HYPERLINK("https://twitter.com/jetsetterjason","@jetsetterjason")</f>
        <v>@jetsetterjason</v>
      </c>
      <c r="C2984" s="6" t="s">
        <v>2261</v>
      </c>
      <c r="D2984" s="7" t="s">
        <v>10634</v>
      </c>
      <c r="E2984" s="8" t="str">
        <f>HYPERLINK("http://twitter.com/download/android","Twitter for Android")</f>
        <v>Twitter for Android</v>
      </c>
      <c r="F2984" s="4">
        <v>42025.497372685189</v>
      </c>
      <c r="G2984" s="17" t="s">
        <v>13000</v>
      </c>
      <c r="H2984" s="35" t="s">
        <v>1836</v>
      </c>
      <c r="I2984" s="10" t="s">
        <v>2263</v>
      </c>
    </row>
    <row r="2985" spans="1:9" s="31" customFormat="1" ht="75">
      <c r="A2985" s="4">
        <v>43560.190925925926</v>
      </c>
      <c r="B2985" s="5" t="str">
        <f>HYPERLINK("https://twitter.com/ecocleaningpro","@ecocleaningpro")</f>
        <v>@ecocleaningpro</v>
      </c>
      <c r="C2985" s="6" t="s">
        <v>11576</v>
      </c>
      <c r="D2985" s="7" t="s">
        <v>11577</v>
      </c>
      <c r="E2985" s="8" t="str">
        <f>HYPERLINK("http://twitter.com/download/android","Twitter for Android")</f>
        <v>Twitter for Android</v>
      </c>
      <c r="F2985" s="4">
        <v>43158.365150462967</v>
      </c>
      <c r="G2985" s="17" t="s">
        <v>13000</v>
      </c>
      <c r="H2985" s="35" t="s">
        <v>1836</v>
      </c>
      <c r="I2985" s="10" t="s">
        <v>11578</v>
      </c>
    </row>
    <row r="2986" spans="1:9" s="31" customFormat="1" ht="75">
      <c r="A2986" s="12">
        <v>43576.789953703701</v>
      </c>
      <c r="B2986" s="13" t="str">
        <f>HYPERLINK("https://twitter.com/setox","@setox")</f>
        <v>@setox</v>
      </c>
      <c r="C2986" s="14" t="s">
        <v>1834</v>
      </c>
      <c r="D2986" s="15" t="s">
        <v>1835</v>
      </c>
      <c r="E2986" s="16" t="str">
        <f>HYPERLINK("http://www.facebook.com/twitter","Facebook")</f>
        <v>Facebook</v>
      </c>
      <c r="F2986" s="12">
        <v>39920.679803240739</v>
      </c>
      <c r="G2986" s="17" t="s">
        <v>13000</v>
      </c>
      <c r="H2986" s="35" t="s">
        <v>1836</v>
      </c>
      <c r="I2986" s="18" t="s">
        <v>1837</v>
      </c>
    </row>
    <row r="2987" spans="1:9" s="31" customFormat="1" ht="105">
      <c r="A2987" s="12">
        <v>43575.360798611116</v>
      </c>
      <c r="B2987" s="13" t="str">
        <f>HYPERLINK("https://twitter.com/jetsetterjason","@jetsetterjason")</f>
        <v>@jetsetterjason</v>
      </c>
      <c r="C2987" s="14" t="s">
        <v>2261</v>
      </c>
      <c r="D2987" s="15" t="s">
        <v>2262</v>
      </c>
      <c r="E2987" s="16" t="str">
        <f>HYPERLINK("http://twitter.com/download/android","Twitter for Android")</f>
        <v>Twitter for Android</v>
      </c>
      <c r="F2987" s="12">
        <v>42025.497372685189</v>
      </c>
      <c r="G2987" s="17" t="s">
        <v>13000</v>
      </c>
      <c r="H2987" s="35" t="s">
        <v>1836</v>
      </c>
      <c r="I2987" s="18" t="s">
        <v>2263</v>
      </c>
    </row>
    <row r="2988" spans="1:9" s="31" customFormat="1" ht="90">
      <c r="A2988" s="12">
        <v>43572.401354166665</v>
      </c>
      <c r="B2988" s="13" t="str">
        <f>HYPERLINK("https://twitter.com/_ForeverGabbie","@_ForeverGabbie")</f>
        <v>@_ForeverGabbie</v>
      </c>
      <c r="C2988" s="14" t="s">
        <v>3264</v>
      </c>
      <c r="D2988" s="15" t="s">
        <v>3265</v>
      </c>
      <c r="E2988" s="16" t="str">
        <f>HYPERLINK("http://twitter.com/download/iphone","Twitter for iPhone")</f>
        <v>Twitter for iPhone</v>
      </c>
      <c r="F2988" s="12">
        <v>40667.527465277773</v>
      </c>
      <c r="G2988" s="17" t="s">
        <v>13000</v>
      </c>
      <c r="H2988" s="35" t="s">
        <v>3266</v>
      </c>
      <c r="I2988" s="18" t="s">
        <v>3267</v>
      </c>
    </row>
    <row r="2989" spans="1:9" s="31" customFormat="1" ht="75">
      <c r="A2989" s="4">
        <v>43563.543310185181</v>
      </c>
      <c r="B2989" s="5" t="str">
        <f>HYPERLINK("https://twitter.com/cbrown4738","@cbrown4738")</f>
        <v>@cbrown4738</v>
      </c>
      <c r="C2989" s="6" t="s">
        <v>10236</v>
      </c>
      <c r="D2989" s="7" t="s">
        <v>10237</v>
      </c>
      <c r="E2989" s="8" t="str">
        <f>HYPERLINK("https://www.circlepix.com/","Circlepix")</f>
        <v>Circlepix</v>
      </c>
      <c r="F2989" s="4">
        <v>41781.314976851849</v>
      </c>
      <c r="G2989" s="17" t="s">
        <v>13000</v>
      </c>
      <c r="H2989" s="35" t="s">
        <v>10238</v>
      </c>
      <c r="I2989" s="10" t="s">
        <v>10239</v>
      </c>
    </row>
    <row r="2990" spans="1:9" s="31" customFormat="1" ht="30">
      <c r="A2990" s="19">
        <v>43549.412916666668</v>
      </c>
      <c r="B2990" s="20" t="str">
        <f>HYPERLINK("https://twitter.com/curlygirl61","@curlygirl61")</f>
        <v>@curlygirl61</v>
      </c>
      <c r="C2990" s="21" t="s">
        <v>1877</v>
      </c>
      <c r="D2990" s="22" t="s">
        <v>8043</v>
      </c>
      <c r="E2990" s="23" t="str">
        <f>HYPERLINK("http://twitter.com/download/iphone","Twitter for iPhone")</f>
        <v>Twitter for iPhone</v>
      </c>
      <c r="F2990" s="19">
        <v>39903.765833333331</v>
      </c>
      <c r="G2990" s="24" t="s">
        <v>13000</v>
      </c>
      <c r="H2990" s="35" t="s">
        <v>1879</v>
      </c>
      <c r="I2990" s="25" t="s">
        <v>1880</v>
      </c>
    </row>
    <row r="2991" spans="1:9" s="31" customFormat="1" ht="75">
      <c r="A2991" s="12">
        <v>43576.652881944443</v>
      </c>
      <c r="B2991" s="13" t="str">
        <f>HYPERLINK("https://twitter.com/curlygirl61","@curlygirl61")</f>
        <v>@curlygirl61</v>
      </c>
      <c r="C2991" s="14" t="s">
        <v>1877</v>
      </c>
      <c r="D2991" s="15" t="s">
        <v>1878</v>
      </c>
      <c r="E2991" s="16" t="str">
        <f>HYPERLINK("http://instagram.com","Instagram")</f>
        <v>Instagram</v>
      </c>
      <c r="F2991" s="12">
        <v>39903.765833333331</v>
      </c>
      <c r="G2991" s="24" t="s">
        <v>13000</v>
      </c>
      <c r="H2991" s="35" t="s">
        <v>1879</v>
      </c>
      <c r="I2991" s="18" t="s">
        <v>1880</v>
      </c>
    </row>
    <row r="2992" spans="1:9" s="31" customFormat="1" ht="60">
      <c r="A2992" s="19">
        <v>43546.35465277778</v>
      </c>
      <c r="B2992" s="20" t="str">
        <f>HYPERLINK("https://twitter.com/jbethjs","@jbethjs")</f>
        <v>@jbethjs</v>
      </c>
      <c r="C2992" s="21" t="s">
        <v>6647</v>
      </c>
      <c r="D2992" s="22" t="s">
        <v>8893</v>
      </c>
      <c r="E2992" s="23" t="str">
        <f>HYPERLINK("https://missinglettr.com","Missinglettr")</f>
        <v>Missinglettr</v>
      </c>
      <c r="F2992" s="19">
        <v>40521.557557870372</v>
      </c>
      <c r="G2992" s="24" t="s">
        <v>13000</v>
      </c>
      <c r="H2992" s="35" t="s">
        <v>6649</v>
      </c>
      <c r="I2992" s="25" t="s">
        <v>6650</v>
      </c>
    </row>
    <row r="2993" spans="1:9" s="31" customFormat="1" ht="45">
      <c r="A2993" s="4">
        <v>43564.377141203702</v>
      </c>
      <c r="B2993" s="5" t="str">
        <f>HYPERLINK("https://twitter.com/jbethjs","@jbethjs")</f>
        <v>@jbethjs</v>
      </c>
      <c r="C2993" s="6" t="s">
        <v>6647</v>
      </c>
      <c r="D2993" s="7" t="s">
        <v>6648</v>
      </c>
      <c r="E2993" s="8" t="str">
        <f>HYPERLINK("https://missinglettr.com","Missinglettr")</f>
        <v>Missinglettr</v>
      </c>
      <c r="F2993" s="4">
        <v>40521.557557870372</v>
      </c>
      <c r="G2993" s="24" t="s">
        <v>13000</v>
      </c>
      <c r="H2993" s="35" t="s">
        <v>6649</v>
      </c>
      <c r="I2993" s="10" t="s">
        <v>6650</v>
      </c>
    </row>
    <row r="2994" spans="1:9" s="31" customFormat="1" ht="75">
      <c r="A2994" s="12">
        <v>43578.706793981481</v>
      </c>
      <c r="B2994" s="13" t="str">
        <f>HYPERLINK("https://twitter.com/sumos_io","@sumos_io")</f>
        <v>@sumos_io</v>
      </c>
      <c r="C2994" s="13" t="s">
        <v>1086</v>
      </c>
      <c r="D2994" s="15" t="s">
        <v>1087</v>
      </c>
      <c r="E2994" s="16" t="str">
        <f>HYPERLINK("https://mobile.twitter.com","Twitter Web App")</f>
        <v>Twitter Web App</v>
      </c>
      <c r="F2994" s="12">
        <v>43379.473148148143</v>
      </c>
      <c r="G2994" s="17" t="s">
        <v>13000</v>
      </c>
      <c r="H2994" s="35" t="s">
        <v>1088</v>
      </c>
      <c r="I2994" s="18" t="s">
        <v>1089</v>
      </c>
    </row>
    <row r="2995" spans="1:9" s="31" customFormat="1" ht="105">
      <c r="A2995" s="12">
        <v>43571.729108796295</v>
      </c>
      <c r="B2995" s="13" t="str">
        <f>HYPERLINK("https://twitter.com/taygoinc","@taygoinc")</f>
        <v>@taygoinc</v>
      </c>
      <c r="C2995" s="13" t="s">
        <v>3574</v>
      </c>
      <c r="D2995" s="15" t="s">
        <v>3575</v>
      </c>
      <c r="E2995" s="16" t="str">
        <f>HYPERLINK("https://business.taygo.com","TAYGO_PROD")</f>
        <v>TAYGO_PROD</v>
      </c>
      <c r="F2995" s="12">
        <v>42920.755833333329</v>
      </c>
      <c r="G2995" s="17" t="s">
        <v>13000</v>
      </c>
      <c r="H2995" s="35" t="s">
        <v>1088</v>
      </c>
      <c r="I2995" s="18"/>
    </row>
    <row r="2996" spans="1:9" s="31" customFormat="1" ht="45">
      <c r="A2996" s="12">
        <v>43571.67392361111</v>
      </c>
      <c r="B2996" s="13" t="str">
        <f>HYPERLINK("https://twitter.com/ActionLockKey1","@ActionLockKey1")</f>
        <v>@ActionLockKey1</v>
      </c>
      <c r="C2996" s="14" t="s">
        <v>3592</v>
      </c>
      <c r="D2996" s="15" t="s">
        <v>3593</v>
      </c>
      <c r="E2996" s="16" t="str">
        <f>HYPERLINK("https://fanpagerobot.com/","Fan Page Robot")</f>
        <v>Fan Page Robot</v>
      </c>
      <c r="F2996" s="12">
        <v>41491.782118055555</v>
      </c>
      <c r="G2996" s="17" t="s">
        <v>13000</v>
      </c>
      <c r="H2996" s="35" t="s">
        <v>3594</v>
      </c>
      <c r="I2996" s="18" t="s">
        <v>3595</v>
      </c>
    </row>
    <row r="2997" spans="1:9" s="31" customFormat="1" ht="75">
      <c r="A2997" s="4">
        <v>43565.320821759262</v>
      </c>
      <c r="B2997" s="5" t="str">
        <f>HYPERLINK("https://twitter.com/russandcherylb1","@russandcherylb1")</f>
        <v>@russandcherylb1</v>
      </c>
      <c r="C2997" s="6" t="s">
        <v>5559</v>
      </c>
      <c r="D2997" s="7" t="s">
        <v>6175</v>
      </c>
      <c r="E2997" s="8" t="str">
        <f>HYPERLINK("http://instagram.com","Instagram")</f>
        <v>Instagram</v>
      </c>
      <c r="F2997" s="4">
        <v>43270.610127314816</v>
      </c>
      <c r="G2997" s="17" t="s">
        <v>13000</v>
      </c>
      <c r="H2997" s="35" t="s">
        <v>5561</v>
      </c>
      <c r="I2997" s="10" t="s">
        <v>5562</v>
      </c>
    </row>
    <row r="2998" spans="1:9" s="31" customFormat="1" ht="30">
      <c r="A2998" s="4">
        <v>43560.748171296298</v>
      </c>
      <c r="B2998" s="5" t="str">
        <f>HYPERLINK("https://twitter.com/RoutzBurlington","@RoutzBurlington")</f>
        <v>@RoutzBurlington</v>
      </c>
      <c r="C2998" s="6" t="s">
        <v>11194</v>
      </c>
      <c r="D2998" s="7" t="s">
        <v>11191</v>
      </c>
      <c r="E2998" s="8" t="str">
        <f>HYPERLINK("http://twitter.com/download/iphone","Twitter for iPhone")</f>
        <v>Twitter for iPhone</v>
      </c>
      <c r="F2998" s="4">
        <v>40422.342604166668</v>
      </c>
      <c r="G2998" s="17" t="s">
        <v>13000</v>
      </c>
      <c r="H2998" s="35" t="s">
        <v>5561</v>
      </c>
      <c r="I2998" s="10" t="s">
        <v>11195</v>
      </c>
    </row>
    <row r="2999" spans="1:9" s="31" customFormat="1" ht="75">
      <c r="A2999" s="12">
        <v>43566.403368055559</v>
      </c>
      <c r="B2999" s="13" t="str">
        <f>HYPERLINK("https://twitter.com/russandcherylb1","@russandcherylb1")</f>
        <v>@russandcherylb1</v>
      </c>
      <c r="C2999" s="14" t="s">
        <v>5559</v>
      </c>
      <c r="D2999" s="15" t="s">
        <v>5560</v>
      </c>
      <c r="E2999" s="16" t="str">
        <f>HYPERLINK("http://instagram.com","Instagram")</f>
        <v>Instagram</v>
      </c>
      <c r="F2999" s="12">
        <v>43270.610127314816</v>
      </c>
      <c r="G2999" s="17" t="s">
        <v>13000</v>
      </c>
      <c r="H2999" s="35" t="s">
        <v>5561</v>
      </c>
      <c r="I2999" s="18" t="s">
        <v>5562</v>
      </c>
    </row>
    <row r="3000" spans="1:9" s="31" customFormat="1" ht="60">
      <c r="A3000" s="19">
        <v>43551.297349537039</v>
      </c>
      <c r="B3000" s="20" t="str">
        <f>HYPERLINK("https://twitter.com/redtopkennel","@redtopkennel")</f>
        <v>@redtopkennel</v>
      </c>
      <c r="C3000" s="21" t="s">
        <v>7330</v>
      </c>
      <c r="D3000" s="22" t="s">
        <v>7331</v>
      </c>
      <c r="E3000" s="23" t="str">
        <f>HYPERLINK("http://instagram.com","Instagram")</f>
        <v>Instagram</v>
      </c>
      <c r="F3000" s="19">
        <v>41211.727731481486</v>
      </c>
      <c r="G3000" s="24" t="s">
        <v>13000</v>
      </c>
      <c r="H3000" s="35" t="s">
        <v>7332</v>
      </c>
      <c r="I3000" s="25" t="s">
        <v>7333</v>
      </c>
    </row>
    <row r="3001" spans="1:9" s="31" customFormat="1" ht="75">
      <c r="A3001" s="19">
        <v>43548.692141203705</v>
      </c>
      <c r="B3001" s="20" t="str">
        <f>HYPERLINK("https://twitter.com/travlwriteclick","@travlwriteclick")</f>
        <v>@travlwriteclick</v>
      </c>
      <c r="C3001" s="21" t="s">
        <v>8243</v>
      </c>
      <c r="D3001" s="22" t="s">
        <v>8244</v>
      </c>
      <c r="E3001" s="23" t="str">
        <f>HYPERLINK("http://twitter.com","Twitter Web Client")</f>
        <v>Twitter Web Client</v>
      </c>
      <c r="F3001" s="19">
        <v>41038.563321759255</v>
      </c>
      <c r="G3001" s="24" t="s">
        <v>13000</v>
      </c>
      <c r="H3001" s="35" t="s">
        <v>4787</v>
      </c>
      <c r="I3001" s="25" t="s">
        <v>8245</v>
      </c>
    </row>
    <row r="3002" spans="1:9" s="31" customFormat="1" ht="60">
      <c r="A3002" s="19">
        <v>43548.688807870371</v>
      </c>
      <c r="B3002" s="20" t="str">
        <f>HYPERLINK("https://twitter.com/travlwriteclick","@travlwriteclick")</f>
        <v>@travlwriteclick</v>
      </c>
      <c r="C3002" s="21" t="s">
        <v>8243</v>
      </c>
      <c r="D3002" s="22" t="s">
        <v>8247</v>
      </c>
      <c r="E3002" s="23" t="str">
        <f>HYPERLINK("http://twitter.com","Twitter Web Client")</f>
        <v>Twitter Web Client</v>
      </c>
      <c r="F3002" s="19">
        <v>41038.563321759255</v>
      </c>
      <c r="G3002" s="24" t="s">
        <v>13000</v>
      </c>
      <c r="H3002" s="35" t="s">
        <v>4787</v>
      </c>
      <c r="I3002" s="25" t="s">
        <v>8245</v>
      </c>
    </row>
    <row r="3003" spans="1:9" s="31" customFormat="1" ht="45">
      <c r="A3003" s="4">
        <v>43563.280601851853</v>
      </c>
      <c r="B3003" s="5" t="str">
        <f>HYPERLINK("https://twitter.com/CaledonNews","@CaledonNews")</f>
        <v>@CaledonNews</v>
      </c>
      <c r="C3003" s="6" t="s">
        <v>4785</v>
      </c>
      <c r="D3003" s="7" t="s">
        <v>10415</v>
      </c>
      <c r="E3003" s="8" t="str">
        <f>HYPERLINK("https://www.hootsuite.com","Hootsuite Inc.")</f>
        <v>Hootsuite Inc.</v>
      </c>
      <c r="F3003" s="4">
        <v>40260.371759259258</v>
      </c>
      <c r="G3003" s="24" t="s">
        <v>13000</v>
      </c>
      <c r="H3003" s="35" t="s">
        <v>4787</v>
      </c>
      <c r="I3003" s="10" t="s">
        <v>4788</v>
      </c>
    </row>
    <row r="3004" spans="1:9" s="31" customFormat="1" ht="45">
      <c r="A3004" s="12">
        <v>43568.417118055557</v>
      </c>
      <c r="B3004" s="13" t="str">
        <f>HYPERLINK("https://twitter.com/CaledonNews","@CaledonNews")</f>
        <v>@CaledonNews</v>
      </c>
      <c r="C3004" s="14" t="s">
        <v>4785</v>
      </c>
      <c r="D3004" s="15" t="s">
        <v>4786</v>
      </c>
      <c r="E3004" s="16" t="str">
        <f>HYPERLINK("https://www.hootsuite.com","Hootsuite Inc.")</f>
        <v>Hootsuite Inc.</v>
      </c>
      <c r="F3004" s="12">
        <v>40260.371759259258</v>
      </c>
      <c r="G3004" s="24" t="s">
        <v>13000</v>
      </c>
      <c r="H3004" s="35" t="s">
        <v>4787</v>
      </c>
      <c r="I3004" s="18" t="s">
        <v>4788</v>
      </c>
    </row>
    <row r="3005" spans="1:9" s="31" customFormat="1" ht="60">
      <c r="A3005" s="4">
        <v>43565.316689814819</v>
      </c>
      <c r="B3005" s="5" t="str">
        <f>HYPERLINK("https://twitter.com/SibapriyaC","@SibapriyaC")</f>
        <v>@SibapriyaC</v>
      </c>
      <c r="C3005" s="6" t="s">
        <v>6176</v>
      </c>
      <c r="D3005" s="7" t="s">
        <v>6177</v>
      </c>
      <c r="E3005" s="8" t="str">
        <f>HYPERLINK("https://mobile.twitter.com","Twitter Web App")</f>
        <v>Twitter Web App</v>
      </c>
      <c r="F3005" s="4">
        <v>43256.858854166669</v>
      </c>
      <c r="G3005" s="24" t="s">
        <v>13000</v>
      </c>
      <c r="H3005" s="35" t="s">
        <v>6178</v>
      </c>
      <c r="I3005" s="10" t="s">
        <v>10180</v>
      </c>
    </row>
    <row r="3006" spans="1:9" s="31" customFormat="1" ht="60">
      <c r="A3006" s="12">
        <v>43565.316689814819</v>
      </c>
      <c r="B3006" s="13" t="str">
        <f>HYPERLINK("https://twitter.com/SibapriyaC","@SibapriyaC")</f>
        <v>@SibapriyaC</v>
      </c>
      <c r="C3006" s="14" t="s">
        <v>6176</v>
      </c>
      <c r="D3006" s="15" t="s">
        <v>6177</v>
      </c>
      <c r="E3006" s="16" t="str">
        <f>HYPERLINK("https://mobile.twitter.com","Twitter Web App")</f>
        <v>Twitter Web App</v>
      </c>
      <c r="F3006" s="12">
        <v>43256.858854166669</v>
      </c>
      <c r="G3006" s="24" t="s">
        <v>13000</v>
      </c>
      <c r="H3006" s="35" t="s">
        <v>6178</v>
      </c>
      <c r="I3006" s="18" t="s">
        <v>6179</v>
      </c>
    </row>
    <row r="3007" spans="1:9" s="31" customFormat="1" ht="90">
      <c r="A3007" s="19">
        <v>43547.430555555555</v>
      </c>
      <c r="B3007" s="20" t="str">
        <f>HYPERLINK("https://twitter.com/jason_abdi","@jason_abdi")</f>
        <v>@jason_abdi</v>
      </c>
      <c r="C3007" s="21" t="s">
        <v>8549</v>
      </c>
      <c r="D3007" s="22" t="s">
        <v>8479</v>
      </c>
      <c r="E3007" s="23" t="str">
        <f>HYPERLINK("https://buffer.com","Buffer")</f>
        <v>Buffer</v>
      </c>
      <c r="F3007" s="19">
        <v>43481.643935185188</v>
      </c>
      <c r="G3007" s="24" t="s">
        <v>13000</v>
      </c>
      <c r="H3007" s="35" t="s">
        <v>8550</v>
      </c>
      <c r="I3007" s="25" t="s">
        <v>8551</v>
      </c>
    </row>
    <row r="3008" spans="1:9" s="31" customFormat="1" ht="45">
      <c r="A3008" s="4">
        <v>43560.427141203705</v>
      </c>
      <c r="B3008" s="5" t="str">
        <f>HYPERLINK("https://twitter.com/DailyHiveYYC","@DailyHiveYYC")</f>
        <v>@DailyHiveYYC</v>
      </c>
      <c r="C3008" s="6" t="s">
        <v>11384</v>
      </c>
      <c r="D3008" s="7" t="s">
        <v>11363</v>
      </c>
      <c r="E3008" s="8" t="str">
        <f>HYPERLINK("https://www.hootsuite.com","Hootsuite Inc.")</f>
        <v>Hootsuite Inc.</v>
      </c>
      <c r="F3008" s="4">
        <v>42105.974965277783</v>
      </c>
      <c r="G3008" s="24" t="s">
        <v>13000</v>
      </c>
      <c r="H3008" s="35" t="s">
        <v>8550</v>
      </c>
      <c r="I3008" s="10" t="s">
        <v>11385</v>
      </c>
    </row>
    <row r="3009" spans="1:9" s="31" customFormat="1" ht="45">
      <c r="A3009" s="12">
        <v>43579.192557870367</v>
      </c>
      <c r="B3009" s="13" t="str">
        <f>HYPERLINK("https://twitter.com/AmeliaScarlet10","@AmeliaScarlet10")</f>
        <v>@AmeliaScarlet10</v>
      </c>
      <c r="C3009" s="14" t="s">
        <v>860</v>
      </c>
      <c r="D3009" s="15" t="s">
        <v>861</v>
      </c>
      <c r="E3009" s="16" t="str">
        <f>HYPERLINK("http://twitter.com","Twitter Web Client")</f>
        <v>Twitter Web Client</v>
      </c>
      <c r="F3009" s="12">
        <v>43319.205196759256</v>
      </c>
      <c r="G3009" s="24" t="s">
        <v>13000</v>
      </c>
      <c r="H3009" s="35" t="s">
        <v>862</v>
      </c>
      <c r="I3009" s="18" t="s">
        <v>863</v>
      </c>
    </row>
    <row r="3010" spans="1:9" s="31" customFormat="1" ht="45">
      <c r="A3010" s="19">
        <v>43551.852858796294</v>
      </c>
      <c r="B3010" s="20" t="str">
        <f>HYPERLINK("https://twitter.com/thesusanito","@thesusanito")</f>
        <v>@thesusanito</v>
      </c>
      <c r="C3010" s="21" t="s">
        <v>6977</v>
      </c>
      <c r="D3010" s="22" t="s">
        <v>6978</v>
      </c>
      <c r="E3010" s="23" t="str">
        <f>HYPERLINK("http://twitter.com/download/iphone","Twitter for iPhone")</f>
        <v>Twitter for iPhone</v>
      </c>
      <c r="F3010" s="19">
        <v>39848.88344907407</v>
      </c>
      <c r="G3010" s="24" t="s">
        <v>13000</v>
      </c>
      <c r="H3010" s="35" t="s">
        <v>4074</v>
      </c>
      <c r="I3010" s="25" t="s">
        <v>6979</v>
      </c>
    </row>
    <row r="3011" spans="1:9" s="31" customFormat="1" ht="60">
      <c r="A3011" s="19">
        <v>43544.408460648148</v>
      </c>
      <c r="B3011" s="20" t="str">
        <f>HYPERLINK("https://twitter.com/dakyne","@dakyne")</f>
        <v>@dakyne</v>
      </c>
      <c r="C3011" s="21" t="s">
        <v>9480</v>
      </c>
      <c r="D3011" s="22" t="s">
        <v>9481</v>
      </c>
      <c r="E3011" s="23" t="str">
        <f>HYPERLINK("http://twitter.com","Twitter Web Client")</f>
        <v>Twitter Web Client</v>
      </c>
      <c r="F3011" s="19">
        <v>39805.037638888891</v>
      </c>
      <c r="G3011" s="24" t="s">
        <v>13000</v>
      </c>
      <c r="H3011" s="35" t="s">
        <v>4074</v>
      </c>
      <c r="I3011" s="25" t="s">
        <v>9482</v>
      </c>
    </row>
    <row r="3012" spans="1:9" s="31" customFormat="1" ht="30">
      <c r="A3012" s="4">
        <v>43557.774826388893</v>
      </c>
      <c r="B3012" s="5" t="str">
        <f>HYPERLINK("https://twitter.com/Tiffanelbow","@Tiffanelbow")</f>
        <v>@Tiffanelbow</v>
      </c>
      <c r="C3012" s="6" t="s">
        <v>12392</v>
      </c>
      <c r="D3012" s="7" t="s">
        <v>12393</v>
      </c>
      <c r="E3012" s="8" t="str">
        <f>HYPERLINK("http://twitter.com","Twitter Web Client")</f>
        <v>Twitter Web Client</v>
      </c>
      <c r="F3012" s="4">
        <v>39688.602638888886</v>
      </c>
      <c r="G3012" s="24" t="s">
        <v>13000</v>
      </c>
      <c r="H3012" s="35" t="s">
        <v>4074</v>
      </c>
      <c r="I3012" s="10" t="s">
        <v>12394</v>
      </c>
    </row>
    <row r="3013" spans="1:9" s="31" customFormat="1" ht="45">
      <c r="A3013" s="12">
        <v>43570.564814814818</v>
      </c>
      <c r="B3013" s="13" t="str">
        <f>HYPERLINK("https://twitter.com/crazyaboutbirds","@crazyaboutbirds")</f>
        <v>@crazyaboutbirds</v>
      </c>
      <c r="C3013" s="14" t="s">
        <v>4072</v>
      </c>
      <c r="D3013" s="15" t="s">
        <v>4073</v>
      </c>
      <c r="E3013" s="16" t="str">
        <f>HYPERLINK("http://twitter.com","Twitter Web Client")</f>
        <v>Twitter Web Client</v>
      </c>
      <c r="F3013" s="12">
        <v>40052.419398148151</v>
      </c>
      <c r="G3013" s="24" t="s">
        <v>13000</v>
      </c>
      <c r="H3013" s="35" t="s">
        <v>4074</v>
      </c>
      <c r="I3013" s="18" t="s">
        <v>4075</v>
      </c>
    </row>
    <row r="3014" spans="1:9" s="31" customFormat="1" ht="75">
      <c r="A3014" s="12">
        <v>43568.847824074073</v>
      </c>
      <c r="B3014" s="13" t="str">
        <f>HYPERLINK("https://twitter.com/KaraJadeQM","@KaraJadeQM")</f>
        <v>@KaraJadeQM</v>
      </c>
      <c r="C3014" s="14" t="s">
        <v>4647</v>
      </c>
      <c r="D3014" s="15" t="s">
        <v>4648</v>
      </c>
      <c r="E3014" s="16" t="str">
        <f>HYPERLINK("http://instagram.com","Instagram")</f>
        <v>Instagram</v>
      </c>
      <c r="F3014" s="12">
        <v>40615.467673611114</v>
      </c>
      <c r="G3014" s="24" t="s">
        <v>13000</v>
      </c>
      <c r="H3014" s="35" t="s">
        <v>4074</v>
      </c>
      <c r="I3014" s="18"/>
    </row>
    <row r="3015" spans="1:9" s="31" customFormat="1" ht="60">
      <c r="A3015" s="19">
        <v>43551.728460648148</v>
      </c>
      <c r="B3015" s="20" t="str">
        <f t="shared" ref="B3015:B3023" si="128">HYPERLINK("https://twitter.com/webunkyou","@webunkyou")</f>
        <v>@webunkyou</v>
      </c>
      <c r="C3015" s="21" t="s">
        <v>484</v>
      </c>
      <c r="D3015" s="22" t="s">
        <v>7020</v>
      </c>
      <c r="E3015" s="23" t="str">
        <f t="shared" ref="E3015:E3023" si="129">HYPERLINK("https://ifttt.com","IFTTT")</f>
        <v>IFTTT</v>
      </c>
      <c r="F3015" s="19">
        <v>42276.682337962964</v>
      </c>
      <c r="G3015" s="24" t="s">
        <v>13000</v>
      </c>
      <c r="H3015" s="35" t="s">
        <v>486</v>
      </c>
      <c r="I3015" s="25" t="s">
        <v>487</v>
      </c>
    </row>
    <row r="3016" spans="1:9" s="31" customFormat="1" ht="60">
      <c r="A3016" s="19">
        <v>43550.478472222225</v>
      </c>
      <c r="B3016" s="20" t="str">
        <f t="shared" si="128"/>
        <v>@webunkyou</v>
      </c>
      <c r="C3016" s="21" t="s">
        <v>484</v>
      </c>
      <c r="D3016" s="22" t="s">
        <v>7653</v>
      </c>
      <c r="E3016" s="23" t="str">
        <f t="shared" si="129"/>
        <v>IFTTT</v>
      </c>
      <c r="F3016" s="19">
        <v>42276.682337962964</v>
      </c>
      <c r="G3016" s="24" t="s">
        <v>13000</v>
      </c>
      <c r="H3016" s="35" t="s">
        <v>486</v>
      </c>
      <c r="I3016" s="25" t="s">
        <v>487</v>
      </c>
    </row>
    <row r="3017" spans="1:9" s="31" customFormat="1" ht="60">
      <c r="A3017" s="19">
        <v>43544.520034722227</v>
      </c>
      <c r="B3017" s="20" t="str">
        <f t="shared" si="128"/>
        <v>@webunkyou</v>
      </c>
      <c r="C3017" s="21" t="s">
        <v>484</v>
      </c>
      <c r="D3017" s="22" t="s">
        <v>9426</v>
      </c>
      <c r="E3017" s="23" t="str">
        <f t="shared" si="129"/>
        <v>IFTTT</v>
      </c>
      <c r="F3017" s="19">
        <v>42276.682337962964</v>
      </c>
      <c r="G3017" s="24" t="s">
        <v>13000</v>
      </c>
      <c r="H3017" s="35" t="s">
        <v>486</v>
      </c>
      <c r="I3017" s="25" t="s">
        <v>487</v>
      </c>
    </row>
    <row r="3018" spans="1:9" s="31" customFormat="1" ht="60">
      <c r="A3018" s="4">
        <v>43563.43677083333</v>
      </c>
      <c r="B3018" s="5" t="str">
        <f t="shared" si="128"/>
        <v>@webunkyou</v>
      </c>
      <c r="C3018" s="6" t="s">
        <v>484</v>
      </c>
      <c r="D3018" s="7" t="s">
        <v>10291</v>
      </c>
      <c r="E3018" s="8" t="str">
        <f t="shared" si="129"/>
        <v>IFTTT</v>
      </c>
      <c r="F3018" s="4">
        <v>42276.682337962964</v>
      </c>
      <c r="G3018" s="24" t="s">
        <v>13000</v>
      </c>
      <c r="H3018" s="35" t="s">
        <v>486</v>
      </c>
      <c r="I3018" s="10" t="s">
        <v>487</v>
      </c>
    </row>
    <row r="3019" spans="1:9" s="31" customFormat="1" ht="60">
      <c r="A3019" s="4">
        <v>43558.728356481486</v>
      </c>
      <c r="B3019" s="5" t="str">
        <f t="shared" si="128"/>
        <v>@webunkyou</v>
      </c>
      <c r="C3019" s="6" t="s">
        <v>484</v>
      </c>
      <c r="D3019" s="7" t="s">
        <v>12054</v>
      </c>
      <c r="E3019" s="8" t="str">
        <f t="shared" si="129"/>
        <v>IFTTT</v>
      </c>
      <c r="F3019" s="4">
        <v>42276.682337962964</v>
      </c>
      <c r="G3019" s="24" t="s">
        <v>13000</v>
      </c>
      <c r="H3019" s="35" t="s">
        <v>486</v>
      </c>
      <c r="I3019" s="10" t="s">
        <v>487</v>
      </c>
    </row>
    <row r="3020" spans="1:9" s="31" customFormat="1" ht="45">
      <c r="A3020" s="4">
        <v>43557.478541666671</v>
      </c>
      <c r="B3020" s="5" t="str">
        <f t="shared" si="128"/>
        <v>@webunkyou</v>
      </c>
      <c r="C3020" s="6" t="s">
        <v>484</v>
      </c>
      <c r="D3020" s="7" t="s">
        <v>12503</v>
      </c>
      <c r="E3020" s="8" t="str">
        <f t="shared" si="129"/>
        <v>IFTTT</v>
      </c>
      <c r="F3020" s="4">
        <v>42276.682337962964</v>
      </c>
      <c r="G3020" s="24" t="s">
        <v>13000</v>
      </c>
      <c r="H3020" s="35" t="s">
        <v>486</v>
      </c>
      <c r="I3020" s="10" t="s">
        <v>487</v>
      </c>
    </row>
    <row r="3021" spans="1:9" s="31" customFormat="1" ht="45">
      <c r="A3021" s="12">
        <v>43579.728321759263</v>
      </c>
      <c r="B3021" s="13" t="str">
        <f t="shared" si="128"/>
        <v>@webunkyou</v>
      </c>
      <c r="C3021" s="14" t="s">
        <v>484</v>
      </c>
      <c r="D3021" s="15" t="s">
        <v>485</v>
      </c>
      <c r="E3021" s="16" t="str">
        <f t="shared" si="129"/>
        <v>IFTTT</v>
      </c>
      <c r="F3021" s="12">
        <v>42276.682337962964</v>
      </c>
      <c r="G3021" s="24" t="s">
        <v>13000</v>
      </c>
      <c r="H3021" s="35" t="s">
        <v>486</v>
      </c>
      <c r="I3021" s="18" t="s">
        <v>487</v>
      </c>
    </row>
    <row r="3022" spans="1:9" s="31" customFormat="1" ht="45">
      <c r="A3022" s="12">
        <v>43575.645104166666</v>
      </c>
      <c r="B3022" s="13" t="str">
        <f t="shared" si="128"/>
        <v>@webunkyou</v>
      </c>
      <c r="C3022" s="14" t="s">
        <v>484</v>
      </c>
      <c r="D3022" s="15" t="s">
        <v>2155</v>
      </c>
      <c r="E3022" s="16" t="str">
        <f t="shared" si="129"/>
        <v>IFTTT</v>
      </c>
      <c r="F3022" s="12">
        <v>42276.682337962964</v>
      </c>
      <c r="G3022" s="24" t="s">
        <v>13000</v>
      </c>
      <c r="H3022" s="35" t="s">
        <v>486</v>
      </c>
      <c r="I3022" s="18" t="s">
        <v>487</v>
      </c>
    </row>
    <row r="3023" spans="1:9" s="31" customFormat="1" ht="45">
      <c r="A3023" s="12">
        <v>43570.478356481486</v>
      </c>
      <c r="B3023" s="13" t="str">
        <f t="shared" si="128"/>
        <v>@webunkyou</v>
      </c>
      <c r="C3023" s="14" t="s">
        <v>484</v>
      </c>
      <c r="D3023" s="15" t="s">
        <v>4119</v>
      </c>
      <c r="E3023" s="16" t="str">
        <f t="shared" si="129"/>
        <v>IFTTT</v>
      </c>
      <c r="F3023" s="12">
        <v>42276.682337962964</v>
      </c>
      <c r="G3023" s="24" t="s">
        <v>13000</v>
      </c>
      <c r="H3023" s="35" t="s">
        <v>486</v>
      </c>
      <c r="I3023" s="18" t="s">
        <v>487</v>
      </c>
    </row>
    <row r="3024" spans="1:9" s="31" customFormat="1" ht="90">
      <c r="A3024" s="19">
        <v>43551.257372685184</v>
      </c>
      <c r="B3024" s="20" t="str">
        <f>HYPERLINK("https://twitter.com/teddykawakami","@teddykawakami")</f>
        <v>@teddykawakami</v>
      </c>
      <c r="C3024" s="21" t="s">
        <v>7373</v>
      </c>
      <c r="D3024" s="22" t="s">
        <v>7374</v>
      </c>
      <c r="E3024" s="23" t="str">
        <f>HYPERLINK("http://twitter.com/download/iphone","Twitter for iPhone")</f>
        <v>Twitter for iPhone</v>
      </c>
      <c r="F3024" s="19">
        <v>39921.47215277778</v>
      </c>
      <c r="G3024" s="24" t="s">
        <v>13000</v>
      </c>
      <c r="H3024" s="35" t="s">
        <v>7375</v>
      </c>
      <c r="I3024" s="25" t="s">
        <v>7376</v>
      </c>
    </row>
    <row r="3025" spans="1:9" s="31" customFormat="1" ht="120">
      <c r="A3025" s="4">
        <v>43564.470775462964</v>
      </c>
      <c r="B3025" s="5" t="str">
        <f>HYPERLINK("https://twitter.com/CleanUpWestSoma","@CleanUpWestSoma")</f>
        <v>@CleanUpWestSoma</v>
      </c>
      <c r="C3025" s="6" t="s">
        <v>6588</v>
      </c>
      <c r="D3025" s="7" t="s">
        <v>12789</v>
      </c>
      <c r="E3025" s="8" t="str">
        <f>HYPERLINK("http://twitter.com/download/iphone","Twitter for iPhone")</f>
        <v>Twitter for iPhone</v>
      </c>
      <c r="F3025" s="4">
        <v>42650.674178240741</v>
      </c>
      <c r="G3025" s="17" t="s">
        <v>13000</v>
      </c>
      <c r="H3025" s="35" t="s">
        <v>4074</v>
      </c>
      <c r="I3025" s="10" t="s">
        <v>6589</v>
      </c>
    </row>
    <row r="3026" spans="1:9" s="31" customFormat="1" ht="90">
      <c r="A3026" s="19">
        <v>43550.521539351852</v>
      </c>
      <c r="B3026" s="20" t="str">
        <f>HYPERLINK("https://twitter.com/All_Seasons_usa","@All_Seasons_usa")</f>
        <v>@All_Seasons_usa</v>
      </c>
      <c r="C3026" s="21" t="s">
        <v>2527</v>
      </c>
      <c r="D3026" s="22" t="s">
        <v>7629</v>
      </c>
      <c r="E3026" s="23" t="str">
        <f>HYPERLINK("https://buffer.com","Buffer")</f>
        <v>Buffer</v>
      </c>
      <c r="F3026" s="19">
        <v>43249.426493055551</v>
      </c>
      <c r="G3026" s="17" t="s">
        <v>13000</v>
      </c>
      <c r="H3026" s="35" t="s">
        <v>449</v>
      </c>
      <c r="I3026" s="25" t="s">
        <v>2529</v>
      </c>
    </row>
    <row r="3027" spans="1:9" s="31" customFormat="1" ht="60">
      <c r="A3027" s="4">
        <v>43565.570358796293</v>
      </c>
      <c r="B3027" s="5" t="str">
        <f>HYPERLINK("https://twitter.com/sheldoncowles","@sheldoncowles")</f>
        <v>@sheldoncowles</v>
      </c>
      <c r="C3027" s="6" t="s">
        <v>447</v>
      </c>
      <c r="D3027" s="7" t="s">
        <v>6018</v>
      </c>
      <c r="E3027" s="8" t="str">
        <f>HYPERLINK("http://instagram.com","Instagram")</f>
        <v>Instagram</v>
      </c>
      <c r="F3027" s="4">
        <v>39804.503159722226</v>
      </c>
      <c r="G3027" s="17" t="s">
        <v>13000</v>
      </c>
      <c r="H3027" s="35" t="s">
        <v>449</v>
      </c>
      <c r="I3027" s="10" t="s">
        <v>450</v>
      </c>
    </row>
    <row r="3028" spans="1:9" s="31" customFormat="1" ht="75">
      <c r="A3028" s="4">
        <v>43559.538900462961</v>
      </c>
      <c r="B3028" s="5" t="str">
        <f>HYPERLINK("https://twitter.com/All_Seasons_usa","@All_Seasons_usa")</f>
        <v>@All_Seasons_usa</v>
      </c>
      <c r="C3028" s="6" t="s">
        <v>2527</v>
      </c>
      <c r="D3028" s="7" t="s">
        <v>11774</v>
      </c>
      <c r="E3028" s="8" t="str">
        <f>HYPERLINK("https://buffer.com","Buffer")</f>
        <v>Buffer</v>
      </c>
      <c r="F3028" s="4">
        <v>43249.426493055551</v>
      </c>
      <c r="G3028" s="17" t="s">
        <v>13000</v>
      </c>
      <c r="H3028" s="35" t="s">
        <v>449</v>
      </c>
      <c r="I3028" s="10" t="s">
        <v>2529</v>
      </c>
    </row>
    <row r="3029" spans="1:9" s="31" customFormat="1" ht="75">
      <c r="A3029" s="12">
        <v>43579.779027777782</v>
      </c>
      <c r="B3029" s="13" t="str">
        <f>HYPERLINK("https://twitter.com/sheldoncowles","@sheldoncowles")</f>
        <v>@sheldoncowles</v>
      </c>
      <c r="C3029" s="14" t="s">
        <v>447</v>
      </c>
      <c r="D3029" s="15" t="s">
        <v>448</v>
      </c>
      <c r="E3029" s="16" t="str">
        <f>HYPERLINK("http://instagram.com","Instagram")</f>
        <v>Instagram</v>
      </c>
      <c r="F3029" s="12">
        <v>39804.503159722226</v>
      </c>
      <c r="G3029" s="17" t="s">
        <v>13000</v>
      </c>
      <c r="H3029" s="35" t="s">
        <v>449</v>
      </c>
      <c r="I3029" s="18" t="s">
        <v>450</v>
      </c>
    </row>
    <row r="3030" spans="1:9" s="31" customFormat="1" ht="90">
      <c r="A3030" s="12">
        <v>43574.500740740739</v>
      </c>
      <c r="B3030" s="13" t="str">
        <f>HYPERLINK("https://twitter.com/All_Seasons_usa","@All_Seasons_usa")</f>
        <v>@All_Seasons_usa</v>
      </c>
      <c r="C3030" s="14" t="s">
        <v>2527</v>
      </c>
      <c r="D3030" s="15" t="s">
        <v>2528</v>
      </c>
      <c r="E3030" s="16" t="str">
        <f>HYPERLINK("https://buffer.com","Buffer")</f>
        <v>Buffer</v>
      </c>
      <c r="F3030" s="12">
        <v>43249.426493055551</v>
      </c>
      <c r="G3030" s="17" t="s">
        <v>13000</v>
      </c>
      <c r="H3030" s="35" t="s">
        <v>449</v>
      </c>
      <c r="I3030" s="18" t="s">
        <v>2529</v>
      </c>
    </row>
    <row r="3031" spans="1:9" s="31" customFormat="1" ht="105">
      <c r="A3031" s="19">
        <v>43550.958807870367</v>
      </c>
      <c r="B3031" s="20" t="str">
        <f>HYPERLINK("https://twitter.com/villadelarosamz","@villadelarosamz")</f>
        <v>@villadelarosamz</v>
      </c>
      <c r="C3031" s="21" t="s">
        <v>1167</v>
      </c>
      <c r="D3031" s="22" t="s">
        <v>1168</v>
      </c>
      <c r="E3031" s="23" t="str">
        <f>HYPERLINK("https://www.hootsuite.com","Hootsuite Inc.")</f>
        <v>Hootsuite Inc.</v>
      </c>
      <c r="F3031" s="19">
        <v>42519.85774305556</v>
      </c>
      <c r="G3031" s="17" t="s">
        <v>13000</v>
      </c>
      <c r="H3031" s="35" t="s">
        <v>1169</v>
      </c>
      <c r="I3031" s="25" t="s">
        <v>1170</v>
      </c>
    </row>
    <row r="3032" spans="1:9" s="31" customFormat="1" ht="165">
      <c r="A3032" s="19">
        <v>43550.672766203701</v>
      </c>
      <c r="B3032" s="20" t="str">
        <f>HYPERLINK("https://twitter.com/ItsJustKellcie","@ItsJustKellcie")</f>
        <v>@ItsJustKellcie</v>
      </c>
      <c r="C3032" s="21" t="s">
        <v>7552</v>
      </c>
      <c r="D3032" s="22" t="s">
        <v>7553</v>
      </c>
      <c r="E3032" s="23" t="str">
        <f>HYPERLINK("http://twitter.com/download/iphone","Twitter for iPhone")</f>
        <v>Twitter for iPhone</v>
      </c>
      <c r="F3032" s="19">
        <v>40591.049421296295</v>
      </c>
      <c r="G3032" s="17" t="s">
        <v>13000</v>
      </c>
      <c r="H3032" s="35" t="s">
        <v>1169</v>
      </c>
      <c r="I3032" s="25" t="s">
        <v>7554</v>
      </c>
    </row>
    <row r="3033" spans="1:9" s="31" customFormat="1" ht="105">
      <c r="A3033" s="19">
        <v>43548.637974537036</v>
      </c>
      <c r="B3033" s="20" t="str">
        <f>HYPERLINK("https://twitter.com/Nixonsloungechr","@Nixonsloungechr")</f>
        <v>@Nixonsloungechr</v>
      </c>
      <c r="C3033" s="21" t="s">
        <v>8263</v>
      </c>
      <c r="D3033" s="22" t="s">
        <v>8264</v>
      </c>
      <c r="E3033" s="23" t="str">
        <f>HYPERLINK("http://twitter.com/download/android","Twitter for Android")</f>
        <v>Twitter for Android</v>
      </c>
      <c r="F3033" s="19">
        <v>42298.879386574074</v>
      </c>
      <c r="G3033" s="17" t="s">
        <v>13000</v>
      </c>
      <c r="H3033" s="35" t="s">
        <v>1169</v>
      </c>
      <c r="I3033" s="25" t="s">
        <v>8265</v>
      </c>
    </row>
    <row r="3034" spans="1:9" s="31" customFormat="1" ht="90">
      <c r="A3034" s="19">
        <v>43548.085509259261</v>
      </c>
      <c r="B3034" s="20" t="str">
        <f>HYPERLINK("https://twitter.com/RichardHardigan","@RichardHardigan")</f>
        <v>@RichardHardigan</v>
      </c>
      <c r="C3034" s="21" t="s">
        <v>5351</v>
      </c>
      <c r="D3034" s="22" t="s">
        <v>8416</v>
      </c>
      <c r="E3034" s="23" t="str">
        <f>HYPERLINK("https://ifttt.com","IFTTT")</f>
        <v>IFTTT</v>
      </c>
      <c r="F3034" s="19">
        <v>42460.681226851855</v>
      </c>
      <c r="G3034" s="17" t="s">
        <v>13000</v>
      </c>
      <c r="H3034" s="35" t="s">
        <v>1169</v>
      </c>
      <c r="I3034" s="25" t="s">
        <v>5353</v>
      </c>
    </row>
    <row r="3035" spans="1:9" s="31" customFormat="1" ht="105">
      <c r="A3035" s="19">
        <v>43547.542326388888</v>
      </c>
      <c r="B3035" s="20" t="str">
        <f>HYPERLINK("https://twitter.com/villadelarosamz","@villadelarosamz")</f>
        <v>@villadelarosamz</v>
      </c>
      <c r="C3035" s="21" t="s">
        <v>1167</v>
      </c>
      <c r="D3035" s="22" t="s">
        <v>1168</v>
      </c>
      <c r="E3035" s="23" t="str">
        <f>HYPERLINK("https://www.hootsuite.com","Hootsuite Inc.")</f>
        <v>Hootsuite Inc.</v>
      </c>
      <c r="F3035" s="19">
        <v>42519.85774305556</v>
      </c>
      <c r="G3035" s="17" t="s">
        <v>13000</v>
      </c>
      <c r="H3035" s="35" t="s">
        <v>1169</v>
      </c>
      <c r="I3035" s="25" t="s">
        <v>1170</v>
      </c>
    </row>
    <row r="3036" spans="1:9" s="31" customFormat="1" ht="60">
      <c r="A3036" s="19">
        <v>43546.725162037037</v>
      </c>
      <c r="B3036" s="20" t="str">
        <f>HYPERLINK("https://twitter.com/crlrsnbm","@crlrsnbm")</f>
        <v>@crlrsnbm</v>
      </c>
      <c r="C3036" s="21" t="s">
        <v>8748</v>
      </c>
      <c r="D3036" s="22" t="s">
        <v>8749</v>
      </c>
      <c r="E3036" s="23" t="str">
        <f>HYPERLINK("http://twitter.com","Twitter Web Client")</f>
        <v>Twitter Web Client</v>
      </c>
      <c r="F3036" s="19">
        <v>43535.79414351852</v>
      </c>
      <c r="G3036" s="17" t="s">
        <v>13000</v>
      </c>
      <c r="H3036" s="35" t="s">
        <v>1169</v>
      </c>
      <c r="I3036" s="25" t="s">
        <v>8750</v>
      </c>
    </row>
    <row r="3037" spans="1:9" s="31" customFormat="1" ht="120">
      <c r="A3037" s="19">
        <v>43546.607395833329</v>
      </c>
      <c r="B3037" s="20" t="str">
        <f>HYPERLINK("https://twitter.com/theresa_robledo","@theresa_robledo")</f>
        <v>@theresa_robledo</v>
      </c>
      <c r="C3037" s="21" t="s">
        <v>8789</v>
      </c>
      <c r="D3037" s="22" t="s">
        <v>8790</v>
      </c>
      <c r="E3037" s="23" t="str">
        <f>HYPERLINK("https://ifttt.com","IFTTT")</f>
        <v>IFTTT</v>
      </c>
      <c r="F3037" s="19">
        <v>43080.728576388894</v>
      </c>
      <c r="G3037" s="17" t="s">
        <v>13000</v>
      </c>
      <c r="H3037" s="35" t="s">
        <v>1169</v>
      </c>
      <c r="I3037" s="25" t="s">
        <v>8791</v>
      </c>
    </row>
    <row r="3038" spans="1:9" s="31" customFormat="1" ht="105">
      <c r="A3038" s="19">
        <v>43544.50163194444</v>
      </c>
      <c r="B3038" s="20" t="str">
        <f>HYPERLINK("https://twitter.com/villadelarosamz","@villadelarosamz")</f>
        <v>@villadelarosamz</v>
      </c>
      <c r="C3038" s="21" t="s">
        <v>1167</v>
      </c>
      <c r="D3038" s="22" t="s">
        <v>1168</v>
      </c>
      <c r="E3038" s="23" t="str">
        <f>HYPERLINK("https://www.hootsuite.com","Hootsuite Inc.")</f>
        <v>Hootsuite Inc.</v>
      </c>
      <c r="F3038" s="19">
        <v>42519.85774305556</v>
      </c>
      <c r="G3038" s="17" t="s">
        <v>13000</v>
      </c>
      <c r="H3038" s="35" t="s">
        <v>1169</v>
      </c>
      <c r="I3038" s="25" t="s">
        <v>1170</v>
      </c>
    </row>
    <row r="3039" spans="1:9" s="31" customFormat="1" ht="45">
      <c r="A3039" s="19">
        <v>43544.075879629629</v>
      </c>
      <c r="B3039" s="20" t="str">
        <f>HYPERLINK("https://twitter.com/juliebabyar","@juliebabyar")</f>
        <v>@juliebabyar</v>
      </c>
      <c r="C3039" s="21" t="s">
        <v>6148</v>
      </c>
      <c r="D3039" s="22" t="s">
        <v>9625</v>
      </c>
      <c r="E3039" s="23" t="str">
        <f>HYPERLINK("http://twitter.com","Twitter Web Client")</f>
        <v>Twitter Web Client</v>
      </c>
      <c r="F3039" s="19">
        <v>41577.779907407406</v>
      </c>
      <c r="G3039" s="17" t="s">
        <v>13000</v>
      </c>
      <c r="H3039" s="35" t="s">
        <v>1169</v>
      </c>
      <c r="I3039" s="25" t="s">
        <v>6150</v>
      </c>
    </row>
    <row r="3040" spans="1:9" s="31" customFormat="1" ht="105">
      <c r="A3040" s="19">
        <v>43543.292719907404</v>
      </c>
      <c r="B3040" s="20" t="str">
        <f>HYPERLINK("https://twitter.com/villadelarosamz","@villadelarosamz")</f>
        <v>@villadelarosamz</v>
      </c>
      <c r="C3040" s="21" t="s">
        <v>1167</v>
      </c>
      <c r="D3040" s="22" t="s">
        <v>1168</v>
      </c>
      <c r="E3040" s="23" t="str">
        <f>HYPERLINK("https://www.hootsuite.com","Hootsuite Inc.")</f>
        <v>Hootsuite Inc.</v>
      </c>
      <c r="F3040" s="19">
        <v>42519.85774305556</v>
      </c>
      <c r="G3040" s="17" t="s">
        <v>13000</v>
      </c>
      <c r="H3040" s="35" t="s">
        <v>1169</v>
      </c>
      <c r="I3040" s="25" t="s">
        <v>1170</v>
      </c>
    </row>
    <row r="3041" spans="1:9" s="31" customFormat="1" ht="60">
      <c r="A3041" s="4">
        <v>43565.566157407404</v>
      </c>
      <c r="B3041" s="5" t="str">
        <f>HYPERLINK("https://twitter.com/sdchef2013","@sdchef2013")</f>
        <v>@sdchef2013</v>
      </c>
      <c r="C3041" s="6" t="s">
        <v>6022</v>
      </c>
      <c r="D3041" s="7" t="s">
        <v>6023</v>
      </c>
      <c r="E3041" s="8" t="str">
        <f>HYPERLINK("http://twitter.com/download/android","Twitter for Android")</f>
        <v>Twitter for Android</v>
      </c>
      <c r="F3041" s="4">
        <v>39870.465787037036</v>
      </c>
      <c r="G3041" s="17" t="s">
        <v>13000</v>
      </c>
      <c r="H3041" s="35" t="s">
        <v>1169</v>
      </c>
      <c r="I3041" s="10" t="s">
        <v>6024</v>
      </c>
    </row>
    <row r="3042" spans="1:9" s="31" customFormat="1" ht="45">
      <c r="A3042" s="4">
        <v>43565.439363425925</v>
      </c>
      <c r="B3042" s="5" t="str">
        <f>HYPERLINK("https://twitter.com/HomeyHawaii","@HomeyHawaii")</f>
        <v>@HomeyHawaii</v>
      </c>
      <c r="C3042" s="6" t="s">
        <v>6088</v>
      </c>
      <c r="D3042" s="7" t="s">
        <v>6089</v>
      </c>
      <c r="E3042" s="8" t="str">
        <f>HYPERLINK("https://buffer.com","Buffer")</f>
        <v>Buffer</v>
      </c>
      <c r="F3042" s="4">
        <v>43012.498541666668</v>
      </c>
      <c r="G3042" s="17" t="s">
        <v>13000</v>
      </c>
      <c r="H3042" s="35" t="s">
        <v>1169</v>
      </c>
      <c r="I3042" s="10" t="s">
        <v>6090</v>
      </c>
    </row>
    <row r="3043" spans="1:9" s="31" customFormat="1" ht="120">
      <c r="A3043" s="4">
        <v>43565.395416666666</v>
      </c>
      <c r="B3043" s="5" t="str">
        <f>HYPERLINK("https://twitter.com/paulzak","@paulzak")</f>
        <v>@paulzak</v>
      </c>
      <c r="C3043" s="6" t="s">
        <v>6119</v>
      </c>
      <c r="D3043" s="7" t="s">
        <v>6120</v>
      </c>
      <c r="E3043" s="8" t="str">
        <f>HYPERLINK("http://twitter.com/download/android","Twitter for Android")</f>
        <v>Twitter for Android</v>
      </c>
      <c r="F3043" s="4">
        <v>39984.594131944446</v>
      </c>
      <c r="G3043" s="17" t="s">
        <v>13000</v>
      </c>
      <c r="H3043" s="35" t="s">
        <v>1169</v>
      </c>
      <c r="I3043" s="10"/>
    </row>
    <row r="3044" spans="1:9" s="31" customFormat="1" ht="60">
      <c r="A3044" s="4">
        <v>43565.348865740743</v>
      </c>
      <c r="B3044" s="5" t="str">
        <f>HYPERLINK("https://twitter.com/juliebabyar","@juliebabyar")</f>
        <v>@juliebabyar</v>
      </c>
      <c r="C3044" s="6" t="s">
        <v>6148</v>
      </c>
      <c r="D3044" s="7" t="s">
        <v>6149</v>
      </c>
      <c r="E3044" s="8" t="str">
        <f>HYPERLINK("http://twitter.com/download/android","Twitter for Android")</f>
        <v>Twitter for Android</v>
      </c>
      <c r="F3044" s="4">
        <v>41577.779907407406</v>
      </c>
      <c r="G3044" s="17" t="s">
        <v>13000</v>
      </c>
      <c r="H3044" s="35" t="s">
        <v>1169</v>
      </c>
      <c r="I3044" s="10" t="s">
        <v>6150</v>
      </c>
    </row>
    <row r="3045" spans="1:9" s="31" customFormat="1" ht="75">
      <c r="A3045" s="4">
        <v>43564.582974537036</v>
      </c>
      <c r="B3045" s="5" t="str">
        <f>HYPERLINK("https://twitter.com/juliebabyar","@juliebabyar")</f>
        <v>@juliebabyar</v>
      </c>
      <c r="C3045" s="6" t="s">
        <v>6148</v>
      </c>
      <c r="D3045" s="7" t="s">
        <v>6536</v>
      </c>
      <c r="E3045" s="8" t="str">
        <f>HYPERLINK("http://twitter.com/download/android","Twitter for Android")</f>
        <v>Twitter for Android</v>
      </c>
      <c r="F3045" s="4">
        <v>41577.779907407406</v>
      </c>
      <c r="G3045" s="17" t="s">
        <v>13000</v>
      </c>
      <c r="H3045" s="35" t="s">
        <v>1169</v>
      </c>
      <c r="I3045" s="10" t="s">
        <v>6150</v>
      </c>
    </row>
    <row r="3046" spans="1:9" s="31" customFormat="1" ht="60">
      <c r="A3046" s="4">
        <v>43562.676180555558</v>
      </c>
      <c r="B3046" s="5" t="str">
        <f>HYPERLINK("https://twitter.com/MercyMontelongo","@MercyMontelongo")</f>
        <v>@MercyMontelongo</v>
      </c>
      <c r="C3046" s="6" t="s">
        <v>10612</v>
      </c>
      <c r="D3046" s="7" t="s">
        <v>10613</v>
      </c>
      <c r="E3046" s="8" t="str">
        <f>HYPERLINK("http://twitter.com/download/iphone","Twitter for iPhone")</f>
        <v>Twitter for iPhone</v>
      </c>
      <c r="F3046" s="4">
        <v>39804.838773148149</v>
      </c>
      <c r="G3046" s="17" t="s">
        <v>13000</v>
      </c>
      <c r="H3046" s="35" t="s">
        <v>10614</v>
      </c>
      <c r="I3046" s="10" t="s">
        <v>10615</v>
      </c>
    </row>
    <row r="3047" spans="1:9" s="31" customFormat="1" ht="60">
      <c r="A3047" s="4">
        <v>43562.642754629633</v>
      </c>
      <c r="B3047" s="5" t="str">
        <f>HYPERLINK("https://twitter.com/juliebabyar","@juliebabyar")</f>
        <v>@juliebabyar</v>
      </c>
      <c r="C3047" s="6" t="s">
        <v>6148</v>
      </c>
      <c r="D3047" s="7" t="s">
        <v>10631</v>
      </c>
      <c r="E3047" s="8" t="str">
        <f>HYPERLINK("http://twitter.com/download/android","Twitter for Android")</f>
        <v>Twitter for Android</v>
      </c>
      <c r="F3047" s="4">
        <v>41577.779907407406</v>
      </c>
      <c r="G3047" s="17" t="s">
        <v>13000</v>
      </c>
      <c r="H3047" s="35" t="s">
        <v>1169</v>
      </c>
      <c r="I3047" s="10" t="s">
        <v>6150</v>
      </c>
    </row>
    <row r="3048" spans="1:9" s="31" customFormat="1" ht="90">
      <c r="A3048" s="4">
        <v>43562.572488425925</v>
      </c>
      <c r="B3048" s="5" t="str">
        <f>HYPERLINK("https://twitter.com/ToddWilkerson35","@ToddWilkerson35")</f>
        <v>@ToddWilkerson35</v>
      </c>
      <c r="C3048" s="6" t="s">
        <v>10648</v>
      </c>
      <c r="D3048" s="7" t="s">
        <v>10649</v>
      </c>
      <c r="E3048" s="8" t="str">
        <f>HYPERLINK("http://twitter.com","Twitter Web Client")</f>
        <v>Twitter Web Client</v>
      </c>
      <c r="F3048" s="4">
        <v>43066.662465277783</v>
      </c>
      <c r="G3048" s="17" t="s">
        <v>13000</v>
      </c>
      <c r="H3048" s="35" t="s">
        <v>1169</v>
      </c>
      <c r="I3048" s="10" t="s">
        <v>10650</v>
      </c>
    </row>
    <row r="3049" spans="1:9" s="31" customFormat="1" ht="60">
      <c r="A3049" s="4">
        <v>43561.584039351852</v>
      </c>
      <c r="B3049" s="5" t="str">
        <f>HYPERLINK("https://twitter.com/fundmelending","@fundmelending")</f>
        <v>@fundmelending</v>
      </c>
      <c r="C3049" s="6" t="s">
        <v>10927</v>
      </c>
      <c r="D3049" s="7" t="s">
        <v>502</v>
      </c>
      <c r="E3049" s="8" t="str">
        <f>HYPERLINK("https://buffer.com","Buffer")</f>
        <v>Buffer</v>
      </c>
      <c r="F3049" s="4">
        <v>43504.595879629633</v>
      </c>
      <c r="G3049" s="17" t="s">
        <v>13000</v>
      </c>
      <c r="H3049" s="35" t="s">
        <v>1169</v>
      </c>
      <c r="I3049" s="10" t="s">
        <v>10928</v>
      </c>
    </row>
    <row r="3050" spans="1:9" s="31" customFormat="1" ht="105">
      <c r="A3050" s="4">
        <v>43561.500810185185</v>
      </c>
      <c r="B3050" s="5" t="str">
        <f>HYPERLINK("https://twitter.com/villadelarosamz","@villadelarosamz")</f>
        <v>@villadelarosamz</v>
      </c>
      <c r="C3050" s="6" t="s">
        <v>1167</v>
      </c>
      <c r="D3050" s="7" t="s">
        <v>1168</v>
      </c>
      <c r="E3050" s="8" t="str">
        <f>HYPERLINK("https://www.hootsuite.com","Hootsuite Inc.")</f>
        <v>Hootsuite Inc.</v>
      </c>
      <c r="F3050" s="4">
        <v>42519.85774305556</v>
      </c>
      <c r="G3050" s="17" t="s">
        <v>13000</v>
      </c>
      <c r="H3050" s="35" t="s">
        <v>1169</v>
      </c>
      <c r="I3050" s="10" t="s">
        <v>1170</v>
      </c>
    </row>
    <row r="3051" spans="1:9" s="31" customFormat="1" ht="75">
      <c r="A3051" s="4">
        <v>43560.714224537034</v>
      </c>
      <c r="B3051" s="5" t="str">
        <f>HYPERLINK("https://twitter.com/juliebabyar","@juliebabyar")</f>
        <v>@juliebabyar</v>
      </c>
      <c r="C3051" s="6" t="s">
        <v>6148</v>
      </c>
      <c r="D3051" s="7" t="s">
        <v>11215</v>
      </c>
      <c r="E3051" s="8" t="str">
        <f>HYPERLINK("http://twitter.com/download/android","Twitter for Android")</f>
        <v>Twitter for Android</v>
      </c>
      <c r="F3051" s="4">
        <v>41577.779907407406</v>
      </c>
      <c r="G3051" s="17" t="s">
        <v>13000</v>
      </c>
      <c r="H3051" s="35" t="s">
        <v>1169</v>
      </c>
      <c r="I3051" s="10" t="s">
        <v>6150</v>
      </c>
    </row>
    <row r="3052" spans="1:9" s="31" customFormat="1" ht="45">
      <c r="A3052" s="4">
        <v>43560.348113425927</v>
      </c>
      <c r="B3052" s="5" t="str">
        <f>HYPERLINK("https://twitter.com/bestbankoption","@bestbankoption")</f>
        <v>@bestbankoption</v>
      </c>
      <c r="C3052" s="6" t="s">
        <v>11436</v>
      </c>
      <c r="D3052" s="7" t="s">
        <v>11437</v>
      </c>
      <c r="E3052" s="8" t="str">
        <f>HYPERLINK("http://twitter.com/download/iphone","Twitter for iPhone")</f>
        <v>Twitter for iPhone</v>
      </c>
      <c r="F3052" s="4">
        <v>41556.967175925922</v>
      </c>
      <c r="G3052" s="17" t="s">
        <v>13000</v>
      </c>
      <c r="H3052" s="35" t="s">
        <v>1169</v>
      </c>
      <c r="I3052" s="10" t="s">
        <v>11438</v>
      </c>
    </row>
    <row r="3053" spans="1:9" s="31" customFormat="1" ht="105">
      <c r="A3053" s="4">
        <v>43559.501319444447</v>
      </c>
      <c r="B3053" s="5" t="str">
        <f>HYPERLINK("https://twitter.com/villadelarosamz","@villadelarosamz")</f>
        <v>@villadelarosamz</v>
      </c>
      <c r="C3053" s="6" t="s">
        <v>1167</v>
      </c>
      <c r="D3053" s="7" t="s">
        <v>1168</v>
      </c>
      <c r="E3053" s="8" t="str">
        <f>HYPERLINK("https://www.hootsuite.com","Hootsuite Inc.")</f>
        <v>Hootsuite Inc.</v>
      </c>
      <c r="F3053" s="4">
        <v>42519.85774305556</v>
      </c>
      <c r="G3053" s="17" t="s">
        <v>13000</v>
      </c>
      <c r="H3053" s="35" t="s">
        <v>1169</v>
      </c>
      <c r="I3053" s="10" t="s">
        <v>1170</v>
      </c>
    </row>
    <row r="3054" spans="1:9" s="31" customFormat="1" ht="75">
      <c r="A3054" s="4">
        <v>43558.636793981481</v>
      </c>
      <c r="B3054" s="5" t="str">
        <f>HYPERLINK("https://twitter.com/juliebabyar","@juliebabyar")</f>
        <v>@juliebabyar</v>
      </c>
      <c r="C3054" s="6" t="s">
        <v>6148</v>
      </c>
      <c r="D3054" s="7" t="s">
        <v>12095</v>
      </c>
      <c r="E3054" s="8" t="str">
        <f>HYPERLINK("http://twitter.com/download/android","Twitter for Android")</f>
        <v>Twitter for Android</v>
      </c>
      <c r="F3054" s="4">
        <v>41577.779907407406</v>
      </c>
      <c r="G3054" s="17" t="s">
        <v>13000</v>
      </c>
      <c r="H3054" s="35" t="s">
        <v>1169</v>
      </c>
      <c r="I3054" s="10" t="s">
        <v>6150</v>
      </c>
    </row>
    <row r="3055" spans="1:9" s="31" customFormat="1" ht="90">
      <c r="A3055" s="4">
        <v>43558.08494212963</v>
      </c>
      <c r="B3055" s="5" t="str">
        <f>HYPERLINK("https://twitter.com/RichardHardigan","@RichardHardigan")</f>
        <v>@RichardHardigan</v>
      </c>
      <c r="C3055" s="6" t="s">
        <v>5351</v>
      </c>
      <c r="D3055" s="7" t="s">
        <v>12330</v>
      </c>
      <c r="E3055" s="8" t="str">
        <f>HYPERLINK("https://ifttt.com","IFTTT")</f>
        <v>IFTTT</v>
      </c>
      <c r="F3055" s="4">
        <v>42460.681226851855</v>
      </c>
      <c r="G3055" s="17" t="s">
        <v>13000</v>
      </c>
      <c r="H3055" s="35" t="s">
        <v>1169</v>
      </c>
      <c r="I3055" s="10" t="s">
        <v>5353</v>
      </c>
    </row>
    <row r="3056" spans="1:9" s="31" customFormat="1" ht="30">
      <c r="A3056" s="4">
        <v>43557.715810185182</v>
      </c>
      <c r="B3056" s="5" t="str">
        <f>HYPERLINK("https://twitter.com/containerly","@containerly")</f>
        <v>@containerly</v>
      </c>
      <c r="C3056" s="6" t="s">
        <v>12406</v>
      </c>
      <c r="D3056" s="7" t="s">
        <v>12407</v>
      </c>
      <c r="E3056" s="8" t="str">
        <f>HYPERLINK("http://twitter.com","Twitter Web Client")</f>
        <v>Twitter Web Client</v>
      </c>
      <c r="F3056" s="4">
        <v>43470.450613425928</v>
      </c>
      <c r="G3056" s="17" t="s">
        <v>13000</v>
      </c>
      <c r="H3056" s="35" t="s">
        <v>1169</v>
      </c>
      <c r="I3056" s="10" t="s">
        <v>12408</v>
      </c>
    </row>
    <row r="3057" spans="1:9" s="31" customFormat="1" ht="105">
      <c r="A3057" s="4">
        <v>43557.418368055558</v>
      </c>
      <c r="B3057" s="5" t="str">
        <f t="shared" ref="B3057:B3062" si="130">HYPERLINK("https://twitter.com/villadelarosamz","@villadelarosamz")</f>
        <v>@villadelarosamz</v>
      </c>
      <c r="C3057" s="6" t="s">
        <v>1167</v>
      </c>
      <c r="D3057" s="7" t="s">
        <v>1168</v>
      </c>
      <c r="E3057" s="8" t="str">
        <f t="shared" ref="E3057:E3062" si="131">HYPERLINK("https://www.hootsuite.com","Hootsuite Inc.")</f>
        <v>Hootsuite Inc.</v>
      </c>
      <c r="F3057" s="4">
        <v>42519.85774305556</v>
      </c>
      <c r="G3057" s="17" t="s">
        <v>13000</v>
      </c>
      <c r="H3057" s="35" t="s">
        <v>1169</v>
      </c>
      <c r="I3057" s="10" t="s">
        <v>1170</v>
      </c>
    </row>
    <row r="3058" spans="1:9" s="31" customFormat="1" ht="105">
      <c r="A3058" s="12">
        <v>43578.503657407404</v>
      </c>
      <c r="B3058" s="13" t="str">
        <f t="shared" si="130"/>
        <v>@villadelarosamz</v>
      </c>
      <c r="C3058" s="14" t="s">
        <v>1167</v>
      </c>
      <c r="D3058" s="15" t="s">
        <v>1168</v>
      </c>
      <c r="E3058" s="16" t="str">
        <f t="shared" si="131"/>
        <v>Hootsuite Inc.</v>
      </c>
      <c r="F3058" s="12">
        <v>42519.85774305556</v>
      </c>
      <c r="G3058" s="17" t="s">
        <v>13000</v>
      </c>
      <c r="H3058" s="35" t="s">
        <v>1169</v>
      </c>
      <c r="I3058" s="18" t="s">
        <v>1170</v>
      </c>
    </row>
    <row r="3059" spans="1:9" s="31" customFormat="1" ht="105">
      <c r="A3059" s="12">
        <v>43577.503657407404</v>
      </c>
      <c r="B3059" s="13" t="str">
        <f t="shared" si="130"/>
        <v>@villadelarosamz</v>
      </c>
      <c r="C3059" s="14" t="s">
        <v>1167</v>
      </c>
      <c r="D3059" s="15" t="s">
        <v>1168</v>
      </c>
      <c r="E3059" s="16" t="str">
        <f t="shared" si="131"/>
        <v>Hootsuite Inc.</v>
      </c>
      <c r="F3059" s="12">
        <v>42519.85774305556</v>
      </c>
      <c r="G3059" s="17" t="s">
        <v>13000</v>
      </c>
      <c r="H3059" s="35" t="s">
        <v>1169</v>
      </c>
      <c r="I3059" s="18" t="s">
        <v>1170</v>
      </c>
    </row>
    <row r="3060" spans="1:9" s="31" customFormat="1" ht="105">
      <c r="A3060" s="12">
        <v>43576.503564814819</v>
      </c>
      <c r="B3060" s="13" t="str">
        <f t="shared" si="130"/>
        <v>@villadelarosamz</v>
      </c>
      <c r="C3060" s="14" t="s">
        <v>1167</v>
      </c>
      <c r="D3060" s="15" t="s">
        <v>1168</v>
      </c>
      <c r="E3060" s="16" t="str">
        <f t="shared" si="131"/>
        <v>Hootsuite Inc.</v>
      </c>
      <c r="F3060" s="12">
        <v>42519.85774305556</v>
      </c>
      <c r="G3060" s="17" t="s">
        <v>13000</v>
      </c>
      <c r="H3060" s="35" t="s">
        <v>1169</v>
      </c>
      <c r="I3060" s="18" t="s">
        <v>1170</v>
      </c>
    </row>
    <row r="3061" spans="1:9" s="31" customFormat="1" ht="105">
      <c r="A3061" s="12">
        <v>43575.503599537042</v>
      </c>
      <c r="B3061" s="13" t="str">
        <f t="shared" si="130"/>
        <v>@villadelarosamz</v>
      </c>
      <c r="C3061" s="14" t="s">
        <v>1167</v>
      </c>
      <c r="D3061" s="15" t="s">
        <v>1168</v>
      </c>
      <c r="E3061" s="16" t="str">
        <f t="shared" si="131"/>
        <v>Hootsuite Inc.</v>
      </c>
      <c r="F3061" s="12">
        <v>42519.85774305556</v>
      </c>
      <c r="G3061" s="17" t="s">
        <v>13000</v>
      </c>
      <c r="H3061" s="35" t="s">
        <v>1169</v>
      </c>
      <c r="I3061" s="18" t="s">
        <v>1170</v>
      </c>
    </row>
    <row r="3062" spans="1:9" s="31" customFormat="1" ht="105">
      <c r="A3062" s="12">
        <v>43574.503657407404</v>
      </c>
      <c r="B3062" s="13" t="str">
        <f t="shared" si="130"/>
        <v>@villadelarosamz</v>
      </c>
      <c r="C3062" s="14" t="s">
        <v>1167</v>
      </c>
      <c r="D3062" s="15" t="s">
        <v>1168</v>
      </c>
      <c r="E3062" s="16" t="str">
        <f t="shared" si="131"/>
        <v>Hootsuite Inc.</v>
      </c>
      <c r="F3062" s="12">
        <v>42519.85774305556</v>
      </c>
      <c r="G3062" s="17" t="s">
        <v>13000</v>
      </c>
      <c r="H3062" s="35" t="s">
        <v>1169</v>
      </c>
      <c r="I3062" s="18" t="s">
        <v>1170</v>
      </c>
    </row>
    <row r="3063" spans="1:9" s="31" customFormat="1" ht="90">
      <c r="A3063" s="12">
        <v>43574.349733796298</v>
      </c>
      <c r="B3063" s="13" t="str">
        <f>HYPERLINK("https://twitter.com/jAyhawK_ArtGirl","@jAyhawK_ArtGirl")</f>
        <v>@jAyhawK_ArtGirl</v>
      </c>
      <c r="C3063" s="14" t="s">
        <v>2583</v>
      </c>
      <c r="D3063" s="15" t="s">
        <v>2584</v>
      </c>
      <c r="E3063" s="16" t="str">
        <f>HYPERLINK("http://instagram.com","Instagram")</f>
        <v>Instagram</v>
      </c>
      <c r="F3063" s="12">
        <v>40790.771226851852</v>
      </c>
      <c r="G3063" s="17" t="s">
        <v>13000</v>
      </c>
      <c r="H3063" s="35" t="s">
        <v>1169</v>
      </c>
      <c r="I3063" s="18" t="s">
        <v>2585</v>
      </c>
    </row>
    <row r="3064" spans="1:9" s="31" customFormat="1" ht="105">
      <c r="A3064" s="12">
        <v>43573.63381944444</v>
      </c>
      <c r="B3064" s="13" t="str">
        <f>HYPERLINK("https://twitter.com/msrosesong","@msrosesong")</f>
        <v>@msrosesong</v>
      </c>
      <c r="C3064" s="14" t="s">
        <v>2798</v>
      </c>
      <c r="D3064" s="15" t="s">
        <v>2799</v>
      </c>
      <c r="E3064" s="16" t="str">
        <f>HYPERLINK("http://twitter.com/download/android","Twitter for Android")</f>
        <v>Twitter for Android</v>
      </c>
      <c r="F3064" s="12">
        <v>40035.758692129632</v>
      </c>
      <c r="G3064" s="17" t="s">
        <v>13000</v>
      </c>
      <c r="H3064" s="35" t="s">
        <v>1169</v>
      </c>
      <c r="I3064" s="18" t="s">
        <v>2800</v>
      </c>
    </row>
    <row r="3065" spans="1:9" s="31" customFormat="1" ht="105">
      <c r="A3065" s="12">
        <v>43573.503703703704</v>
      </c>
      <c r="B3065" s="13" t="str">
        <f>HYPERLINK("https://twitter.com/villadelarosamz","@villadelarosamz")</f>
        <v>@villadelarosamz</v>
      </c>
      <c r="C3065" s="14" t="s">
        <v>1167</v>
      </c>
      <c r="D3065" s="15" t="s">
        <v>1168</v>
      </c>
      <c r="E3065" s="16" t="str">
        <f>HYPERLINK("https://www.hootsuite.com","Hootsuite Inc.")</f>
        <v>Hootsuite Inc.</v>
      </c>
      <c r="F3065" s="12">
        <v>42519.85774305556</v>
      </c>
      <c r="G3065" s="17" t="s">
        <v>13000</v>
      </c>
      <c r="H3065" s="35" t="s">
        <v>1169</v>
      </c>
      <c r="I3065" s="18" t="s">
        <v>1170</v>
      </c>
    </row>
    <row r="3066" spans="1:9" s="31" customFormat="1" ht="105">
      <c r="A3066" s="12">
        <v>43572.503668981481</v>
      </c>
      <c r="B3066" s="13" t="str">
        <f>HYPERLINK("https://twitter.com/villadelarosamz","@villadelarosamz")</f>
        <v>@villadelarosamz</v>
      </c>
      <c r="C3066" s="14" t="s">
        <v>1167</v>
      </c>
      <c r="D3066" s="15" t="s">
        <v>1168</v>
      </c>
      <c r="E3066" s="16" t="str">
        <f>HYPERLINK("https://www.hootsuite.com","Hootsuite Inc.")</f>
        <v>Hootsuite Inc.</v>
      </c>
      <c r="F3066" s="12">
        <v>42519.85774305556</v>
      </c>
      <c r="G3066" s="17" t="s">
        <v>13000</v>
      </c>
      <c r="H3066" s="35" t="s">
        <v>1169</v>
      </c>
      <c r="I3066" s="18" t="s">
        <v>1170</v>
      </c>
    </row>
    <row r="3067" spans="1:9" s="31" customFormat="1" ht="105">
      <c r="A3067" s="12">
        <v>43571.503680555557</v>
      </c>
      <c r="B3067" s="13" t="str">
        <f>HYPERLINK("https://twitter.com/villadelarosamz","@villadelarosamz")</f>
        <v>@villadelarosamz</v>
      </c>
      <c r="C3067" s="14" t="s">
        <v>1167</v>
      </c>
      <c r="D3067" s="15" t="s">
        <v>1168</v>
      </c>
      <c r="E3067" s="16" t="str">
        <f>HYPERLINK("https://www.hootsuite.com","Hootsuite Inc.")</f>
        <v>Hootsuite Inc.</v>
      </c>
      <c r="F3067" s="12">
        <v>42519.85774305556</v>
      </c>
      <c r="G3067" s="17" t="s">
        <v>13000</v>
      </c>
      <c r="H3067" s="35" t="s">
        <v>1169</v>
      </c>
      <c r="I3067" s="18" t="s">
        <v>1170</v>
      </c>
    </row>
    <row r="3068" spans="1:9" s="31" customFormat="1" ht="105">
      <c r="A3068" s="12">
        <v>43571.321504629625</v>
      </c>
      <c r="B3068" s="13" t="str">
        <f>HYPERLINK("https://twitter.com/meetmissamaya","@meetmissamaya")</f>
        <v>@meetmissamaya</v>
      </c>
      <c r="C3068" s="14" t="s">
        <v>3735</v>
      </c>
      <c r="D3068" s="15" t="s">
        <v>3736</v>
      </c>
      <c r="E3068" s="16" t="str">
        <f>HYPERLINK("http://twitter.com/download/iphone","Twitter for iPhone")</f>
        <v>Twitter for iPhone</v>
      </c>
      <c r="F3068" s="12">
        <v>42883.278321759259</v>
      </c>
      <c r="G3068" s="17" t="s">
        <v>13000</v>
      </c>
      <c r="H3068" s="35" t="s">
        <v>1169</v>
      </c>
      <c r="I3068" s="18" t="s">
        <v>3737</v>
      </c>
    </row>
    <row r="3069" spans="1:9" s="31" customFormat="1" ht="105">
      <c r="A3069" s="12">
        <v>43570.503657407404</v>
      </c>
      <c r="B3069" s="13" t="str">
        <f>HYPERLINK("https://twitter.com/villadelarosamz","@villadelarosamz")</f>
        <v>@villadelarosamz</v>
      </c>
      <c r="C3069" s="14" t="s">
        <v>1167</v>
      </c>
      <c r="D3069" s="15" t="s">
        <v>1168</v>
      </c>
      <c r="E3069" s="16" t="str">
        <f>HYPERLINK("https://www.hootsuite.com","Hootsuite Inc.")</f>
        <v>Hootsuite Inc.</v>
      </c>
      <c r="F3069" s="12">
        <v>42519.85774305556</v>
      </c>
      <c r="G3069" s="17" t="s">
        <v>13000</v>
      </c>
      <c r="H3069" s="35" t="s">
        <v>1169</v>
      </c>
      <c r="I3069" s="18" t="s">
        <v>1170</v>
      </c>
    </row>
    <row r="3070" spans="1:9" s="31" customFormat="1" ht="105">
      <c r="A3070" s="12">
        <v>43569.503564814819</v>
      </c>
      <c r="B3070" s="13" t="str">
        <f>HYPERLINK("https://twitter.com/villadelarosamz","@villadelarosamz")</f>
        <v>@villadelarosamz</v>
      </c>
      <c r="C3070" s="14" t="s">
        <v>1167</v>
      </c>
      <c r="D3070" s="15" t="s">
        <v>1168</v>
      </c>
      <c r="E3070" s="16" t="str">
        <f>HYPERLINK("https://www.hootsuite.com","Hootsuite Inc.")</f>
        <v>Hootsuite Inc.</v>
      </c>
      <c r="F3070" s="12">
        <v>42519.85774305556</v>
      </c>
      <c r="G3070" s="17" t="s">
        <v>13000</v>
      </c>
      <c r="H3070" s="35" t="s">
        <v>1169</v>
      </c>
      <c r="I3070" s="18" t="s">
        <v>1170</v>
      </c>
    </row>
    <row r="3071" spans="1:9" s="31" customFormat="1" ht="105">
      <c r="A3071" s="12">
        <v>43568.498055555552</v>
      </c>
      <c r="B3071" s="13" t="str">
        <f>HYPERLINK("https://twitter.com/villadelarosamz","@villadelarosamz")</f>
        <v>@villadelarosamz</v>
      </c>
      <c r="C3071" s="14" t="s">
        <v>1167</v>
      </c>
      <c r="D3071" s="15" t="s">
        <v>1168</v>
      </c>
      <c r="E3071" s="16" t="str">
        <f>HYPERLINK("https://www.hootsuite.com","Hootsuite Inc.")</f>
        <v>Hootsuite Inc.</v>
      </c>
      <c r="F3071" s="12">
        <v>42519.85774305556</v>
      </c>
      <c r="G3071" s="17" t="s">
        <v>13000</v>
      </c>
      <c r="H3071" s="35" t="s">
        <v>1169</v>
      </c>
      <c r="I3071" s="18" t="s">
        <v>1170</v>
      </c>
    </row>
    <row r="3072" spans="1:9" s="31" customFormat="1" ht="90">
      <c r="A3072" s="12">
        <v>43566.753101851849</v>
      </c>
      <c r="B3072" s="13" t="str">
        <f>HYPERLINK("https://twitter.com/RichardHardigan","@RichardHardigan")</f>
        <v>@RichardHardigan</v>
      </c>
      <c r="C3072" s="14" t="s">
        <v>5351</v>
      </c>
      <c r="D3072" s="15" t="s">
        <v>5352</v>
      </c>
      <c r="E3072" s="16" t="str">
        <f>HYPERLINK("https://ifttt.com","IFTTT")</f>
        <v>IFTTT</v>
      </c>
      <c r="F3072" s="12">
        <v>42460.681226851855</v>
      </c>
      <c r="G3072" s="17" t="s">
        <v>13000</v>
      </c>
      <c r="H3072" s="35" t="s">
        <v>1169</v>
      </c>
      <c r="I3072" s="18" t="s">
        <v>5353</v>
      </c>
    </row>
    <row r="3073" spans="1:9" s="31" customFormat="1" ht="75">
      <c r="A3073" s="12">
        <v>43565.853969907403</v>
      </c>
      <c r="B3073" s="13" t="str">
        <f>HYPERLINK("https://twitter.com/resolvingdust","@resolvingdust")</f>
        <v>@resolvingdust</v>
      </c>
      <c r="C3073" s="14" t="s">
        <v>5873</v>
      </c>
      <c r="D3073" s="15" t="s">
        <v>5874</v>
      </c>
      <c r="E3073" s="16" t="str">
        <f>HYPERLINK("http://twitter.com/download/android","Twitter for Android")</f>
        <v>Twitter for Android</v>
      </c>
      <c r="F3073" s="12">
        <v>42234.584513888884</v>
      </c>
      <c r="G3073" s="17" t="s">
        <v>13000</v>
      </c>
      <c r="H3073" s="35" t="s">
        <v>1169</v>
      </c>
      <c r="I3073" s="18" t="s">
        <v>5875</v>
      </c>
    </row>
    <row r="3074" spans="1:9" s="31" customFormat="1" ht="60">
      <c r="A3074" s="12">
        <v>43565.333240740743</v>
      </c>
      <c r="B3074" s="13" t="str">
        <f>HYPERLINK("https://twitter.com/Beverly61707668","@Beverly61707668")</f>
        <v>@Beverly61707668</v>
      </c>
      <c r="C3074" s="14" t="s">
        <v>6165</v>
      </c>
      <c r="D3074" s="15" t="s">
        <v>6166</v>
      </c>
      <c r="E3074" s="16" t="str">
        <f>HYPERLINK("http://www.linkedin.com/","LinkedIn")</f>
        <v>LinkedIn</v>
      </c>
      <c r="F3074" s="12">
        <v>43447.472546296296</v>
      </c>
      <c r="G3074" s="17" t="s">
        <v>13000</v>
      </c>
      <c r="H3074" s="35" t="s">
        <v>1169</v>
      </c>
      <c r="I3074" s="18" t="s">
        <v>6167</v>
      </c>
    </row>
    <row r="3075" spans="1:9" s="31" customFormat="1" ht="90">
      <c r="A3075" s="19">
        <v>43544.622129629628</v>
      </c>
      <c r="B3075" s="20" t="str">
        <f>HYPERLINK("https://twitter.com/homeserviceapp","@homeserviceapp")</f>
        <v>@homeserviceapp</v>
      </c>
      <c r="C3075" s="21" t="s">
        <v>775</v>
      </c>
      <c r="D3075" s="22" t="s">
        <v>9388</v>
      </c>
      <c r="E3075" s="23" t="str">
        <f>HYPERLINK("http://twitter.com","Twitter Web Client")</f>
        <v>Twitter Web Client</v>
      </c>
      <c r="F3075" s="19">
        <v>43309.233981481477</v>
      </c>
      <c r="G3075" s="24" t="s">
        <v>13000</v>
      </c>
      <c r="H3075" s="35" t="s">
        <v>777</v>
      </c>
      <c r="I3075" s="25" t="s">
        <v>778</v>
      </c>
    </row>
    <row r="3076" spans="1:9" s="31" customFormat="1" ht="105">
      <c r="A3076" s="12">
        <v>43579.314282407402</v>
      </c>
      <c r="B3076" s="13" t="str">
        <f>HYPERLINK("https://twitter.com/homeserviceapp","@homeserviceapp")</f>
        <v>@homeserviceapp</v>
      </c>
      <c r="C3076" s="14" t="s">
        <v>775</v>
      </c>
      <c r="D3076" s="15" t="s">
        <v>776</v>
      </c>
      <c r="E3076" s="16" t="str">
        <f>HYPERLINK("http://twitter.com","Twitter Web Client")</f>
        <v>Twitter Web Client</v>
      </c>
      <c r="F3076" s="12">
        <v>43309.233981481477</v>
      </c>
      <c r="G3076" s="24" t="s">
        <v>13000</v>
      </c>
      <c r="H3076" s="35" t="s">
        <v>777</v>
      </c>
      <c r="I3076" s="18" t="s">
        <v>778</v>
      </c>
    </row>
    <row r="3077" spans="1:9" s="31" customFormat="1" ht="105">
      <c r="A3077" s="12">
        <v>43578.325312500005</v>
      </c>
      <c r="B3077" s="13" t="str">
        <f>HYPERLINK("https://twitter.com/homeserviceapp","@homeserviceapp")</f>
        <v>@homeserviceapp</v>
      </c>
      <c r="C3077" s="14" t="s">
        <v>775</v>
      </c>
      <c r="D3077" s="15" t="s">
        <v>1287</v>
      </c>
      <c r="E3077" s="16" t="str">
        <f>HYPERLINK("http://twitter.com","Twitter Web Client")</f>
        <v>Twitter Web Client</v>
      </c>
      <c r="F3077" s="12">
        <v>43309.233981481477</v>
      </c>
      <c r="G3077" s="24" t="s">
        <v>13000</v>
      </c>
      <c r="H3077" s="35" t="s">
        <v>777</v>
      </c>
      <c r="I3077" s="18" t="s">
        <v>778</v>
      </c>
    </row>
    <row r="3078" spans="1:9" s="31" customFormat="1" ht="105">
      <c r="A3078" s="12">
        <v>43574.634398148148</v>
      </c>
      <c r="B3078" s="13" t="str">
        <f>HYPERLINK("https://twitter.com/homeserviceapp","@homeserviceapp")</f>
        <v>@homeserviceapp</v>
      </c>
      <c r="C3078" s="14" t="s">
        <v>775</v>
      </c>
      <c r="D3078" s="15" t="s">
        <v>2488</v>
      </c>
      <c r="E3078" s="16" t="str">
        <f>HYPERLINK("http://twitter.com","Twitter Web Client")</f>
        <v>Twitter Web Client</v>
      </c>
      <c r="F3078" s="12">
        <v>43309.233981481477</v>
      </c>
      <c r="G3078" s="24" t="s">
        <v>13000</v>
      </c>
      <c r="H3078" s="35" t="s">
        <v>777</v>
      </c>
      <c r="I3078" s="18" t="s">
        <v>778</v>
      </c>
    </row>
    <row r="3079" spans="1:9" s="31" customFormat="1" ht="90">
      <c r="A3079" s="12">
        <v>43567.566979166666</v>
      </c>
      <c r="B3079" s="13" t="str">
        <f>HYPERLINK("https://twitter.com/kimberly_ransom","@kimberly_ransom")</f>
        <v>@kimberly_ransom</v>
      </c>
      <c r="C3079" s="14" t="s">
        <v>5048</v>
      </c>
      <c r="D3079" s="15" t="s">
        <v>5049</v>
      </c>
      <c r="E3079" s="16" t="str">
        <f>HYPERLINK("http://twitter.com","Twitter Web Client")</f>
        <v>Twitter Web Client</v>
      </c>
      <c r="F3079" s="12">
        <v>40809.208368055552</v>
      </c>
      <c r="G3079" s="24" t="s">
        <v>13000</v>
      </c>
      <c r="H3079" s="35" t="s">
        <v>777</v>
      </c>
      <c r="I3079" s="18" t="s">
        <v>5050</v>
      </c>
    </row>
    <row r="3080" spans="1:9" s="31" customFormat="1" ht="90">
      <c r="A3080" s="4">
        <v>43559.760451388887</v>
      </c>
      <c r="B3080" s="5" t="str">
        <f>HYPERLINK("https://twitter.com/JBLB_Insurance","@JBLB_Insurance")</f>
        <v>@JBLB_Insurance</v>
      </c>
      <c r="C3080" s="6" t="s">
        <v>11700</v>
      </c>
      <c r="D3080" s="7" t="s">
        <v>11701</v>
      </c>
      <c r="E3080" s="8" t="str">
        <f>HYPERLINK("https://buffer.com","Buffer")</f>
        <v>Buffer</v>
      </c>
      <c r="F3080" s="4">
        <v>42321.10873842593</v>
      </c>
      <c r="G3080" s="9" t="s">
        <v>13000</v>
      </c>
      <c r="H3080" s="35" t="s">
        <v>11702</v>
      </c>
      <c r="I3080" s="10" t="s">
        <v>11703</v>
      </c>
    </row>
    <row r="3081" spans="1:9" s="31" customFormat="1" ht="45">
      <c r="A3081" s="19">
        <v>43546.46811342593</v>
      </c>
      <c r="B3081" s="20" t="str">
        <f>HYPERLINK("https://twitter.com/AlbertaatNoon","@AlbertaatNoon")</f>
        <v>@AlbertaatNoon</v>
      </c>
      <c r="C3081" s="21" t="s">
        <v>8835</v>
      </c>
      <c r="D3081" s="22" t="s">
        <v>12921</v>
      </c>
      <c r="E3081" s="23" t="str">
        <f>HYPERLINK("https://about.twitter.com/products/tweetdeck","TweetDeck")</f>
        <v>TweetDeck</v>
      </c>
      <c r="F3081" s="19">
        <v>39912.625023148146</v>
      </c>
      <c r="G3081" s="17" t="s">
        <v>13000</v>
      </c>
      <c r="H3081" s="35" t="s">
        <v>8836</v>
      </c>
      <c r="I3081" s="25" t="s">
        <v>8837</v>
      </c>
    </row>
    <row r="3082" spans="1:9" s="31" customFormat="1" ht="105">
      <c r="A3082" s="19">
        <v>43546.433472222227</v>
      </c>
      <c r="B3082" s="20" t="str">
        <f>HYPERLINK("https://twitter.com/AlbertaatNoon","@AlbertaatNoon")</f>
        <v>@AlbertaatNoon</v>
      </c>
      <c r="C3082" s="21" t="s">
        <v>8835</v>
      </c>
      <c r="D3082" s="22" t="s">
        <v>12922</v>
      </c>
      <c r="E3082" s="23" t="str">
        <f>HYPERLINK("https://about.twitter.com/products/tweetdeck","TweetDeck")</f>
        <v>TweetDeck</v>
      </c>
      <c r="F3082" s="19">
        <v>39912.625023148146</v>
      </c>
      <c r="G3082" s="17" t="s">
        <v>13000</v>
      </c>
      <c r="H3082" s="35" t="s">
        <v>8836</v>
      </c>
      <c r="I3082" s="25" t="s">
        <v>8837</v>
      </c>
    </row>
    <row r="3083" spans="1:9" s="31" customFormat="1" ht="120">
      <c r="A3083" s="19">
        <v>43546.379143518519</v>
      </c>
      <c r="B3083" s="20" t="str">
        <f>HYPERLINK("https://twitter.com/AlbertaatNoon","@AlbertaatNoon")</f>
        <v>@AlbertaatNoon</v>
      </c>
      <c r="C3083" s="21" t="s">
        <v>8835</v>
      </c>
      <c r="D3083" s="22" t="s">
        <v>12923</v>
      </c>
      <c r="E3083" s="23" t="str">
        <f>HYPERLINK("https://about.twitter.com/products/tweetdeck","TweetDeck")</f>
        <v>TweetDeck</v>
      </c>
      <c r="F3083" s="19">
        <v>39912.625023148146</v>
      </c>
      <c r="G3083" s="17" t="s">
        <v>13000</v>
      </c>
      <c r="H3083" s="35" t="s">
        <v>8836</v>
      </c>
      <c r="I3083" s="25" t="s">
        <v>8837</v>
      </c>
    </row>
    <row r="3084" spans="1:9" s="31" customFormat="1" ht="45">
      <c r="A3084" s="19">
        <v>43548.329166666663</v>
      </c>
      <c r="B3084" s="20" t="str">
        <f>HYPERLINK("https://twitter.com/HansWobbe","@HansWobbe")</f>
        <v>@HansWobbe</v>
      </c>
      <c r="C3084" s="21" t="s">
        <v>8350</v>
      </c>
      <c r="D3084" s="22" t="s">
        <v>12814</v>
      </c>
      <c r="E3084" s="23" t="str">
        <f>HYPERLINK("http://twitter.com/download/android","Twitter for Android")</f>
        <v>Twitter for Android</v>
      </c>
      <c r="F3084" s="19">
        <v>40016.99864583333</v>
      </c>
      <c r="G3084" s="17" t="s">
        <v>13000</v>
      </c>
      <c r="H3084" s="35" t="s">
        <v>8351</v>
      </c>
      <c r="I3084" s="25" t="s">
        <v>12815</v>
      </c>
    </row>
    <row r="3085" spans="1:9" s="31" customFormat="1" ht="30">
      <c r="A3085" s="19">
        <v>43545.303194444445</v>
      </c>
      <c r="B3085" s="20" t="str">
        <f>HYPERLINK("https://twitter.com/Josh_Mulherin","@Josh_Mulherin")</f>
        <v>@Josh_Mulherin</v>
      </c>
      <c r="C3085" s="21" t="s">
        <v>9208</v>
      </c>
      <c r="D3085" s="22" t="s">
        <v>12822</v>
      </c>
      <c r="E3085" s="23" t="str">
        <f>HYPERLINK("http://twitter.com/download/iphone","Twitter for iPhone")</f>
        <v>Twitter for iPhone</v>
      </c>
      <c r="F3085" s="19">
        <v>42359.543495370366</v>
      </c>
      <c r="G3085" s="17" t="s">
        <v>13000</v>
      </c>
      <c r="H3085" s="35" t="s">
        <v>9209</v>
      </c>
      <c r="I3085" s="25" t="s">
        <v>9210</v>
      </c>
    </row>
    <row r="3086" spans="1:9" s="31" customFormat="1" ht="90">
      <c r="A3086" s="19">
        <v>43546.487592592588</v>
      </c>
      <c r="B3086" s="20" t="str">
        <f>HYPERLINK("https://twitter.com/Alberta_Hotels","@Alberta_Hotels")</f>
        <v>@Alberta_Hotels</v>
      </c>
      <c r="C3086" s="21" t="s">
        <v>8824</v>
      </c>
      <c r="D3086" s="22" t="s">
        <v>12855</v>
      </c>
      <c r="E3086" s="23" t="str">
        <f>HYPERLINK("http://twitter.com","Twitter Web Client")</f>
        <v>Twitter Web Client</v>
      </c>
      <c r="F3086" s="19">
        <v>41324.435763888891</v>
      </c>
      <c r="G3086" s="17" t="s">
        <v>13000</v>
      </c>
      <c r="H3086" s="35" t="s">
        <v>8825</v>
      </c>
      <c r="I3086" s="25" t="s">
        <v>8826</v>
      </c>
    </row>
    <row r="3087" spans="1:9" s="31" customFormat="1" ht="45">
      <c r="A3087" s="19">
        <v>43546.419050925921</v>
      </c>
      <c r="B3087" s="20" t="str">
        <f>HYPERLINK("https://twitter.com/Alberta_Hotels","@Alberta_Hotels")</f>
        <v>@Alberta_Hotels</v>
      </c>
      <c r="C3087" s="21" t="s">
        <v>8824</v>
      </c>
      <c r="D3087" s="22" t="s">
        <v>12856</v>
      </c>
      <c r="E3087" s="23" t="str">
        <f>HYPERLINK("https://sproutsocial.com","Sprout Social")</f>
        <v>Sprout Social</v>
      </c>
      <c r="F3087" s="19">
        <v>41324.435763888891</v>
      </c>
      <c r="G3087" s="17" t="s">
        <v>13000</v>
      </c>
      <c r="H3087" s="35" t="s">
        <v>8825</v>
      </c>
      <c r="I3087" s="25" t="s">
        <v>8826</v>
      </c>
    </row>
    <row r="3088" spans="1:9" s="31" customFormat="1" ht="30">
      <c r="A3088" s="19">
        <v>43549.713333333333</v>
      </c>
      <c r="B3088" s="20" t="str">
        <f>HYPERLINK("https://twitter.com/Fairbnbcanada","@Fairbnbcanada")</f>
        <v>@Fairbnbcanada</v>
      </c>
      <c r="C3088" s="21" t="s">
        <v>416</v>
      </c>
      <c r="D3088" s="22" t="s">
        <v>7939</v>
      </c>
      <c r="E3088" s="23" t="str">
        <f>HYPERLINK("http://twitter.com/download/iphone","Twitter for iPhone")</f>
        <v>Twitter for iPhone</v>
      </c>
      <c r="F3088" s="19">
        <v>42557.299502314811</v>
      </c>
      <c r="G3088" s="17" t="s">
        <v>13000</v>
      </c>
      <c r="H3088" s="35" t="s">
        <v>50</v>
      </c>
      <c r="I3088" s="25" t="s">
        <v>418</v>
      </c>
    </row>
    <row r="3089" spans="1:9" s="31" customFormat="1" ht="45">
      <c r="A3089" s="19">
        <v>43545.906469907408</v>
      </c>
      <c r="B3089" s="20" t="str">
        <f>HYPERLINK("https://twitter.com/GadflyQuebec","@GadflyQuebec")</f>
        <v>@GadflyQuebec</v>
      </c>
      <c r="C3089" s="21" t="s">
        <v>9005</v>
      </c>
      <c r="D3089" s="22" t="s">
        <v>9006</v>
      </c>
      <c r="E3089" s="23" t="str">
        <f>HYPERLINK("http://twitter.com/download/iphone","Twitter for iPhone")</f>
        <v>Twitter for iPhone</v>
      </c>
      <c r="F3089" s="19">
        <v>40956.306377314817</v>
      </c>
      <c r="G3089" s="17" t="s">
        <v>13000</v>
      </c>
      <c r="H3089" s="35" t="s">
        <v>50</v>
      </c>
      <c r="I3089" s="25" t="s">
        <v>9007</v>
      </c>
    </row>
    <row r="3090" spans="1:9" s="31" customFormat="1" ht="45">
      <c r="A3090" s="19">
        <v>43545.746655092589</v>
      </c>
      <c r="B3090" s="20" t="str">
        <f>HYPERLINK("https://twitter.com/Fairbnbcanada","@Fairbnbcanada")</f>
        <v>@Fairbnbcanada</v>
      </c>
      <c r="C3090" s="21" t="s">
        <v>416</v>
      </c>
      <c r="D3090" s="22" t="s">
        <v>9063</v>
      </c>
      <c r="E3090" s="23" t="str">
        <f>HYPERLINK("http://twitter.com/download/iphone","Twitter for iPhone")</f>
        <v>Twitter for iPhone</v>
      </c>
      <c r="F3090" s="19">
        <v>42557.299502314811</v>
      </c>
      <c r="G3090" s="17" t="s">
        <v>13000</v>
      </c>
      <c r="H3090" s="35" t="s">
        <v>50</v>
      </c>
      <c r="I3090" s="25" t="s">
        <v>418</v>
      </c>
    </row>
    <row r="3091" spans="1:9" s="31" customFormat="1" ht="45">
      <c r="A3091" s="19">
        <v>43545.704074074078</v>
      </c>
      <c r="B3091" s="20" t="str">
        <f>HYPERLINK("https://twitter.com/Airbnbuniverse","@Airbnbuniverse")</f>
        <v>@Airbnbuniverse</v>
      </c>
      <c r="C3091" s="21" t="s">
        <v>9066</v>
      </c>
      <c r="D3091" s="22" t="s">
        <v>9067</v>
      </c>
      <c r="E3091" s="23" t="str">
        <f>HYPERLINK("http://twitter.com/download/android","Twitter for Android")</f>
        <v>Twitter for Android</v>
      </c>
      <c r="F3091" s="19">
        <v>40900.670127314814</v>
      </c>
      <c r="G3091" s="17" t="s">
        <v>13000</v>
      </c>
      <c r="H3091" s="35" t="s">
        <v>50</v>
      </c>
      <c r="I3091" s="25" t="s">
        <v>9068</v>
      </c>
    </row>
    <row r="3092" spans="1:9" s="31" customFormat="1" ht="90">
      <c r="A3092" s="19">
        <v>43545.475960648153</v>
      </c>
      <c r="B3092" s="20" t="str">
        <f>HYPERLINK("https://twitter.com/pttopt","@pttopt")</f>
        <v>@pttopt</v>
      </c>
      <c r="C3092" s="21" t="s">
        <v>9121</v>
      </c>
      <c r="D3092" s="22" t="s">
        <v>9122</v>
      </c>
      <c r="E3092" s="23" t="str">
        <f>HYPERLINK("http://twitter.com","Twitter Web Client")</f>
        <v>Twitter Web Client</v>
      </c>
      <c r="F3092" s="19">
        <v>43473.614606481482</v>
      </c>
      <c r="G3092" s="17" t="s">
        <v>13000</v>
      </c>
      <c r="H3092" s="35" t="s">
        <v>50</v>
      </c>
      <c r="I3092" s="25" t="s">
        <v>9123</v>
      </c>
    </row>
    <row r="3093" spans="1:9" s="31" customFormat="1" ht="150">
      <c r="A3093" s="19">
        <v>43545.274340277778</v>
      </c>
      <c r="B3093" s="20" t="str">
        <f>HYPERLINK("https://twitter.com/Fairbnbcanada","@Fairbnbcanada")</f>
        <v>@Fairbnbcanada</v>
      </c>
      <c r="C3093" s="21" t="s">
        <v>416</v>
      </c>
      <c r="D3093" s="22" t="s">
        <v>9217</v>
      </c>
      <c r="E3093" s="23" t="str">
        <f>HYPERLINK("http://twitter.com/download/iphone","Twitter for iPhone")</f>
        <v>Twitter for iPhone</v>
      </c>
      <c r="F3093" s="19">
        <v>42557.299502314811</v>
      </c>
      <c r="G3093" s="17" t="s">
        <v>13000</v>
      </c>
      <c r="H3093" s="35" t="s">
        <v>50</v>
      </c>
      <c r="I3093" s="25" t="s">
        <v>418</v>
      </c>
    </row>
    <row r="3094" spans="1:9" s="31" customFormat="1" ht="60">
      <c r="A3094" s="19">
        <v>43545.206597222219</v>
      </c>
      <c r="B3094" s="20" t="str">
        <f>HYPERLINK("https://twitter.com/mcvey_mcvey","@mcvey_mcvey")</f>
        <v>@mcvey_mcvey</v>
      </c>
      <c r="C3094" s="21" t="s">
        <v>9252</v>
      </c>
      <c r="D3094" s="22" t="s">
        <v>9253</v>
      </c>
      <c r="E3094" s="23" t="str">
        <f>HYPERLINK("http://twitter.com","Twitter Web Client")</f>
        <v>Twitter Web Client</v>
      </c>
      <c r="F3094" s="19">
        <v>40828.234513888892</v>
      </c>
      <c r="G3094" s="17" t="s">
        <v>13000</v>
      </c>
      <c r="H3094" s="35" t="s">
        <v>50</v>
      </c>
      <c r="I3094" s="25" t="s">
        <v>9254</v>
      </c>
    </row>
    <row r="3095" spans="1:9" s="31" customFormat="1" ht="120">
      <c r="A3095" s="19">
        <v>43543.244270833333</v>
      </c>
      <c r="B3095" s="20" t="str">
        <f>HYPERLINK("https://twitter.com/LokiBranch","@LokiBranch")</f>
        <v>@LokiBranch</v>
      </c>
      <c r="C3095" s="21" t="s">
        <v>9886</v>
      </c>
      <c r="D3095" s="22" t="s">
        <v>9887</v>
      </c>
      <c r="E3095" s="23" t="str">
        <f>HYPERLINK("https://about.twitter.com/products/tweetdeck","TweetDeck")</f>
        <v>TweetDeck</v>
      </c>
      <c r="F3095" s="19">
        <v>43168.657708333332</v>
      </c>
      <c r="G3095" s="17" t="s">
        <v>13000</v>
      </c>
      <c r="H3095" s="35" t="s">
        <v>50</v>
      </c>
      <c r="I3095" s="25" t="s">
        <v>9888</v>
      </c>
    </row>
    <row r="3096" spans="1:9" s="31" customFormat="1" ht="30">
      <c r="A3096" s="4">
        <v>43565.33865740741</v>
      </c>
      <c r="B3096" s="5" t="str">
        <f>HYPERLINK("https://twitter.com/Mak_Canada","@Mak_Canada")</f>
        <v>@Mak_Canada</v>
      </c>
      <c r="C3096" s="6" t="s">
        <v>6159</v>
      </c>
      <c r="D3096" s="7" t="s">
        <v>6160</v>
      </c>
      <c r="E3096" s="8" t="str">
        <f>HYPERLINK("http://twitter.com","Twitter Web Client")</f>
        <v>Twitter Web Client</v>
      </c>
      <c r="F3096" s="4">
        <v>40091.584895833337</v>
      </c>
      <c r="G3096" s="17" t="s">
        <v>13000</v>
      </c>
      <c r="H3096" s="35" t="s">
        <v>50</v>
      </c>
      <c r="I3096" s="10" t="s">
        <v>6161</v>
      </c>
    </row>
    <row r="3097" spans="1:9" s="31" customFormat="1" ht="60">
      <c r="A3097" s="4">
        <v>43565.30400462963</v>
      </c>
      <c r="B3097" s="5" t="str">
        <f>HYPERLINK("https://twitter.com/Fairbnbcanada","@Fairbnbcanada")</f>
        <v>@Fairbnbcanada</v>
      </c>
      <c r="C3097" s="6" t="s">
        <v>416</v>
      </c>
      <c r="D3097" s="7" t="s">
        <v>6188</v>
      </c>
      <c r="E3097" s="8" t="str">
        <f>HYPERLINK("http://twitter.com/download/iphone","Twitter for iPhone")</f>
        <v>Twitter for iPhone</v>
      </c>
      <c r="F3097" s="4">
        <v>42557.299502314811</v>
      </c>
      <c r="G3097" s="17" t="s">
        <v>13000</v>
      </c>
      <c r="H3097" s="35" t="s">
        <v>50</v>
      </c>
      <c r="I3097" s="10" t="s">
        <v>418</v>
      </c>
    </row>
    <row r="3098" spans="1:9" s="31" customFormat="1" ht="75">
      <c r="A3098" s="4">
        <v>43564.274409722224</v>
      </c>
      <c r="B3098" s="5" t="str">
        <f>HYPERLINK("https://twitter.com/Fairbnbcanada","@Fairbnbcanada")</f>
        <v>@Fairbnbcanada</v>
      </c>
      <c r="C3098" s="6" t="s">
        <v>416</v>
      </c>
      <c r="D3098" s="7" t="s">
        <v>6706</v>
      </c>
      <c r="E3098" s="8" t="str">
        <f>HYPERLINK("http://twitter.com/download/iphone","Twitter for iPhone")</f>
        <v>Twitter for iPhone</v>
      </c>
      <c r="F3098" s="4">
        <v>42557.299502314811</v>
      </c>
      <c r="G3098" s="17" t="s">
        <v>13000</v>
      </c>
      <c r="H3098" s="35" t="s">
        <v>50</v>
      </c>
      <c r="I3098" s="10" t="s">
        <v>418</v>
      </c>
    </row>
    <row r="3099" spans="1:9" s="31" customFormat="1" ht="45">
      <c r="A3099" s="4">
        <v>43563.73265046296</v>
      </c>
      <c r="B3099" s="5" t="str">
        <f>HYPERLINK("https://twitter.com/scottmaryfreeth","@scottmaryfreeth")</f>
        <v>@scottmaryfreeth</v>
      </c>
      <c r="C3099" s="6" t="s">
        <v>6908</v>
      </c>
      <c r="D3099" s="7" t="s">
        <v>6909</v>
      </c>
      <c r="E3099" s="8" t="str">
        <f>HYPERLINK("https://buffer.com","Buffer")</f>
        <v>Buffer</v>
      </c>
      <c r="F3099" s="4">
        <v>42566.270300925928</v>
      </c>
      <c r="G3099" s="17" t="s">
        <v>13000</v>
      </c>
      <c r="H3099" s="35" t="s">
        <v>50</v>
      </c>
      <c r="I3099" s="10" t="s">
        <v>6910</v>
      </c>
    </row>
    <row r="3100" spans="1:9" s="31" customFormat="1" ht="120">
      <c r="A3100" s="4">
        <v>43563.312754629631</v>
      </c>
      <c r="B3100" s="5" t="str">
        <f>HYPERLINK("https://twitter.com/Fairbnbcanada","@Fairbnbcanada")</f>
        <v>@Fairbnbcanada</v>
      </c>
      <c r="C3100" s="6" t="s">
        <v>416</v>
      </c>
      <c r="D3100" s="7" t="s">
        <v>10386</v>
      </c>
      <c r="E3100" s="8" t="str">
        <f>HYPERLINK("http://twitter.com","Twitter Web Client")</f>
        <v>Twitter Web Client</v>
      </c>
      <c r="F3100" s="4">
        <v>42557.299502314811</v>
      </c>
      <c r="G3100" s="17" t="s">
        <v>13000</v>
      </c>
      <c r="H3100" s="35" t="s">
        <v>50</v>
      </c>
      <c r="I3100" s="10" t="s">
        <v>418</v>
      </c>
    </row>
    <row r="3101" spans="1:9" s="31" customFormat="1" ht="105">
      <c r="A3101" s="4">
        <v>43562.317557870367</v>
      </c>
      <c r="B3101" s="5" t="str">
        <f>HYPERLINK("https://twitter.com/michelsakr","@michelsakr")</f>
        <v>@michelsakr</v>
      </c>
      <c r="C3101" s="6" t="s">
        <v>10705</v>
      </c>
      <c r="D3101" s="7" t="s">
        <v>10706</v>
      </c>
      <c r="E3101" s="8" t="str">
        <f>HYPERLINK("http://twitter.com/download/iphone","Twitter for iPhone")</f>
        <v>Twitter for iPhone</v>
      </c>
      <c r="F3101" s="4">
        <v>40569.839004629626</v>
      </c>
      <c r="G3101" s="17" t="s">
        <v>13000</v>
      </c>
      <c r="H3101" s="35" t="s">
        <v>50</v>
      </c>
      <c r="I3101" s="10" t="s">
        <v>10707</v>
      </c>
    </row>
    <row r="3102" spans="1:9" s="31" customFormat="1" ht="45">
      <c r="A3102" s="4">
        <v>43560.584490740745</v>
      </c>
      <c r="B3102" s="5" t="str">
        <f>HYPERLINK("https://twitter.com/jshimoon","@jshimoon")</f>
        <v>@jshimoon</v>
      </c>
      <c r="C3102" s="6" t="s">
        <v>11273</v>
      </c>
      <c r="D3102" s="7" t="s">
        <v>11274</v>
      </c>
      <c r="E3102" s="8" t="str">
        <f>HYPERLINK("https://www.hootsuite.com","Hootsuite Inc.")</f>
        <v>Hootsuite Inc.</v>
      </c>
      <c r="F3102" s="4">
        <v>39925.858981481484</v>
      </c>
      <c r="G3102" s="17" t="s">
        <v>13000</v>
      </c>
      <c r="H3102" s="35" t="s">
        <v>50</v>
      </c>
      <c r="I3102" s="10" t="s">
        <v>11275</v>
      </c>
    </row>
    <row r="3103" spans="1:9" s="31" customFormat="1" ht="75">
      <c r="A3103" s="4">
        <v>43560.542013888888</v>
      </c>
      <c r="B3103" s="5" t="str">
        <f>HYPERLINK("https://twitter.com/JaraZeimer","@JaraZeimer")</f>
        <v>@JaraZeimer</v>
      </c>
      <c r="C3103" s="6" t="s">
        <v>11309</v>
      </c>
      <c r="D3103" s="7" t="s">
        <v>11310</v>
      </c>
      <c r="E3103" s="8" t="str">
        <f>HYPERLINK("https://mobile.twitter.com","Twitter Web App")</f>
        <v>Twitter Web App</v>
      </c>
      <c r="F3103" s="4">
        <v>42403.786956018521</v>
      </c>
      <c r="G3103" s="17" t="s">
        <v>13000</v>
      </c>
      <c r="H3103" s="35" t="s">
        <v>50</v>
      </c>
      <c r="I3103" s="10" t="s">
        <v>11311</v>
      </c>
    </row>
    <row r="3104" spans="1:9" s="31" customFormat="1" ht="60">
      <c r="A3104" s="4">
        <v>43559.360486111109</v>
      </c>
      <c r="B3104" s="5" t="str">
        <f>HYPERLINK("https://twitter.com/JELDWENcanada","@JELDWENcanada")</f>
        <v>@JELDWENcanada</v>
      </c>
      <c r="C3104" s="6" t="s">
        <v>11874</v>
      </c>
      <c r="D3104" s="7" t="s">
        <v>11875</v>
      </c>
      <c r="E3104" s="8" t="str">
        <f>HYPERLINK("https://sproutsocial.com","Sprout Social")</f>
        <v>Sprout Social</v>
      </c>
      <c r="F3104" s="4">
        <v>40144.609293981484</v>
      </c>
      <c r="G3104" s="17" t="s">
        <v>13000</v>
      </c>
      <c r="H3104" s="35" t="s">
        <v>50</v>
      </c>
      <c r="I3104" s="10" t="s">
        <v>11876</v>
      </c>
    </row>
    <row r="3105" spans="1:9" s="31" customFormat="1" ht="45">
      <c r="A3105" s="4">
        <v>43558.299826388888</v>
      </c>
      <c r="B3105" s="5" t="str">
        <f>HYPERLINK("https://twitter.com/lawyersdailyca","@lawyersdailyca")</f>
        <v>@lawyersdailyca</v>
      </c>
      <c r="C3105" s="6" t="s">
        <v>12244</v>
      </c>
      <c r="D3105" s="7" t="s">
        <v>12245</v>
      </c>
      <c r="E3105" s="8" t="str">
        <f>HYPERLINK("http://twitter.com","Twitter Web Client")</f>
        <v>Twitter Web Client</v>
      </c>
      <c r="F3105" s="4">
        <v>40287.43818287037</v>
      </c>
      <c r="G3105" s="17" t="s">
        <v>13000</v>
      </c>
      <c r="H3105" s="35" t="s">
        <v>50</v>
      </c>
      <c r="I3105" s="10" t="s">
        <v>12246</v>
      </c>
    </row>
    <row r="3106" spans="1:9" s="31" customFormat="1" ht="75">
      <c r="A3106" s="4">
        <v>43558.260277777779</v>
      </c>
      <c r="B3106" s="5" t="str">
        <f>HYPERLINK("https://twitter.com/Fairbnbcanada","@Fairbnbcanada")</f>
        <v>@Fairbnbcanada</v>
      </c>
      <c r="C3106" s="6" t="s">
        <v>416</v>
      </c>
      <c r="D3106" s="7" t="s">
        <v>12258</v>
      </c>
      <c r="E3106" s="8" t="str">
        <f>HYPERLINK("http://twitter.com/download/iphone","Twitter for iPhone")</f>
        <v>Twitter for iPhone</v>
      </c>
      <c r="F3106" s="4">
        <v>42557.299502314811</v>
      </c>
      <c r="G3106" s="17" t="s">
        <v>13000</v>
      </c>
      <c r="H3106" s="35" t="s">
        <v>50</v>
      </c>
      <c r="I3106" s="10" t="s">
        <v>418</v>
      </c>
    </row>
    <row r="3107" spans="1:9" s="31" customFormat="1" ht="90">
      <c r="A3107" s="4">
        <v>43558.011516203704</v>
      </c>
      <c r="B3107" s="5" t="str">
        <f>HYPERLINK("https://twitter.com/Mingming897","@Mingming897")</f>
        <v>@Mingming897</v>
      </c>
      <c r="C3107" s="6" t="s">
        <v>12343</v>
      </c>
      <c r="D3107" s="7" t="s">
        <v>12344</v>
      </c>
      <c r="E3107" s="8" t="str">
        <f>HYPERLINK("http://twitter.com/download/iphone","Twitter for iPhone")</f>
        <v>Twitter for iPhone</v>
      </c>
      <c r="F3107" s="4">
        <v>42452.555844907409</v>
      </c>
      <c r="G3107" s="17" t="s">
        <v>13000</v>
      </c>
      <c r="H3107" s="35" t="s">
        <v>50</v>
      </c>
      <c r="I3107" s="10" t="s">
        <v>12345</v>
      </c>
    </row>
    <row r="3108" spans="1:9" s="31" customFormat="1" ht="30">
      <c r="A3108" s="4">
        <v>43556.754398148143</v>
      </c>
      <c r="B3108" s="5" t="str">
        <f>HYPERLINK("https://twitter.com/ruckmaker","@ruckmaker")</f>
        <v>@ruckmaker</v>
      </c>
      <c r="C3108" s="6" t="s">
        <v>12753</v>
      </c>
      <c r="D3108" s="7" t="s">
        <v>12754</v>
      </c>
      <c r="E3108" s="8" t="str">
        <f>HYPERLINK("http://publicize.wp.com/","WordPress.com")</f>
        <v>WordPress.com</v>
      </c>
      <c r="F3108" s="4">
        <v>41821.754513888889</v>
      </c>
      <c r="G3108" s="17" t="s">
        <v>13000</v>
      </c>
      <c r="H3108" s="35" t="s">
        <v>50</v>
      </c>
      <c r="I3108" s="10" t="s">
        <v>12755</v>
      </c>
    </row>
    <row r="3109" spans="1:9" s="31" customFormat="1" ht="105">
      <c r="A3109" s="12">
        <v>43580.823483796295</v>
      </c>
      <c r="B3109" s="13" t="str">
        <f>HYPERLINK("https://twitter.com/NTusikov","@NTusikov")</f>
        <v>@NTusikov</v>
      </c>
      <c r="C3109" s="14" t="s">
        <v>48</v>
      </c>
      <c r="D3109" s="15" t="s">
        <v>49</v>
      </c>
      <c r="E3109" s="16" t="str">
        <f>HYPERLINK("http://twitter.com/#!/download/ipad","Twitter for iPad")</f>
        <v>Twitter for iPad</v>
      </c>
      <c r="F3109" s="12">
        <v>41945.784629629634</v>
      </c>
      <c r="G3109" s="17" t="s">
        <v>13000</v>
      </c>
      <c r="H3109" s="35" t="s">
        <v>50</v>
      </c>
      <c r="I3109" s="18" t="s">
        <v>51</v>
      </c>
    </row>
    <row r="3110" spans="1:9" s="31" customFormat="1" ht="75">
      <c r="A3110" s="12">
        <v>43579.880682870367</v>
      </c>
      <c r="B3110" s="13" t="str">
        <f>HYPERLINK("https://twitter.com/Fairbnbcanada","@Fairbnbcanada")</f>
        <v>@Fairbnbcanada</v>
      </c>
      <c r="C3110" s="14" t="s">
        <v>416</v>
      </c>
      <c r="D3110" s="15" t="s">
        <v>417</v>
      </c>
      <c r="E3110" s="16" t="str">
        <f>HYPERLINK("http://twitter.com/#!/download/ipad","Twitter for iPad")</f>
        <v>Twitter for iPad</v>
      </c>
      <c r="F3110" s="12">
        <v>42557.299502314811</v>
      </c>
      <c r="G3110" s="17" t="s">
        <v>13000</v>
      </c>
      <c r="H3110" s="35" t="s">
        <v>50</v>
      </c>
      <c r="I3110" s="18" t="s">
        <v>418</v>
      </c>
    </row>
    <row r="3111" spans="1:9" s="31" customFormat="1" ht="60">
      <c r="A3111" s="12">
        <v>43579.511828703704</v>
      </c>
      <c r="B3111" s="13" t="str">
        <f>HYPERLINK("https://twitter.com/gord_collins","@gord_collins")</f>
        <v>@gord_collins</v>
      </c>
      <c r="C3111" s="14" t="s">
        <v>613</v>
      </c>
      <c r="D3111" s="15" t="s">
        <v>614</v>
      </c>
      <c r="E3111" s="16" t="str">
        <f>HYPERLINK("https://buffer.com","Buffer")</f>
        <v>Buffer</v>
      </c>
      <c r="F3111" s="12">
        <v>39870.305902777778</v>
      </c>
      <c r="G3111" s="17" t="s">
        <v>13000</v>
      </c>
      <c r="H3111" s="35" t="s">
        <v>50</v>
      </c>
      <c r="I3111" s="18" t="s">
        <v>615</v>
      </c>
    </row>
    <row r="3112" spans="1:9" s="31" customFormat="1" ht="75">
      <c r="A3112" s="12">
        <v>43578.339456018519</v>
      </c>
      <c r="B3112" s="13" t="str">
        <f>HYPERLINK("https://twitter.com/Fairbnbcanada","@Fairbnbcanada")</f>
        <v>@Fairbnbcanada</v>
      </c>
      <c r="C3112" s="14" t="s">
        <v>416</v>
      </c>
      <c r="D3112" s="15" t="s">
        <v>1286</v>
      </c>
      <c r="E3112" s="16" t="str">
        <f>HYPERLINK("http://twitter.com/download/iphone","Twitter for iPhone")</f>
        <v>Twitter for iPhone</v>
      </c>
      <c r="F3112" s="12">
        <v>42557.299502314811</v>
      </c>
      <c r="G3112" s="17" t="s">
        <v>13000</v>
      </c>
      <c r="H3112" s="35" t="s">
        <v>50</v>
      </c>
      <c r="I3112" s="18" t="s">
        <v>418</v>
      </c>
    </row>
    <row r="3113" spans="1:9" s="31" customFormat="1" ht="90">
      <c r="A3113" s="12">
        <v>43577.57298611111</v>
      </c>
      <c r="B3113" s="13" t="str">
        <f>HYPERLINK("https://twitter.com/superarts_org","@superarts_org")</f>
        <v>@superarts_org</v>
      </c>
      <c r="C3113" s="14" t="s">
        <v>1575</v>
      </c>
      <c r="D3113" s="15" t="s">
        <v>1576</v>
      </c>
      <c r="E3113" s="16" t="str">
        <f>HYPERLINK("http://twitter.com/download/android","Twitter for Android")</f>
        <v>Twitter for Android</v>
      </c>
      <c r="F3113" s="12">
        <v>40111.42386574074</v>
      </c>
      <c r="G3113" s="17" t="s">
        <v>13000</v>
      </c>
      <c r="H3113" s="35" t="s">
        <v>50</v>
      </c>
      <c r="I3113" s="18" t="s">
        <v>1577</v>
      </c>
    </row>
    <row r="3114" spans="1:9" s="31" customFormat="1" ht="60">
      <c r="A3114" s="12">
        <v>43575.917997685188</v>
      </c>
      <c r="B3114" s="13" t="str">
        <f>HYPERLINK("https://twitter.com/BritneyWaldron","@BritneyWaldron")</f>
        <v>@BritneyWaldron</v>
      </c>
      <c r="C3114" s="14" t="s">
        <v>2104</v>
      </c>
      <c r="D3114" s="15" t="s">
        <v>2105</v>
      </c>
      <c r="E3114" s="16" t="str">
        <f>HYPERLINK("https://mobile.twitter.com","Twitter Web App")</f>
        <v>Twitter Web App</v>
      </c>
      <c r="F3114" s="12">
        <v>39932.243946759263</v>
      </c>
      <c r="G3114" s="17" t="s">
        <v>13000</v>
      </c>
      <c r="H3114" s="35" t="s">
        <v>50</v>
      </c>
      <c r="I3114" s="18" t="s">
        <v>2106</v>
      </c>
    </row>
    <row r="3115" spans="1:9" s="31" customFormat="1" ht="75">
      <c r="A3115" s="12">
        <v>43574.622986111106</v>
      </c>
      <c r="B3115" s="13" t="str">
        <f>HYPERLINK("https://twitter.com/alliecats86","@alliecats86")</f>
        <v>@alliecats86</v>
      </c>
      <c r="C3115" s="14" t="s">
        <v>2494</v>
      </c>
      <c r="D3115" s="15" t="s">
        <v>2495</v>
      </c>
      <c r="E3115" s="16" t="str">
        <f>HYPERLINK("http://instagram.com","Instagram")</f>
        <v>Instagram</v>
      </c>
      <c r="F3115" s="12">
        <v>40053.420092592591</v>
      </c>
      <c r="G3115" s="17" t="s">
        <v>13000</v>
      </c>
      <c r="H3115" s="35" t="s">
        <v>50</v>
      </c>
      <c r="I3115" s="18" t="s">
        <v>2496</v>
      </c>
    </row>
    <row r="3116" spans="1:9" s="31" customFormat="1" ht="75">
      <c r="A3116" s="12">
        <v>43573.386122685188</v>
      </c>
      <c r="B3116" s="13" t="str">
        <f>HYPERLINK("https://twitter.com/gord_collins","@gord_collins")</f>
        <v>@gord_collins</v>
      </c>
      <c r="C3116" s="14" t="s">
        <v>613</v>
      </c>
      <c r="D3116" s="15" t="s">
        <v>2905</v>
      </c>
      <c r="E3116" s="16" t="str">
        <f>HYPERLINK("https://buffer.com","Buffer")</f>
        <v>Buffer</v>
      </c>
      <c r="F3116" s="12">
        <v>39870.305902777778</v>
      </c>
      <c r="G3116" s="17" t="s">
        <v>13000</v>
      </c>
      <c r="H3116" s="35" t="s">
        <v>50</v>
      </c>
      <c r="I3116" s="18" t="s">
        <v>615</v>
      </c>
    </row>
    <row r="3117" spans="1:9" s="31" customFormat="1" ht="45">
      <c r="A3117" s="12">
        <v>43573.220902777779</v>
      </c>
      <c r="B3117" s="13" t="str">
        <f>HYPERLINK("https://twitter.com/AvyLorenCohen","@AvyLorenCohen")</f>
        <v>@AvyLorenCohen</v>
      </c>
      <c r="C3117" s="14" t="s">
        <v>2968</v>
      </c>
      <c r="D3117" s="15" t="s">
        <v>2969</v>
      </c>
      <c r="E3117" s="16" t="str">
        <f>HYPERLINK("https://mobile.twitter.com","Twitter Web App")</f>
        <v>Twitter Web App</v>
      </c>
      <c r="F3117" s="12">
        <v>40695.596435185187</v>
      </c>
      <c r="G3117" s="17" t="s">
        <v>13000</v>
      </c>
      <c r="H3117" s="35" t="s">
        <v>50</v>
      </c>
      <c r="I3117" s="18" t="s">
        <v>2970</v>
      </c>
    </row>
    <row r="3118" spans="1:9" s="31" customFormat="1" ht="45">
      <c r="A3118" s="12">
        <v>43570.326701388884</v>
      </c>
      <c r="B3118" s="13" t="str">
        <f>HYPERLINK("https://twitter.com/DynamicWindmil","@DynamicWindmil")</f>
        <v>@DynamicWindmil</v>
      </c>
      <c r="C3118" s="14" t="s">
        <v>4227</v>
      </c>
      <c r="D3118" s="15" t="s">
        <v>4228</v>
      </c>
      <c r="E3118" s="16" t="str">
        <f>HYPERLINK("https://wilko.ca","Wilko K")</f>
        <v>Wilko K</v>
      </c>
      <c r="F3118" s="12">
        <v>42714.654490740737</v>
      </c>
      <c r="G3118" s="17" t="s">
        <v>13000</v>
      </c>
      <c r="H3118" s="35" t="s">
        <v>50</v>
      </c>
      <c r="I3118" s="18" t="s">
        <v>4229</v>
      </c>
    </row>
    <row r="3119" spans="1:9" s="31" customFormat="1" ht="90">
      <c r="A3119" s="12">
        <v>43569.428599537037</v>
      </c>
      <c r="B3119" s="13" t="str">
        <f>HYPERLINK("https://twitter.com/Fairbnbcanada","@Fairbnbcanada")</f>
        <v>@Fairbnbcanada</v>
      </c>
      <c r="C3119" s="14" t="s">
        <v>416</v>
      </c>
      <c r="D3119" s="15" t="s">
        <v>4514</v>
      </c>
      <c r="E3119" s="16" t="str">
        <f>HYPERLINK("http://twitter.com/download/iphone","Twitter for iPhone")</f>
        <v>Twitter for iPhone</v>
      </c>
      <c r="F3119" s="12">
        <v>42557.299502314811</v>
      </c>
      <c r="G3119" s="17" t="s">
        <v>13000</v>
      </c>
      <c r="H3119" s="35" t="s">
        <v>50</v>
      </c>
      <c r="I3119" s="18" t="s">
        <v>418</v>
      </c>
    </row>
    <row r="3120" spans="1:9" s="31" customFormat="1" ht="225">
      <c r="A3120" s="12">
        <v>43568.436168981483</v>
      </c>
      <c r="B3120" s="13" t="str">
        <f>HYPERLINK("https://twitter.com/Fairbnbcanada","@Fairbnbcanada")</f>
        <v>@Fairbnbcanada</v>
      </c>
      <c r="C3120" s="14" t="s">
        <v>416</v>
      </c>
      <c r="D3120" s="15" t="s">
        <v>4774</v>
      </c>
      <c r="E3120" s="16" t="str">
        <f>HYPERLINK("http://twitter.com/download/iphone","Twitter for iPhone")</f>
        <v>Twitter for iPhone</v>
      </c>
      <c r="F3120" s="12">
        <v>42557.299502314811</v>
      </c>
      <c r="G3120" s="17" t="s">
        <v>13000</v>
      </c>
      <c r="H3120" s="35" t="s">
        <v>50</v>
      </c>
      <c r="I3120" s="18" t="s">
        <v>418</v>
      </c>
    </row>
    <row r="3121" spans="1:9" s="31" customFormat="1" ht="105">
      <c r="A3121" s="12">
        <v>43567.737280092595</v>
      </c>
      <c r="B3121" s="13" t="str">
        <f>HYPERLINK("https://twitter.com/Fairbnbcanada","@Fairbnbcanada")</f>
        <v>@Fairbnbcanada</v>
      </c>
      <c r="C3121" s="14" t="s">
        <v>416</v>
      </c>
      <c r="D3121" s="15" t="s">
        <v>4970</v>
      </c>
      <c r="E3121" s="16" t="str">
        <f>HYPERLINK("http://twitter.com/download/iphone","Twitter for iPhone")</f>
        <v>Twitter for iPhone</v>
      </c>
      <c r="F3121" s="12">
        <v>42557.299502314811</v>
      </c>
      <c r="G3121" s="17" t="s">
        <v>13000</v>
      </c>
      <c r="H3121" s="35" t="s">
        <v>50</v>
      </c>
      <c r="I3121" s="18" t="s">
        <v>418</v>
      </c>
    </row>
    <row r="3122" spans="1:9" s="31" customFormat="1" ht="105">
      <c r="A3122" s="12">
        <v>43567.687407407408</v>
      </c>
      <c r="B3122" s="13" t="str">
        <f>HYPERLINK("https://twitter.com/iamkhaledzaky","@iamkhaledzaky")</f>
        <v>@iamkhaledzaky</v>
      </c>
      <c r="C3122" s="14" t="s">
        <v>5002</v>
      </c>
      <c r="D3122" s="15" t="s">
        <v>5003</v>
      </c>
      <c r="E3122" s="16" t="str">
        <f>HYPERLINK("https://ifttt.com","IFTTT")</f>
        <v>IFTTT</v>
      </c>
      <c r="F3122" s="12">
        <v>40573.693807870368</v>
      </c>
      <c r="G3122" s="17" t="s">
        <v>13000</v>
      </c>
      <c r="H3122" s="35" t="s">
        <v>50</v>
      </c>
      <c r="I3122" s="18" t="s">
        <v>5004</v>
      </c>
    </row>
    <row r="3123" spans="1:9" s="31" customFormat="1" ht="105">
      <c r="A3123" s="12">
        <v>43566.613067129627</v>
      </c>
      <c r="B3123" s="13" t="str">
        <f>HYPERLINK("https://twitter.com/Kinnections_ntw","@Kinnections_ntw")</f>
        <v>@Kinnections_ntw</v>
      </c>
      <c r="C3123" s="14" t="s">
        <v>5404</v>
      </c>
      <c r="D3123" s="15" t="s">
        <v>5405</v>
      </c>
      <c r="E3123" s="16" t="str">
        <f>HYPERLINK("http://twitter.com/download/android","Twitter for Android")</f>
        <v>Twitter for Android</v>
      </c>
      <c r="F3123" s="12">
        <v>40995.388182870374</v>
      </c>
      <c r="G3123" s="17" t="s">
        <v>13000</v>
      </c>
      <c r="H3123" s="35" t="s">
        <v>50</v>
      </c>
      <c r="I3123" s="18" t="s">
        <v>5406</v>
      </c>
    </row>
    <row r="3124" spans="1:9" s="31" customFormat="1" ht="60">
      <c r="A3124" s="12">
        <v>43566.570925925931</v>
      </c>
      <c r="B3124" s="13" t="str">
        <f>HYPERLINK("https://twitter.com/withlove__kate","@withlove__kate")</f>
        <v>@withlove__kate</v>
      </c>
      <c r="C3124" s="14" t="s">
        <v>5436</v>
      </c>
      <c r="D3124" s="15" t="s">
        <v>5437</v>
      </c>
      <c r="E3124" s="16" t="str">
        <f>HYPERLINK("http://instagram.com","Instagram")</f>
        <v>Instagram</v>
      </c>
      <c r="F3124" s="12">
        <v>40506.388518518521</v>
      </c>
      <c r="G3124" s="17" t="s">
        <v>13000</v>
      </c>
      <c r="H3124" s="35" t="s">
        <v>50</v>
      </c>
      <c r="I3124" s="18" t="s">
        <v>5438</v>
      </c>
    </row>
    <row r="3125" spans="1:9" s="31" customFormat="1" ht="30">
      <c r="A3125" s="12">
        <v>43566.434201388889</v>
      </c>
      <c r="B3125" s="13" t="str">
        <f>HYPERLINK("https://twitter.com/Fairbnbcanada","@Fairbnbcanada")</f>
        <v>@Fairbnbcanada</v>
      </c>
      <c r="C3125" s="14" t="s">
        <v>416</v>
      </c>
      <c r="D3125" s="15" t="s">
        <v>5537</v>
      </c>
      <c r="E3125" s="16" t="str">
        <f>HYPERLINK("http://twitter.com/download/iphone","Twitter for iPhone")</f>
        <v>Twitter for iPhone</v>
      </c>
      <c r="F3125" s="12">
        <v>42557.299502314811</v>
      </c>
      <c r="G3125" s="17" t="s">
        <v>13000</v>
      </c>
      <c r="H3125" s="35" t="s">
        <v>50</v>
      </c>
      <c r="I3125" s="18" t="s">
        <v>418</v>
      </c>
    </row>
    <row r="3126" spans="1:9" s="31" customFormat="1" ht="30">
      <c r="A3126" s="12">
        <v>43566.023310185185</v>
      </c>
      <c r="B3126" s="13" t="str">
        <f>HYPERLINK("https://twitter.com/megacryptoworld","@megacryptoworld")</f>
        <v>@megacryptoworld</v>
      </c>
      <c r="C3126" s="14" t="s">
        <v>5822</v>
      </c>
      <c r="D3126" s="15" t="s">
        <v>5823</v>
      </c>
      <c r="E3126" s="16" t="str">
        <f>HYPERLINK("http://twitter.com","Twitter Web Client")</f>
        <v>Twitter Web Client</v>
      </c>
      <c r="F3126" s="12">
        <v>43340.261296296296</v>
      </c>
      <c r="G3126" s="17" t="s">
        <v>13000</v>
      </c>
      <c r="H3126" s="35" t="s">
        <v>50</v>
      </c>
      <c r="I3126" s="18" t="s">
        <v>5824</v>
      </c>
    </row>
    <row r="3127" spans="1:9" s="31" customFormat="1" ht="90">
      <c r="A3127" s="12">
        <v>43566.44667824074</v>
      </c>
      <c r="B3127" s="13" t="str">
        <f>HYPERLINK("https://twitter.com/cabin_radio","@cabin_radio")</f>
        <v>@cabin_radio</v>
      </c>
      <c r="C3127" s="14" t="s">
        <v>5524</v>
      </c>
      <c r="D3127" s="15" t="s">
        <v>5525</v>
      </c>
      <c r="E3127" s="16" t="str">
        <f>HYPERLINK("https://www.spreaker.com","Spreaker")</f>
        <v>Spreaker</v>
      </c>
      <c r="F3127" s="12">
        <v>42864.899050925931</v>
      </c>
      <c r="G3127" s="17" t="s">
        <v>13000</v>
      </c>
      <c r="H3127" s="35" t="s">
        <v>5526</v>
      </c>
      <c r="I3127" s="18" t="s">
        <v>5527</v>
      </c>
    </row>
    <row r="3128" spans="1:9" s="31" customFormat="1" ht="75">
      <c r="A3128" s="12">
        <v>43566.616342592592</v>
      </c>
      <c r="B3128" s="13" t="str">
        <f>HYPERLINK("https://twitter.com/SaiaYork","@SaiaYork")</f>
        <v>@SaiaYork</v>
      </c>
      <c r="C3128" s="14" t="s">
        <v>5400</v>
      </c>
      <c r="D3128" s="15" t="s">
        <v>5401</v>
      </c>
      <c r="E3128" s="16" t="str">
        <f>HYPERLINK("http://twitter.com","Twitter Web Client")</f>
        <v>Twitter Web Client</v>
      </c>
      <c r="F3128" s="12">
        <v>40931.810358796298</v>
      </c>
      <c r="G3128" s="17" t="s">
        <v>13000</v>
      </c>
      <c r="H3128" s="35" t="s">
        <v>5402</v>
      </c>
      <c r="I3128" s="18" t="s">
        <v>5403</v>
      </c>
    </row>
    <row r="3129" spans="1:9" s="31" customFormat="1" ht="105">
      <c r="A3129" s="12">
        <v>43576.445</v>
      </c>
      <c r="B3129" s="13" t="str">
        <f>HYPERLINK("https://twitter.com/guillefiggon","@guillefiggon")</f>
        <v>@guillefiggon</v>
      </c>
      <c r="C3129" s="13" t="s">
        <v>1937</v>
      </c>
      <c r="D3129" s="15" t="s">
        <v>1938</v>
      </c>
      <c r="E3129" s="16" t="str">
        <f>HYPERLINK("http://twitter.com/download/iphone","Twitter for iPhone")</f>
        <v>Twitter for iPhone</v>
      </c>
      <c r="F3129" s="12">
        <v>40608.654374999998</v>
      </c>
      <c r="G3129" s="17" t="s">
        <v>13000</v>
      </c>
      <c r="H3129" s="35" t="s">
        <v>1939</v>
      </c>
      <c r="I3129" s="18" t="s">
        <v>1940</v>
      </c>
    </row>
    <row r="3130" spans="1:9" s="31" customFormat="1" ht="75">
      <c r="A3130" s="4">
        <v>43563.646967592591</v>
      </c>
      <c r="B3130" s="5" t="str">
        <f>HYPERLINK("https://twitter.com/24SevenPM","@24SevenPM")</f>
        <v>@24SevenPM</v>
      </c>
      <c r="C3130" s="6" t="s">
        <v>1171</v>
      </c>
      <c r="D3130" s="7" t="s">
        <v>6927</v>
      </c>
      <c r="E3130" s="8" t="str">
        <f>HYPERLINK("http://instagram.com","Instagram")</f>
        <v>Instagram</v>
      </c>
      <c r="F3130" s="4">
        <v>40808.711145833331</v>
      </c>
      <c r="G3130" s="9" t="s">
        <v>13000</v>
      </c>
      <c r="H3130" s="35" t="s">
        <v>1173</v>
      </c>
      <c r="I3130" s="10" t="s">
        <v>1174</v>
      </c>
    </row>
    <row r="3131" spans="1:9" s="31" customFormat="1" ht="30">
      <c r="A3131" s="4">
        <v>43563.279282407406</v>
      </c>
      <c r="B3131" s="5" t="str">
        <f>HYPERLINK("https://twitter.com/CaribbeanLifeLi","@CaribbeanLifeLi")</f>
        <v>@CaribbeanLifeLi</v>
      </c>
      <c r="C3131" s="6" t="s">
        <v>10416</v>
      </c>
      <c r="D3131" s="7" t="s">
        <v>10417</v>
      </c>
      <c r="E3131" s="8" t="str">
        <f>HYPERLINK("http://www.facebook.com/twitter","Facebook")</f>
        <v>Facebook</v>
      </c>
      <c r="F3131" s="4">
        <v>43321.444872685184</v>
      </c>
      <c r="G3131" s="9" t="s">
        <v>13000</v>
      </c>
      <c r="H3131" s="35" t="s">
        <v>1173</v>
      </c>
      <c r="I3131" s="10" t="s">
        <v>10418</v>
      </c>
    </row>
    <row r="3132" spans="1:9" s="31" customFormat="1" ht="75">
      <c r="A3132" s="12">
        <v>43578.501446759255</v>
      </c>
      <c r="B3132" s="13" t="str">
        <f>HYPERLINK("https://twitter.com/24SevenPM","@24SevenPM")</f>
        <v>@24SevenPM</v>
      </c>
      <c r="C3132" s="14" t="s">
        <v>1171</v>
      </c>
      <c r="D3132" s="15" t="s">
        <v>1172</v>
      </c>
      <c r="E3132" s="16" t="str">
        <f>HYPERLINK("http://instagram.com","Instagram")</f>
        <v>Instagram</v>
      </c>
      <c r="F3132" s="12">
        <v>40808.711145833331</v>
      </c>
      <c r="G3132" s="9" t="s">
        <v>13000</v>
      </c>
      <c r="H3132" s="35" t="s">
        <v>1173</v>
      </c>
      <c r="I3132" s="18" t="s">
        <v>1174</v>
      </c>
    </row>
    <row r="3133" spans="1:9" s="31" customFormat="1" ht="75">
      <c r="A3133" s="12">
        <v>43572.732847222222</v>
      </c>
      <c r="B3133" s="13" t="str">
        <f>HYPERLINK("https://twitter.com/24SevenPM","@24SevenPM")</f>
        <v>@24SevenPM</v>
      </c>
      <c r="C3133" s="14" t="s">
        <v>1171</v>
      </c>
      <c r="D3133" s="15" t="s">
        <v>3107</v>
      </c>
      <c r="E3133" s="16" t="str">
        <f>HYPERLINK("http://instagram.com","Instagram")</f>
        <v>Instagram</v>
      </c>
      <c r="F3133" s="12">
        <v>40808.711145833331</v>
      </c>
      <c r="G3133" s="9" t="s">
        <v>13000</v>
      </c>
      <c r="H3133" s="35" t="s">
        <v>1173</v>
      </c>
      <c r="I3133" s="18" t="s">
        <v>1174</v>
      </c>
    </row>
    <row r="3134" spans="1:9" s="31" customFormat="1" ht="75">
      <c r="A3134" s="19">
        <v>43549.617615740739</v>
      </c>
      <c r="B3134" s="20" t="str">
        <f>HYPERLINK("https://twitter.com/CancunTranspor","@CancunTranspor")</f>
        <v>@CancunTranspor</v>
      </c>
      <c r="C3134" s="21" t="s">
        <v>7960</v>
      </c>
      <c r="D3134" s="22" t="s">
        <v>7961</v>
      </c>
      <c r="E3134" s="23" t="str">
        <f>HYPERLINK("https://about.twitter.com/products/tweetdeck","TweetDeck")</f>
        <v>TweetDeck</v>
      </c>
      <c r="F3134" s="19">
        <v>40787.546574074076</v>
      </c>
      <c r="G3134" s="9" t="s">
        <v>13000</v>
      </c>
      <c r="H3134" s="35" t="s">
        <v>7962</v>
      </c>
      <c r="I3134" s="25" t="s">
        <v>7963</v>
      </c>
    </row>
    <row r="3135" spans="1:9" s="31" customFormat="1" ht="60">
      <c r="A3135" s="12">
        <v>43578.293032407411</v>
      </c>
      <c r="B3135" s="13" t="str">
        <f>HYPERLINK("https://twitter.com/HougardLoans","@HougardLoans")</f>
        <v>@HougardLoans</v>
      </c>
      <c r="C3135" s="14" t="s">
        <v>1313</v>
      </c>
      <c r="D3135" s="15" t="s">
        <v>1314</v>
      </c>
      <c r="E3135" s="16" t="str">
        <f>HYPERLINK("https://www.hootsuite.com","Hootsuite Inc.")</f>
        <v>Hootsuite Inc.</v>
      </c>
      <c r="F3135" s="12">
        <v>41081.634618055556</v>
      </c>
      <c r="G3135" s="17" t="s">
        <v>13000</v>
      </c>
      <c r="H3135" s="35" t="s">
        <v>1315</v>
      </c>
      <c r="I3135" s="18" t="s">
        <v>1316</v>
      </c>
    </row>
    <row r="3136" spans="1:9" s="31" customFormat="1" ht="45">
      <c r="A3136" s="4">
        <v>43560.56527777778</v>
      </c>
      <c r="B3136" s="5" t="str">
        <f>HYPERLINK("https://twitter.com/SWcardiff","@SWcardiff")</f>
        <v>@SWcardiff</v>
      </c>
      <c r="C3136" s="6" t="s">
        <v>11281</v>
      </c>
      <c r="D3136" s="7" t="s">
        <v>11282</v>
      </c>
      <c r="E3136" s="8" t="str">
        <f>HYPERLINK("https://about.twitter.com/products/tweetdeck","TweetDeck")</f>
        <v>TweetDeck</v>
      </c>
      <c r="F3136" s="4">
        <v>40045.425937499997</v>
      </c>
      <c r="G3136" s="17" t="s">
        <v>13000</v>
      </c>
      <c r="H3136" s="35" t="s">
        <v>11283</v>
      </c>
      <c r="I3136" s="10" t="s">
        <v>11284</v>
      </c>
    </row>
    <row r="3137" spans="1:9" s="31" customFormat="1" ht="45">
      <c r="A3137" s="4">
        <v>43559.56527777778</v>
      </c>
      <c r="B3137" s="5" t="str">
        <f>HYPERLINK("https://twitter.com/SWcardiff","@SWcardiff")</f>
        <v>@SWcardiff</v>
      </c>
      <c r="C3137" s="6" t="s">
        <v>11281</v>
      </c>
      <c r="D3137" s="7" t="s">
        <v>11756</v>
      </c>
      <c r="E3137" s="8" t="str">
        <f>HYPERLINK("https://about.twitter.com/products/tweetdeck","TweetDeck")</f>
        <v>TweetDeck</v>
      </c>
      <c r="F3137" s="4">
        <v>40045.425937499997</v>
      </c>
      <c r="G3137" s="17" t="s">
        <v>13000</v>
      </c>
      <c r="H3137" s="35" t="s">
        <v>11283</v>
      </c>
      <c r="I3137" s="10" t="s">
        <v>11284</v>
      </c>
    </row>
    <row r="3138" spans="1:9" s="31" customFormat="1" ht="45">
      <c r="A3138" s="12">
        <v>43570.588368055556</v>
      </c>
      <c r="B3138" s="13" t="str">
        <f>HYPERLINK("https://twitter.com/caribjournal","@caribjournal")</f>
        <v>@caribjournal</v>
      </c>
      <c r="C3138" s="14" t="s">
        <v>4041</v>
      </c>
      <c r="D3138" s="15" t="s">
        <v>12797</v>
      </c>
      <c r="E3138" s="16" t="str">
        <f>HYPERLINK("https://www.google.com/","Google")</f>
        <v>Google</v>
      </c>
      <c r="F3138" s="12">
        <v>40612.748854166668</v>
      </c>
      <c r="G3138" s="17" t="s">
        <v>13000</v>
      </c>
      <c r="H3138" s="35" t="s">
        <v>12798</v>
      </c>
      <c r="I3138" s="18" t="s">
        <v>12799</v>
      </c>
    </row>
    <row r="3139" spans="1:9" s="31" customFormat="1" ht="105">
      <c r="A3139" s="4">
        <v>43563.753657407404</v>
      </c>
      <c r="B3139" s="5" t="str">
        <f>HYPERLINK("https://twitter.com/annie_mehl","@annie_mehl")</f>
        <v>@annie_mehl</v>
      </c>
      <c r="C3139" s="6" t="s">
        <v>5113</v>
      </c>
      <c r="D3139" s="7" t="s">
        <v>10213</v>
      </c>
      <c r="E3139" s="8" t="str">
        <f>HYPERLINK("http://twitter.com","Twitter Web Client")</f>
        <v>Twitter Web Client</v>
      </c>
      <c r="F3139" s="4">
        <v>40776.856921296298</v>
      </c>
      <c r="G3139" s="9" t="s">
        <v>13000</v>
      </c>
      <c r="H3139" s="35" t="s">
        <v>5115</v>
      </c>
      <c r="I3139" s="10" t="s">
        <v>5116</v>
      </c>
    </row>
    <row r="3140" spans="1:9" s="31" customFormat="1" ht="105">
      <c r="A3140" s="12">
        <v>43567.414340277777</v>
      </c>
      <c r="B3140" s="13" t="str">
        <f>HYPERLINK("https://twitter.com/annie_mehl","@annie_mehl")</f>
        <v>@annie_mehl</v>
      </c>
      <c r="C3140" s="14" t="s">
        <v>5113</v>
      </c>
      <c r="D3140" s="15" t="s">
        <v>5114</v>
      </c>
      <c r="E3140" s="16" t="str">
        <f>HYPERLINK("http://twitter.com/download/android","Twitter for Android")</f>
        <v>Twitter for Android</v>
      </c>
      <c r="F3140" s="12">
        <v>40776.856921296298</v>
      </c>
      <c r="G3140" s="9" t="s">
        <v>13000</v>
      </c>
      <c r="H3140" s="35" t="s">
        <v>5115</v>
      </c>
      <c r="I3140" s="18" t="s">
        <v>5116</v>
      </c>
    </row>
    <row r="3141" spans="1:9" s="31" customFormat="1" ht="30">
      <c r="A3141" s="4">
        <v>43558.334178240737</v>
      </c>
      <c r="B3141" s="5" t="str">
        <f>HYPERLINK("https://twitter.com/PauseTheMoment","@PauseTheMoment")</f>
        <v>@PauseTheMoment</v>
      </c>
      <c r="C3141" s="6" t="s">
        <v>4251</v>
      </c>
      <c r="D3141" s="7" t="s">
        <v>12227</v>
      </c>
      <c r="E3141" s="8" t="str">
        <f>HYPERLINK("https://www.hootsuite.com","Hootsuite Inc.")</f>
        <v>Hootsuite Inc.</v>
      </c>
      <c r="F3141" s="4">
        <v>40135.71261574074</v>
      </c>
      <c r="G3141" s="9" t="s">
        <v>13000</v>
      </c>
      <c r="H3141" s="35" t="s">
        <v>4253</v>
      </c>
      <c r="I3141" s="10" t="s">
        <v>4254</v>
      </c>
    </row>
    <row r="3142" spans="1:9" s="31" customFormat="1" ht="45">
      <c r="A3142" s="12">
        <v>43570.292164351849</v>
      </c>
      <c r="B3142" s="13" t="str">
        <f>HYPERLINK("https://twitter.com/PauseTheMoment","@PauseTheMoment")</f>
        <v>@PauseTheMoment</v>
      </c>
      <c r="C3142" s="14" t="s">
        <v>4251</v>
      </c>
      <c r="D3142" s="15" t="s">
        <v>4252</v>
      </c>
      <c r="E3142" s="16" t="str">
        <f>HYPERLINK("https://www.hootsuite.com","Hootsuite Inc.")</f>
        <v>Hootsuite Inc.</v>
      </c>
      <c r="F3142" s="12">
        <v>40135.71261574074</v>
      </c>
      <c r="G3142" s="9" t="s">
        <v>13000</v>
      </c>
      <c r="H3142" s="35" t="s">
        <v>4253</v>
      </c>
      <c r="I3142" s="18" t="s">
        <v>4254</v>
      </c>
    </row>
    <row r="3143" spans="1:9" s="31" customFormat="1" ht="30">
      <c r="A3143" s="12">
        <v>43566.292499999996</v>
      </c>
      <c r="B3143" s="13" t="str">
        <f>HYPERLINK("https://twitter.com/PauseTheMoment","@PauseTheMoment")</f>
        <v>@PauseTheMoment</v>
      </c>
      <c r="C3143" s="14" t="s">
        <v>4251</v>
      </c>
      <c r="D3143" s="15" t="s">
        <v>5677</v>
      </c>
      <c r="E3143" s="16" t="str">
        <f>HYPERLINK("https://www.hootsuite.com","Hootsuite Inc.")</f>
        <v>Hootsuite Inc.</v>
      </c>
      <c r="F3143" s="12">
        <v>40135.71261574074</v>
      </c>
      <c r="G3143" s="9" t="s">
        <v>13000</v>
      </c>
      <c r="H3143" s="35" t="s">
        <v>4253</v>
      </c>
      <c r="I3143" s="18" t="s">
        <v>4254</v>
      </c>
    </row>
    <row r="3144" spans="1:9" s="31" customFormat="1" ht="90">
      <c r="A3144" s="4">
        <v>43565.203645833331</v>
      </c>
      <c r="B3144" s="5" t="str">
        <f>HYPERLINK("https://twitter.com/MarcC856","@MarcC856")</f>
        <v>@MarcC856</v>
      </c>
      <c r="C3144" s="6" t="s">
        <v>6236</v>
      </c>
      <c r="D3144" s="7" t="s">
        <v>6237</v>
      </c>
      <c r="E3144" s="8" t="str">
        <f>HYPERLINK("http://twitter.com/download/android","Twitter for Android")</f>
        <v>Twitter for Android</v>
      </c>
      <c r="F3144" s="4">
        <v>40691.459282407406</v>
      </c>
      <c r="G3144" s="9" t="s">
        <v>13000</v>
      </c>
      <c r="H3144" s="35" t="s">
        <v>6238</v>
      </c>
      <c r="I3144" s="10" t="s">
        <v>6239</v>
      </c>
    </row>
    <row r="3145" spans="1:9" s="31" customFormat="1" ht="75">
      <c r="A3145" s="19">
        <v>43544.347719907411</v>
      </c>
      <c r="B3145" s="20" t="str">
        <f>HYPERLINK("https://twitter.com/KMGProfSvcs","@KMGProfSvcs")</f>
        <v>@KMGProfSvcs</v>
      </c>
      <c r="C3145" s="21" t="s">
        <v>9501</v>
      </c>
      <c r="D3145" s="22" t="s">
        <v>9502</v>
      </c>
      <c r="E3145" s="23" t="str">
        <f>HYPERLINK("http://www.facebook.com/twitter","Facebook")</f>
        <v>Facebook</v>
      </c>
      <c r="F3145" s="19">
        <v>41778.325590277775</v>
      </c>
      <c r="G3145" s="24" t="s">
        <v>13000</v>
      </c>
      <c r="H3145" s="35" t="s">
        <v>9503</v>
      </c>
      <c r="I3145" s="25" t="s">
        <v>9504</v>
      </c>
    </row>
    <row r="3146" spans="1:9" s="31" customFormat="1" ht="75">
      <c r="A3146" s="4">
        <v>43559.755381944444</v>
      </c>
      <c r="B3146" s="5" t="str">
        <f>HYPERLINK("https://twitter.com/lovechilde","@lovechilde")</f>
        <v>@lovechilde</v>
      </c>
      <c r="C3146" s="6" t="s">
        <v>11704</v>
      </c>
      <c r="D3146" s="7" t="s">
        <v>11705</v>
      </c>
      <c r="E3146" s="8" t="str">
        <f>HYPERLINK("http://instagram.com","Instagram")</f>
        <v>Instagram</v>
      </c>
      <c r="F3146" s="4">
        <v>39588.709351851852</v>
      </c>
      <c r="G3146" s="24" t="s">
        <v>13000</v>
      </c>
      <c r="H3146" s="35" t="s">
        <v>9503</v>
      </c>
      <c r="I3146" s="10" t="s">
        <v>11706</v>
      </c>
    </row>
    <row r="3147" spans="1:9" s="31" customFormat="1" ht="45">
      <c r="A3147" s="19">
        <v>43550.658333333333</v>
      </c>
      <c r="B3147" s="20" t="str">
        <f>HYPERLINK("https://twitter.com/SWMesquite","@SWMesquite")</f>
        <v>@SWMesquite</v>
      </c>
      <c r="C3147" s="21" t="s">
        <v>2849</v>
      </c>
      <c r="D3147" s="22" t="s">
        <v>7567</v>
      </c>
      <c r="E3147" s="23" t="str">
        <f>HYPERLINK("https://about.twitter.com/products/tweetdeck","TweetDeck")</f>
        <v>TweetDeck</v>
      </c>
      <c r="F3147" s="19">
        <v>42930.679305555561</v>
      </c>
      <c r="G3147" s="24" t="s">
        <v>13000</v>
      </c>
      <c r="H3147" s="35" t="s">
        <v>7568</v>
      </c>
      <c r="I3147" s="25" t="s">
        <v>7569</v>
      </c>
    </row>
    <row r="3148" spans="1:9" s="31" customFormat="1" ht="45">
      <c r="A3148" s="19">
        <v>43550.606944444444</v>
      </c>
      <c r="B3148" s="20" t="str">
        <f>HYPERLINK("https://twitter.com/SWChandler2","@SWChandler2")</f>
        <v>@SWChandler2</v>
      </c>
      <c r="C3148" s="21" t="s">
        <v>2849</v>
      </c>
      <c r="D3148" s="22" t="s">
        <v>7567</v>
      </c>
      <c r="E3148" s="23" t="str">
        <f>HYPERLINK("https://about.twitter.com/products/tweetdeck","TweetDeck")</f>
        <v>TweetDeck</v>
      </c>
      <c r="F3148" s="19">
        <v>43363.634791666671</v>
      </c>
      <c r="G3148" s="24" t="s">
        <v>13000</v>
      </c>
      <c r="H3148" s="35" t="s">
        <v>7568</v>
      </c>
      <c r="I3148" s="25" t="s">
        <v>7589</v>
      </c>
    </row>
    <row r="3149" spans="1:9" s="31" customFormat="1" ht="45">
      <c r="A3149" s="19">
        <v>43550.589583333334</v>
      </c>
      <c r="B3149" s="20" t="str">
        <f>HYPERLINK("https://twitter.com/SWchandler","@SWchandler")</f>
        <v>@SWchandler</v>
      </c>
      <c r="C3149" s="21" t="s">
        <v>2849</v>
      </c>
      <c r="D3149" s="22" t="s">
        <v>7567</v>
      </c>
      <c r="E3149" s="23" t="str">
        <f>HYPERLINK("https://about.twitter.com/products/tweetdeck","TweetDeck")</f>
        <v>TweetDeck</v>
      </c>
      <c r="F3149" s="19">
        <v>40056.510497685187</v>
      </c>
      <c r="G3149" s="24" t="s">
        <v>13000</v>
      </c>
      <c r="H3149" s="35" t="s">
        <v>7602</v>
      </c>
      <c r="I3149" s="25" t="s">
        <v>7603</v>
      </c>
    </row>
    <row r="3150" spans="1:9" s="31" customFormat="1" ht="60">
      <c r="A3150" s="12">
        <v>43569.331817129627</v>
      </c>
      <c r="B3150" s="13" t="str">
        <f>HYPERLINK("https://twitter.com/DEGaultREALTOR","@DEGaultREALTOR")</f>
        <v>@DEGaultREALTOR</v>
      </c>
      <c r="C3150" s="14" t="s">
        <v>4545</v>
      </c>
      <c r="D3150" s="15" t="s">
        <v>4546</v>
      </c>
      <c r="E3150" s="16" t="str">
        <f>HYPERLINK("http://twitter.com/download/iphone","Twitter for iPhone")</f>
        <v>Twitter for iPhone</v>
      </c>
      <c r="F3150" s="12">
        <v>40014.408854166664</v>
      </c>
      <c r="G3150" s="24" t="s">
        <v>13000</v>
      </c>
      <c r="H3150" s="35" t="s">
        <v>4547</v>
      </c>
      <c r="I3150" s="18" t="s">
        <v>4548</v>
      </c>
    </row>
    <row r="3151" spans="1:9" s="31" customFormat="1" ht="45">
      <c r="A3151" s="4">
        <v>43562.629189814819</v>
      </c>
      <c r="B3151" s="5" t="str">
        <f>HYPERLINK("https://twitter.com/jessgold_","@jessgold_")</f>
        <v>@jessgold_</v>
      </c>
      <c r="C3151" s="6" t="s">
        <v>10635</v>
      </c>
      <c r="D3151" s="7" t="s">
        <v>10636</v>
      </c>
      <c r="E3151" s="8" t="str">
        <f>HYPERLINK("https://buffer.com","Buffer")</f>
        <v>Buffer</v>
      </c>
      <c r="F3151" s="4">
        <v>40657.00072916667</v>
      </c>
      <c r="G3151" s="24" t="s">
        <v>13000</v>
      </c>
      <c r="H3151" s="35" t="s">
        <v>10637</v>
      </c>
      <c r="I3151" s="10" t="s">
        <v>10638</v>
      </c>
    </row>
    <row r="3152" spans="1:9" s="31" customFormat="1" ht="45">
      <c r="A3152" s="19">
        <v>43551.33694444444</v>
      </c>
      <c r="B3152" s="20" t="str">
        <f>HYPERLINK("https://twitter.com/getbookfull","@getbookfull")</f>
        <v>@getbookfull</v>
      </c>
      <c r="C3152" s="21" t="s">
        <v>7301</v>
      </c>
      <c r="D3152" s="22" t="s">
        <v>7302</v>
      </c>
      <c r="E3152" s="23" t="str">
        <f>HYPERLINK("https://www.hootsuite.com","Hootsuite Inc.")</f>
        <v>Hootsuite Inc.</v>
      </c>
      <c r="F3152" s="19">
        <v>42780.369513888887</v>
      </c>
      <c r="G3152" s="24" t="s">
        <v>13000</v>
      </c>
      <c r="H3152" s="35" t="s">
        <v>1332</v>
      </c>
      <c r="I3152" s="25" t="s">
        <v>7303</v>
      </c>
    </row>
    <row r="3153" spans="1:9" s="31" customFormat="1" ht="45">
      <c r="A3153" s="19">
        <v>43544.305648148147</v>
      </c>
      <c r="B3153" s="20" t="str">
        <f>HYPERLINK("https://twitter.com/getbookfull","@getbookfull")</f>
        <v>@getbookfull</v>
      </c>
      <c r="C3153" s="21" t="s">
        <v>7301</v>
      </c>
      <c r="D3153" s="22" t="s">
        <v>9540</v>
      </c>
      <c r="E3153" s="23" t="str">
        <f>HYPERLINK("https://www.hootsuite.com","Hootsuite Inc.")</f>
        <v>Hootsuite Inc.</v>
      </c>
      <c r="F3153" s="19">
        <v>42780.369513888887</v>
      </c>
      <c r="G3153" s="24" t="s">
        <v>13000</v>
      </c>
      <c r="H3153" s="35" t="s">
        <v>1332</v>
      </c>
      <c r="I3153" s="25" t="s">
        <v>7303</v>
      </c>
    </row>
    <row r="3154" spans="1:9" s="31" customFormat="1" ht="75">
      <c r="A3154" s="4">
        <v>43559.270034722227</v>
      </c>
      <c r="B3154" s="5" t="str">
        <f>HYPERLINK("https://twitter.com/stephanieinchs","@stephanieinchs")</f>
        <v>@stephanieinchs</v>
      </c>
      <c r="C3154" s="6" t="s">
        <v>4673</v>
      </c>
      <c r="D3154" s="7" t="s">
        <v>11893</v>
      </c>
      <c r="E3154" s="8" t="str">
        <f>HYPERLINK("http://twitter.com","Twitter Web Client")</f>
        <v>Twitter Web Client</v>
      </c>
      <c r="F3154" s="4">
        <v>39905.226944444446</v>
      </c>
      <c r="G3154" s="24" t="s">
        <v>13000</v>
      </c>
      <c r="H3154" s="35" t="s">
        <v>1332</v>
      </c>
      <c r="I3154" s="10" t="s">
        <v>4675</v>
      </c>
    </row>
    <row r="3155" spans="1:9" s="31" customFormat="1" ht="45">
      <c r="A3155" s="12">
        <v>43578.271284722221</v>
      </c>
      <c r="B3155" s="13" t="str">
        <f>HYPERLINK("https://twitter.com/MaryFrancesMace","@MaryFrancesMace")</f>
        <v>@MaryFrancesMace</v>
      </c>
      <c r="C3155" s="14" t="s">
        <v>1331</v>
      </c>
      <c r="D3155" s="15" t="s">
        <v>1329</v>
      </c>
      <c r="E3155" s="16" t="str">
        <f>HYPERLINK("https://ifttt.com","IFTTT")</f>
        <v>IFTTT</v>
      </c>
      <c r="F3155" s="12">
        <v>40718.346296296295</v>
      </c>
      <c r="G3155" s="24" t="s">
        <v>13000</v>
      </c>
      <c r="H3155" s="35" t="s">
        <v>1332</v>
      </c>
      <c r="I3155" s="18"/>
    </row>
    <row r="3156" spans="1:9" s="31" customFormat="1" ht="45">
      <c r="A3156" s="12">
        <v>43571.850243055553</v>
      </c>
      <c r="B3156" s="13" t="str">
        <f>HYPERLINK("https://twitter.com/MaryFrancesMace","@MaryFrancesMace")</f>
        <v>@MaryFrancesMace</v>
      </c>
      <c r="C3156" s="14" t="s">
        <v>1331</v>
      </c>
      <c r="D3156" s="15" t="s">
        <v>3516</v>
      </c>
      <c r="E3156" s="16" t="str">
        <f>HYPERLINK("https://ifttt.com","IFTTT")</f>
        <v>IFTTT</v>
      </c>
      <c r="F3156" s="12">
        <v>40718.346296296295</v>
      </c>
      <c r="G3156" s="24" t="s">
        <v>13000</v>
      </c>
      <c r="H3156" s="35" t="s">
        <v>1332</v>
      </c>
      <c r="I3156" s="18"/>
    </row>
    <row r="3157" spans="1:9" s="31" customFormat="1" ht="75">
      <c r="A3157" s="12">
        <v>43568.653680555552</v>
      </c>
      <c r="B3157" s="13" t="str">
        <f>HYPERLINK("https://twitter.com/stephanieinchs","@stephanieinchs")</f>
        <v>@stephanieinchs</v>
      </c>
      <c r="C3157" s="14" t="s">
        <v>4673</v>
      </c>
      <c r="D3157" s="15" t="s">
        <v>4674</v>
      </c>
      <c r="E3157" s="16" t="str">
        <f>HYPERLINK("http://twitter.com/download/iphone","Twitter for iPhone")</f>
        <v>Twitter for iPhone</v>
      </c>
      <c r="F3157" s="12">
        <v>39905.226944444446</v>
      </c>
      <c r="G3157" s="24" t="s">
        <v>13000</v>
      </c>
      <c r="H3157" s="35" t="s">
        <v>1332</v>
      </c>
      <c r="I3157" s="18" t="s">
        <v>4675</v>
      </c>
    </row>
    <row r="3158" spans="1:9" s="31" customFormat="1" ht="45">
      <c r="A3158" s="19">
        <v>43543.531574074077</v>
      </c>
      <c r="B3158" s="20" t="str">
        <f>HYPERLINK("https://twitter.com/SawgrassInk","@SawgrassInk")</f>
        <v>@SawgrassInk</v>
      </c>
      <c r="C3158" s="21" t="s">
        <v>9767</v>
      </c>
      <c r="D3158" s="22" t="s">
        <v>9768</v>
      </c>
      <c r="E3158" s="23" t="str">
        <f>HYPERLINK("http://twitter.com/download/iphone","Twitter for iPhone")</f>
        <v>Twitter for iPhone</v>
      </c>
      <c r="F3158" s="19">
        <v>40336.49628472222</v>
      </c>
      <c r="G3158" s="24" t="s">
        <v>13000</v>
      </c>
      <c r="H3158" s="35" t="s">
        <v>9769</v>
      </c>
      <c r="I3158" s="25" t="s">
        <v>9770</v>
      </c>
    </row>
    <row r="3159" spans="1:9" s="31" customFormat="1" ht="90">
      <c r="A3159" s="19">
        <v>43549.339826388888</v>
      </c>
      <c r="B3159" s="20" t="str">
        <f>HYPERLINK("https://twitter.com/rabbuhq","@rabbuhq")</f>
        <v>@rabbuhq</v>
      </c>
      <c r="C3159" s="21" t="s">
        <v>8080</v>
      </c>
      <c r="D3159" s="22" t="s">
        <v>8081</v>
      </c>
      <c r="E3159" s="23" t="str">
        <f>HYPERLINK("http://twitter.com","Twitter Web Client")</f>
        <v>Twitter Web Client</v>
      </c>
      <c r="F3159" s="19">
        <v>42599.374201388884</v>
      </c>
      <c r="G3159" s="17" t="s">
        <v>13000</v>
      </c>
      <c r="H3159" s="35" t="s">
        <v>3603</v>
      </c>
      <c r="I3159" s="25" t="s">
        <v>8082</v>
      </c>
    </row>
    <row r="3160" spans="1:9" s="31" customFormat="1" ht="45">
      <c r="A3160" s="19">
        <v>43542.654594907406</v>
      </c>
      <c r="B3160" s="20" t="str">
        <f>HYPERLINK("https://twitter.com/thekellyco","@thekellyco")</f>
        <v>@thekellyco</v>
      </c>
      <c r="C3160" s="21" t="s">
        <v>4700</v>
      </c>
      <c r="D3160" s="22" t="s">
        <v>10043</v>
      </c>
      <c r="E3160" s="23" t="str">
        <f>HYPERLINK("http://twitter.com/download/iphone","Twitter for iPhone")</f>
        <v>Twitter for iPhone</v>
      </c>
      <c r="F3160" s="19">
        <v>39872.212500000001</v>
      </c>
      <c r="G3160" s="17" t="s">
        <v>13000</v>
      </c>
      <c r="H3160" s="35" t="s">
        <v>3603</v>
      </c>
      <c r="I3160" s="25" t="s">
        <v>10044</v>
      </c>
    </row>
    <row r="3161" spans="1:9" s="31" customFormat="1" ht="45">
      <c r="A3161" s="12">
        <v>43571.644236111111</v>
      </c>
      <c r="B3161" s="13" t="str">
        <f>HYPERLINK("https://twitter.com/pussyforbrkfast","@pussyforbrkfast")</f>
        <v>@pussyforbrkfast</v>
      </c>
      <c r="C3161" s="14" t="s">
        <v>3601</v>
      </c>
      <c r="D3161" s="15" t="s">
        <v>3602</v>
      </c>
      <c r="E3161" s="16" t="str">
        <f>HYPERLINK("http://twitter.com/download/iphone","Twitter for iPhone")</f>
        <v>Twitter for iPhone</v>
      </c>
      <c r="F3161" s="12">
        <v>42050.009456018517</v>
      </c>
      <c r="G3161" s="17" t="s">
        <v>13000</v>
      </c>
      <c r="H3161" s="35" t="s">
        <v>3603</v>
      </c>
      <c r="I3161" s="18" t="s">
        <v>3604</v>
      </c>
    </row>
    <row r="3162" spans="1:9" s="31" customFormat="1" ht="90">
      <c r="A3162" s="19">
        <v>43546.429097222222</v>
      </c>
      <c r="B3162" s="20" t="str">
        <f>HYPERLINK("https://twitter.com/LandmarkVal","@LandmarkVal")</f>
        <v>@LandmarkVal</v>
      </c>
      <c r="C3162" s="21" t="s">
        <v>8857</v>
      </c>
      <c r="D3162" s="22" t="s">
        <v>8858</v>
      </c>
      <c r="E3162" s="23" t="str">
        <f>HYPERLINK("http://twitter.com","Twitter Web Client")</f>
        <v>Twitter Web Client</v>
      </c>
      <c r="F3162" s="19">
        <v>43515.720231481479</v>
      </c>
      <c r="G3162" s="17" t="s">
        <v>13000</v>
      </c>
      <c r="H3162" s="35" t="s">
        <v>8859</v>
      </c>
      <c r="I3162" s="25" t="s">
        <v>8860</v>
      </c>
    </row>
    <row r="3163" spans="1:9" s="31" customFormat="1" ht="90">
      <c r="A3163" s="12">
        <v>43575.47274305555</v>
      </c>
      <c r="B3163" s="13" t="str">
        <f>HYPERLINK("https://twitter.com/UPTreefarmer","@UPTreefarmer")</f>
        <v>@UPTreefarmer</v>
      </c>
      <c r="C3163" s="14" t="s">
        <v>2200</v>
      </c>
      <c r="D3163" s="15" t="s">
        <v>2201</v>
      </c>
      <c r="E3163" s="16" t="str">
        <f>HYPERLINK("http://twitter.com/download/android","Twitter for Android")</f>
        <v>Twitter for Android</v>
      </c>
      <c r="F3163" s="12">
        <v>39918.679224537038</v>
      </c>
      <c r="G3163" s="17" t="s">
        <v>13000</v>
      </c>
      <c r="H3163" s="35" t="s">
        <v>2202</v>
      </c>
      <c r="I3163" s="18" t="s">
        <v>2203</v>
      </c>
    </row>
    <row r="3164" spans="1:9" s="31" customFormat="1" ht="105">
      <c r="A3164" s="12">
        <v>43574.581226851849</v>
      </c>
      <c r="B3164" s="13" t="str">
        <f>HYPERLINK("https://twitter.com/UPTreefarmer","@UPTreefarmer")</f>
        <v>@UPTreefarmer</v>
      </c>
      <c r="C3164" s="14" t="s">
        <v>2200</v>
      </c>
      <c r="D3164" s="15" t="s">
        <v>2508</v>
      </c>
      <c r="E3164" s="16" t="str">
        <f>HYPERLINK("http://twitter.com/download/android","Twitter for Android")</f>
        <v>Twitter for Android</v>
      </c>
      <c r="F3164" s="12">
        <v>39918.679224537038</v>
      </c>
      <c r="G3164" s="17" t="s">
        <v>13000</v>
      </c>
      <c r="H3164" s="35" t="s">
        <v>2202</v>
      </c>
      <c r="I3164" s="18" t="s">
        <v>2203</v>
      </c>
    </row>
    <row r="3165" spans="1:9" s="31" customFormat="1" ht="30">
      <c r="A3165" s="19">
        <v>43543.563784722224</v>
      </c>
      <c r="B3165" s="20" t="str">
        <f>HYPERLINK("https://twitter.com/RTandRC","@RTandRC")</f>
        <v>@RTandRC</v>
      </c>
      <c r="C3165" s="21" t="s">
        <v>9755</v>
      </c>
      <c r="D3165" s="22" t="s">
        <v>9756</v>
      </c>
      <c r="E3165" s="23" t="str">
        <f>HYPERLINK("http://instagram.com","Instagram")</f>
        <v>Instagram</v>
      </c>
      <c r="F3165" s="19">
        <v>41365.458877314813</v>
      </c>
      <c r="G3165" s="24" t="s">
        <v>13000</v>
      </c>
      <c r="H3165" s="35" t="s">
        <v>2130</v>
      </c>
      <c r="I3165" s="25" t="s">
        <v>9757</v>
      </c>
    </row>
    <row r="3166" spans="1:9" s="31" customFormat="1" ht="45">
      <c r="A3166" s="12">
        <v>43575.754398148143</v>
      </c>
      <c r="B3166" s="13" t="str">
        <f>HYPERLINK("https://twitter.com/JessLeighBorden","@JessLeighBorden")</f>
        <v>@JessLeighBorden</v>
      </c>
      <c r="C3166" s="14" t="s">
        <v>2128</v>
      </c>
      <c r="D3166" s="15" t="s">
        <v>2129</v>
      </c>
      <c r="E3166" s="16" t="str">
        <f>HYPERLINK("http://twitter.com/download/iphone","Twitter for iPhone")</f>
        <v>Twitter for iPhone</v>
      </c>
      <c r="F3166" s="12">
        <v>39979.761770833335</v>
      </c>
      <c r="G3166" s="24" t="s">
        <v>13000</v>
      </c>
      <c r="H3166" s="35" t="s">
        <v>2130</v>
      </c>
      <c r="I3166" s="18" t="s">
        <v>2131</v>
      </c>
    </row>
    <row r="3167" spans="1:9" s="31" customFormat="1" ht="60">
      <c r="A3167" s="4">
        <v>43558.703344907408</v>
      </c>
      <c r="B3167" s="5" t="str">
        <f>HYPERLINK("https://twitter.com/CarsonMountain","@CarsonMountain")</f>
        <v>@CarsonMountain</v>
      </c>
      <c r="C3167" s="6" t="s">
        <v>12066</v>
      </c>
      <c r="D3167" s="7" t="s">
        <v>12067</v>
      </c>
      <c r="E3167" s="8" t="str">
        <f>HYPERLINK("https://ifttt.com","IFTTT")</f>
        <v>IFTTT</v>
      </c>
      <c r="F3167" s="4">
        <v>42323.404305555552</v>
      </c>
      <c r="G3167" s="24" t="s">
        <v>13000</v>
      </c>
      <c r="H3167" s="35" t="s">
        <v>12068</v>
      </c>
      <c r="I3167" s="10" t="s">
        <v>12069</v>
      </c>
    </row>
    <row r="3168" spans="1:9" s="31" customFormat="1" ht="45">
      <c r="A3168" s="19">
        <v>43551.665601851855</v>
      </c>
      <c r="B3168" s="20" t="str">
        <f>HYPERLINK("https://twitter.com/Zip2Tax","@Zip2Tax")</f>
        <v>@Zip2Tax</v>
      </c>
      <c r="C3168" s="21" t="s">
        <v>7064</v>
      </c>
      <c r="D3168" s="22" t="s">
        <v>7065</v>
      </c>
      <c r="E3168" s="23" t="str">
        <f>HYPERLINK("https://www.google.com/","Google")</f>
        <v>Google</v>
      </c>
      <c r="F3168" s="19">
        <v>40955.552835648152</v>
      </c>
      <c r="G3168" s="24" t="s">
        <v>13000</v>
      </c>
      <c r="H3168" s="35" t="s">
        <v>7066</v>
      </c>
      <c r="I3168" s="25" t="s">
        <v>7067</v>
      </c>
    </row>
    <row r="3169" spans="1:9" s="31" customFormat="1" ht="60">
      <c r="A3169" s="4">
        <v>43565.692129629635</v>
      </c>
      <c r="B3169" s="5" t="str">
        <f>HYPERLINK("https://twitter.com/yassdawg","@yassdawg")</f>
        <v>@yassdawg</v>
      </c>
      <c r="C3169" s="6" t="s">
        <v>5945</v>
      </c>
      <c r="D3169" s="7" t="s">
        <v>5946</v>
      </c>
      <c r="E3169" s="8" t="str">
        <f>HYPERLINK("http://twitter.com/download/android","Twitter for Android")</f>
        <v>Twitter for Android</v>
      </c>
      <c r="F3169" s="4">
        <v>40308.681539351848</v>
      </c>
      <c r="G3169" s="17" t="s">
        <v>13000</v>
      </c>
      <c r="H3169" s="35" t="s">
        <v>2932</v>
      </c>
      <c r="I3169" s="10" t="s">
        <v>5947</v>
      </c>
    </row>
    <row r="3170" spans="1:9" s="31" customFormat="1" ht="45">
      <c r="A3170" s="4">
        <v>43564.581562499996</v>
      </c>
      <c r="B3170" s="5" t="str">
        <f>HYPERLINK("https://twitter.com/architectguy","@architectguy")</f>
        <v>@architectguy</v>
      </c>
      <c r="C3170" s="6" t="s">
        <v>6541</v>
      </c>
      <c r="D3170" s="7" t="s">
        <v>6542</v>
      </c>
      <c r="E3170" s="8" t="str">
        <f>HYPERLINK("http://publicize.wp.com/","WordPress.com")</f>
        <v>WordPress.com</v>
      </c>
      <c r="F3170" s="4">
        <v>40075.617418981477</v>
      </c>
      <c r="G3170" s="17" t="s">
        <v>13000</v>
      </c>
      <c r="H3170" s="35" t="s">
        <v>2932</v>
      </c>
      <c r="I3170" s="10" t="s">
        <v>6543</v>
      </c>
    </row>
    <row r="3171" spans="1:9" s="31" customFormat="1" ht="45">
      <c r="A3171" s="4">
        <v>43560.795474537037</v>
      </c>
      <c r="B3171" s="5" t="str">
        <f>HYPERLINK("https://twitter.com/julezfig","@julezfig")</f>
        <v>@julezfig</v>
      </c>
      <c r="C3171" s="6" t="s">
        <v>11160</v>
      </c>
      <c r="D3171" s="7" t="s">
        <v>11161</v>
      </c>
      <c r="E3171" s="8" t="str">
        <f>HYPERLINK("http://twitter.com/download/iphone","Twitter for iPhone")</f>
        <v>Twitter for iPhone</v>
      </c>
      <c r="F3171" s="4">
        <v>39923.353668981479</v>
      </c>
      <c r="G3171" s="17" t="s">
        <v>13000</v>
      </c>
      <c r="H3171" s="35" t="s">
        <v>2932</v>
      </c>
      <c r="I3171" s="10"/>
    </row>
    <row r="3172" spans="1:9" s="31" customFormat="1" ht="45">
      <c r="A3172" s="4">
        <v>43560.189444444448</v>
      </c>
      <c r="B3172" s="5" t="str">
        <f>HYPERLINK("https://twitter.com/ChadVHoltkamp","@ChadVHoltkamp")</f>
        <v>@ChadVHoltkamp</v>
      </c>
      <c r="C3172" s="6" t="s">
        <v>11579</v>
      </c>
      <c r="D3172" s="7" t="s">
        <v>11580</v>
      </c>
      <c r="E3172" s="8" t="str">
        <f>HYPERLINK("http://twitter.com/download/iphone","Twitter for iPhone")</f>
        <v>Twitter for iPhone</v>
      </c>
      <c r="F3172" s="4">
        <v>39923.894097222219</v>
      </c>
      <c r="G3172" s="17" t="s">
        <v>13000</v>
      </c>
      <c r="H3172" s="35" t="s">
        <v>2932</v>
      </c>
      <c r="I3172" s="10" t="s">
        <v>11581</v>
      </c>
    </row>
    <row r="3173" spans="1:9" s="31" customFormat="1" ht="105">
      <c r="A3173" s="12">
        <v>43573.317384259259</v>
      </c>
      <c r="B3173" s="13" t="str">
        <f>HYPERLINK("https://twitter.com/MikePal10","@MikePal10")</f>
        <v>@MikePal10</v>
      </c>
      <c r="C3173" s="14" t="s">
        <v>2930</v>
      </c>
      <c r="D3173" s="15" t="s">
        <v>2931</v>
      </c>
      <c r="E3173" s="16" t="str">
        <f>HYPERLINK("http://twitter.com/download/iphone","Twitter for iPhone")</f>
        <v>Twitter for iPhone</v>
      </c>
      <c r="F3173" s="12">
        <v>40655.710474537038</v>
      </c>
      <c r="G3173" s="17" t="s">
        <v>13000</v>
      </c>
      <c r="H3173" s="35" t="s">
        <v>2932</v>
      </c>
      <c r="I3173" s="18" t="s">
        <v>2933</v>
      </c>
    </row>
    <row r="3174" spans="1:9" s="31" customFormat="1" ht="60">
      <c r="A3174" s="12">
        <v>43570.260960648149</v>
      </c>
      <c r="B3174" s="13" t="str">
        <f>HYPERLINK("https://twitter.com/SLesavich","@SLesavich")</f>
        <v>@SLesavich</v>
      </c>
      <c r="C3174" s="14" t="s">
        <v>4270</v>
      </c>
      <c r="D3174" s="15" t="s">
        <v>4271</v>
      </c>
      <c r="E3174" s="16" t="str">
        <f>HYPERLINK("http://twitter.com","Twitter Web Client")</f>
        <v>Twitter Web Client</v>
      </c>
      <c r="F3174" s="12">
        <v>41462.774155092593</v>
      </c>
      <c r="G3174" s="17" t="s">
        <v>13000</v>
      </c>
      <c r="H3174" s="35" t="s">
        <v>2932</v>
      </c>
      <c r="I3174" s="18" t="s">
        <v>4272</v>
      </c>
    </row>
    <row r="3175" spans="1:9" s="31" customFormat="1" ht="45">
      <c r="A3175" s="12">
        <v>43566.725717592592</v>
      </c>
      <c r="B3175" s="13" t="str">
        <f>HYPERLINK("https://twitter.com/sayahillman","@sayahillman")</f>
        <v>@sayahillman</v>
      </c>
      <c r="C3175" s="14" t="s">
        <v>5368</v>
      </c>
      <c r="D3175" s="15" t="s">
        <v>5369</v>
      </c>
      <c r="E3175" s="16" t="str">
        <f>HYPERLINK("https://buffer.com","Buffer")</f>
        <v>Buffer</v>
      </c>
      <c r="F3175" s="12">
        <v>39924.84747685185</v>
      </c>
      <c r="G3175" s="17" t="s">
        <v>13000</v>
      </c>
      <c r="H3175" s="35" t="s">
        <v>2932</v>
      </c>
      <c r="I3175" s="18" t="s">
        <v>5370</v>
      </c>
    </row>
    <row r="3176" spans="1:9" s="31" customFormat="1" ht="30">
      <c r="A3176" s="4">
        <v>43563.617754629631</v>
      </c>
      <c r="B3176" s="5" t="str">
        <f>HYPERLINK("https://twitter.com/davekohlonline","@davekohlonline")</f>
        <v>@davekohlonline</v>
      </c>
      <c r="C3176" s="6" t="s">
        <v>6938</v>
      </c>
      <c r="D3176" s="7" t="s">
        <v>6939</v>
      </c>
      <c r="E3176" s="8" t="str">
        <f>HYPERLINK("http://twitter.com","Twitter Web Client")</f>
        <v>Twitter Web Client</v>
      </c>
      <c r="F3176" s="4">
        <v>40619.520104166666</v>
      </c>
      <c r="G3176" s="17" t="s">
        <v>13000</v>
      </c>
      <c r="H3176" s="35" t="s">
        <v>6940</v>
      </c>
      <c r="I3176" s="10" t="s">
        <v>6941</v>
      </c>
    </row>
    <row r="3177" spans="1:9" s="31" customFormat="1" ht="45">
      <c r="A3177" s="19">
        <v>43550.279421296298</v>
      </c>
      <c r="B3177" s="20" t="str">
        <f>HYPERLINK("https://twitter.com/glennapetersen","@glennapetersen")</f>
        <v>@glennapetersen</v>
      </c>
      <c r="C3177" s="21" t="s">
        <v>2938</v>
      </c>
      <c r="D3177" s="22" t="s">
        <v>7751</v>
      </c>
      <c r="E3177" s="23" t="str">
        <f>HYPERLINK("http://twitter.com","Twitter Web Client")</f>
        <v>Twitter Web Client</v>
      </c>
      <c r="F3177" s="19">
        <v>40112.582488425927</v>
      </c>
      <c r="G3177" s="17" t="s">
        <v>13000</v>
      </c>
      <c r="H3177" s="35" t="s">
        <v>2940</v>
      </c>
      <c r="I3177" s="25" t="s">
        <v>2941</v>
      </c>
    </row>
    <row r="3178" spans="1:9" s="31" customFormat="1" ht="45">
      <c r="A3178" s="12">
        <v>43573.307916666672</v>
      </c>
      <c r="B3178" s="13" t="str">
        <f>HYPERLINK("https://twitter.com/glennapetersen","@glennapetersen")</f>
        <v>@glennapetersen</v>
      </c>
      <c r="C3178" s="14" t="s">
        <v>2938</v>
      </c>
      <c r="D3178" s="15" t="s">
        <v>2939</v>
      </c>
      <c r="E3178" s="16" t="str">
        <f>HYPERLINK("http://twitter.com","Twitter Web Client")</f>
        <v>Twitter Web Client</v>
      </c>
      <c r="F3178" s="12">
        <v>40112.582488425927</v>
      </c>
      <c r="G3178" s="17" t="s">
        <v>13000</v>
      </c>
      <c r="H3178" s="35" t="s">
        <v>2940</v>
      </c>
      <c r="I3178" s="18" t="s">
        <v>2941</v>
      </c>
    </row>
    <row r="3179" spans="1:9" s="31" customFormat="1" ht="60">
      <c r="A3179" s="12">
        <v>43571.525648148148</v>
      </c>
      <c r="B3179" s="13" t="str">
        <f>HYPERLINK("https://twitter.com/HectorLuisAlamo","@HectorLuisAlamo")</f>
        <v>@HectorLuisAlamo</v>
      </c>
      <c r="C3179" s="14" t="s">
        <v>3652</v>
      </c>
      <c r="D3179" s="15" t="s">
        <v>3653</v>
      </c>
      <c r="E3179" s="16" t="str">
        <f>HYPERLINK("http://twitter.com/#!/download/ipad","Twitter for iPad")</f>
        <v>Twitter for iPad</v>
      </c>
      <c r="F3179" s="12">
        <v>39973.657777777778</v>
      </c>
      <c r="G3179" s="17" t="s">
        <v>13000</v>
      </c>
      <c r="H3179" s="35" t="s">
        <v>3654</v>
      </c>
      <c r="I3179" s="18" t="s">
        <v>3655</v>
      </c>
    </row>
    <row r="3180" spans="1:9" s="31" customFormat="1" ht="90">
      <c r="A3180" s="12">
        <v>43572.591307870374</v>
      </c>
      <c r="B3180" s="13" t="str">
        <f>HYPERLINK("https://twitter.com/WaitHereChicago","@WaitHereChicago")</f>
        <v>@WaitHereChicago</v>
      </c>
      <c r="C3180" s="14" t="s">
        <v>3139</v>
      </c>
      <c r="D3180" s="15" t="s">
        <v>3140</v>
      </c>
      <c r="E3180" s="16" t="str">
        <f>HYPERLINK("http://twitter.com","Twitter Web Client")</f>
        <v>Twitter Web Client</v>
      </c>
      <c r="F3180" s="12">
        <v>42966.602824074071</v>
      </c>
      <c r="G3180" s="17" t="s">
        <v>13000</v>
      </c>
      <c r="H3180" s="35" t="s">
        <v>3141</v>
      </c>
      <c r="I3180" s="18" t="s">
        <v>3142</v>
      </c>
    </row>
    <row r="3181" spans="1:9" s="31" customFormat="1" ht="75">
      <c r="A3181" s="19">
        <v>43551.714351851857</v>
      </c>
      <c r="B3181" s="20" t="str">
        <f>HYPERLINK("https://twitter.com/MeganLorelei","@MeganLorelei")</f>
        <v>@MeganLorelei</v>
      </c>
      <c r="C3181" s="21" t="s">
        <v>7027</v>
      </c>
      <c r="D3181" s="22" t="s">
        <v>7028</v>
      </c>
      <c r="E3181" s="23" t="str">
        <f>HYPERLINK("http://instagram.com","Instagram")</f>
        <v>Instagram</v>
      </c>
      <c r="F3181" s="19">
        <v>40199.588854166665</v>
      </c>
      <c r="G3181" s="17" t="s">
        <v>13000</v>
      </c>
      <c r="H3181" s="35" t="s">
        <v>660</v>
      </c>
      <c r="I3181" s="25" t="s">
        <v>7029</v>
      </c>
    </row>
    <row r="3182" spans="1:9" s="31" customFormat="1" ht="60">
      <c r="A3182" s="19">
        <v>43551.62709490741</v>
      </c>
      <c r="B3182" s="20" t="str">
        <f>HYPERLINK("https://twitter.com/FuturaJoaquin","@FuturaJoaquin")</f>
        <v>@FuturaJoaquin</v>
      </c>
      <c r="C3182" s="21" t="s">
        <v>7082</v>
      </c>
      <c r="D3182" s="22" t="s">
        <v>7083</v>
      </c>
      <c r="E3182" s="23" t="str">
        <f>HYPERLINK("http://twitter.com/download/android","Twitter for Android")</f>
        <v>Twitter for Android</v>
      </c>
      <c r="F3182" s="19">
        <v>40281.343252314815</v>
      </c>
      <c r="G3182" s="17" t="s">
        <v>13000</v>
      </c>
      <c r="H3182" s="35" t="s">
        <v>660</v>
      </c>
      <c r="I3182" s="25" t="s">
        <v>7084</v>
      </c>
    </row>
    <row r="3183" spans="1:9" s="31" customFormat="1" ht="75">
      <c r="A3183" s="19">
        <v>43550.620648148149</v>
      </c>
      <c r="B3183" s="20" t="str">
        <f>HYPERLINK("https://twitter.com/swabikedude","@swabikedude")</f>
        <v>@swabikedude</v>
      </c>
      <c r="C3183" s="21" t="s">
        <v>7583</v>
      </c>
      <c r="D3183" s="22" t="s">
        <v>7584</v>
      </c>
      <c r="E3183" s="23" t="str">
        <f>HYPERLINK("https://ifttt.com","IFTTT")</f>
        <v>IFTTT</v>
      </c>
      <c r="F3183" s="19">
        <v>39592.304733796293</v>
      </c>
      <c r="G3183" s="17" t="s">
        <v>13000</v>
      </c>
      <c r="H3183" s="35" t="s">
        <v>660</v>
      </c>
      <c r="I3183" s="25" t="s">
        <v>7585</v>
      </c>
    </row>
    <row r="3184" spans="1:9" s="31" customFormat="1" ht="75">
      <c r="A3184" s="19">
        <v>43550.21670138889</v>
      </c>
      <c r="B3184" s="20" t="str">
        <f>HYPERLINK("https://twitter.com/ChicagoVase","@ChicagoVase")</f>
        <v>@ChicagoVase</v>
      </c>
      <c r="C3184" s="21" t="s">
        <v>7789</v>
      </c>
      <c r="D3184" s="22" t="s">
        <v>7790</v>
      </c>
      <c r="E3184" s="23" t="str">
        <f>HYPERLINK("http://instagram.com","Instagram")</f>
        <v>Instagram</v>
      </c>
      <c r="F3184" s="19">
        <v>43459.363310185188</v>
      </c>
      <c r="G3184" s="17" t="s">
        <v>13000</v>
      </c>
      <c r="H3184" s="35" t="s">
        <v>660</v>
      </c>
      <c r="I3184" s="25" t="s">
        <v>7791</v>
      </c>
    </row>
    <row r="3185" spans="1:9" s="31" customFormat="1" ht="45">
      <c r="A3185" s="19">
        <v>43549.832824074074</v>
      </c>
      <c r="B3185" s="20" t="str">
        <f>HYPERLINK("https://twitter.com/megsytnick","@megsytnick")</f>
        <v>@megsytnick</v>
      </c>
      <c r="C3185" s="21" t="s">
        <v>7910</v>
      </c>
      <c r="D3185" s="22" t="s">
        <v>7911</v>
      </c>
      <c r="E3185" s="23" t="str">
        <f>HYPERLINK("http://twitter.com","Twitter Web Client")</f>
        <v>Twitter Web Client</v>
      </c>
      <c r="F3185" s="19">
        <v>39832.860983796294</v>
      </c>
      <c r="G3185" s="17" t="s">
        <v>13000</v>
      </c>
      <c r="H3185" s="35" t="s">
        <v>660</v>
      </c>
      <c r="I3185" s="25" t="s">
        <v>7912</v>
      </c>
    </row>
    <row r="3186" spans="1:9" s="31" customFormat="1" ht="30">
      <c r="A3186" s="19">
        <v>43549.458518518513</v>
      </c>
      <c r="B3186" s="20" t="str">
        <f>HYPERLINK("https://twitter.com/Pahroo","@Pahroo")</f>
        <v>@Pahroo</v>
      </c>
      <c r="C3186" s="21" t="s">
        <v>8023</v>
      </c>
      <c r="D3186" s="22" t="s">
        <v>8024</v>
      </c>
      <c r="E3186" s="23" t="str">
        <f>HYPERLINK("https://www.hootsuite.com","Hootsuite Inc.")</f>
        <v>Hootsuite Inc.</v>
      </c>
      <c r="F3186" s="19">
        <v>39755.859664351854</v>
      </c>
      <c r="G3186" s="17" t="s">
        <v>13000</v>
      </c>
      <c r="H3186" s="35" t="s">
        <v>660</v>
      </c>
      <c r="I3186" s="25" t="s">
        <v>8025</v>
      </c>
    </row>
    <row r="3187" spans="1:9" s="31" customFormat="1" ht="75">
      <c r="A3187" s="19">
        <v>43549.437407407408</v>
      </c>
      <c r="B3187" s="20" t="str">
        <f>HYPERLINK("https://twitter.com/ChicagoVase","@ChicagoVase")</f>
        <v>@ChicagoVase</v>
      </c>
      <c r="C3187" s="21" t="s">
        <v>7789</v>
      </c>
      <c r="D3187" s="22" t="s">
        <v>7790</v>
      </c>
      <c r="E3187" s="23" t="str">
        <f>HYPERLINK("http://instagram.com","Instagram")</f>
        <v>Instagram</v>
      </c>
      <c r="F3187" s="19">
        <v>43459.363310185188</v>
      </c>
      <c r="G3187" s="17" t="s">
        <v>13000</v>
      </c>
      <c r="H3187" s="35" t="s">
        <v>660</v>
      </c>
      <c r="I3187" s="25" t="s">
        <v>7791</v>
      </c>
    </row>
    <row r="3188" spans="1:9" s="31" customFormat="1" ht="75">
      <c r="A3188" s="19">
        <v>43546.552291666667</v>
      </c>
      <c r="B3188" s="20" t="str">
        <f>HYPERLINK("https://twitter.com/ChicagoVase","@ChicagoVase")</f>
        <v>@ChicagoVase</v>
      </c>
      <c r="C3188" s="21" t="s">
        <v>7789</v>
      </c>
      <c r="D3188" s="22" t="s">
        <v>7790</v>
      </c>
      <c r="E3188" s="23" t="str">
        <f>HYPERLINK("http://instagram.com","Instagram")</f>
        <v>Instagram</v>
      </c>
      <c r="F3188" s="19">
        <v>43459.363310185188</v>
      </c>
      <c r="G3188" s="17" t="s">
        <v>13000</v>
      </c>
      <c r="H3188" s="35" t="s">
        <v>660</v>
      </c>
      <c r="I3188" s="25" t="s">
        <v>7791</v>
      </c>
    </row>
    <row r="3189" spans="1:9" s="31" customFormat="1" ht="45">
      <c r="A3189" s="19">
        <v>43545.771620370375</v>
      </c>
      <c r="B3189" s="20" t="str">
        <f>HYPERLINK("https://twitter.com/_hostly","@_hostly")</f>
        <v>@_hostly</v>
      </c>
      <c r="C3189" s="21" t="s">
        <v>1065</v>
      </c>
      <c r="D3189" s="22" t="s">
        <v>9055</v>
      </c>
      <c r="E3189" s="23" t="str">
        <f>HYPERLINK("https://mobile.twitter.com","Twitter Web App")</f>
        <v>Twitter Web App</v>
      </c>
      <c r="F3189" s="19">
        <v>42913.52443287037</v>
      </c>
      <c r="G3189" s="17" t="s">
        <v>13000</v>
      </c>
      <c r="H3189" s="35" t="s">
        <v>660</v>
      </c>
      <c r="I3189" s="25" t="s">
        <v>1067</v>
      </c>
    </row>
    <row r="3190" spans="1:9" s="31" customFormat="1" ht="90">
      <c r="A3190" s="19">
        <v>43542.671099537038</v>
      </c>
      <c r="B3190" s="20" t="str">
        <f>HYPERLINK("https://twitter.com/Chicagoings","@Chicagoings")</f>
        <v>@Chicagoings</v>
      </c>
      <c r="C3190" s="21" t="s">
        <v>10040</v>
      </c>
      <c r="D3190" s="22" t="s">
        <v>10041</v>
      </c>
      <c r="E3190" s="23" t="str">
        <f>HYPERLINK("http://twitter.com/download/android","Twitter for Android")</f>
        <v>Twitter for Android</v>
      </c>
      <c r="F3190" s="19">
        <v>41232.991180555553</v>
      </c>
      <c r="G3190" s="17" t="s">
        <v>13000</v>
      </c>
      <c r="H3190" s="35" t="s">
        <v>660</v>
      </c>
      <c r="I3190" s="25" t="s">
        <v>10042</v>
      </c>
    </row>
    <row r="3191" spans="1:9" s="31" customFormat="1" ht="75">
      <c r="A3191" s="4">
        <v>43565.208414351851</v>
      </c>
      <c r="B3191" s="5" t="str">
        <f>HYPERLINK("https://twitter.com/ChicagoVase","@ChicagoVase")</f>
        <v>@ChicagoVase</v>
      </c>
      <c r="C3191" s="6" t="s">
        <v>7789</v>
      </c>
      <c r="D3191" s="7" t="s">
        <v>7790</v>
      </c>
      <c r="E3191" s="8" t="str">
        <f>HYPERLINK("http://instagram.com","Instagram")</f>
        <v>Instagram</v>
      </c>
      <c r="F3191" s="4">
        <v>43459.363310185188</v>
      </c>
      <c r="G3191" s="17" t="s">
        <v>13000</v>
      </c>
      <c r="H3191" s="35" t="s">
        <v>660</v>
      </c>
      <c r="I3191" s="10" t="s">
        <v>7791</v>
      </c>
    </row>
    <row r="3192" spans="1:9" s="31" customFormat="1" ht="90">
      <c r="A3192" s="4">
        <v>43564.688194444447</v>
      </c>
      <c r="B3192" s="5" t="str">
        <f>HYPERLINK("https://twitter.com/marketvmedicine","@marketvmedicine")</f>
        <v>@marketvmedicine</v>
      </c>
      <c r="C3192" s="6" t="s">
        <v>6451</v>
      </c>
      <c r="D3192" s="7" t="s">
        <v>6452</v>
      </c>
      <c r="E3192" s="8" t="str">
        <f>HYPERLINK("https://sproutsocial.com","Sprout Social")</f>
        <v>Sprout Social</v>
      </c>
      <c r="F3192" s="4">
        <v>41780.659710648149</v>
      </c>
      <c r="G3192" s="17" t="s">
        <v>13000</v>
      </c>
      <c r="H3192" s="35" t="s">
        <v>660</v>
      </c>
      <c r="I3192" s="10" t="s">
        <v>6453</v>
      </c>
    </row>
    <row r="3193" spans="1:9" s="31" customFormat="1" ht="90">
      <c r="A3193" s="4">
        <v>43563.678032407406</v>
      </c>
      <c r="B3193" s="5" t="str">
        <f>HYPERLINK("https://twitter.com/_hostly","@_hostly")</f>
        <v>@_hostly</v>
      </c>
      <c r="C3193" s="6" t="s">
        <v>1065</v>
      </c>
      <c r="D3193" s="7" t="s">
        <v>10214</v>
      </c>
      <c r="E3193" s="8" t="str">
        <f>HYPERLINK("http://twitter.com/download/android","Twitter for Android")</f>
        <v>Twitter for Android</v>
      </c>
      <c r="F3193" s="4">
        <v>42913.52443287037</v>
      </c>
      <c r="G3193" s="17" t="s">
        <v>13000</v>
      </c>
      <c r="H3193" s="35" t="s">
        <v>660</v>
      </c>
      <c r="I3193" s="10" t="s">
        <v>1067</v>
      </c>
    </row>
    <row r="3194" spans="1:9" s="31" customFormat="1" ht="75">
      <c r="A3194" s="4">
        <v>43563.387511574074</v>
      </c>
      <c r="B3194" s="5" t="str">
        <f>HYPERLINK("https://twitter.com/ChicagoVase","@ChicagoVase")</f>
        <v>@ChicagoVase</v>
      </c>
      <c r="C3194" s="6" t="s">
        <v>7789</v>
      </c>
      <c r="D3194" s="7" t="s">
        <v>7790</v>
      </c>
      <c r="E3194" s="8" t="str">
        <f>HYPERLINK("https://buffer.com","Buffer")</f>
        <v>Buffer</v>
      </c>
      <c r="F3194" s="4">
        <v>43459.363310185188</v>
      </c>
      <c r="G3194" s="17" t="s">
        <v>13000</v>
      </c>
      <c r="H3194" s="35" t="s">
        <v>660</v>
      </c>
      <c r="I3194" s="10" t="s">
        <v>7791</v>
      </c>
    </row>
    <row r="3195" spans="1:9" s="31" customFormat="1" ht="75">
      <c r="A3195" s="4">
        <v>43563.156469907408</v>
      </c>
      <c r="B3195" s="5" t="str">
        <f>HYPERLINK("https://twitter.com/ChicagoVase","@ChicagoVase")</f>
        <v>@ChicagoVase</v>
      </c>
      <c r="C3195" s="6" t="s">
        <v>7789</v>
      </c>
      <c r="D3195" s="7" t="s">
        <v>7790</v>
      </c>
      <c r="E3195" s="8" t="str">
        <f>HYPERLINK("http://instagram.com","Instagram")</f>
        <v>Instagram</v>
      </c>
      <c r="F3195" s="4">
        <v>43459.363310185188</v>
      </c>
      <c r="G3195" s="17" t="s">
        <v>13000</v>
      </c>
      <c r="H3195" s="35" t="s">
        <v>660</v>
      </c>
      <c r="I3195" s="10" t="s">
        <v>7791</v>
      </c>
    </row>
    <row r="3196" spans="1:9" s="31" customFormat="1" ht="75">
      <c r="A3196" s="4">
        <v>43561.256666666668</v>
      </c>
      <c r="B3196" s="5" t="str">
        <f>HYPERLINK("https://twitter.com/ChicagoVase","@ChicagoVase")</f>
        <v>@ChicagoVase</v>
      </c>
      <c r="C3196" s="6" t="s">
        <v>7789</v>
      </c>
      <c r="D3196" s="7" t="s">
        <v>7790</v>
      </c>
      <c r="E3196" s="8" t="str">
        <f>HYPERLINK("http://instagram.com","Instagram")</f>
        <v>Instagram</v>
      </c>
      <c r="F3196" s="4">
        <v>43459.363310185188</v>
      </c>
      <c r="G3196" s="17" t="s">
        <v>13000</v>
      </c>
      <c r="H3196" s="35" t="s">
        <v>660</v>
      </c>
      <c r="I3196" s="10" t="s">
        <v>7791</v>
      </c>
    </row>
    <row r="3197" spans="1:9" s="31" customFormat="1" ht="75">
      <c r="A3197" s="4">
        <v>43561.087233796294</v>
      </c>
      <c r="B3197" s="5" t="str">
        <f>HYPERLINK("https://twitter.com/callmeButchie","@callmeButchie")</f>
        <v>@callmeButchie</v>
      </c>
      <c r="C3197" s="6" t="s">
        <v>11074</v>
      </c>
      <c r="D3197" s="7" t="s">
        <v>11075</v>
      </c>
      <c r="E3197" s="8" t="str">
        <f>HYPERLINK("http://instagram.com","Instagram")</f>
        <v>Instagram</v>
      </c>
      <c r="F3197" s="4">
        <v>41180.835150462961</v>
      </c>
      <c r="G3197" s="17" t="s">
        <v>13000</v>
      </c>
      <c r="H3197" s="35" t="s">
        <v>660</v>
      </c>
      <c r="I3197" s="10" t="s">
        <v>11076</v>
      </c>
    </row>
    <row r="3198" spans="1:9" s="31" customFormat="1" ht="60">
      <c r="A3198" s="4">
        <v>43556.654953703706</v>
      </c>
      <c r="B3198" s="5" t="str">
        <f>HYPERLINK("https://twitter.com/_hostly","@_hostly")</f>
        <v>@_hostly</v>
      </c>
      <c r="C3198" s="6" t="s">
        <v>1065</v>
      </c>
      <c r="D3198" s="7" t="s">
        <v>12779</v>
      </c>
      <c r="E3198" s="8" t="str">
        <f>HYPERLINK("http://twitter.com/download/android","Twitter for Android")</f>
        <v>Twitter for Android</v>
      </c>
      <c r="F3198" s="4">
        <v>42913.52443287037</v>
      </c>
      <c r="G3198" s="17" t="s">
        <v>13000</v>
      </c>
      <c r="H3198" s="35" t="s">
        <v>660</v>
      </c>
      <c r="I3198" s="10" t="s">
        <v>1067</v>
      </c>
    </row>
    <row r="3199" spans="1:9" s="31" customFormat="1" ht="45">
      <c r="A3199" s="4">
        <v>43556.636759259258</v>
      </c>
      <c r="B3199" s="5" t="str">
        <f>HYPERLINK("https://twitter.com/Britvr_","@Britvr_")</f>
        <v>@Britvr_</v>
      </c>
      <c r="C3199" s="6" t="s">
        <v>12780</v>
      </c>
      <c r="D3199" s="7" t="s">
        <v>12781</v>
      </c>
      <c r="E3199" s="8" t="str">
        <f>HYPERLINK("http://twitter.com","Twitter Web Client")</f>
        <v>Twitter Web Client</v>
      </c>
      <c r="F3199" s="4">
        <v>41850.376226851848</v>
      </c>
      <c r="G3199" s="17" t="s">
        <v>13000</v>
      </c>
      <c r="H3199" s="35" t="s">
        <v>660</v>
      </c>
      <c r="I3199" s="10" t="s">
        <v>12782</v>
      </c>
    </row>
    <row r="3200" spans="1:9" s="31" customFormat="1" ht="75">
      <c r="A3200" s="12">
        <v>43579.455636574072</v>
      </c>
      <c r="B3200" s="13" t="str">
        <f>HYPERLINK("https://twitter.com/HobbitPirate","@HobbitPirate")</f>
        <v>@HobbitPirate</v>
      </c>
      <c r="C3200" s="14" t="s">
        <v>658</v>
      </c>
      <c r="D3200" s="15" t="s">
        <v>659</v>
      </c>
      <c r="E3200" s="16" t="str">
        <f>HYPERLINK("http://twitter.com/download/android","Twitter for Android")</f>
        <v>Twitter for Android</v>
      </c>
      <c r="F3200" s="12">
        <v>40972.723344907405</v>
      </c>
      <c r="G3200" s="17" t="s">
        <v>13000</v>
      </c>
      <c r="H3200" s="35" t="s">
        <v>660</v>
      </c>
      <c r="I3200" s="18" t="s">
        <v>661</v>
      </c>
    </row>
    <row r="3201" spans="1:9" s="31" customFormat="1" ht="90">
      <c r="A3201" s="12">
        <v>43578.725694444445</v>
      </c>
      <c r="B3201" s="13" t="str">
        <f>HYPERLINK("https://twitter.com/_hostly","@_hostly")</f>
        <v>@_hostly</v>
      </c>
      <c r="C3201" s="14" t="s">
        <v>1065</v>
      </c>
      <c r="D3201" s="15" t="s">
        <v>1066</v>
      </c>
      <c r="E3201" s="16" t="str">
        <f>HYPERLINK("http://twitter.com/download/android","Twitter for Android")</f>
        <v>Twitter for Android</v>
      </c>
      <c r="F3201" s="12">
        <v>42913.52443287037</v>
      </c>
      <c r="G3201" s="17" t="s">
        <v>13000</v>
      </c>
      <c r="H3201" s="35" t="s">
        <v>660</v>
      </c>
      <c r="I3201" s="18" t="s">
        <v>1067</v>
      </c>
    </row>
    <row r="3202" spans="1:9" s="31" customFormat="1" ht="60">
      <c r="A3202" s="12">
        <v>43575.341944444444</v>
      </c>
      <c r="B3202" s="13" t="str">
        <f>HYPERLINK("https://twitter.com/mverwin","@mverwin")</f>
        <v>@mverwin</v>
      </c>
      <c r="C3202" s="14" t="s">
        <v>2272</v>
      </c>
      <c r="D3202" s="15" t="s">
        <v>2273</v>
      </c>
      <c r="E3202" s="16" t="str">
        <f>HYPERLINK("http://instagram.com","Instagram")</f>
        <v>Instagram</v>
      </c>
      <c r="F3202" s="12">
        <v>39891.281423611115</v>
      </c>
      <c r="G3202" s="17" t="s">
        <v>13000</v>
      </c>
      <c r="H3202" s="35" t="s">
        <v>660</v>
      </c>
      <c r="I3202" s="18" t="s">
        <v>2274</v>
      </c>
    </row>
    <row r="3203" spans="1:9" s="31" customFormat="1" ht="60">
      <c r="A3203" s="12">
        <v>43574.437696759254</v>
      </c>
      <c r="B3203" s="13" t="str">
        <f>HYPERLINK("https://twitter.com/attackthesound","@attackthesound")</f>
        <v>@attackthesound</v>
      </c>
      <c r="C3203" s="14" t="s">
        <v>2550</v>
      </c>
      <c r="D3203" s="15" t="s">
        <v>2551</v>
      </c>
      <c r="E3203" s="16" t="str">
        <f>HYPERLINK("http://instagram.com","Instagram")</f>
        <v>Instagram</v>
      </c>
      <c r="F3203" s="12">
        <v>40418.59375</v>
      </c>
      <c r="G3203" s="17" t="s">
        <v>13000</v>
      </c>
      <c r="H3203" s="35" t="s">
        <v>660</v>
      </c>
      <c r="I3203" s="18" t="s">
        <v>2552</v>
      </c>
    </row>
    <row r="3204" spans="1:9" s="31" customFormat="1" ht="45">
      <c r="A3204" s="12">
        <v>43572.510555555556</v>
      </c>
      <c r="B3204" s="13" t="str">
        <f>HYPERLINK("https://twitter.com/mindfluence","@mindfluence")</f>
        <v>@mindfluence</v>
      </c>
      <c r="C3204" s="14" t="s">
        <v>3203</v>
      </c>
      <c r="D3204" s="15" t="s">
        <v>3204</v>
      </c>
      <c r="E3204" s="16" t="str">
        <f>HYPERLINK("https://www.hootsuite.com","Hootsuite Inc.")</f>
        <v>Hootsuite Inc.</v>
      </c>
      <c r="F3204" s="12">
        <v>43391.530405092592</v>
      </c>
      <c r="G3204" s="17" t="s">
        <v>13000</v>
      </c>
      <c r="H3204" s="35" t="s">
        <v>660</v>
      </c>
      <c r="I3204" s="18" t="s">
        <v>3205</v>
      </c>
    </row>
    <row r="3205" spans="1:9" s="31" customFormat="1" ht="75">
      <c r="A3205" s="12">
        <v>43571.514837962968</v>
      </c>
      <c r="B3205" s="13" t="str">
        <f>HYPERLINK("https://twitter.com/attackthesound","@attackthesound")</f>
        <v>@attackthesound</v>
      </c>
      <c r="C3205" s="14" t="s">
        <v>2550</v>
      </c>
      <c r="D3205" s="15" t="s">
        <v>3658</v>
      </c>
      <c r="E3205" s="16" t="str">
        <f>HYPERLINK("http://instagram.com","Instagram")</f>
        <v>Instagram</v>
      </c>
      <c r="F3205" s="12">
        <v>40418.59375</v>
      </c>
      <c r="G3205" s="17" t="s">
        <v>13000</v>
      </c>
      <c r="H3205" s="35" t="s">
        <v>660</v>
      </c>
      <c r="I3205" s="18" t="s">
        <v>2552</v>
      </c>
    </row>
    <row r="3206" spans="1:9" s="31" customFormat="1" ht="45">
      <c r="A3206" s="12">
        <v>43569.68614583333</v>
      </c>
      <c r="B3206" s="13" t="str">
        <f>HYPERLINK("https://twitter.com/RudiGourmand","@RudiGourmand")</f>
        <v>@RudiGourmand</v>
      </c>
      <c r="C3206" s="14" t="s">
        <v>4433</v>
      </c>
      <c r="D3206" s="15" t="s">
        <v>4434</v>
      </c>
      <c r="E3206" s="16" t="str">
        <f>HYPERLINK("http://twitter.com","Twitter Web Client")</f>
        <v>Twitter Web Client</v>
      </c>
      <c r="F3206" s="12">
        <v>42414.882777777777</v>
      </c>
      <c r="G3206" s="17" t="s">
        <v>13000</v>
      </c>
      <c r="H3206" s="35" t="s">
        <v>660</v>
      </c>
      <c r="I3206" s="18" t="s">
        <v>4435</v>
      </c>
    </row>
    <row r="3207" spans="1:9" s="31" customFormat="1" ht="60">
      <c r="A3207" s="12">
        <v>43566.409722222219</v>
      </c>
      <c r="B3207" s="13" t="str">
        <f>HYPERLINK("https://twitter.com/DBrandlink","@DBrandlink")</f>
        <v>@DBrandlink</v>
      </c>
      <c r="C3207" s="14" t="s">
        <v>5552</v>
      </c>
      <c r="D3207" s="15" t="s">
        <v>405</v>
      </c>
      <c r="E3207" s="16" t="str">
        <f>HYPERLINK("https://buffer.com","Buffer")</f>
        <v>Buffer</v>
      </c>
      <c r="F3207" s="12">
        <v>43397.950833333336</v>
      </c>
      <c r="G3207" s="17" t="s">
        <v>13000</v>
      </c>
      <c r="H3207" s="35" t="s">
        <v>660</v>
      </c>
      <c r="I3207" s="18" t="s">
        <v>5553</v>
      </c>
    </row>
    <row r="3208" spans="1:9" s="31" customFormat="1" ht="90">
      <c r="A3208" s="12">
        <v>43566.334085648152</v>
      </c>
      <c r="B3208" s="13" t="str">
        <f>HYPERLINK("https://twitter.com/CurmudgeonGroup","@CurmudgeonGroup")</f>
        <v>@CurmudgeonGroup</v>
      </c>
      <c r="C3208" s="14" t="s">
        <v>5644</v>
      </c>
      <c r="D3208" s="15" t="s">
        <v>5645</v>
      </c>
      <c r="E3208" s="16" t="str">
        <f>HYPERLINK("https://www.hootsuite.com","Hootsuite Inc.")</f>
        <v>Hootsuite Inc.</v>
      </c>
      <c r="F3208" s="12">
        <v>41705.527245370373</v>
      </c>
      <c r="G3208" s="17" t="s">
        <v>13000</v>
      </c>
      <c r="H3208" s="35" t="s">
        <v>660</v>
      </c>
      <c r="I3208" s="18" t="s">
        <v>5646</v>
      </c>
    </row>
    <row r="3209" spans="1:9" s="31" customFormat="1" ht="75">
      <c r="A3209" s="12">
        <v>43568.519143518519</v>
      </c>
      <c r="B3209" s="13" t="str">
        <f>HYPERLINK("https://twitter.com/saradixon1217","@saradixon1217")</f>
        <v>@saradixon1217</v>
      </c>
      <c r="C3209" s="14" t="s">
        <v>4720</v>
      </c>
      <c r="D3209" s="15" t="s">
        <v>4721</v>
      </c>
      <c r="E3209" s="16" t="str">
        <f>HYPERLINK("http://instagram.com","Instagram")</f>
        <v>Instagram</v>
      </c>
      <c r="F3209" s="12">
        <v>41371.793807870374</v>
      </c>
      <c r="G3209" s="17" t="s">
        <v>13000</v>
      </c>
      <c r="H3209" s="35" t="s">
        <v>4722</v>
      </c>
      <c r="I3209" s="18" t="s">
        <v>4723</v>
      </c>
    </row>
    <row r="3210" spans="1:9" s="31" customFormat="1" ht="60">
      <c r="A3210" s="19">
        <v>43549.729398148149</v>
      </c>
      <c r="B3210" s="20" t="str">
        <f>HYPERLINK("https://twitter.com/chadmoon","@chadmoon")</f>
        <v>@chadmoon</v>
      </c>
      <c r="C3210" s="21" t="s">
        <v>7934</v>
      </c>
      <c r="D3210" s="22" t="s">
        <v>7935</v>
      </c>
      <c r="E3210" s="23" t="str">
        <f>HYPERLINK("http://instagram.com","Instagram")</f>
        <v>Instagram</v>
      </c>
      <c r="F3210" s="19">
        <v>39412.822384259256</v>
      </c>
      <c r="G3210" s="24" t="s">
        <v>13000</v>
      </c>
      <c r="H3210" s="35" t="s">
        <v>5972</v>
      </c>
      <c r="I3210" s="25" t="s">
        <v>7936</v>
      </c>
    </row>
    <row r="3211" spans="1:9" s="31" customFormat="1" ht="45">
      <c r="A3211" s="19">
        <v>43549.701273148152</v>
      </c>
      <c r="B3211" s="20" t="str">
        <f>HYPERLINK("https://twitter.com/chadmoon","@chadmoon")</f>
        <v>@chadmoon</v>
      </c>
      <c r="C3211" s="21" t="s">
        <v>7934</v>
      </c>
      <c r="D3211" s="22" t="s">
        <v>7940</v>
      </c>
      <c r="E3211" s="23" t="str">
        <f>HYPERLINK("http://instagram.com","Instagram")</f>
        <v>Instagram</v>
      </c>
      <c r="F3211" s="19">
        <v>39412.822384259256</v>
      </c>
      <c r="G3211" s="24" t="s">
        <v>13000</v>
      </c>
      <c r="H3211" s="35" t="s">
        <v>5972</v>
      </c>
      <c r="I3211" s="25" t="s">
        <v>7936</v>
      </c>
    </row>
    <row r="3212" spans="1:9" s="31" customFormat="1" ht="45">
      <c r="A3212" s="4">
        <v>43565.645844907413</v>
      </c>
      <c r="B3212" s="5" t="str">
        <f>HYPERLINK("https://twitter.com/CakesByElle01","@CakesByElle01")</f>
        <v>@CakesByElle01</v>
      </c>
      <c r="C3212" s="6" t="s">
        <v>5970</v>
      </c>
      <c r="D3212" s="7" t="s">
        <v>5971</v>
      </c>
      <c r="E3212" s="8" t="str">
        <f>HYPERLINK("https://about.twitter.com/products/tweetdeck","TweetDeck")</f>
        <v>TweetDeck</v>
      </c>
      <c r="F3212" s="4">
        <v>42022.613032407404</v>
      </c>
      <c r="G3212" s="24" t="s">
        <v>13000</v>
      </c>
      <c r="H3212" s="35" t="s">
        <v>5972</v>
      </c>
      <c r="I3212" s="10" t="s">
        <v>5973</v>
      </c>
    </row>
    <row r="3213" spans="1:9" s="31" customFormat="1" ht="45">
      <c r="A3213" s="4">
        <v>43565.532222222224</v>
      </c>
      <c r="B3213" s="5" t="str">
        <f>HYPERLINK("https://twitter.com/CakesByElle01","@CakesByElle01")</f>
        <v>@CakesByElle01</v>
      </c>
      <c r="C3213" s="6" t="s">
        <v>5970</v>
      </c>
      <c r="D3213" s="7" t="s">
        <v>5971</v>
      </c>
      <c r="E3213" s="8" t="str">
        <f>HYPERLINK("https://about.twitter.com/products/tweetdeck","TweetDeck")</f>
        <v>TweetDeck</v>
      </c>
      <c r="F3213" s="4">
        <v>42022.613032407404</v>
      </c>
      <c r="G3213" s="24" t="s">
        <v>13000</v>
      </c>
      <c r="H3213" s="35" t="s">
        <v>5972</v>
      </c>
      <c r="I3213" s="10" t="s">
        <v>5973</v>
      </c>
    </row>
    <row r="3214" spans="1:9" s="31" customFormat="1" ht="90">
      <c r="A3214" s="4">
        <v>43563.451585648145</v>
      </c>
      <c r="B3214" s="5" t="str">
        <f>HYPERLINK("https://twitter.com/margyartgrrl","@margyartgrrl")</f>
        <v>@margyartgrrl</v>
      </c>
      <c r="C3214" s="6" t="s">
        <v>10284</v>
      </c>
      <c r="D3214" s="7" t="s">
        <v>10285</v>
      </c>
      <c r="E3214" s="8" t="str">
        <f>HYPERLINK("https://mobile.twitter.com","Twitter Web App")</f>
        <v>Twitter Web App</v>
      </c>
      <c r="F3214" s="4">
        <v>39875.339756944442</v>
      </c>
      <c r="G3214" s="24" t="s">
        <v>13000</v>
      </c>
      <c r="H3214" s="35" t="s">
        <v>5972</v>
      </c>
      <c r="I3214" s="10" t="s">
        <v>10286</v>
      </c>
    </row>
    <row r="3215" spans="1:9" s="31" customFormat="1" ht="45">
      <c r="A3215" s="19">
        <v>43545.341354166667</v>
      </c>
      <c r="B3215" s="20" t="str">
        <f>HYPERLINK("https://twitter.com/RDelamora28","@RDelamora28")</f>
        <v>@RDelamora28</v>
      </c>
      <c r="C3215" s="21" t="s">
        <v>9191</v>
      </c>
      <c r="D3215" s="22" t="s">
        <v>9192</v>
      </c>
      <c r="E3215" s="23" t="str">
        <f>HYPERLINK("http://twitter.com/download/iphone","Twitter for iPhone")</f>
        <v>Twitter for iPhone</v>
      </c>
      <c r="F3215" s="19">
        <v>40274.708657407406</v>
      </c>
      <c r="G3215" s="24" t="s">
        <v>13000</v>
      </c>
      <c r="H3215" s="35" t="s">
        <v>9193</v>
      </c>
      <c r="I3215" s="25" t="s">
        <v>9194</v>
      </c>
    </row>
    <row r="3216" spans="1:9" s="31" customFormat="1" ht="30">
      <c r="A3216" s="19">
        <v>43546.433576388888</v>
      </c>
      <c r="B3216" s="20" t="str">
        <f>HYPERLINK("https://twitter.com/GreevesTom","@GreevesTom")</f>
        <v>@GreevesTom</v>
      </c>
      <c r="C3216" s="21" t="s">
        <v>8849</v>
      </c>
      <c r="D3216" s="22" t="s">
        <v>8850</v>
      </c>
      <c r="E3216" s="23" t="str">
        <f>HYPERLINK("https://www.circlepix.com/","Circlepix")</f>
        <v>Circlepix</v>
      </c>
      <c r="F3216" s="19">
        <v>41403.459722222222</v>
      </c>
      <c r="G3216" s="24" t="s">
        <v>13000</v>
      </c>
      <c r="H3216" s="35" t="s">
        <v>8851</v>
      </c>
      <c r="I3216" s="25"/>
    </row>
    <row r="3217" spans="1:9" s="31" customFormat="1" ht="120">
      <c r="A3217" s="19">
        <v>43550.990069444444</v>
      </c>
      <c r="B3217" s="20" t="str">
        <f>HYPERLINK("https://twitter.com/CVHSRentals","@CVHSRentals")</f>
        <v>@CVHSRentals</v>
      </c>
      <c r="C3217" s="21" t="s">
        <v>7461</v>
      </c>
      <c r="D3217" s="22" t="s">
        <v>7462</v>
      </c>
      <c r="E3217" s="23" t="str">
        <f>HYPERLINK("http://twitter.com/download/android","Twitter for Android")</f>
        <v>Twitter for Android</v>
      </c>
      <c r="F3217" s="19">
        <v>43208.665034722224</v>
      </c>
      <c r="G3217" s="24" t="s">
        <v>13000</v>
      </c>
      <c r="H3217" s="35" t="s">
        <v>7463</v>
      </c>
      <c r="I3217" s="25" t="s">
        <v>7464</v>
      </c>
    </row>
    <row r="3218" spans="1:9" s="31" customFormat="1" ht="120">
      <c r="A3218" s="4">
        <v>43561.630844907406</v>
      </c>
      <c r="B3218" s="5" t="str">
        <f>HYPERLINK("https://twitter.com/CVHSRentals","@CVHSRentals")</f>
        <v>@CVHSRentals</v>
      </c>
      <c r="C3218" s="6" t="s">
        <v>7461</v>
      </c>
      <c r="D3218" s="7" t="s">
        <v>10900</v>
      </c>
      <c r="E3218" s="8" t="str">
        <f>HYPERLINK("http://twitter.com/download/android","Twitter for Android")</f>
        <v>Twitter for Android</v>
      </c>
      <c r="F3218" s="4">
        <v>43208.665034722224</v>
      </c>
      <c r="G3218" s="24" t="s">
        <v>13000</v>
      </c>
      <c r="H3218" s="35" t="s">
        <v>7463</v>
      </c>
      <c r="I3218" s="10" t="s">
        <v>10901</v>
      </c>
    </row>
    <row r="3219" spans="1:9" s="31" customFormat="1" ht="45">
      <c r="A3219" s="12">
        <v>43580.83657407407</v>
      </c>
      <c r="B3219" s="13" t="str">
        <f>HYPERLINK("https://twitter.com/SandKey_Realty","@SandKey_Realty")</f>
        <v>@SandKey_Realty</v>
      </c>
      <c r="C3219" s="14" t="s">
        <v>29</v>
      </c>
      <c r="D3219" s="15" t="s">
        <v>30</v>
      </c>
      <c r="E3219" s="16" t="str">
        <f>HYPERLINK("http://www.facebook.com/twitter","Facebook")</f>
        <v>Facebook</v>
      </c>
      <c r="F3219" s="12">
        <v>41954.930659722224</v>
      </c>
      <c r="G3219" s="24" t="s">
        <v>13000</v>
      </c>
      <c r="H3219" s="35" t="s">
        <v>31</v>
      </c>
      <c r="I3219" s="18"/>
    </row>
    <row r="3220" spans="1:9" s="31" customFormat="1" ht="60">
      <c r="A3220" s="12">
        <v>43579.702083333337</v>
      </c>
      <c r="B3220" s="13" t="str">
        <f>HYPERLINK("https://twitter.com/TonyZayas","@TonyZayas")</f>
        <v>@TonyZayas</v>
      </c>
      <c r="C3220" s="14" t="s">
        <v>501</v>
      </c>
      <c r="D3220" s="15" t="s">
        <v>502</v>
      </c>
      <c r="E3220" s="16" t="str">
        <f>HYPERLINK("https://buffer.com","Buffer")</f>
        <v>Buffer</v>
      </c>
      <c r="F3220" s="12">
        <v>39567.802488425928</v>
      </c>
      <c r="G3220" s="24" t="s">
        <v>13000</v>
      </c>
      <c r="H3220" s="35" t="s">
        <v>503</v>
      </c>
      <c r="I3220" s="18" t="s">
        <v>504</v>
      </c>
    </row>
    <row r="3221" spans="1:9" s="31" customFormat="1" ht="90">
      <c r="A3221" s="12">
        <v>43571.081111111111</v>
      </c>
      <c r="B3221" s="13" t="str">
        <f>HYPERLINK("https://twitter.com/rent_red","@rent_red")</f>
        <v>@rent_red</v>
      </c>
      <c r="C3221" s="14" t="s">
        <v>3856</v>
      </c>
      <c r="D3221" s="15" t="s">
        <v>3857</v>
      </c>
      <c r="E3221" s="16" t="str">
        <f>HYPERLINK("http://twitter.com/download/iphone","Twitter for iPhone")</f>
        <v>Twitter for iPhone</v>
      </c>
      <c r="F3221" s="12">
        <v>42052.398090277777</v>
      </c>
      <c r="G3221" s="24" t="s">
        <v>13000</v>
      </c>
      <c r="H3221" s="35" t="s">
        <v>3858</v>
      </c>
      <c r="I3221" s="18" t="s">
        <v>3859</v>
      </c>
    </row>
    <row r="3222" spans="1:9" s="31" customFormat="1" ht="75">
      <c r="A3222" s="19">
        <v>43551.89471064815</v>
      </c>
      <c r="B3222" s="20" t="str">
        <f>HYPERLINK("https://twitter.com/ktenkely","@ktenkely")</f>
        <v>@ktenkely</v>
      </c>
      <c r="C3222" s="21" t="s">
        <v>6966</v>
      </c>
      <c r="D3222" s="22" t="s">
        <v>6967</v>
      </c>
      <c r="E3222" s="23" t="str">
        <f>HYPERLINK("http://instagram.com","Instagram")</f>
        <v>Instagram</v>
      </c>
      <c r="F3222" s="19">
        <v>39316.887060185181</v>
      </c>
      <c r="G3222" s="24" t="s">
        <v>13000</v>
      </c>
      <c r="H3222" s="35" t="s">
        <v>6968</v>
      </c>
      <c r="I3222" s="25" t="s">
        <v>6969</v>
      </c>
    </row>
    <row r="3223" spans="1:9" s="31" customFormat="1" ht="60">
      <c r="A3223" s="19">
        <v>43550.824687500004</v>
      </c>
      <c r="B3223" s="20" t="str">
        <f>HYPERLINK("https://twitter.com/ktenkely","@ktenkely")</f>
        <v>@ktenkely</v>
      </c>
      <c r="C3223" s="21" t="s">
        <v>6966</v>
      </c>
      <c r="D3223" s="22" t="s">
        <v>7495</v>
      </c>
      <c r="E3223" s="23" t="str">
        <f>HYPERLINK("http://instagram.com","Instagram")</f>
        <v>Instagram</v>
      </c>
      <c r="F3223" s="19">
        <v>39316.887060185181</v>
      </c>
      <c r="G3223" s="24" t="s">
        <v>13000</v>
      </c>
      <c r="H3223" s="35" t="s">
        <v>6968</v>
      </c>
      <c r="I3223" s="25" t="s">
        <v>6969</v>
      </c>
    </row>
    <row r="3224" spans="1:9" s="31" customFormat="1" ht="75">
      <c r="A3224" s="19">
        <v>43549.856469907405</v>
      </c>
      <c r="B3224" s="20" t="str">
        <f>HYPERLINK("https://twitter.com/ktenkely","@ktenkely")</f>
        <v>@ktenkely</v>
      </c>
      <c r="C3224" s="21" t="s">
        <v>6966</v>
      </c>
      <c r="D3224" s="22" t="s">
        <v>7889</v>
      </c>
      <c r="E3224" s="23" t="str">
        <f>HYPERLINK("http://instagram.com","Instagram")</f>
        <v>Instagram</v>
      </c>
      <c r="F3224" s="19">
        <v>39316.887060185181</v>
      </c>
      <c r="G3224" s="24" t="s">
        <v>13000</v>
      </c>
      <c r="H3224" s="35" t="s">
        <v>6968</v>
      </c>
      <c r="I3224" s="25" t="s">
        <v>6969</v>
      </c>
    </row>
    <row r="3225" spans="1:9" s="31" customFormat="1" ht="45">
      <c r="A3225" s="4">
        <v>43562.775231481486</v>
      </c>
      <c r="B3225" s="5" t="str">
        <f>HYPERLINK("https://twitter.com/ktenkely","@ktenkely")</f>
        <v>@ktenkely</v>
      </c>
      <c r="C3225" s="6" t="s">
        <v>6966</v>
      </c>
      <c r="D3225" s="7" t="s">
        <v>10588</v>
      </c>
      <c r="E3225" s="8" t="str">
        <f>HYPERLINK("http://instagram.com","Instagram")</f>
        <v>Instagram</v>
      </c>
      <c r="F3225" s="4">
        <v>39316.887060185181</v>
      </c>
      <c r="G3225" s="24" t="s">
        <v>13000</v>
      </c>
      <c r="H3225" s="35" t="s">
        <v>6968</v>
      </c>
      <c r="I3225" s="10" t="s">
        <v>6969</v>
      </c>
    </row>
    <row r="3226" spans="1:9" s="31" customFormat="1" ht="45">
      <c r="A3226" s="4">
        <v>43565.540682870371</v>
      </c>
      <c r="B3226" s="5" t="str">
        <f>HYPERLINK("https://twitter.com/bendercareygrp","@bendercareygrp")</f>
        <v>@bendercareygrp</v>
      </c>
      <c r="C3226" s="6" t="s">
        <v>6035</v>
      </c>
      <c r="D3226" s="7" t="s">
        <v>6036</v>
      </c>
      <c r="E3226" s="8" t="str">
        <f>HYPERLINK("http://twitter.com/download/iphone","Twitter for iPhone")</f>
        <v>Twitter for iPhone</v>
      </c>
      <c r="F3226" s="4">
        <v>43333.611932870372</v>
      </c>
      <c r="G3226" s="24" t="s">
        <v>13000</v>
      </c>
      <c r="H3226" s="35" t="s">
        <v>4523</v>
      </c>
      <c r="I3226" s="10" t="s">
        <v>6037</v>
      </c>
    </row>
    <row r="3227" spans="1:9" s="31" customFormat="1" ht="90">
      <c r="A3227" s="12">
        <v>43569.398680555554</v>
      </c>
      <c r="B3227" s="13" t="str">
        <f>HYPERLINK("https://twitter.com/YoungFootsteps","@YoungFootsteps")</f>
        <v>@YoungFootsteps</v>
      </c>
      <c r="C3227" s="14" t="s">
        <v>4521</v>
      </c>
      <c r="D3227" s="15" t="s">
        <v>4522</v>
      </c>
      <c r="E3227" s="16" t="str">
        <f>HYPERLINK("http://twitter.com/download/iphone","Twitter for iPhone")</f>
        <v>Twitter for iPhone</v>
      </c>
      <c r="F3227" s="12">
        <v>43557.868333333332</v>
      </c>
      <c r="G3227" s="24" t="s">
        <v>13000</v>
      </c>
      <c r="H3227" s="35" t="s">
        <v>4523</v>
      </c>
      <c r="I3227" s="18" t="s">
        <v>4524</v>
      </c>
    </row>
    <row r="3228" spans="1:9" s="31" customFormat="1" ht="75">
      <c r="A3228" s="4">
        <v>43564.496886574074</v>
      </c>
      <c r="B3228" s="5" t="str">
        <f>HYPERLINK("https://twitter.com/alyssa_riches","@alyssa_riches")</f>
        <v>@alyssa_riches</v>
      </c>
      <c r="C3228" s="6" t="s">
        <v>6581</v>
      </c>
      <c r="D3228" s="7" t="s">
        <v>6582</v>
      </c>
      <c r="E3228" s="8" t="str">
        <f>HYPERLINK("http://instagram.com","Instagram")</f>
        <v>Instagram</v>
      </c>
      <c r="F3228" s="4">
        <v>42249.446493055555</v>
      </c>
      <c r="G3228" s="24" t="s">
        <v>13000</v>
      </c>
      <c r="H3228" s="35" t="s">
        <v>6583</v>
      </c>
      <c r="I3228" s="10" t="s">
        <v>6584</v>
      </c>
    </row>
    <row r="3229" spans="1:9" s="31" customFormat="1" ht="45">
      <c r="A3229" s="4">
        <v>43561.607731481483</v>
      </c>
      <c r="B3229" s="5" t="str">
        <f>HYPERLINK("https://twitter.com/SemlohRE","@SemlohRE")</f>
        <v>@SemlohRE</v>
      </c>
      <c r="C3229" s="6" t="s">
        <v>10905</v>
      </c>
      <c r="D3229" s="7" t="s">
        <v>10906</v>
      </c>
      <c r="E3229" s="8" t="str">
        <f>HYPERLINK("https://www.hootsuite.com","Hootsuite Inc.")</f>
        <v>Hootsuite Inc.</v>
      </c>
      <c r="F3229" s="4">
        <v>42667.851377314815</v>
      </c>
      <c r="G3229" s="24" t="s">
        <v>13000</v>
      </c>
      <c r="H3229" s="35" t="s">
        <v>6583</v>
      </c>
      <c r="I3229" s="10" t="s">
        <v>10907</v>
      </c>
    </row>
    <row r="3230" spans="1:9" s="31" customFormat="1" ht="45">
      <c r="A3230" s="12">
        <v>43578.625937500001</v>
      </c>
      <c r="B3230" s="13" t="str">
        <f>HYPERLINK("https://twitter.com/KCzaicki","@KCzaicki")</f>
        <v>@KCzaicki</v>
      </c>
      <c r="C3230" s="14" t="s">
        <v>1122</v>
      </c>
      <c r="D3230" s="15" t="s">
        <v>1123</v>
      </c>
      <c r="E3230" s="16" t="str">
        <f>HYPERLINK("http://www.everyonesocial.com","EveryoneSocial")</f>
        <v>EveryoneSocial</v>
      </c>
      <c r="F3230" s="12">
        <v>40638.669363425928</v>
      </c>
      <c r="G3230" s="24" t="s">
        <v>13000</v>
      </c>
      <c r="H3230" s="35" t="s">
        <v>1124</v>
      </c>
      <c r="I3230" s="18" t="s">
        <v>1125</v>
      </c>
    </row>
    <row r="3231" spans="1:9" s="31" customFormat="1" ht="90">
      <c r="A3231" s="4">
        <v>43560.613321759258</v>
      </c>
      <c r="B3231" s="5" t="str">
        <f>HYPERLINK("https://twitter.com/ownitrealestate","@ownitrealestate")</f>
        <v>@ownitrealestate</v>
      </c>
      <c r="C3231" s="6" t="s">
        <v>11255</v>
      </c>
      <c r="D3231" s="7" t="s">
        <v>11256</v>
      </c>
      <c r="E3231" s="8" t="str">
        <f>HYPERLINK("http://twitter.com/download/android","Twitter for Android")</f>
        <v>Twitter for Android</v>
      </c>
      <c r="F3231" s="4">
        <v>40385.513877314814</v>
      </c>
      <c r="G3231" s="24" t="s">
        <v>13000</v>
      </c>
      <c r="H3231" s="35" t="s">
        <v>5011</v>
      </c>
      <c r="I3231" s="10"/>
    </row>
    <row r="3232" spans="1:9" s="31" customFormat="1" ht="75">
      <c r="A3232" s="12">
        <v>43567.673043981486</v>
      </c>
      <c r="B3232" s="13" t="str">
        <f>HYPERLINK("https://twitter.com/COA_ColumbiaSC","@COA_ColumbiaSC")</f>
        <v>@COA_ColumbiaSC</v>
      </c>
      <c r="C3232" s="14" t="s">
        <v>5009</v>
      </c>
      <c r="D3232" s="15" t="s">
        <v>5010</v>
      </c>
      <c r="E3232" s="16" t="str">
        <f>HYPERLINK("http://instagram.com","Instagram")</f>
        <v>Instagram</v>
      </c>
      <c r="F3232" s="12">
        <v>41953.697731481487</v>
      </c>
      <c r="G3232" s="24" t="s">
        <v>13000</v>
      </c>
      <c r="H3232" s="35" t="s">
        <v>5011</v>
      </c>
      <c r="I3232" s="18" t="s">
        <v>5012</v>
      </c>
    </row>
    <row r="3233" spans="1:9" s="31" customFormat="1" ht="90">
      <c r="A3233" s="12">
        <v>43570.943229166667</v>
      </c>
      <c r="B3233" s="13" t="str">
        <f>HYPERLINK("https://twitter.com/ohiomale76","@ohiomale76")</f>
        <v>@ohiomale76</v>
      </c>
      <c r="C3233" s="14" t="s">
        <v>3924</v>
      </c>
      <c r="D3233" s="15" t="s">
        <v>3925</v>
      </c>
      <c r="E3233" s="16" t="str">
        <f>HYPERLINK("http://www.facebook.com/twitter","Facebook")</f>
        <v>Facebook</v>
      </c>
      <c r="F3233" s="12">
        <v>40238.362025462964</v>
      </c>
      <c r="G3233" s="17" t="s">
        <v>13000</v>
      </c>
      <c r="H3233" s="35" t="s">
        <v>3926</v>
      </c>
      <c r="I3233" s="18" t="s">
        <v>3927</v>
      </c>
    </row>
    <row r="3234" spans="1:9" s="31" customFormat="1" ht="75">
      <c r="A3234" s="4">
        <v>43562.850081018521</v>
      </c>
      <c r="B3234" s="5" t="str">
        <f>HYPERLINK("https://twitter.com/JENNGOHRING","@JENNGOHRING")</f>
        <v>@JENNGOHRING</v>
      </c>
      <c r="C3234" s="6" t="s">
        <v>10563</v>
      </c>
      <c r="D3234" s="7" t="s">
        <v>10564</v>
      </c>
      <c r="E3234" s="8" t="str">
        <f>HYPERLINK("http://instagram.com","Instagram")</f>
        <v>Instagram</v>
      </c>
      <c r="F3234" s="4">
        <v>41518.765162037038</v>
      </c>
      <c r="G3234" s="17" t="s">
        <v>13000</v>
      </c>
      <c r="H3234" s="35" t="s">
        <v>4447</v>
      </c>
      <c r="I3234" s="10" t="s">
        <v>10565</v>
      </c>
    </row>
    <row r="3235" spans="1:9" s="31" customFormat="1" ht="30">
      <c r="A3235" s="12">
        <v>43569.637511574074</v>
      </c>
      <c r="B3235" s="13" t="str">
        <f>HYPERLINK("https://twitter.com/AllAboutNewsBiz","@AllAboutNewsBiz")</f>
        <v>@AllAboutNewsBiz</v>
      </c>
      <c r="C3235" s="14" t="s">
        <v>4445</v>
      </c>
      <c r="D3235" s="15" t="s">
        <v>4446</v>
      </c>
      <c r="E3235" s="16" t="str">
        <f>HYPERLINK("https://buffer.com","Buffer")</f>
        <v>Buffer</v>
      </c>
      <c r="F3235" s="12">
        <v>41687.416585648149</v>
      </c>
      <c r="G3235" s="17" t="s">
        <v>13000</v>
      </c>
      <c r="H3235" s="35" t="s">
        <v>4447</v>
      </c>
      <c r="I3235" s="18" t="s">
        <v>4448</v>
      </c>
    </row>
    <row r="3236" spans="1:9" s="31" customFormat="1" ht="30">
      <c r="A3236" s="12">
        <v>43569.393761574072</v>
      </c>
      <c r="B3236" s="13" t="str">
        <f>HYPERLINK("https://twitter.com/ThisWeekChris","@ThisWeekChris")</f>
        <v>@ThisWeekChris</v>
      </c>
      <c r="C3236" s="14" t="s">
        <v>4525</v>
      </c>
      <c r="D3236" s="15" t="s">
        <v>4446</v>
      </c>
      <c r="E3236" s="16" t="str">
        <f>HYPERLINK("https://buffer.com","Buffer")</f>
        <v>Buffer</v>
      </c>
      <c r="F3236" s="12">
        <v>41298.905092592591</v>
      </c>
      <c r="G3236" s="17" t="s">
        <v>13000</v>
      </c>
      <c r="H3236" s="35" t="s">
        <v>4447</v>
      </c>
      <c r="I3236" s="18" t="s">
        <v>4526</v>
      </c>
    </row>
    <row r="3237" spans="1:9" s="31" customFormat="1" ht="45">
      <c r="A3237" s="12">
        <v>43568.302106481482</v>
      </c>
      <c r="B3237" s="13" t="str">
        <f>HYPERLINK("https://twitter.com/viewfromthepugh","@viewfromthepugh")</f>
        <v>@viewfromthepugh</v>
      </c>
      <c r="C3237" s="14" t="s">
        <v>4525</v>
      </c>
      <c r="D3237" s="15" t="s">
        <v>4446</v>
      </c>
      <c r="E3237" s="16" t="str">
        <f>HYPERLINK("https://buffer.com","Buffer")</f>
        <v>Buffer</v>
      </c>
      <c r="F3237" s="12">
        <v>40451.863078703704</v>
      </c>
      <c r="G3237" s="17" t="s">
        <v>13000</v>
      </c>
      <c r="H3237" s="35" t="s">
        <v>4447</v>
      </c>
      <c r="I3237" s="18" t="s">
        <v>4816</v>
      </c>
    </row>
    <row r="3238" spans="1:9" s="31" customFormat="1" ht="45">
      <c r="A3238" s="12">
        <v>43568.29305555555</v>
      </c>
      <c r="B3238" s="13" t="str">
        <f>HYPERLINK("https://twitter.com/chrispugh3","@chrispugh3")</f>
        <v>@chrispugh3</v>
      </c>
      <c r="C3238" s="14" t="s">
        <v>4525</v>
      </c>
      <c r="D3238" s="15" t="s">
        <v>4446</v>
      </c>
      <c r="E3238" s="16" t="str">
        <f>HYPERLINK("https://buffer.com","Buffer")</f>
        <v>Buffer</v>
      </c>
      <c r="F3238" s="12">
        <v>39563.295381944445</v>
      </c>
      <c r="G3238" s="17" t="s">
        <v>13000</v>
      </c>
      <c r="H3238" s="35" t="s">
        <v>4447</v>
      </c>
      <c r="I3238" s="18" t="s">
        <v>4817</v>
      </c>
    </row>
    <row r="3239" spans="1:9" s="31" customFormat="1" ht="30">
      <c r="A3239" s="12">
        <v>43568.266782407409</v>
      </c>
      <c r="B3239" s="13" t="str">
        <f>HYPERLINK("https://twitter.com/itsstevenhudson","@itsstevenhudson")</f>
        <v>@itsstevenhudson</v>
      </c>
      <c r="C3239" s="14" t="s">
        <v>4825</v>
      </c>
      <c r="D3239" s="15" t="s">
        <v>4826</v>
      </c>
      <c r="E3239" s="16" t="str">
        <f>HYPERLINK("http://twitter.com","Twitter Web Client")</f>
        <v>Twitter Web Client</v>
      </c>
      <c r="F3239" s="12">
        <v>42837.457962962959</v>
      </c>
      <c r="G3239" s="17" t="s">
        <v>13000</v>
      </c>
      <c r="H3239" s="35" t="s">
        <v>4447</v>
      </c>
      <c r="I3239" s="18" t="s">
        <v>4827</v>
      </c>
    </row>
    <row r="3240" spans="1:9" s="31" customFormat="1" ht="60">
      <c r="A3240" s="12">
        <v>43570.600740740745</v>
      </c>
      <c r="B3240" s="13" t="str">
        <f>HYPERLINK("https://twitter.com/NorthPage","@NorthPage")</f>
        <v>@NorthPage</v>
      </c>
      <c r="C3240" s="14" t="s">
        <v>4023</v>
      </c>
      <c r="D3240" s="15" t="s">
        <v>4024</v>
      </c>
      <c r="E3240" s="16" t="str">
        <f>HYPERLINK("https://www.hootsuite.com","Hootsuite Inc.")</f>
        <v>Hootsuite Inc.</v>
      </c>
      <c r="F3240" s="12">
        <v>39963.30127314815</v>
      </c>
      <c r="G3240" s="17" t="s">
        <v>13000</v>
      </c>
      <c r="H3240" s="35" t="s">
        <v>4025</v>
      </c>
      <c r="I3240" s="18" t="s">
        <v>4026</v>
      </c>
    </row>
    <row r="3241" spans="1:9" s="31" customFormat="1" ht="75">
      <c r="A3241" s="19">
        <v>43543.870358796295</v>
      </c>
      <c r="B3241" s="20" t="str">
        <f>HYPERLINK("https://twitter.com/bridgewellhomes","@bridgewellhomes")</f>
        <v>@bridgewellhomes</v>
      </c>
      <c r="C3241" s="21" t="s">
        <v>9663</v>
      </c>
      <c r="D3241" s="22" t="s">
        <v>9664</v>
      </c>
      <c r="E3241" s="23" t="str">
        <f>HYPERLINK("http://instagram.com","Instagram")</f>
        <v>Instagram</v>
      </c>
      <c r="F3241" s="19">
        <v>40169.960243055553</v>
      </c>
      <c r="G3241" s="24" t="s">
        <v>13000</v>
      </c>
      <c r="H3241" s="35" t="s">
        <v>9665</v>
      </c>
      <c r="I3241" s="25" t="s">
        <v>9666</v>
      </c>
    </row>
    <row r="3242" spans="1:9" s="31" customFormat="1" ht="75">
      <c r="A3242" s="19">
        <v>43543.780775462961</v>
      </c>
      <c r="B3242" s="20" t="str">
        <f>HYPERLINK("https://twitter.com/bridgewellhomes","@bridgewellhomes")</f>
        <v>@bridgewellhomes</v>
      </c>
      <c r="C3242" s="21" t="s">
        <v>9663</v>
      </c>
      <c r="D3242" s="22" t="s">
        <v>9664</v>
      </c>
      <c r="E3242" s="23" t="str">
        <f>HYPERLINK("http://instagram.com","Instagram")</f>
        <v>Instagram</v>
      </c>
      <c r="F3242" s="19">
        <v>40169.960243055553</v>
      </c>
      <c r="G3242" s="24" t="s">
        <v>13000</v>
      </c>
      <c r="H3242" s="35" t="s">
        <v>9665</v>
      </c>
      <c r="I3242" s="25" t="s">
        <v>9666</v>
      </c>
    </row>
    <row r="3243" spans="1:9" s="31" customFormat="1" ht="75">
      <c r="A3243" s="19">
        <v>43545.759502314817</v>
      </c>
      <c r="B3243" s="20" t="str">
        <f>HYPERLINK("https://twitter.com/FelixREMAX","@FelixREMAX")</f>
        <v>@FelixREMAX</v>
      </c>
      <c r="C3243" s="21" t="s">
        <v>9058</v>
      </c>
      <c r="D3243" s="22" t="s">
        <v>9059</v>
      </c>
      <c r="E3243" s="23" t="str">
        <f>HYPERLINK("http://instagram.com","Instagram")</f>
        <v>Instagram</v>
      </c>
      <c r="F3243" s="19">
        <v>41846.585173611107</v>
      </c>
      <c r="G3243" s="24" t="s">
        <v>13000</v>
      </c>
      <c r="H3243" s="35" t="s">
        <v>9060</v>
      </c>
      <c r="I3243" s="25" t="s">
        <v>9061</v>
      </c>
    </row>
    <row r="3244" spans="1:9" s="31" customFormat="1" ht="90">
      <c r="A3244" s="4">
        <v>43561.43787037037</v>
      </c>
      <c r="B3244" s="5" t="str">
        <f>HYPERLINK("https://twitter.com/PMICorpChristi","@PMICorpChristi")</f>
        <v>@PMICorpChristi</v>
      </c>
      <c r="C3244" s="6" t="s">
        <v>10973</v>
      </c>
      <c r="D3244" s="7" t="s">
        <v>10974</v>
      </c>
      <c r="E3244" s="8" t="str">
        <f>HYPERLINK("http://www.facebook.com/twitter","Facebook")</f>
        <v>Facebook</v>
      </c>
      <c r="F3244" s="4">
        <v>42964.5777662037</v>
      </c>
      <c r="G3244" s="24" t="s">
        <v>13000</v>
      </c>
      <c r="H3244" s="35" t="s">
        <v>10975</v>
      </c>
      <c r="I3244" s="10" t="s">
        <v>10976</v>
      </c>
    </row>
    <row r="3245" spans="1:9" s="31" customFormat="1" ht="90">
      <c r="A3245" s="4">
        <v>43559.417013888888</v>
      </c>
      <c r="B3245" s="5" t="str">
        <f>HYPERLINK("https://twitter.com/PMICorpChristi","@PMICorpChristi")</f>
        <v>@PMICorpChristi</v>
      </c>
      <c r="C3245" s="6" t="s">
        <v>10973</v>
      </c>
      <c r="D3245" s="7" t="s">
        <v>10985</v>
      </c>
      <c r="E3245" s="8" t="str">
        <f>HYPERLINK("http://www.facebook.com/twitter","Facebook")</f>
        <v>Facebook</v>
      </c>
      <c r="F3245" s="4">
        <v>42964.5777662037</v>
      </c>
      <c r="G3245" s="24" t="s">
        <v>13000</v>
      </c>
      <c r="H3245" s="35" t="s">
        <v>10975</v>
      </c>
      <c r="I3245" s="10" t="s">
        <v>10976</v>
      </c>
    </row>
    <row r="3246" spans="1:9" s="31" customFormat="1" ht="75">
      <c r="A3246" s="4">
        <v>43561.382326388892</v>
      </c>
      <c r="B3246" s="5" t="str">
        <f>HYPERLINK("https://twitter.com/ezequiels","@ezequiels")</f>
        <v>@ezequiels</v>
      </c>
      <c r="C3246" s="6" t="s">
        <v>10993</v>
      </c>
      <c r="D3246" s="7" t="s">
        <v>10994</v>
      </c>
      <c r="E3246" s="8" t="str">
        <f>HYPERLINK("http://twitter.com/download/iphone","Twitter for iPhone")</f>
        <v>Twitter for iPhone</v>
      </c>
      <c r="F3246" s="4">
        <v>39961.589768518519</v>
      </c>
      <c r="G3246" s="24" t="s">
        <v>13000</v>
      </c>
      <c r="H3246" s="35" t="s">
        <v>10995</v>
      </c>
      <c r="I3246" s="10" t="s">
        <v>10996</v>
      </c>
    </row>
    <row r="3247" spans="1:9" s="31" customFormat="1" ht="75">
      <c r="A3247" s="4">
        <v>43564.778275462959</v>
      </c>
      <c r="B3247" s="5" t="str">
        <f>HYPERLINK("https://twitter.com/TripAngle","@TripAngle")</f>
        <v>@TripAngle</v>
      </c>
      <c r="C3247" s="6" t="s">
        <v>6413</v>
      </c>
      <c r="D3247" s="7" t="s">
        <v>6414</v>
      </c>
      <c r="E3247" s="8" t="str">
        <f>HYPERLINK("http://twitter.com/download/android","Twitter for Android")</f>
        <v>Twitter for Android</v>
      </c>
      <c r="F3247" s="4">
        <v>40422.311076388891</v>
      </c>
      <c r="G3247" s="9" t="s">
        <v>13000</v>
      </c>
      <c r="H3247" s="35" t="s">
        <v>6415</v>
      </c>
      <c r="I3247" s="10" t="s">
        <v>6416</v>
      </c>
    </row>
    <row r="3248" spans="1:9" s="31" customFormat="1" ht="45">
      <c r="A3248" s="12">
        <v>43566.857083333336</v>
      </c>
      <c r="B3248" s="13" t="str">
        <f>HYPERLINK("https://twitter.com/RaeGrout","@RaeGrout")</f>
        <v>@RaeGrout</v>
      </c>
      <c r="C3248" s="14" t="s">
        <v>5321</v>
      </c>
      <c r="D3248" s="15" t="s">
        <v>5322</v>
      </c>
      <c r="E3248" s="16" t="str">
        <f>HYPERLINK("http://twitter.com/download/iphone","Twitter for iPhone")</f>
        <v>Twitter for iPhone</v>
      </c>
      <c r="F3248" s="12">
        <v>39880.474999999999</v>
      </c>
      <c r="G3248" s="17" t="s">
        <v>13000</v>
      </c>
      <c r="H3248" s="35" t="s">
        <v>5323</v>
      </c>
      <c r="I3248" s="18" t="s">
        <v>5324</v>
      </c>
    </row>
    <row r="3249" spans="1:9" s="31" customFormat="1" ht="105">
      <c r="A3249" s="12">
        <v>43568.49391203704</v>
      </c>
      <c r="B3249" s="13" t="str">
        <f>HYPERLINK("https://twitter.com/SJacksonRodgers","@SJacksonRodgers")</f>
        <v>@SJacksonRodgers</v>
      </c>
      <c r="C3249" s="14" t="s">
        <v>4728</v>
      </c>
      <c r="D3249" s="15" t="s">
        <v>4729</v>
      </c>
      <c r="E3249" s="16" t="str">
        <f>HYPERLINK("http://twitter.com","Twitter Web Client")</f>
        <v>Twitter Web Client</v>
      </c>
      <c r="F3249" s="12">
        <v>41003.4137037037</v>
      </c>
      <c r="G3249" s="17" t="s">
        <v>13000</v>
      </c>
      <c r="H3249" s="35" t="s">
        <v>4730</v>
      </c>
      <c r="I3249" s="18" t="s">
        <v>4731</v>
      </c>
    </row>
    <row r="3250" spans="1:9" s="31" customFormat="1" ht="75">
      <c r="A3250" s="12">
        <v>43574.550856481481</v>
      </c>
      <c r="B3250" s="13" t="str">
        <f>HYPERLINK("https://twitter.com/MichaelBIsbell","@MichaelBIsbell")</f>
        <v>@MichaelBIsbell</v>
      </c>
      <c r="C3250" s="14" t="s">
        <v>2522</v>
      </c>
      <c r="D3250" s="15" t="s">
        <v>2523</v>
      </c>
      <c r="E3250" s="16" t="str">
        <f>HYPERLINK("http://instagram.com","Instagram")</f>
        <v>Instagram</v>
      </c>
      <c r="F3250" s="12">
        <v>39878.62667824074</v>
      </c>
      <c r="G3250" s="17" t="s">
        <v>13000</v>
      </c>
      <c r="H3250" s="35" t="s">
        <v>2524</v>
      </c>
      <c r="I3250" s="18" t="s">
        <v>2525</v>
      </c>
    </row>
    <row r="3251" spans="1:9" s="31" customFormat="1" ht="60">
      <c r="A3251" s="12">
        <v>43577.364479166667</v>
      </c>
      <c r="B3251" s="13" t="str">
        <f>HYPERLINK("https://twitter.com/Wakeboarding","@Wakeboarding")</f>
        <v>@Wakeboarding</v>
      </c>
      <c r="C3251" s="14" t="s">
        <v>1654</v>
      </c>
      <c r="D3251" s="15" t="s">
        <v>1655</v>
      </c>
      <c r="E3251" s="16" t="str">
        <f>HYPERLINK("http://twitter.com","Twitter Web Client")</f>
        <v>Twitter Web Client</v>
      </c>
      <c r="F3251" s="12">
        <v>39852.442071759258</v>
      </c>
      <c r="G3251" s="17" t="s">
        <v>13000</v>
      </c>
      <c r="H3251" s="35" t="s">
        <v>1656</v>
      </c>
      <c r="I3251" s="18" t="s">
        <v>1657</v>
      </c>
    </row>
    <row r="3252" spans="1:9" s="31" customFormat="1" ht="60">
      <c r="A3252" s="12">
        <v>43570.580439814818</v>
      </c>
      <c r="B3252" s="13" t="str">
        <f>HYPERLINK("https://twitter.com/vrentalblog","@vrentalblog")</f>
        <v>@vrentalblog</v>
      </c>
      <c r="C3252" s="14" t="s">
        <v>4054</v>
      </c>
      <c r="D3252" s="15" t="s">
        <v>4055</v>
      </c>
      <c r="E3252" s="16" t="str">
        <f>HYPERLINK("http://twitter.com","Twitter Web Client")</f>
        <v>Twitter Web Client</v>
      </c>
      <c r="F3252" s="12">
        <v>42925.780833333338</v>
      </c>
      <c r="G3252" s="17" t="s">
        <v>13000</v>
      </c>
      <c r="H3252" s="35" t="s">
        <v>1656</v>
      </c>
      <c r="I3252" s="18" t="s">
        <v>4056</v>
      </c>
    </row>
    <row r="3253" spans="1:9" s="31" customFormat="1" ht="60">
      <c r="A3253" s="12">
        <v>43568.424189814818</v>
      </c>
      <c r="B3253" s="13" t="str">
        <f>HYPERLINK("https://twitter.com/vrentalblog","@vrentalblog")</f>
        <v>@vrentalblog</v>
      </c>
      <c r="C3253" s="14" t="s">
        <v>4054</v>
      </c>
      <c r="D3253" s="15" t="s">
        <v>4779</v>
      </c>
      <c r="E3253" s="16" t="str">
        <f>HYPERLINK("http://twitter.com","Twitter Web Client")</f>
        <v>Twitter Web Client</v>
      </c>
      <c r="F3253" s="12">
        <v>42925.780833333338</v>
      </c>
      <c r="G3253" s="17" t="s">
        <v>13000</v>
      </c>
      <c r="H3253" s="35" t="s">
        <v>1656</v>
      </c>
      <c r="I3253" s="18" t="s">
        <v>4056</v>
      </c>
    </row>
    <row r="3254" spans="1:9" s="31" customFormat="1" ht="60">
      <c r="A3254" s="12">
        <v>43567.755578703705</v>
      </c>
      <c r="B3254" s="13" t="str">
        <f>HYPERLINK("https://twitter.com/vrentalblog","@vrentalblog")</f>
        <v>@vrentalblog</v>
      </c>
      <c r="C3254" s="14" t="s">
        <v>4054</v>
      </c>
      <c r="D3254" s="15" t="s">
        <v>4961</v>
      </c>
      <c r="E3254" s="16" t="str">
        <f>HYPERLINK("http://twitter.com","Twitter Web Client")</f>
        <v>Twitter Web Client</v>
      </c>
      <c r="F3254" s="12">
        <v>42925.780833333338</v>
      </c>
      <c r="G3254" s="17" t="s">
        <v>13000</v>
      </c>
      <c r="H3254" s="35" t="s">
        <v>1656</v>
      </c>
      <c r="I3254" s="18" t="s">
        <v>4056</v>
      </c>
    </row>
    <row r="3255" spans="1:9" s="31" customFormat="1" ht="90">
      <c r="A3255" s="19">
        <v>43550.016932870371</v>
      </c>
      <c r="B3255" s="20" t="str">
        <f>HYPERLINK("https://twitter.com/Ryan_Derek1","@Ryan_Derek1")</f>
        <v>@Ryan_Derek1</v>
      </c>
      <c r="C3255" s="21" t="s">
        <v>7859</v>
      </c>
      <c r="D3255" s="22" t="s">
        <v>7860</v>
      </c>
      <c r="E3255" s="23" t="str">
        <f>HYPERLINK("http://twitter.com/#!/download/ipad","Twitter for iPad")</f>
        <v>Twitter for iPad</v>
      </c>
      <c r="F3255" s="19">
        <v>42823.290648148148</v>
      </c>
      <c r="G3255" s="24" t="s">
        <v>13000</v>
      </c>
      <c r="H3255" s="35" t="s">
        <v>7861</v>
      </c>
      <c r="I3255" s="25" t="s">
        <v>7862</v>
      </c>
    </row>
    <row r="3256" spans="1:9" s="31" customFormat="1" ht="90">
      <c r="A3256" s="19">
        <v>43548.375173611115</v>
      </c>
      <c r="B3256" s="20" t="str">
        <f>HYPERLINK("https://twitter.com/maderobnb","@maderobnb")</f>
        <v>@maderobnb</v>
      </c>
      <c r="C3256" s="21" t="s">
        <v>4504</v>
      </c>
      <c r="D3256" s="22" t="s">
        <v>8338</v>
      </c>
      <c r="E3256" s="23" t="str">
        <f>HYPERLINK("https://www.later.com","LaterMedia")</f>
        <v>LaterMedia</v>
      </c>
      <c r="F3256" s="19">
        <v>42757.333981481483</v>
      </c>
      <c r="G3256" s="17" t="s">
        <v>13000</v>
      </c>
      <c r="H3256" s="35" t="s">
        <v>4506</v>
      </c>
      <c r="I3256" s="25" t="s">
        <v>4507</v>
      </c>
    </row>
    <row r="3257" spans="1:9" s="31" customFormat="1" ht="105">
      <c r="A3257" s="19">
        <v>43547.375196759254</v>
      </c>
      <c r="B3257" s="20" t="str">
        <f>HYPERLINK("https://twitter.com/maderobnb","@maderobnb")</f>
        <v>@maderobnb</v>
      </c>
      <c r="C3257" s="21" t="s">
        <v>4504</v>
      </c>
      <c r="D3257" s="22" t="s">
        <v>8576</v>
      </c>
      <c r="E3257" s="23" t="str">
        <f>HYPERLINK("https://www.later.com","LaterMedia")</f>
        <v>LaterMedia</v>
      </c>
      <c r="F3257" s="19">
        <v>42757.333981481483</v>
      </c>
      <c r="G3257" s="17" t="s">
        <v>13000</v>
      </c>
      <c r="H3257" s="35" t="s">
        <v>4506</v>
      </c>
      <c r="I3257" s="25" t="s">
        <v>4507</v>
      </c>
    </row>
    <row r="3258" spans="1:9" s="31" customFormat="1" ht="60">
      <c r="A3258" s="19">
        <v>43545.375231481477</v>
      </c>
      <c r="B3258" s="20" t="str">
        <f>HYPERLINK("https://twitter.com/maderobnb","@maderobnb")</f>
        <v>@maderobnb</v>
      </c>
      <c r="C3258" s="21" t="s">
        <v>4504</v>
      </c>
      <c r="D3258" s="22" t="s">
        <v>9164</v>
      </c>
      <c r="E3258" s="23" t="str">
        <f>HYPERLINK("https://www.later.com","LaterMedia")</f>
        <v>LaterMedia</v>
      </c>
      <c r="F3258" s="19">
        <v>42757.333981481483</v>
      </c>
      <c r="G3258" s="17" t="s">
        <v>13000</v>
      </c>
      <c r="H3258" s="35" t="s">
        <v>4506</v>
      </c>
      <c r="I3258" s="25" t="s">
        <v>4507</v>
      </c>
    </row>
    <row r="3259" spans="1:9" s="31" customFormat="1" ht="105">
      <c r="A3259" s="4">
        <v>43565.410694444443</v>
      </c>
      <c r="B3259" s="5" t="str">
        <f>HYPERLINK("https://twitter.com/amarilloBBcuba","@amarilloBBcuba")</f>
        <v>@amarilloBBcuba</v>
      </c>
      <c r="C3259" s="6" t="s">
        <v>6104</v>
      </c>
      <c r="D3259" s="7" t="s">
        <v>6105</v>
      </c>
      <c r="E3259" s="8" t="str">
        <f>HYPERLINK("https://mobile.twitter.com","Twitter Web App")</f>
        <v>Twitter Web App</v>
      </c>
      <c r="F3259" s="4">
        <v>43057.446539351848</v>
      </c>
      <c r="G3259" s="17" t="s">
        <v>13000</v>
      </c>
      <c r="H3259" s="35" t="s">
        <v>4506</v>
      </c>
      <c r="I3259" s="10" t="s">
        <v>6106</v>
      </c>
    </row>
    <row r="3260" spans="1:9" s="31" customFormat="1" ht="75">
      <c r="A3260" s="4">
        <v>43560.274328703701</v>
      </c>
      <c r="B3260" s="5" t="str">
        <f>HYPERLINK("https://twitter.com/amarilloBBcuba","@amarilloBBcuba")</f>
        <v>@amarilloBBcuba</v>
      </c>
      <c r="C3260" s="6" t="s">
        <v>6104</v>
      </c>
      <c r="D3260" s="7" t="s">
        <v>11513</v>
      </c>
      <c r="E3260" s="8" t="str">
        <f>HYPERLINK("https://mobile.twitter.com","Twitter Web App")</f>
        <v>Twitter Web App</v>
      </c>
      <c r="F3260" s="4">
        <v>43057.446539351848</v>
      </c>
      <c r="G3260" s="17" t="s">
        <v>13000</v>
      </c>
      <c r="H3260" s="35" t="s">
        <v>4506</v>
      </c>
      <c r="I3260" s="10" t="s">
        <v>6106</v>
      </c>
    </row>
    <row r="3261" spans="1:9" s="31" customFormat="1" ht="120">
      <c r="A3261" s="12">
        <v>43569.496574074074</v>
      </c>
      <c r="B3261" s="13" t="str">
        <f>HYPERLINK("https://twitter.com/maderobnb","@maderobnb")</f>
        <v>@maderobnb</v>
      </c>
      <c r="C3261" s="14" t="s">
        <v>4504</v>
      </c>
      <c r="D3261" s="15" t="s">
        <v>4505</v>
      </c>
      <c r="E3261" s="16" t="str">
        <f>HYPERLINK("https://www.later.com","LaterMedia")</f>
        <v>LaterMedia</v>
      </c>
      <c r="F3261" s="12">
        <v>42757.333981481483</v>
      </c>
      <c r="G3261" s="17" t="s">
        <v>13000</v>
      </c>
      <c r="H3261" s="35" t="s">
        <v>4506</v>
      </c>
      <c r="I3261" s="18" t="s">
        <v>4507</v>
      </c>
    </row>
    <row r="3262" spans="1:9" s="31" customFormat="1" ht="120">
      <c r="A3262" s="12">
        <v>43567.569467592592</v>
      </c>
      <c r="B3262" s="13" t="str">
        <f>HYPERLINK("https://twitter.com/maderobnb","@maderobnb")</f>
        <v>@maderobnb</v>
      </c>
      <c r="C3262" s="14" t="s">
        <v>4504</v>
      </c>
      <c r="D3262" s="15" t="s">
        <v>5047</v>
      </c>
      <c r="E3262" s="16" t="str">
        <f>HYPERLINK("https://www.later.com","LaterMedia")</f>
        <v>LaterMedia</v>
      </c>
      <c r="F3262" s="12">
        <v>42757.333981481483</v>
      </c>
      <c r="G3262" s="17" t="s">
        <v>13000</v>
      </c>
      <c r="H3262" s="35" t="s">
        <v>4506</v>
      </c>
      <c r="I3262" s="18" t="s">
        <v>4507</v>
      </c>
    </row>
    <row r="3263" spans="1:9" s="31" customFormat="1" ht="75">
      <c r="A3263" s="12">
        <v>43567.253634259258</v>
      </c>
      <c r="B3263" s="13" t="str">
        <f>HYPERLINK("https://twitter.com/Hostal_AndMar","@Hostal_AndMar")</f>
        <v>@Hostal_AndMar</v>
      </c>
      <c r="C3263" s="14" t="s">
        <v>5192</v>
      </c>
      <c r="D3263" s="15" t="s">
        <v>5193</v>
      </c>
      <c r="E3263" s="16" t="str">
        <f>HYPERLINK("http://www.linkedin.com/","LinkedIn")</f>
        <v>LinkedIn</v>
      </c>
      <c r="F3263" s="12">
        <v>42956.837719907402</v>
      </c>
      <c r="G3263" s="17" t="s">
        <v>13000</v>
      </c>
      <c r="H3263" s="35" t="s">
        <v>4506</v>
      </c>
      <c r="I3263" s="18" t="s">
        <v>5194</v>
      </c>
    </row>
    <row r="3264" spans="1:9" s="31" customFormat="1" ht="105">
      <c r="A3264" s="19">
        <v>43543.579456018517</v>
      </c>
      <c r="B3264" s="20" t="str">
        <f>HYPERLINK("https://twitter.com/mycummingnews","@mycummingnews")</f>
        <v>@mycummingnews</v>
      </c>
      <c r="C3264" s="21" t="s">
        <v>1076</v>
      </c>
      <c r="D3264" s="22" t="s">
        <v>9753</v>
      </c>
      <c r="E3264" s="23" t="str">
        <f>HYPERLINK("http://twitter.com/download/android","Twitter for Android")</f>
        <v>Twitter for Android</v>
      </c>
      <c r="F3264" s="19">
        <v>43424.442465277782</v>
      </c>
      <c r="G3264" s="24" t="s">
        <v>13000</v>
      </c>
      <c r="H3264" s="35" t="s">
        <v>1078</v>
      </c>
      <c r="I3264" s="25" t="s">
        <v>1079</v>
      </c>
    </row>
    <row r="3265" spans="1:9" s="31" customFormat="1" ht="105">
      <c r="A3265" s="19">
        <v>43543.466712962967</v>
      </c>
      <c r="B3265" s="20" t="str">
        <f>HYPERLINK("https://twitter.com/mycummingnews","@mycummingnews")</f>
        <v>@mycummingnews</v>
      </c>
      <c r="C3265" s="21" t="s">
        <v>1076</v>
      </c>
      <c r="D3265" s="22" t="s">
        <v>9787</v>
      </c>
      <c r="E3265" s="23" t="str">
        <f>HYPERLINK("http://twitter.com/download/android","Twitter for Android")</f>
        <v>Twitter for Android</v>
      </c>
      <c r="F3265" s="19">
        <v>43424.442465277782</v>
      </c>
      <c r="G3265" s="24" t="s">
        <v>13000</v>
      </c>
      <c r="H3265" s="35" t="s">
        <v>1078</v>
      </c>
      <c r="I3265" s="25" t="s">
        <v>1079</v>
      </c>
    </row>
    <row r="3266" spans="1:9" s="31" customFormat="1" ht="90">
      <c r="A3266" s="12">
        <v>43578.714699074073</v>
      </c>
      <c r="B3266" s="13" t="str">
        <f>HYPERLINK("https://twitter.com/mycummingnews","@mycummingnews")</f>
        <v>@mycummingnews</v>
      </c>
      <c r="C3266" s="14" t="s">
        <v>1076</v>
      </c>
      <c r="D3266" s="15" t="s">
        <v>1077</v>
      </c>
      <c r="E3266" s="16" t="str">
        <f>HYPERLINK("http://twitter.com/download/android","Twitter for Android")</f>
        <v>Twitter for Android</v>
      </c>
      <c r="F3266" s="12">
        <v>43424.442465277782</v>
      </c>
      <c r="G3266" s="24" t="s">
        <v>13000</v>
      </c>
      <c r="H3266" s="35" t="s">
        <v>1078</v>
      </c>
      <c r="I3266" s="18" t="s">
        <v>1079</v>
      </c>
    </row>
    <row r="3267" spans="1:9" s="31" customFormat="1" ht="45">
      <c r="A3267" s="19">
        <v>43549.402824074074</v>
      </c>
      <c r="B3267" s="20" t="str">
        <f>HYPERLINK("https://twitter.com/AllFinance","@AllFinance")</f>
        <v>@AllFinance</v>
      </c>
      <c r="C3267" s="21" t="s">
        <v>8055</v>
      </c>
      <c r="D3267" s="22" t="s">
        <v>8056</v>
      </c>
      <c r="E3267" s="23" t="str">
        <f t="shared" ref="E3267:E3272" si="132">HYPERLINK("https://buffer.com","Buffer")</f>
        <v>Buffer</v>
      </c>
      <c r="F3267" s="19">
        <v>39378.822569444441</v>
      </c>
      <c r="G3267" s="24" t="s">
        <v>13000</v>
      </c>
      <c r="H3267" s="35" t="s">
        <v>8057</v>
      </c>
      <c r="I3267" s="25" t="s">
        <v>8058</v>
      </c>
    </row>
    <row r="3268" spans="1:9" s="31" customFormat="1" ht="45">
      <c r="A3268" s="4">
        <v>43565.686122685191</v>
      </c>
      <c r="B3268" s="5" t="str">
        <f>HYPERLINK("https://twitter.com/Workato","@Workato")</f>
        <v>@Workato</v>
      </c>
      <c r="C3268" s="6" t="s">
        <v>1520</v>
      </c>
      <c r="D3268" s="7" t="s">
        <v>1521</v>
      </c>
      <c r="E3268" s="8" t="str">
        <f t="shared" si="132"/>
        <v>Buffer</v>
      </c>
      <c r="F3268" s="4">
        <v>41585.494745370372</v>
      </c>
      <c r="G3268" s="17" t="s">
        <v>13000</v>
      </c>
      <c r="H3268" s="35" t="s">
        <v>1522</v>
      </c>
      <c r="I3268" s="10" t="s">
        <v>1523</v>
      </c>
    </row>
    <row r="3269" spans="1:9" s="31" customFormat="1" ht="45">
      <c r="A3269" s="4">
        <v>43563.729872685188</v>
      </c>
      <c r="B3269" s="5" t="str">
        <f>HYPERLINK("https://twitter.com/Workato","@Workato")</f>
        <v>@Workato</v>
      </c>
      <c r="C3269" s="6" t="s">
        <v>1520</v>
      </c>
      <c r="D3269" s="7" t="s">
        <v>1521</v>
      </c>
      <c r="E3269" s="8" t="str">
        <f t="shared" si="132"/>
        <v>Buffer</v>
      </c>
      <c r="F3269" s="4">
        <v>41585.494745370372</v>
      </c>
      <c r="G3269" s="17" t="s">
        <v>13000</v>
      </c>
      <c r="H3269" s="35" t="s">
        <v>1522</v>
      </c>
      <c r="I3269" s="10" t="s">
        <v>1523</v>
      </c>
    </row>
    <row r="3270" spans="1:9" s="31" customFormat="1" ht="45">
      <c r="A3270" s="4">
        <v>43559.686122685191</v>
      </c>
      <c r="B3270" s="5" t="str">
        <f>HYPERLINK("https://twitter.com/Workato","@Workato")</f>
        <v>@Workato</v>
      </c>
      <c r="C3270" s="6" t="s">
        <v>1520</v>
      </c>
      <c r="D3270" s="7" t="s">
        <v>1521</v>
      </c>
      <c r="E3270" s="8" t="str">
        <f t="shared" si="132"/>
        <v>Buffer</v>
      </c>
      <c r="F3270" s="4">
        <v>41585.494745370372</v>
      </c>
      <c r="G3270" s="17" t="s">
        <v>13000</v>
      </c>
      <c r="H3270" s="35" t="s">
        <v>1522</v>
      </c>
      <c r="I3270" s="10" t="s">
        <v>1523</v>
      </c>
    </row>
    <row r="3271" spans="1:9" s="31" customFormat="1" ht="45">
      <c r="A3271" s="12">
        <v>43577.686122685191</v>
      </c>
      <c r="B3271" s="13" t="str">
        <f>HYPERLINK("https://twitter.com/Workato","@Workato")</f>
        <v>@Workato</v>
      </c>
      <c r="C3271" s="14" t="s">
        <v>1520</v>
      </c>
      <c r="D3271" s="15" t="s">
        <v>1521</v>
      </c>
      <c r="E3271" s="16" t="str">
        <f t="shared" si="132"/>
        <v>Buffer</v>
      </c>
      <c r="F3271" s="12">
        <v>41585.494745370372</v>
      </c>
      <c r="G3271" s="17" t="s">
        <v>13000</v>
      </c>
      <c r="H3271" s="35" t="s">
        <v>1522</v>
      </c>
      <c r="I3271" s="18" t="s">
        <v>1523</v>
      </c>
    </row>
    <row r="3272" spans="1:9" s="31" customFormat="1" ht="45">
      <c r="A3272" s="12">
        <v>43572.559050925927</v>
      </c>
      <c r="B3272" s="13" t="str">
        <f>HYPERLINK("https://twitter.com/Workato","@Workato")</f>
        <v>@Workato</v>
      </c>
      <c r="C3272" s="14" t="s">
        <v>1520</v>
      </c>
      <c r="D3272" s="15" t="s">
        <v>1521</v>
      </c>
      <c r="E3272" s="16" t="str">
        <f t="shared" si="132"/>
        <v>Buffer</v>
      </c>
      <c r="F3272" s="12">
        <v>41585.494745370372</v>
      </c>
      <c r="G3272" s="17" t="s">
        <v>13000</v>
      </c>
      <c r="H3272" s="35" t="s">
        <v>1522</v>
      </c>
      <c r="I3272" s="18" t="s">
        <v>1523</v>
      </c>
    </row>
    <row r="3273" spans="1:9" s="31" customFormat="1" ht="45">
      <c r="A3273" s="19">
        <v>43551.891365740739</v>
      </c>
      <c r="B3273" s="20" t="str">
        <f>HYPERLINK("https://twitter.com/WarpOneTravel","@WarpOneTravel")</f>
        <v>@WarpOneTravel</v>
      </c>
      <c r="C3273" s="21" t="s">
        <v>6971</v>
      </c>
      <c r="D3273" s="22" t="s">
        <v>6972</v>
      </c>
      <c r="E3273" s="23" t="str">
        <f>HYPERLINK("http://twitter.com/download/iphone","Twitter for iPhone")</f>
        <v>Twitter for iPhone</v>
      </c>
      <c r="F3273" s="19">
        <v>42939.763865740737</v>
      </c>
      <c r="G3273" s="17" t="s">
        <v>13000</v>
      </c>
      <c r="H3273" s="35" t="s">
        <v>6973</v>
      </c>
      <c r="I3273" s="25" t="s">
        <v>6974</v>
      </c>
    </row>
    <row r="3274" spans="1:9" s="31" customFormat="1" ht="90">
      <c r="A3274" s="19">
        <v>43551.50037037037</v>
      </c>
      <c r="B3274" s="20" t="str">
        <f>HYPERLINK("https://twitter.com/NoiseAwareDotIO","@NoiseAwareDotIO")</f>
        <v>@NoiseAwareDotIO</v>
      </c>
      <c r="C3274" s="21" t="s">
        <v>4803</v>
      </c>
      <c r="D3274" s="22" t="s">
        <v>7152</v>
      </c>
      <c r="E3274" s="23" t="str">
        <f>HYPERLINK("http://meetedgar.com","Meet Edgar")</f>
        <v>Meet Edgar</v>
      </c>
      <c r="F3274" s="19">
        <v>42413.337777777779</v>
      </c>
      <c r="G3274" s="17" t="s">
        <v>13000</v>
      </c>
      <c r="H3274" s="35" t="s">
        <v>1025</v>
      </c>
      <c r="I3274" s="25" t="s">
        <v>4805</v>
      </c>
    </row>
    <row r="3275" spans="1:9" s="31" customFormat="1" ht="45">
      <c r="A3275" s="19">
        <v>43550.70548611111</v>
      </c>
      <c r="B3275" s="20" t="str">
        <f>HYPERLINK("https://twitter.com/icarusHB","@icarusHB")</f>
        <v>@icarusHB</v>
      </c>
      <c r="C3275" s="21" t="s">
        <v>7536</v>
      </c>
      <c r="D3275" s="22" t="s">
        <v>7537</v>
      </c>
      <c r="E3275" s="23" t="str">
        <f>HYPERLINK("http://twitter.com/download/android","Twitter for Android")</f>
        <v>Twitter for Android</v>
      </c>
      <c r="F3275" s="19">
        <v>41786.407233796301</v>
      </c>
      <c r="G3275" s="17" t="s">
        <v>13000</v>
      </c>
      <c r="H3275" s="35" t="s">
        <v>1025</v>
      </c>
      <c r="I3275" s="25" t="s">
        <v>7538</v>
      </c>
    </row>
    <row r="3276" spans="1:9" s="31" customFormat="1" ht="75">
      <c r="A3276" s="19">
        <v>43550.568692129629</v>
      </c>
      <c r="B3276" s="20" t="str">
        <f>HYPERLINK("https://twitter.com/ModRentalIncome","@ModRentalIncome")</f>
        <v>@ModRentalIncome</v>
      </c>
      <c r="C3276" s="21" t="s">
        <v>7611</v>
      </c>
      <c r="D3276" s="22" t="s">
        <v>7612</v>
      </c>
      <c r="E3276" s="23" t="str">
        <f>HYPERLINK("http://instagram.com","Instagram")</f>
        <v>Instagram</v>
      </c>
      <c r="F3276" s="19">
        <v>43535.632997685185</v>
      </c>
      <c r="G3276" s="17" t="s">
        <v>13000</v>
      </c>
      <c r="H3276" s="35" t="s">
        <v>1025</v>
      </c>
      <c r="I3276" s="25" t="s">
        <v>7613</v>
      </c>
    </row>
    <row r="3277" spans="1:9" s="31" customFormat="1" ht="90">
      <c r="A3277" s="19">
        <v>43549.318368055552</v>
      </c>
      <c r="B3277" s="20" t="str">
        <f>HYPERLINK("https://twitter.com/rajchudasama","@rajchudasama")</f>
        <v>@rajchudasama</v>
      </c>
      <c r="C3277" s="21" t="s">
        <v>8098</v>
      </c>
      <c r="D3277" s="22" t="s">
        <v>8099</v>
      </c>
      <c r="E3277" s="23" t="str">
        <f>HYPERLINK("http://twitter.com","Twitter Web Client")</f>
        <v>Twitter Web Client</v>
      </c>
      <c r="F3277" s="19">
        <v>39989.770624999997</v>
      </c>
      <c r="G3277" s="17" t="s">
        <v>13000</v>
      </c>
      <c r="H3277" s="35" t="s">
        <v>1025</v>
      </c>
      <c r="I3277" s="25" t="s">
        <v>8100</v>
      </c>
    </row>
    <row r="3278" spans="1:9" s="31" customFormat="1" ht="75">
      <c r="A3278" s="19">
        <v>43546.542986111112</v>
      </c>
      <c r="B3278" s="20" t="str">
        <f>HYPERLINK("https://twitter.com/NoiseAwareDotIO","@NoiseAwareDotIO")</f>
        <v>@NoiseAwareDotIO</v>
      </c>
      <c r="C3278" s="21" t="s">
        <v>4803</v>
      </c>
      <c r="D3278" s="22" t="s">
        <v>8814</v>
      </c>
      <c r="E3278" s="23" t="str">
        <f>HYPERLINK("https://mobile.twitter.com","Twitter Web App")</f>
        <v>Twitter Web App</v>
      </c>
      <c r="F3278" s="19">
        <v>42413.337777777779</v>
      </c>
      <c r="G3278" s="17" t="s">
        <v>13000</v>
      </c>
      <c r="H3278" s="35" t="s">
        <v>1025</v>
      </c>
      <c r="I3278" s="25" t="s">
        <v>4805</v>
      </c>
    </row>
    <row r="3279" spans="1:9" s="31" customFormat="1" ht="90">
      <c r="A3279" s="19">
        <v>43543.477511574078</v>
      </c>
      <c r="B3279" s="20" t="str">
        <f>HYPERLINK("https://twitter.com/NicoleEdmun","@NicoleEdmun")</f>
        <v>@NicoleEdmun</v>
      </c>
      <c r="C3279" s="21" t="s">
        <v>9784</v>
      </c>
      <c r="D3279" s="22" t="s">
        <v>9785</v>
      </c>
      <c r="E3279" s="23" t="str">
        <f>HYPERLINK("http://twitter.com/download/iphone","Twitter for iPhone")</f>
        <v>Twitter for iPhone</v>
      </c>
      <c r="F3279" s="19">
        <v>42100.368750000001</v>
      </c>
      <c r="G3279" s="17" t="s">
        <v>13000</v>
      </c>
      <c r="H3279" s="35" t="s">
        <v>1025</v>
      </c>
      <c r="I3279" s="25" t="s">
        <v>9786</v>
      </c>
    </row>
    <row r="3280" spans="1:9" s="31" customFormat="1" ht="30">
      <c r="A3280" s="4">
        <v>43558.371944444443</v>
      </c>
      <c r="B3280" s="5" t="str">
        <f>HYPERLINK("https://twitter.com/olingerheath","@olingerheath")</f>
        <v>@olingerheath</v>
      </c>
      <c r="C3280" s="6" t="s">
        <v>12221</v>
      </c>
      <c r="D3280" s="7" t="s">
        <v>12222</v>
      </c>
      <c r="E3280" s="8" t="str">
        <f>HYPERLINK("https://www.hootsuite.com","Hootsuite Inc.")</f>
        <v>Hootsuite Inc.</v>
      </c>
      <c r="F3280" s="4">
        <v>42353.441469907411</v>
      </c>
      <c r="G3280" s="17" t="s">
        <v>13000</v>
      </c>
      <c r="H3280" s="35" t="s">
        <v>1025</v>
      </c>
      <c r="I3280" s="10" t="s">
        <v>12223</v>
      </c>
    </row>
    <row r="3281" spans="1:9" s="31" customFormat="1" ht="105">
      <c r="A3281" s="12">
        <v>43578.831793981481</v>
      </c>
      <c r="B3281" s="13" t="str">
        <f>HYPERLINK("https://twitter.com/FairParkRising","@FairParkRising")</f>
        <v>@FairParkRising</v>
      </c>
      <c r="C3281" s="14" t="s">
        <v>1023</v>
      </c>
      <c r="D3281" s="15" t="s">
        <v>1024</v>
      </c>
      <c r="E3281" s="16" t="str">
        <f>HYPERLINK("http://twitter.com/download/iphone","Twitter for iPhone")</f>
        <v>Twitter for iPhone</v>
      </c>
      <c r="F3281" s="12">
        <v>42333.606481481482</v>
      </c>
      <c r="G3281" s="17" t="s">
        <v>13000</v>
      </c>
      <c r="H3281" s="35" t="s">
        <v>1025</v>
      </c>
      <c r="I3281" s="18" t="s">
        <v>1026</v>
      </c>
    </row>
    <row r="3282" spans="1:9" s="31" customFormat="1" ht="75">
      <c r="A3282" s="12">
        <v>43576.356192129635</v>
      </c>
      <c r="B3282" s="13" t="str">
        <f>HYPERLINK("https://twitter.com/Liron_Segev","@Liron_Segev")</f>
        <v>@Liron_Segev</v>
      </c>
      <c r="C3282" s="14" t="s">
        <v>1978</v>
      </c>
      <c r="D3282" s="15" t="s">
        <v>1979</v>
      </c>
      <c r="E3282" s="16" t="str">
        <f>HYPERLINK("http://twitter.com","Twitter Web Client")</f>
        <v>Twitter Web Client</v>
      </c>
      <c r="F3282" s="12">
        <v>39892.210648148146</v>
      </c>
      <c r="G3282" s="17" t="s">
        <v>13000</v>
      </c>
      <c r="H3282" s="35" t="s">
        <v>1025</v>
      </c>
      <c r="I3282" s="18" t="s">
        <v>1980</v>
      </c>
    </row>
    <row r="3283" spans="1:9" s="31" customFormat="1" ht="105">
      <c r="A3283" s="12">
        <v>43568.333981481483</v>
      </c>
      <c r="B3283" s="13" t="str">
        <f>HYPERLINK("https://twitter.com/NoiseAwareDotIO","@NoiseAwareDotIO")</f>
        <v>@NoiseAwareDotIO</v>
      </c>
      <c r="C3283" s="14" t="s">
        <v>4803</v>
      </c>
      <c r="D3283" s="15" t="s">
        <v>4804</v>
      </c>
      <c r="E3283" s="16" t="str">
        <f>HYPERLINK("http://meetedgar.com","Meet Edgar")</f>
        <v>Meet Edgar</v>
      </c>
      <c r="F3283" s="12">
        <v>42413.337777777779</v>
      </c>
      <c r="G3283" s="17" t="s">
        <v>13000</v>
      </c>
      <c r="H3283" s="35" t="s">
        <v>1025</v>
      </c>
      <c r="I3283" s="18" t="s">
        <v>4805</v>
      </c>
    </row>
    <row r="3284" spans="1:9" s="31" customFormat="1" ht="45">
      <c r="A3284" s="12">
        <v>43566.630474537036</v>
      </c>
      <c r="B3284" s="13" t="str">
        <f>HYPERLINK("https://twitter.com/PeeblesTours","@PeeblesTours")</f>
        <v>@PeeblesTours</v>
      </c>
      <c r="C3284" s="14" t="s">
        <v>5391</v>
      </c>
      <c r="D3284" s="15" t="s">
        <v>5392</v>
      </c>
      <c r="E3284" s="16" t="str">
        <f>HYPERLINK("http://twitter.com/download/android","Twitter for Android")</f>
        <v>Twitter for Android</v>
      </c>
      <c r="F3284" s="12">
        <v>43517.729675925926</v>
      </c>
      <c r="G3284" s="17" t="s">
        <v>13000</v>
      </c>
      <c r="H3284" s="35" t="s">
        <v>1025</v>
      </c>
      <c r="I3284" s="18" t="s">
        <v>5393</v>
      </c>
    </row>
    <row r="3285" spans="1:9" s="31" customFormat="1" ht="60">
      <c r="A3285" s="4">
        <v>43564.319432870368</v>
      </c>
      <c r="B3285" s="5" t="str">
        <f>HYPERLINK("https://twitter.com/PMIPremServices","@PMIPremServices")</f>
        <v>@PMIPremServices</v>
      </c>
      <c r="C3285" s="6" t="s">
        <v>3278</v>
      </c>
      <c r="D3285" s="7" t="s">
        <v>6693</v>
      </c>
      <c r="E3285" s="8" t="str">
        <f>HYPERLINK("http://instagram.com","Instagram")</f>
        <v>Instagram</v>
      </c>
      <c r="F3285" s="4">
        <v>43013.567881944444</v>
      </c>
      <c r="G3285" s="9" t="s">
        <v>13000</v>
      </c>
      <c r="H3285" s="35" t="s">
        <v>3280</v>
      </c>
      <c r="I3285" s="10" t="s">
        <v>3281</v>
      </c>
    </row>
    <row r="3286" spans="1:9" s="31" customFormat="1" ht="60">
      <c r="A3286" s="12">
        <v>43572.379942129628</v>
      </c>
      <c r="B3286" s="13" t="str">
        <f>HYPERLINK("https://twitter.com/PMIPremServices","@PMIPremServices")</f>
        <v>@PMIPremServices</v>
      </c>
      <c r="C3286" s="14" t="s">
        <v>3278</v>
      </c>
      <c r="D3286" s="15" t="s">
        <v>3279</v>
      </c>
      <c r="E3286" s="16" t="str">
        <f>HYPERLINK("http://www.facebook.com/twitter","Facebook")</f>
        <v>Facebook</v>
      </c>
      <c r="F3286" s="12">
        <v>43013.567881944444</v>
      </c>
      <c r="G3286" s="9" t="s">
        <v>13000</v>
      </c>
      <c r="H3286" s="35" t="s">
        <v>3280</v>
      </c>
      <c r="I3286" s="18" t="s">
        <v>3281</v>
      </c>
    </row>
    <row r="3287" spans="1:9" s="31" customFormat="1" ht="45">
      <c r="A3287" s="12">
        <v>43572.379780092597</v>
      </c>
      <c r="B3287" s="13" t="str">
        <f>HYPERLINK("https://twitter.com/PMIPremServices","@PMIPremServices")</f>
        <v>@PMIPremServices</v>
      </c>
      <c r="C3287" s="14" t="s">
        <v>3278</v>
      </c>
      <c r="D3287" s="15" t="s">
        <v>3282</v>
      </c>
      <c r="E3287" s="16" t="str">
        <f>HYPERLINK("http://instagram.com","Instagram")</f>
        <v>Instagram</v>
      </c>
      <c r="F3287" s="12">
        <v>43013.567881944444</v>
      </c>
      <c r="G3287" s="9" t="s">
        <v>13000</v>
      </c>
      <c r="H3287" s="35" t="s">
        <v>3280</v>
      </c>
      <c r="I3287" s="18" t="s">
        <v>3281</v>
      </c>
    </row>
    <row r="3288" spans="1:9" s="31" customFormat="1" ht="30">
      <c r="A3288" s="19">
        <v>43550.774641203709</v>
      </c>
      <c r="B3288" s="20" t="str">
        <f>HYPERLINK("https://twitter.com/JessicaCardell","@JessicaCardell")</f>
        <v>@JessicaCardell</v>
      </c>
      <c r="C3288" s="21" t="s">
        <v>7508</v>
      </c>
      <c r="D3288" s="22" t="s">
        <v>7509</v>
      </c>
      <c r="E3288" s="23" t="str">
        <f>HYPERLINK("http://twitter.com/download/iphone","Twitter for iPhone")</f>
        <v>Twitter for iPhone</v>
      </c>
      <c r="F3288" s="19">
        <v>41037.805636574078</v>
      </c>
      <c r="G3288" s="9" t="s">
        <v>13000</v>
      </c>
      <c r="H3288" s="35" t="s">
        <v>7510</v>
      </c>
      <c r="I3288" s="25" t="s">
        <v>7511</v>
      </c>
    </row>
    <row r="3289" spans="1:9" s="31" customFormat="1" ht="45">
      <c r="A3289" s="19">
        <v>43542.627824074079</v>
      </c>
      <c r="B3289" s="20" t="str">
        <f>HYPERLINK("https://twitter.com/JessicaCardell","@JessicaCardell")</f>
        <v>@JessicaCardell</v>
      </c>
      <c r="C3289" s="21" t="s">
        <v>7508</v>
      </c>
      <c r="D3289" s="22" t="s">
        <v>10060</v>
      </c>
      <c r="E3289" s="23" t="str">
        <f>HYPERLINK("http://twitter.com/download/iphone","Twitter for iPhone")</f>
        <v>Twitter for iPhone</v>
      </c>
      <c r="F3289" s="19">
        <v>41037.805636574078</v>
      </c>
      <c r="G3289" s="9" t="s">
        <v>13000</v>
      </c>
      <c r="H3289" s="35" t="s">
        <v>7510</v>
      </c>
      <c r="I3289" s="25" t="s">
        <v>7511</v>
      </c>
    </row>
    <row r="3290" spans="1:9" s="31" customFormat="1" ht="30">
      <c r="A3290" s="12">
        <v>43577.611388888894</v>
      </c>
      <c r="B3290" s="13" t="str">
        <f>HYPERLINK("https://twitter.com/daytonadebra","@daytonadebra")</f>
        <v>@daytonadebra</v>
      </c>
      <c r="C3290" s="14" t="s">
        <v>1541</v>
      </c>
      <c r="D3290" s="15" t="s">
        <v>1542</v>
      </c>
      <c r="E3290" s="16" t="str">
        <f>HYPERLINK("https://www.circlepix.com/","Circlepix")</f>
        <v>Circlepix</v>
      </c>
      <c r="F3290" s="12">
        <v>42807.564282407402</v>
      </c>
      <c r="G3290" s="9" t="s">
        <v>13000</v>
      </c>
      <c r="H3290" s="35" t="s">
        <v>1543</v>
      </c>
      <c r="I3290" s="18" t="s">
        <v>1544</v>
      </c>
    </row>
    <row r="3291" spans="1:9" s="31" customFormat="1" ht="45">
      <c r="A3291" s="19">
        <v>43547.250069444446</v>
      </c>
      <c r="B3291" s="20" t="str">
        <f t="shared" ref="B3291:B3296" si="133">HYPERLINK("https://twitter.com/igor_os777","@igor_os777")</f>
        <v>@igor_os777</v>
      </c>
      <c r="C3291" s="21" t="s">
        <v>4470</v>
      </c>
      <c r="D3291" s="22" t="s">
        <v>8615</v>
      </c>
      <c r="E3291" s="23" t="str">
        <f>HYPERLINK("https://dlvrit.com/","dlvr.it")</f>
        <v>dlvr.it</v>
      </c>
      <c r="F3291" s="19">
        <v>43101.759687500002</v>
      </c>
      <c r="G3291" s="17" t="s">
        <v>13000</v>
      </c>
      <c r="H3291" s="35" t="s">
        <v>4472</v>
      </c>
      <c r="I3291" s="25" t="s">
        <v>4473</v>
      </c>
    </row>
    <row r="3292" spans="1:9" s="31" customFormat="1" ht="45">
      <c r="A3292" s="19">
        <v>43545.376782407402</v>
      </c>
      <c r="B3292" s="20" t="str">
        <f t="shared" si="133"/>
        <v>@igor_os777</v>
      </c>
      <c r="C3292" s="21" t="s">
        <v>4470</v>
      </c>
      <c r="D3292" s="22" t="s">
        <v>9163</v>
      </c>
      <c r="E3292" s="23" t="str">
        <f>HYPERLINK("https://dlvrit.com/","dlvr.it")</f>
        <v>dlvr.it</v>
      </c>
      <c r="F3292" s="19">
        <v>43101.759687500002</v>
      </c>
      <c r="G3292" s="17" t="s">
        <v>13000</v>
      </c>
      <c r="H3292" s="35" t="s">
        <v>4472</v>
      </c>
      <c r="I3292" s="25" t="s">
        <v>4473</v>
      </c>
    </row>
    <row r="3293" spans="1:9" s="31" customFormat="1" ht="45">
      <c r="A3293" s="4">
        <v>43562.877465277779</v>
      </c>
      <c r="B3293" s="5" t="str">
        <f t="shared" si="133"/>
        <v>@igor_os777</v>
      </c>
      <c r="C3293" s="6" t="s">
        <v>4470</v>
      </c>
      <c r="D3293" s="7" t="s">
        <v>10556</v>
      </c>
      <c r="E3293" s="8" t="str">
        <f>HYPERLINK("https://dlvrit.com/","dlvr.it")</f>
        <v>dlvr.it</v>
      </c>
      <c r="F3293" s="4">
        <v>43101.759687500002</v>
      </c>
      <c r="G3293" s="17" t="s">
        <v>13000</v>
      </c>
      <c r="H3293" s="35" t="s">
        <v>4472</v>
      </c>
      <c r="I3293" s="10" t="s">
        <v>4473</v>
      </c>
    </row>
    <row r="3294" spans="1:9" s="31" customFormat="1" ht="45">
      <c r="A3294" s="4">
        <v>43561.29310185185</v>
      </c>
      <c r="B3294" s="5" t="str">
        <f t="shared" si="133"/>
        <v>@igor_os777</v>
      </c>
      <c r="C3294" s="6" t="s">
        <v>4470</v>
      </c>
      <c r="D3294" s="7" t="s">
        <v>11013</v>
      </c>
      <c r="E3294" s="8" t="str">
        <f>HYPERLINK("https://dlvrit.com/","dlvr.it")</f>
        <v>dlvr.it</v>
      </c>
      <c r="F3294" s="4">
        <v>43101.759687500002</v>
      </c>
      <c r="G3294" s="17" t="s">
        <v>13000</v>
      </c>
      <c r="H3294" s="35" t="s">
        <v>4472</v>
      </c>
      <c r="I3294" s="10" t="s">
        <v>4473</v>
      </c>
    </row>
    <row r="3295" spans="1:9" s="31" customFormat="1" ht="60">
      <c r="A3295" s="12">
        <v>43569.575011574074</v>
      </c>
      <c r="B3295" s="13" t="str">
        <f t="shared" si="133"/>
        <v>@igor_os777</v>
      </c>
      <c r="C3295" s="14" t="s">
        <v>4470</v>
      </c>
      <c r="D3295" s="15" t="s">
        <v>4471</v>
      </c>
      <c r="E3295" s="16" t="str">
        <f>HYPERLINK("https://buffer.com","Buffer")</f>
        <v>Buffer</v>
      </c>
      <c r="F3295" s="12">
        <v>43101.759687500002</v>
      </c>
      <c r="G3295" s="17" t="s">
        <v>13000</v>
      </c>
      <c r="H3295" s="35" t="s">
        <v>4472</v>
      </c>
      <c r="I3295" s="18" t="s">
        <v>4473</v>
      </c>
    </row>
    <row r="3296" spans="1:9" s="31" customFormat="1" ht="45">
      <c r="A3296" s="12">
        <v>43566.334432870368</v>
      </c>
      <c r="B3296" s="13" t="str">
        <f t="shared" si="133"/>
        <v>@igor_os777</v>
      </c>
      <c r="C3296" s="14" t="s">
        <v>4470</v>
      </c>
      <c r="D3296" s="15" t="s">
        <v>5642</v>
      </c>
      <c r="E3296" s="16" t="str">
        <f>HYPERLINK("https://dlvrit.com/","dlvr.it")</f>
        <v>dlvr.it</v>
      </c>
      <c r="F3296" s="12">
        <v>43101.759687500002</v>
      </c>
      <c r="G3296" s="17" t="s">
        <v>13000</v>
      </c>
      <c r="H3296" s="35" t="s">
        <v>4472</v>
      </c>
      <c r="I3296" s="18" t="s">
        <v>4473</v>
      </c>
    </row>
    <row r="3297" spans="1:9" s="31" customFormat="1" ht="120">
      <c r="A3297" s="4">
        <v>43557.646851851852</v>
      </c>
      <c r="B3297" s="5" t="str">
        <f>HYPERLINK("https://twitter.com/MyCleanHomes1","@MyCleanHomes1")</f>
        <v>@MyCleanHomes1</v>
      </c>
      <c r="C3297" s="6" t="s">
        <v>12421</v>
      </c>
      <c r="D3297" s="7" t="s">
        <v>12422</v>
      </c>
      <c r="E3297" s="8" t="str">
        <f>HYPERLINK("http://twitter.com/#!/download/ipad","Twitter for iPad")</f>
        <v>Twitter for iPad</v>
      </c>
      <c r="F3297" s="4">
        <v>43028.617604166662</v>
      </c>
      <c r="G3297" s="17" t="s">
        <v>13000</v>
      </c>
      <c r="H3297" s="35" t="s">
        <v>12423</v>
      </c>
      <c r="I3297" s="10"/>
    </row>
    <row r="3298" spans="1:9" s="31" customFormat="1" ht="120">
      <c r="A3298" s="12">
        <v>43580.8049537037</v>
      </c>
      <c r="B3298" s="13" t="str">
        <f>HYPERLINK("https://twitter.com/StonesThrowCape","@StonesThrowCape")</f>
        <v>@StonesThrowCape</v>
      </c>
      <c r="C3298" s="14" t="s">
        <v>57</v>
      </c>
      <c r="D3298" s="15" t="s">
        <v>58</v>
      </c>
      <c r="E3298" s="16" t="str">
        <f>HYPERLINK("http://twitter.com/download/iphone","Twitter for iPhone")</f>
        <v>Twitter for iPhone</v>
      </c>
      <c r="F3298" s="12">
        <v>43084.255000000005</v>
      </c>
      <c r="G3298" s="17" t="s">
        <v>13000</v>
      </c>
      <c r="H3298" s="35" t="s">
        <v>59</v>
      </c>
      <c r="I3298" s="18" t="s">
        <v>60</v>
      </c>
    </row>
    <row r="3299" spans="1:9" s="31" customFormat="1" ht="90">
      <c r="A3299" s="19">
        <v>43550.505335648151</v>
      </c>
      <c r="B3299" s="20" t="str">
        <f>HYPERLINK("https://twitter.com/mckissackrealty","@mckissackrealty")</f>
        <v>@mckissackrealty</v>
      </c>
      <c r="C3299" s="21" t="s">
        <v>7634</v>
      </c>
      <c r="D3299" s="22" t="s">
        <v>7635</v>
      </c>
      <c r="E3299" s="23" t="str">
        <f>HYPERLINK("http://instagram.com","Instagram")</f>
        <v>Instagram</v>
      </c>
      <c r="F3299" s="19">
        <v>40164.513773148152</v>
      </c>
      <c r="G3299" s="17" t="s">
        <v>13000</v>
      </c>
      <c r="H3299" s="35" t="s">
        <v>4569</v>
      </c>
      <c r="I3299" s="25" t="s">
        <v>7636</v>
      </c>
    </row>
    <row r="3300" spans="1:9" s="31" customFormat="1" ht="45">
      <c r="A3300" s="4">
        <v>43564.291770833333</v>
      </c>
      <c r="B3300" s="5" t="str">
        <f>HYPERLINK("https://twitter.com/chrisrosprim","@chrisrosprim")</f>
        <v>@chrisrosprim</v>
      </c>
      <c r="C3300" s="6" t="s">
        <v>6702</v>
      </c>
      <c r="D3300" s="7" t="s">
        <v>6703</v>
      </c>
      <c r="E3300" s="8" t="str">
        <f>HYPERLINK("https://www.circlepix.com/","Circlepix")</f>
        <v>Circlepix</v>
      </c>
      <c r="F3300" s="4">
        <v>40406.601111111115</v>
      </c>
      <c r="G3300" s="17" t="s">
        <v>13000</v>
      </c>
      <c r="H3300" s="35" t="s">
        <v>4569</v>
      </c>
      <c r="I3300" s="10" t="s">
        <v>6704</v>
      </c>
    </row>
    <row r="3301" spans="1:9" s="31" customFormat="1" ht="45">
      <c r="A3301" s="12">
        <v>43569.253310185188</v>
      </c>
      <c r="B3301" s="13" t="str">
        <f>HYPERLINK("https://twitter.com/Kacey3","@Kacey3")</f>
        <v>@Kacey3</v>
      </c>
      <c r="C3301" s="14" t="s">
        <v>4567</v>
      </c>
      <c r="D3301" s="15" t="s">
        <v>4568</v>
      </c>
      <c r="E3301" s="16" t="str">
        <f>HYPERLINK("http://instagram.com","Instagram")</f>
        <v>Instagram</v>
      </c>
      <c r="F3301" s="12">
        <v>39125.36990740741</v>
      </c>
      <c r="G3301" s="17" t="s">
        <v>13000</v>
      </c>
      <c r="H3301" s="35" t="s">
        <v>4569</v>
      </c>
      <c r="I3301" s="18" t="s">
        <v>4570</v>
      </c>
    </row>
    <row r="3302" spans="1:9" s="31" customFormat="1" ht="60">
      <c r="A3302" s="12">
        <v>43566.638333333336</v>
      </c>
      <c r="B3302" s="13" t="str">
        <f>HYPERLINK("https://twitter.com/Kacey3","@Kacey3")</f>
        <v>@Kacey3</v>
      </c>
      <c r="C3302" s="14" t="s">
        <v>4567</v>
      </c>
      <c r="D3302" s="15" t="s">
        <v>5382</v>
      </c>
      <c r="E3302" s="16" t="str">
        <f>HYPERLINK("http://instagram.com","Instagram")</f>
        <v>Instagram</v>
      </c>
      <c r="F3302" s="12">
        <v>39125.36990740741</v>
      </c>
      <c r="G3302" s="17" t="s">
        <v>13000</v>
      </c>
      <c r="H3302" s="35" t="s">
        <v>4569</v>
      </c>
      <c r="I3302" s="18" t="s">
        <v>4570</v>
      </c>
    </row>
    <row r="3303" spans="1:9" s="31" customFormat="1" ht="60">
      <c r="A3303" s="19">
        <v>43545.582800925928</v>
      </c>
      <c r="B3303" s="20" t="str">
        <f>HYPERLINK("https://twitter.com/RickileeRealty","@RickileeRealty")</f>
        <v>@RickileeRealty</v>
      </c>
      <c r="C3303" s="21" t="s">
        <v>9088</v>
      </c>
      <c r="D3303" s="22" t="s">
        <v>9089</v>
      </c>
      <c r="E3303" s="23" t="str">
        <f>HYPERLINK("http://www.linkedin.com/","LinkedIn")</f>
        <v>LinkedIn</v>
      </c>
      <c r="F3303" s="19">
        <v>42024.708356481482</v>
      </c>
      <c r="G3303" s="17" t="s">
        <v>13000</v>
      </c>
      <c r="H3303" s="35" t="s">
        <v>9090</v>
      </c>
      <c r="I3303" s="25" t="s">
        <v>9091</v>
      </c>
    </row>
    <row r="3304" spans="1:9" s="31" customFormat="1" ht="90">
      <c r="A3304" s="19">
        <v>43543.352754629625</v>
      </c>
      <c r="B3304" s="20" t="str">
        <f>HYPERLINK("https://twitter.com/DoyenneDesign","@DoyenneDesign")</f>
        <v>@DoyenneDesign</v>
      </c>
      <c r="C3304" s="21" t="s">
        <v>9857</v>
      </c>
      <c r="D3304" s="22" t="s">
        <v>9858</v>
      </c>
      <c r="E3304" s="23" t="str">
        <f>HYPERLINK("http://www.facebook.com/twitter","Facebook")</f>
        <v>Facebook</v>
      </c>
      <c r="F3304" s="19">
        <v>40510.518969907411</v>
      </c>
      <c r="G3304" s="17" t="s">
        <v>13000</v>
      </c>
      <c r="H3304" s="35" t="s">
        <v>9859</v>
      </c>
      <c r="I3304" s="25" t="s">
        <v>9860</v>
      </c>
    </row>
    <row r="3305" spans="1:9" s="31" customFormat="1" ht="30">
      <c r="A3305" s="19">
        <v>43547.34475694444</v>
      </c>
      <c r="B3305" s="20" t="str">
        <f>HYPERLINK("https://twitter.com/rfeindt","@rfeindt")</f>
        <v>@rfeindt</v>
      </c>
      <c r="C3305" s="21" t="s">
        <v>8581</v>
      </c>
      <c r="D3305" s="22" t="s">
        <v>8582</v>
      </c>
      <c r="E3305" s="23" t="str">
        <f>HYPERLINK("https://www.circlepix.com/","Circlepix")</f>
        <v>Circlepix</v>
      </c>
      <c r="F3305" s="19">
        <v>39794.556504629625</v>
      </c>
      <c r="G3305" s="17" t="s">
        <v>13000</v>
      </c>
      <c r="H3305" s="35" t="s">
        <v>8583</v>
      </c>
      <c r="I3305" s="25" t="s">
        <v>8584</v>
      </c>
    </row>
    <row r="3306" spans="1:9" s="31" customFormat="1" ht="90">
      <c r="A3306" s="19">
        <v>43551.404953703706</v>
      </c>
      <c r="B3306" s="20" t="str">
        <f>HYPERLINK("https://twitter.com/theAirDNA","@theAirDNA")</f>
        <v>@theAirDNA</v>
      </c>
      <c r="C3306" s="21" t="s">
        <v>281</v>
      </c>
      <c r="D3306" s="22" t="s">
        <v>7227</v>
      </c>
      <c r="E3306" s="23" t="str">
        <f>HYPERLINK("http://twitter.com","Twitter Web Client")</f>
        <v>Twitter Web Client</v>
      </c>
      <c r="F3306" s="19">
        <v>41964.482731481483</v>
      </c>
      <c r="G3306" s="17" t="s">
        <v>13000</v>
      </c>
      <c r="H3306" s="35" t="s">
        <v>283</v>
      </c>
      <c r="I3306" s="25" t="s">
        <v>7228</v>
      </c>
    </row>
    <row r="3307" spans="1:9" s="31" customFormat="1" ht="45">
      <c r="A3307" s="19">
        <v>43551.159814814819</v>
      </c>
      <c r="B3307" s="20" t="str">
        <f>HYPERLINK("https://twitter.com/ByteFunding","@ByteFunding")</f>
        <v>@ByteFunding</v>
      </c>
      <c r="C3307" s="21" t="s">
        <v>7412</v>
      </c>
      <c r="D3307" s="22" t="s">
        <v>7413</v>
      </c>
      <c r="E3307" s="23" t="str">
        <f>HYPERLINK("http://publicize.wp.com/","WordPress.com")</f>
        <v>WordPress.com</v>
      </c>
      <c r="F3307" s="19">
        <v>42569.905648148153</v>
      </c>
      <c r="G3307" s="17" t="s">
        <v>13000</v>
      </c>
      <c r="H3307" s="35" t="s">
        <v>283</v>
      </c>
      <c r="I3307" s="25" t="s">
        <v>7414</v>
      </c>
    </row>
    <row r="3308" spans="1:9" s="31" customFormat="1" ht="90">
      <c r="A3308" s="19">
        <v>43550.34274305556</v>
      </c>
      <c r="B3308" s="20" t="str">
        <f>HYPERLINK("https://twitter.com/theAirDNA","@theAirDNA")</f>
        <v>@theAirDNA</v>
      </c>
      <c r="C3308" s="21" t="s">
        <v>281</v>
      </c>
      <c r="D3308" s="22" t="s">
        <v>7714</v>
      </c>
      <c r="E3308" s="23" t="str">
        <f>HYPERLINK("http://twitter.com","Twitter Web Client")</f>
        <v>Twitter Web Client</v>
      </c>
      <c r="F3308" s="19">
        <v>41964.482731481483</v>
      </c>
      <c r="G3308" s="17" t="s">
        <v>13000</v>
      </c>
      <c r="H3308" s="35" t="s">
        <v>283</v>
      </c>
      <c r="I3308" s="25" t="s">
        <v>7228</v>
      </c>
    </row>
    <row r="3309" spans="1:9" s="31" customFormat="1" ht="60">
      <c r="A3309" s="19">
        <v>43547.437256944446</v>
      </c>
      <c r="B3309" s="20" t="str">
        <f>HYPERLINK("https://twitter.com/DenverHomeDeal","@DenverHomeDeal")</f>
        <v>@DenverHomeDeal</v>
      </c>
      <c r="C3309" s="21" t="s">
        <v>5936</v>
      </c>
      <c r="D3309" s="22" t="s">
        <v>8548</v>
      </c>
      <c r="E3309" s="23" t="str">
        <f>HYPERLINK("https://www.hootsuite.com","Hootsuite Inc.")</f>
        <v>Hootsuite Inc.</v>
      </c>
      <c r="F3309" s="19">
        <v>40952.388414351852</v>
      </c>
      <c r="G3309" s="17" t="s">
        <v>13000</v>
      </c>
      <c r="H3309" s="35" t="s">
        <v>283</v>
      </c>
      <c r="I3309" s="25" t="s">
        <v>5938</v>
      </c>
    </row>
    <row r="3310" spans="1:9" s="31" customFormat="1" ht="45">
      <c r="A3310" s="19">
        <v>43545.159803240742</v>
      </c>
      <c r="B3310" s="20" t="str">
        <f>HYPERLINK("https://twitter.com/ByteFunding","@ByteFunding")</f>
        <v>@ByteFunding</v>
      </c>
      <c r="C3310" s="21" t="s">
        <v>7412</v>
      </c>
      <c r="D3310" s="22" t="s">
        <v>9272</v>
      </c>
      <c r="E3310" s="23" t="str">
        <f>HYPERLINK("http://publicize.wp.com/","WordPress.com")</f>
        <v>WordPress.com</v>
      </c>
      <c r="F3310" s="19">
        <v>42569.905648148153</v>
      </c>
      <c r="G3310" s="17" t="s">
        <v>13000</v>
      </c>
      <c r="H3310" s="35" t="s">
        <v>283</v>
      </c>
      <c r="I3310" s="25" t="s">
        <v>7414</v>
      </c>
    </row>
    <row r="3311" spans="1:9" s="31" customFormat="1" ht="75">
      <c r="A3311" s="19">
        <v>43544.346226851849</v>
      </c>
      <c r="B3311" s="20" t="str">
        <f>HYPERLINK("https://twitter.com/theAirDNA","@theAirDNA")</f>
        <v>@theAirDNA</v>
      </c>
      <c r="C3311" s="21" t="s">
        <v>281</v>
      </c>
      <c r="D3311" s="22" t="s">
        <v>9506</v>
      </c>
      <c r="E3311" s="23" t="str">
        <f>HYPERLINK("http://twitter.com","Twitter Web Client")</f>
        <v>Twitter Web Client</v>
      </c>
      <c r="F3311" s="19">
        <v>41964.482731481483</v>
      </c>
      <c r="G3311" s="17" t="s">
        <v>13000</v>
      </c>
      <c r="H3311" s="35" t="s">
        <v>283</v>
      </c>
      <c r="I3311" s="25" t="s">
        <v>7228</v>
      </c>
    </row>
    <row r="3312" spans="1:9" s="31" customFormat="1" ht="60">
      <c r="A3312" s="19">
        <v>43544.344861111109</v>
      </c>
      <c r="B3312" s="20" t="str">
        <f>HYPERLINK("https://twitter.com/DenverHomeDeal","@DenverHomeDeal")</f>
        <v>@DenverHomeDeal</v>
      </c>
      <c r="C3312" s="21" t="s">
        <v>5936</v>
      </c>
      <c r="D3312" s="22" t="s">
        <v>9511</v>
      </c>
      <c r="E3312" s="23" t="str">
        <f>HYPERLINK("https://www.hootsuite.com","Hootsuite Inc.")</f>
        <v>Hootsuite Inc.</v>
      </c>
      <c r="F3312" s="19">
        <v>40952.388414351852</v>
      </c>
      <c r="G3312" s="17" t="s">
        <v>13000</v>
      </c>
      <c r="H3312" s="35" t="s">
        <v>283</v>
      </c>
      <c r="I3312" s="25" t="s">
        <v>5938</v>
      </c>
    </row>
    <row r="3313" spans="1:9" s="31" customFormat="1" ht="90">
      <c r="A3313" s="19">
        <v>43543.627280092594</v>
      </c>
      <c r="B3313" s="20" t="str">
        <f>HYPERLINK("https://twitter.com/theAirDNA","@theAirDNA")</f>
        <v>@theAirDNA</v>
      </c>
      <c r="C3313" s="21" t="s">
        <v>281</v>
      </c>
      <c r="D3313" s="22" t="s">
        <v>9728</v>
      </c>
      <c r="E3313" s="23" t="str">
        <f>HYPERLINK("http://twitter.com","Twitter Web Client")</f>
        <v>Twitter Web Client</v>
      </c>
      <c r="F3313" s="19">
        <v>41964.482731481483</v>
      </c>
      <c r="G3313" s="17" t="s">
        <v>13000</v>
      </c>
      <c r="H3313" s="35" t="s">
        <v>283</v>
      </c>
      <c r="I3313" s="25" t="s">
        <v>7228</v>
      </c>
    </row>
    <row r="3314" spans="1:9" s="31" customFormat="1" ht="75">
      <c r="A3314" s="19">
        <v>43543.398194444446</v>
      </c>
      <c r="B3314" s="20" t="str">
        <f>HYPERLINK("https://twitter.com/alisondawn","@alisondawn")</f>
        <v>@alisondawn</v>
      </c>
      <c r="C3314" s="21" t="s">
        <v>9826</v>
      </c>
      <c r="D3314" s="22" t="s">
        <v>9827</v>
      </c>
      <c r="E3314" s="23" t="str">
        <f>HYPERLINK("http://twitter.com","Twitter Web Client")</f>
        <v>Twitter Web Client</v>
      </c>
      <c r="F3314" s="19">
        <v>39862.696053240739</v>
      </c>
      <c r="G3314" s="17" t="s">
        <v>13000</v>
      </c>
      <c r="H3314" s="35" t="s">
        <v>283</v>
      </c>
      <c r="I3314" s="25" t="s">
        <v>9828</v>
      </c>
    </row>
    <row r="3315" spans="1:9" s="31" customFormat="1" ht="45">
      <c r="A3315" s="19">
        <v>43543.34039351852</v>
      </c>
      <c r="B3315" s="20" t="str">
        <f>HYPERLINK("https://twitter.com/DenverHomeDeal","@DenverHomeDeal")</f>
        <v>@DenverHomeDeal</v>
      </c>
      <c r="C3315" s="21" t="s">
        <v>5936</v>
      </c>
      <c r="D3315" s="22" t="s">
        <v>9861</v>
      </c>
      <c r="E3315" s="23" t="str">
        <f>HYPERLINK("https://www.hootsuite.com","Hootsuite Inc.")</f>
        <v>Hootsuite Inc.</v>
      </c>
      <c r="F3315" s="19">
        <v>40952.388414351852</v>
      </c>
      <c r="G3315" s="17" t="s">
        <v>13000</v>
      </c>
      <c r="H3315" s="35" t="s">
        <v>283</v>
      </c>
      <c r="I3315" s="25" t="s">
        <v>5938</v>
      </c>
    </row>
    <row r="3316" spans="1:9" s="31" customFormat="1" ht="60">
      <c r="A3316" s="4">
        <v>43565.711562500001</v>
      </c>
      <c r="B3316" s="5" t="str">
        <f>HYPERLINK("https://twitter.com/DenverHomeDeal","@DenverHomeDeal")</f>
        <v>@DenverHomeDeal</v>
      </c>
      <c r="C3316" s="6" t="s">
        <v>5936</v>
      </c>
      <c r="D3316" s="7" t="s">
        <v>5937</v>
      </c>
      <c r="E3316" s="8" t="str">
        <f>HYPERLINK("https://www.hootsuite.com","Hootsuite Inc.")</f>
        <v>Hootsuite Inc.</v>
      </c>
      <c r="F3316" s="4">
        <v>40952.388414351852</v>
      </c>
      <c r="G3316" s="17" t="s">
        <v>13000</v>
      </c>
      <c r="H3316" s="35" t="s">
        <v>283</v>
      </c>
      <c r="I3316" s="10" t="s">
        <v>5938</v>
      </c>
    </row>
    <row r="3317" spans="1:9" s="31" customFormat="1" ht="60">
      <c r="A3317" s="4">
        <v>43563.531944444447</v>
      </c>
      <c r="B3317" s="5" t="str">
        <f>HYPERLINK("https://twitter.com/BooneRiddle","@BooneRiddle")</f>
        <v>@BooneRiddle</v>
      </c>
      <c r="C3317" s="6" t="s">
        <v>10246</v>
      </c>
      <c r="D3317" s="7" t="s">
        <v>10247</v>
      </c>
      <c r="E3317" s="8" t="str">
        <f>HYPERLINK("http://instagram.com","Instagram")</f>
        <v>Instagram</v>
      </c>
      <c r="F3317" s="4">
        <v>40091.457083333335</v>
      </c>
      <c r="G3317" s="17" t="s">
        <v>13000</v>
      </c>
      <c r="H3317" s="35" t="s">
        <v>283</v>
      </c>
      <c r="I3317" s="10" t="s">
        <v>10248</v>
      </c>
    </row>
    <row r="3318" spans="1:9" s="31" customFormat="1" ht="75">
      <c r="A3318" s="4">
        <v>43563.403020833328</v>
      </c>
      <c r="B3318" s="5" t="str">
        <f>HYPERLINK("https://twitter.com/theAirDNA","@theAirDNA")</f>
        <v>@theAirDNA</v>
      </c>
      <c r="C3318" s="6" t="s">
        <v>281</v>
      </c>
      <c r="D3318" s="7" t="s">
        <v>10312</v>
      </c>
      <c r="E3318" s="8" t="str">
        <f>HYPERLINK("http://twitter.com","Twitter Web Client")</f>
        <v>Twitter Web Client</v>
      </c>
      <c r="F3318" s="4">
        <v>41964.482731481483</v>
      </c>
      <c r="G3318" s="17" t="s">
        <v>13000</v>
      </c>
      <c r="H3318" s="35" t="s">
        <v>283</v>
      </c>
      <c r="I3318" s="10" t="s">
        <v>7228</v>
      </c>
    </row>
    <row r="3319" spans="1:9" s="31" customFormat="1" ht="105">
      <c r="A3319" s="4">
        <v>43563.29587962963</v>
      </c>
      <c r="B3319" s="5" t="str">
        <f>HYPERLINK("https://twitter.com/VillaGDenver","@VillaGDenver")</f>
        <v>@VillaGDenver</v>
      </c>
      <c r="C3319" s="6" t="s">
        <v>10390</v>
      </c>
      <c r="D3319" s="7" t="s">
        <v>10391</v>
      </c>
      <c r="E3319" s="8" t="str">
        <f>HYPERLINK("http://twitter.com","Twitter Web Client")</f>
        <v>Twitter Web Client</v>
      </c>
      <c r="F3319" s="4">
        <v>41919.309930555552</v>
      </c>
      <c r="G3319" s="17" t="s">
        <v>13000</v>
      </c>
      <c r="H3319" s="35" t="s">
        <v>10392</v>
      </c>
      <c r="I3319" s="10" t="s">
        <v>10393</v>
      </c>
    </row>
    <row r="3320" spans="1:9" s="31" customFormat="1" ht="60">
      <c r="A3320" s="4">
        <v>43561.808101851857</v>
      </c>
      <c r="B3320" s="5" t="str">
        <f>HYPERLINK("https://twitter.com/IrishChieftain","@IrishChieftain")</f>
        <v>@IrishChieftain</v>
      </c>
      <c r="C3320" s="6" t="s">
        <v>10827</v>
      </c>
      <c r="D3320" s="7" t="s">
        <v>10828</v>
      </c>
      <c r="E3320" s="8" t="str">
        <f>HYPERLINK("http://twitter.com","Twitter Web Client")</f>
        <v>Twitter Web Client</v>
      </c>
      <c r="F3320" s="4">
        <v>39959.679930555554</v>
      </c>
      <c r="G3320" s="17" t="s">
        <v>13000</v>
      </c>
      <c r="H3320" s="35" t="s">
        <v>283</v>
      </c>
      <c r="I3320" s="10" t="s">
        <v>10829</v>
      </c>
    </row>
    <row r="3321" spans="1:9" s="31" customFormat="1" ht="60">
      <c r="A3321" s="4">
        <v>43560.426712962959</v>
      </c>
      <c r="B3321" s="5" t="str">
        <f>HYPERLINK("https://twitter.com/DenverHomeDeal","@DenverHomeDeal")</f>
        <v>@DenverHomeDeal</v>
      </c>
      <c r="C3321" s="6" t="s">
        <v>5936</v>
      </c>
      <c r="D3321" s="7" t="s">
        <v>11389</v>
      </c>
      <c r="E3321" s="8" t="str">
        <f>HYPERLINK("https://www.hootsuite.com","Hootsuite Inc.")</f>
        <v>Hootsuite Inc.</v>
      </c>
      <c r="F3321" s="4">
        <v>40952.388414351852</v>
      </c>
      <c r="G3321" s="17" t="s">
        <v>13000</v>
      </c>
      <c r="H3321" s="35" t="s">
        <v>283</v>
      </c>
      <c r="I3321" s="10" t="s">
        <v>5938</v>
      </c>
    </row>
    <row r="3322" spans="1:9" s="31" customFormat="1" ht="30">
      <c r="A3322" s="4">
        <v>43558.638472222221</v>
      </c>
      <c r="B3322" s="5" t="str">
        <f>HYPERLINK("https://twitter.com/MelanieYacko","@MelanieYacko")</f>
        <v>@MelanieYacko</v>
      </c>
      <c r="C3322" s="6" t="s">
        <v>12092</v>
      </c>
      <c r="D3322" s="7" t="s">
        <v>12093</v>
      </c>
      <c r="E3322" s="8" t="str">
        <f>HYPERLINK("https://www.circlepix.com/","Circlepix")</f>
        <v>Circlepix</v>
      </c>
      <c r="F3322" s="4">
        <v>41597.43891203704</v>
      </c>
      <c r="G3322" s="17" t="s">
        <v>13000</v>
      </c>
      <c r="H3322" s="35" t="s">
        <v>283</v>
      </c>
      <c r="I3322" s="10" t="s">
        <v>12094</v>
      </c>
    </row>
    <row r="3323" spans="1:9" s="31" customFormat="1" ht="75">
      <c r="A3323" s="4">
        <v>43558.625243055554</v>
      </c>
      <c r="B3323" s="5" t="str">
        <f>HYPERLINK("https://twitter.com/theAirDNA","@theAirDNA")</f>
        <v>@theAirDNA</v>
      </c>
      <c r="C3323" s="6" t="s">
        <v>281</v>
      </c>
      <c r="D3323" s="7" t="s">
        <v>12100</v>
      </c>
      <c r="E3323" s="8" t="str">
        <f>HYPERLINK("http://twitter.com","Twitter Web Client")</f>
        <v>Twitter Web Client</v>
      </c>
      <c r="F3323" s="4">
        <v>41964.482731481483</v>
      </c>
      <c r="G3323" s="17" t="s">
        <v>13000</v>
      </c>
      <c r="H3323" s="35" t="s">
        <v>283</v>
      </c>
      <c r="I3323" s="10" t="s">
        <v>7228</v>
      </c>
    </row>
    <row r="3324" spans="1:9" s="31" customFormat="1" ht="45">
      <c r="A3324" s="4">
        <v>43558.496458333335</v>
      </c>
      <c r="B3324" s="5" t="str">
        <f>HYPERLINK("https://twitter.com/DenverHomeDeal","@DenverHomeDeal")</f>
        <v>@DenverHomeDeal</v>
      </c>
      <c r="C3324" s="6" t="s">
        <v>5936</v>
      </c>
      <c r="D3324" s="7" t="s">
        <v>12160</v>
      </c>
      <c r="E3324" s="8" t="str">
        <f>HYPERLINK("https://www.hootsuite.com","Hootsuite Inc.")</f>
        <v>Hootsuite Inc.</v>
      </c>
      <c r="F3324" s="4">
        <v>40952.388414351852</v>
      </c>
      <c r="G3324" s="17" t="s">
        <v>13000</v>
      </c>
      <c r="H3324" s="35" t="s">
        <v>283</v>
      </c>
      <c r="I3324" s="10" t="s">
        <v>5938</v>
      </c>
    </row>
    <row r="3325" spans="1:9" s="31" customFormat="1" ht="90">
      <c r="A3325" s="12">
        <v>43580.093703703707</v>
      </c>
      <c r="B3325" s="13" t="str">
        <f>HYPERLINK("https://twitter.com/airdna","@airdna")</f>
        <v>@airdna</v>
      </c>
      <c r="C3325" s="14" t="s">
        <v>281</v>
      </c>
      <c r="D3325" s="15" t="s">
        <v>282</v>
      </c>
      <c r="E3325" s="16" t="str">
        <f>HYPERLINK("http://twitter.com","Twitter Web Client")</f>
        <v>Twitter Web Client</v>
      </c>
      <c r="F3325" s="12">
        <v>41964.482731481483</v>
      </c>
      <c r="G3325" s="17" t="s">
        <v>13000</v>
      </c>
      <c r="H3325" s="35" t="s">
        <v>283</v>
      </c>
      <c r="I3325" s="18" t="s">
        <v>284</v>
      </c>
    </row>
    <row r="3326" spans="1:9" s="31" customFormat="1" ht="60">
      <c r="A3326" s="12">
        <v>43573.762233796297</v>
      </c>
      <c r="B3326" s="13" t="str">
        <f>HYPERLINK("https://twitter.com/RahLeafColorado","@RahLeafColorado")</f>
        <v>@RahLeafColorado</v>
      </c>
      <c r="C3326" s="14" t="s">
        <v>2743</v>
      </c>
      <c r="D3326" s="15" t="s">
        <v>2744</v>
      </c>
      <c r="E3326" s="16" t="str">
        <f>HYPERLINK("http://twitter.com","Twitter Web Client")</f>
        <v>Twitter Web Client</v>
      </c>
      <c r="F3326" s="12">
        <v>43325.822592592594</v>
      </c>
      <c r="G3326" s="17" t="s">
        <v>13000</v>
      </c>
      <c r="H3326" s="35" t="s">
        <v>283</v>
      </c>
      <c r="I3326" s="18" t="s">
        <v>2745</v>
      </c>
    </row>
    <row r="3327" spans="1:9" s="31" customFormat="1" ht="75">
      <c r="A3327" s="12">
        <v>43573.358923611115</v>
      </c>
      <c r="B3327" s="13" t="str">
        <f>HYPERLINK("https://twitter.com/airdna","@airdna")</f>
        <v>@airdna</v>
      </c>
      <c r="C3327" s="14" t="s">
        <v>281</v>
      </c>
      <c r="D3327" s="15" t="s">
        <v>2921</v>
      </c>
      <c r="E3327" s="16" t="str">
        <f>HYPERLINK("http://twitter.com","Twitter Web Client")</f>
        <v>Twitter Web Client</v>
      </c>
      <c r="F3327" s="12">
        <v>41964.482731481483</v>
      </c>
      <c r="G3327" s="17" t="s">
        <v>13000</v>
      </c>
      <c r="H3327" s="35" t="s">
        <v>283</v>
      </c>
      <c r="I3327" s="18" t="s">
        <v>284</v>
      </c>
    </row>
    <row r="3328" spans="1:9" s="31" customFormat="1" ht="45">
      <c r="A3328" s="12">
        <v>43572.400474537033</v>
      </c>
      <c r="B3328" s="13" t="str">
        <f>HYPERLINK("https://twitter.com/airdna","@airdna")</f>
        <v>@airdna</v>
      </c>
      <c r="C3328" s="14" t="s">
        <v>281</v>
      </c>
      <c r="D3328" s="15" t="s">
        <v>3268</v>
      </c>
      <c r="E3328" s="16" t="str">
        <f>HYPERLINK("http://twitter.com","Twitter Web Client")</f>
        <v>Twitter Web Client</v>
      </c>
      <c r="F3328" s="12">
        <v>41964.482731481483</v>
      </c>
      <c r="G3328" s="17" t="s">
        <v>13000</v>
      </c>
      <c r="H3328" s="35" t="s">
        <v>283</v>
      </c>
      <c r="I3328" s="18" t="s">
        <v>284</v>
      </c>
    </row>
    <row r="3329" spans="1:9" s="31" customFormat="1" ht="60">
      <c r="A3329" s="12">
        <v>43570.366388888884</v>
      </c>
      <c r="B3329" s="13" t="str">
        <f>HYPERLINK("https://twitter.com/airdna","@airdna")</f>
        <v>@airdna</v>
      </c>
      <c r="C3329" s="14" t="s">
        <v>281</v>
      </c>
      <c r="D3329" s="15" t="s">
        <v>4206</v>
      </c>
      <c r="E3329" s="16" t="str">
        <f>HYPERLINK("http://twitter.com","Twitter Web Client")</f>
        <v>Twitter Web Client</v>
      </c>
      <c r="F3329" s="12">
        <v>41964.482731481483</v>
      </c>
      <c r="G3329" s="17" t="s">
        <v>13000</v>
      </c>
      <c r="H3329" s="35" t="s">
        <v>283</v>
      </c>
      <c r="I3329" s="18" t="s">
        <v>284</v>
      </c>
    </row>
    <row r="3330" spans="1:9" s="31" customFormat="1" ht="90">
      <c r="A3330" s="19">
        <v>43550.704907407402</v>
      </c>
      <c r="B3330" s="20" t="str">
        <f>HYPERLINK("https://twitter.com/James_ButtonKW","@James_ButtonKW")</f>
        <v>@James_ButtonKW</v>
      </c>
      <c r="C3330" s="21" t="s">
        <v>7539</v>
      </c>
      <c r="D3330" s="22" t="s">
        <v>7540</v>
      </c>
      <c r="E3330" s="23" t="str">
        <f>HYPERLINK("https://www.hootsuite.com","Hootsuite Inc.")</f>
        <v>Hootsuite Inc.</v>
      </c>
      <c r="F3330" s="19">
        <v>41039.402557870373</v>
      </c>
      <c r="G3330" s="17" t="s">
        <v>13000</v>
      </c>
      <c r="H3330" s="35" t="s">
        <v>7541</v>
      </c>
      <c r="I3330" s="25" t="s">
        <v>7542</v>
      </c>
    </row>
    <row r="3331" spans="1:9" s="31" customFormat="1" ht="105">
      <c r="A3331" s="4">
        <v>43563.482800925922</v>
      </c>
      <c r="B3331" s="5" t="str">
        <f>HYPERLINK("https://twitter.com/James_ButtonKW","@James_ButtonKW")</f>
        <v>@James_ButtonKW</v>
      </c>
      <c r="C3331" s="6" t="s">
        <v>7539</v>
      </c>
      <c r="D3331" s="7" t="s">
        <v>10268</v>
      </c>
      <c r="E3331" s="8" t="str">
        <f>HYPERLINK("https://www.hootsuite.com","Hootsuite Inc.")</f>
        <v>Hootsuite Inc.</v>
      </c>
      <c r="F3331" s="4">
        <v>41039.402557870373</v>
      </c>
      <c r="G3331" s="17" t="s">
        <v>13000</v>
      </c>
      <c r="H3331" s="35" t="s">
        <v>7541</v>
      </c>
      <c r="I3331" s="10" t="s">
        <v>7542</v>
      </c>
    </row>
    <row r="3332" spans="1:9" s="31" customFormat="1" ht="30">
      <c r="A3332" s="12">
        <v>43570.534097222218</v>
      </c>
      <c r="B3332" s="13" t="str">
        <f>HYPERLINK("https://twitter.com/Fashi0n_Monster","@Fashi0n_Monster")</f>
        <v>@Fashi0n_Monster</v>
      </c>
      <c r="C3332" s="14" t="s">
        <v>4082</v>
      </c>
      <c r="D3332" s="15" t="s">
        <v>4083</v>
      </c>
      <c r="E3332" s="16" t="str">
        <f>HYPERLINK("http://twitter.com/download/iphone","Twitter for iPhone")</f>
        <v>Twitter for iPhone</v>
      </c>
      <c r="F3332" s="12">
        <v>40131.842430555553</v>
      </c>
      <c r="G3332" s="17" t="s">
        <v>13000</v>
      </c>
      <c r="H3332" s="35" t="s">
        <v>4084</v>
      </c>
      <c r="I3332" s="18" t="s">
        <v>4085</v>
      </c>
    </row>
    <row r="3333" spans="1:9" s="31" customFormat="1" ht="45">
      <c r="A3333" s="12">
        <v>43575.364780092597</v>
      </c>
      <c r="B3333" s="13" t="str">
        <f>HYPERLINK("https://twitter.com/CelticHealthCO","@CelticHealthCO")</f>
        <v>@CelticHealthCO</v>
      </c>
      <c r="C3333" s="14" t="s">
        <v>2252</v>
      </c>
      <c r="D3333" s="15" t="s">
        <v>2253</v>
      </c>
      <c r="E3333" s="16" t="str">
        <f>HYPERLINK("http://www.facebook.com/twitter","Facebook")</f>
        <v>Facebook</v>
      </c>
      <c r="F3333" s="12">
        <v>41838.687037037038</v>
      </c>
      <c r="G3333" s="17" t="s">
        <v>13000</v>
      </c>
      <c r="H3333" s="35" t="s">
        <v>2254</v>
      </c>
      <c r="I3333" s="18" t="s">
        <v>2255</v>
      </c>
    </row>
    <row r="3334" spans="1:9" s="31" customFormat="1" ht="75">
      <c r="A3334" s="19">
        <v>43542.676875000005</v>
      </c>
      <c r="B3334" s="20" t="str">
        <f>HYPERLINK("https://twitter.com/emmaleecreative","@emmaleecreative")</f>
        <v>@emmaleecreative</v>
      </c>
      <c r="C3334" s="21" t="s">
        <v>10036</v>
      </c>
      <c r="D3334" s="22" t="s">
        <v>10037</v>
      </c>
      <c r="E3334" s="23" t="str">
        <f>HYPERLINK("http://instagram.com","Instagram")</f>
        <v>Instagram</v>
      </c>
      <c r="F3334" s="19">
        <v>41758.734351851854</v>
      </c>
      <c r="G3334" s="9" t="s">
        <v>13000</v>
      </c>
      <c r="H3334" s="35" t="s">
        <v>10038</v>
      </c>
      <c r="I3334" s="25" t="s">
        <v>10039</v>
      </c>
    </row>
    <row r="3335" spans="1:9" s="31" customFormat="1" ht="30">
      <c r="A3335" s="4">
        <v>43558.333333333328</v>
      </c>
      <c r="B3335" s="5" t="str">
        <f>HYPERLINK("https://twitter.com/Travel__Critic","@Travel__Critic")</f>
        <v>@Travel__Critic</v>
      </c>
      <c r="C3335" s="6" t="s">
        <v>12228</v>
      </c>
      <c r="D3335" s="7" t="s">
        <v>12229</v>
      </c>
      <c r="E3335" s="8" t="str">
        <f>HYPERLINK("http://twitter.com/download/iphone","Twitter for iPhone")</f>
        <v>Twitter for iPhone</v>
      </c>
      <c r="F3335" s="4">
        <v>42784.88081018519</v>
      </c>
      <c r="G3335" s="9" t="s">
        <v>13000</v>
      </c>
      <c r="H3335" s="35" t="s">
        <v>12230</v>
      </c>
      <c r="I3335" s="10" t="s">
        <v>12231</v>
      </c>
    </row>
    <row r="3336" spans="1:9" s="31" customFormat="1" ht="210">
      <c r="A3336" s="19">
        <v>43551.646562499998</v>
      </c>
      <c r="B3336" s="20" t="str">
        <f t="shared" ref="B3336:B3361" si="134">HYPERLINK("https://twitter.com/PPCpfdsddo","@PPCpfdsddo")</f>
        <v>@PPCpfdsddo</v>
      </c>
      <c r="C3336" s="21" t="s">
        <v>1205</v>
      </c>
      <c r="D3336" s="22" t="s">
        <v>7076</v>
      </c>
      <c r="E3336" s="23" t="str">
        <f t="shared" ref="E3336:E3361" si="135">HYPERLINK("http://twitter.com","Twitter Web Client")</f>
        <v>Twitter Web Client</v>
      </c>
      <c r="F3336" s="19">
        <v>43413.790162037039</v>
      </c>
      <c r="G3336" s="17" t="s">
        <v>13000</v>
      </c>
      <c r="H3336" s="35" t="s">
        <v>1207</v>
      </c>
      <c r="I3336" s="25" t="s">
        <v>1208</v>
      </c>
    </row>
    <row r="3337" spans="1:9" s="31" customFormat="1" ht="255">
      <c r="A3337" s="19">
        <v>43551.644733796296</v>
      </c>
      <c r="B3337" s="20" t="str">
        <f t="shared" si="134"/>
        <v>@PPCpfdsddo</v>
      </c>
      <c r="C3337" s="21" t="s">
        <v>1205</v>
      </c>
      <c r="D3337" s="28" t="s">
        <v>7077</v>
      </c>
      <c r="E3337" s="23" t="str">
        <f t="shared" si="135"/>
        <v>Twitter Web Client</v>
      </c>
      <c r="F3337" s="19">
        <v>43413.790162037039</v>
      </c>
      <c r="G3337" s="17" t="s">
        <v>13000</v>
      </c>
      <c r="H3337" s="35" t="s">
        <v>1207</v>
      </c>
      <c r="I3337" s="25" t="s">
        <v>1208</v>
      </c>
    </row>
    <row r="3338" spans="1:9" s="31" customFormat="1" ht="165">
      <c r="A3338" s="19">
        <v>43551.428078703699</v>
      </c>
      <c r="B3338" s="20" t="str">
        <f t="shared" si="134"/>
        <v>@PPCpfdsddo</v>
      </c>
      <c r="C3338" s="21" t="s">
        <v>1205</v>
      </c>
      <c r="D3338" s="22" t="s">
        <v>7203</v>
      </c>
      <c r="E3338" s="23" t="str">
        <f t="shared" si="135"/>
        <v>Twitter Web Client</v>
      </c>
      <c r="F3338" s="19">
        <v>43413.790162037039</v>
      </c>
      <c r="G3338" s="17" t="s">
        <v>13000</v>
      </c>
      <c r="H3338" s="35" t="s">
        <v>1207</v>
      </c>
      <c r="I3338" s="25" t="s">
        <v>1208</v>
      </c>
    </row>
    <row r="3339" spans="1:9" s="31" customFormat="1" ht="240">
      <c r="A3339" s="19">
        <v>43550.428344907406</v>
      </c>
      <c r="B3339" s="20" t="str">
        <f t="shared" si="134"/>
        <v>@PPCpfdsddo</v>
      </c>
      <c r="C3339" s="21" t="s">
        <v>1205</v>
      </c>
      <c r="D3339" s="28" t="s">
        <v>7669</v>
      </c>
      <c r="E3339" s="23" t="str">
        <f t="shared" si="135"/>
        <v>Twitter Web Client</v>
      </c>
      <c r="F3339" s="19">
        <v>43413.790162037039</v>
      </c>
      <c r="G3339" s="17" t="s">
        <v>13000</v>
      </c>
      <c r="H3339" s="35" t="s">
        <v>1207</v>
      </c>
      <c r="I3339" s="25" t="s">
        <v>1208</v>
      </c>
    </row>
    <row r="3340" spans="1:9" s="31" customFormat="1" ht="195">
      <c r="A3340" s="19">
        <v>43550.298379629632</v>
      </c>
      <c r="B3340" s="20" t="str">
        <f t="shared" si="134"/>
        <v>@PPCpfdsddo</v>
      </c>
      <c r="C3340" s="21" t="s">
        <v>1205</v>
      </c>
      <c r="D3340" s="22" t="s">
        <v>7739</v>
      </c>
      <c r="E3340" s="23" t="str">
        <f t="shared" si="135"/>
        <v>Twitter Web Client</v>
      </c>
      <c r="F3340" s="19">
        <v>43413.790162037039</v>
      </c>
      <c r="G3340" s="17" t="s">
        <v>13000</v>
      </c>
      <c r="H3340" s="35" t="s">
        <v>1207</v>
      </c>
      <c r="I3340" s="25" t="s">
        <v>1208</v>
      </c>
    </row>
    <row r="3341" spans="1:9" s="31" customFormat="1" ht="135">
      <c r="A3341" s="19">
        <v>43550.289131944446</v>
      </c>
      <c r="B3341" s="20" t="str">
        <f t="shared" si="134"/>
        <v>@PPCpfdsddo</v>
      </c>
      <c r="C3341" s="21" t="s">
        <v>1205</v>
      </c>
      <c r="D3341" s="22" t="s">
        <v>7749</v>
      </c>
      <c r="E3341" s="23" t="str">
        <f t="shared" si="135"/>
        <v>Twitter Web Client</v>
      </c>
      <c r="F3341" s="19">
        <v>43413.790162037039</v>
      </c>
      <c r="G3341" s="17" t="s">
        <v>13000</v>
      </c>
      <c r="H3341" s="35" t="s">
        <v>1207</v>
      </c>
      <c r="I3341" s="25" t="s">
        <v>1208</v>
      </c>
    </row>
    <row r="3342" spans="1:9" s="31" customFormat="1" ht="135">
      <c r="A3342" s="19">
        <v>43550.275868055556</v>
      </c>
      <c r="B3342" s="20" t="str">
        <f t="shared" si="134"/>
        <v>@PPCpfdsddo</v>
      </c>
      <c r="C3342" s="21" t="s">
        <v>1205</v>
      </c>
      <c r="D3342" s="22" t="s">
        <v>7752</v>
      </c>
      <c r="E3342" s="23" t="str">
        <f t="shared" si="135"/>
        <v>Twitter Web Client</v>
      </c>
      <c r="F3342" s="19">
        <v>43413.790162037039</v>
      </c>
      <c r="G3342" s="17" t="s">
        <v>13000</v>
      </c>
      <c r="H3342" s="35" t="s">
        <v>1207</v>
      </c>
      <c r="I3342" s="25" t="s">
        <v>1208</v>
      </c>
    </row>
    <row r="3343" spans="1:9" s="31" customFormat="1" ht="240">
      <c r="A3343" s="19">
        <v>43550.270937499998</v>
      </c>
      <c r="B3343" s="20" t="str">
        <f t="shared" si="134"/>
        <v>@PPCpfdsddo</v>
      </c>
      <c r="C3343" s="21" t="s">
        <v>1205</v>
      </c>
      <c r="D3343" s="22" t="s">
        <v>7753</v>
      </c>
      <c r="E3343" s="23" t="str">
        <f t="shared" si="135"/>
        <v>Twitter Web Client</v>
      </c>
      <c r="F3343" s="19">
        <v>43413.790162037039</v>
      </c>
      <c r="G3343" s="17" t="s">
        <v>13000</v>
      </c>
      <c r="H3343" s="35" t="s">
        <v>1207</v>
      </c>
      <c r="I3343" s="25" t="s">
        <v>1208</v>
      </c>
    </row>
    <row r="3344" spans="1:9" s="31" customFormat="1" ht="180">
      <c r="A3344" s="19">
        <v>43550.250127314815</v>
      </c>
      <c r="B3344" s="20" t="str">
        <f t="shared" si="134"/>
        <v>@PPCpfdsddo</v>
      </c>
      <c r="C3344" s="21" t="s">
        <v>1205</v>
      </c>
      <c r="D3344" s="28" t="s">
        <v>7763</v>
      </c>
      <c r="E3344" s="23" t="str">
        <f t="shared" si="135"/>
        <v>Twitter Web Client</v>
      </c>
      <c r="F3344" s="19">
        <v>43413.790162037039</v>
      </c>
      <c r="G3344" s="17" t="s">
        <v>13000</v>
      </c>
      <c r="H3344" s="35" t="s">
        <v>1207</v>
      </c>
      <c r="I3344" s="25" t="s">
        <v>1208</v>
      </c>
    </row>
    <row r="3345" spans="1:9" s="31" customFormat="1" ht="225">
      <c r="A3345" s="19">
        <v>43549.354490740741</v>
      </c>
      <c r="B3345" s="20" t="str">
        <f t="shared" si="134"/>
        <v>@PPCpfdsddo</v>
      </c>
      <c r="C3345" s="21" t="s">
        <v>1205</v>
      </c>
      <c r="D3345" s="22" t="s">
        <v>8079</v>
      </c>
      <c r="E3345" s="23" t="str">
        <f t="shared" si="135"/>
        <v>Twitter Web Client</v>
      </c>
      <c r="F3345" s="19">
        <v>43413.790162037039</v>
      </c>
      <c r="G3345" s="17" t="s">
        <v>13000</v>
      </c>
      <c r="H3345" s="35" t="s">
        <v>1207</v>
      </c>
      <c r="I3345" s="25" t="s">
        <v>1208</v>
      </c>
    </row>
    <row r="3346" spans="1:9" s="31" customFormat="1" ht="180">
      <c r="A3346" s="19">
        <v>43549.256874999999</v>
      </c>
      <c r="B3346" s="20" t="str">
        <f t="shared" si="134"/>
        <v>@PPCpfdsddo</v>
      </c>
      <c r="C3346" s="21" t="s">
        <v>1205</v>
      </c>
      <c r="D3346" s="28" t="s">
        <v>8115</v>
      </c>
      <c r="E3346" s="23" t="str">
        <f t="shared" si="135"/>
        <v>Twitter Web Client</v>
      </c>
      <c r="F3346" s="19">
        <v>43413.790162037039</v>
      </c>
      <c r="G3346" s="17" t="s">
        <v>13000</v>
      </c>
      <c r="H3346" s="35" t="s">
        <v>1207</v>
      </c>
      <c r="I3346" s="25" t="s">
        <v>1208</v>
      </c>
    </row>
    <row r="3347" spans="1:9" s="31" customFormat="1" ht="225">
      <c r="A3347" s="19">
        <v>43548.413969907408</v>
      </c>
      <c r="B3347" s="20" t="str">
        <f t="shared" si="134"/>
        <v>@PPCpfdsddo</v>
      </c>
      <c r="C3347" s="21" t="s">
        <v>1205</v>
      </c>
      <c r="D3347" s="22" t="s">
        <v>8331</v>
      </c>
      <c r="E3347" s="23" t="str">
        <f t="shared" si="135"/>
        <v>Twitter Web Client</v>
      </c>
      <c r="F3347" s="19">
        <v>43413.790162037039</v>
      </c>
      <c r="G3347" s="17" t="s">
        <v>13000</v>
      </c>
      <c r="H3347" s="35" t="s">
        <v>1207</v>
      </c>
      <c r="I3347" s="25" t="s">
        <v>1208</v>
      </c>
    </row>
    <row r="3348" spans="1:9" s="31" customFormat="1" ht="255">
      <c r="A3348" s="19">
        <v>43548.402986111112</v>
      </c>
      <c r="B3348" s="20" t="str">
        <f t="shared" si="134"/>
        <v>@PPCpfdsddo</v>
      </c>
      <c r="C3348" s="21" t="s">
        <v>1205</v>
      </c>
      <c r="D3348" s="22" t="s">
        <v>8332</v>
      </c>
      <c r="E3348" s="23" t="str">
        <f t="shared" si="135"/>
        <v>Twitter Web Client</v>
      </c>
      <c r="F3348" s="19">
        <v>43413.790162037039</v>
      </c>
      <c r="G3348" s="17" t="s">
        <v>13000</v>
      </c>
      <c r="H3348" s="35" t="s">
        <v>1207</v>
      </c>
      <c r="I3348" s="25" t="s">
        <v>1208</v>
      </c>
    </row>
    <row r="3349" spans="1:9" s="31" customFormat="1" ht="150">
      <c r="A3349" s="19">
        <v>43548.359201388885</v>
      </c>
      <c r="B3349" s="20" t="str">
        <f t="shared" si="134"/>
        <v>@PPCpfdsddo</v>
      </c>
      <c r="C3349" s="21" t="s">
        <v>1205</v>
      </c>
      <c r="D3349" s="22" t="s">
        <v>8345</v>
      </c>
      <c r="E3349" s="23" t="str">
        <f t="shared" si="135"/>
        <v>Twitter Web Client</v>
      </c>
      <c r="F3349" s="19">
        <v>43413.790162037039</v>
      </c>
      <c r="G3349" s="17" t="s">
        <v>13000</v>
      </c>
      <c r="H3349" s="35" t="s">
        <v>1207</v>
      </c>
      <c r="I3349" s="25" t="s">
        <v>1208</v>
      </c>
    </row>
    <row r="3350" spans="1:9" s="31" customFormat="1" ht="90">
      <c r="A3350" s="19">
        <v>43548.314606481479</v>
      </c>
      <c r="B3350" s="20" t="str">
        <f t="shared" si="134"/>
        <v>@PPCpfdsddo</v>
      </c>
      <c r="C3350" s="21" t="s">
        <v>1205</v>
      </c>
      <c r="D3350" s="22" t="s">
        <v>8352</v>
      </c>
      <c r="E3350" s="23" t="str">
        <f t="shared" si="135"/>
        <v>Twitter Web Client</v>
      </c>
      <c r="F3350" s="19">
        <v>43413.790162037039</v>
      </c>
      <c r="G3350" s="17" t="s">
        <v>13000</v>
      </c>
      <c r="H3350" s="35" t="s">
        <v>1207</v>
      </c>
      <c r="I3350" s="25" t="s">
        <v>1208</v>
      </c>
    </row>
    <row r="3351" spans="1:9" s="31" customFormat="1" ht="409.5">
      <c r="A3351" s="19">
        <v>43547.822662037041</v>
      </c>
      <c r="B3351" s="20" t="str">
        <f t="shared" si="134"/>
        <v>@PPCpfdsddo</v>
      </c>
      <c r="C3351" s="21" t="s">
        <v>1205</v>
      </c>
      <c r="D3351" s="22" t="s">
        <v>8470</v>
      </c>
      <c r="E3351" s="23" t="str">
        <f t="shared" si="135"/>
        <v>Twitter Web Client</v>
      </c>
      <c r="F3351" s="19">
        <v>43413.790162037039</v>
      </c>
      <c r="G3351" s="17" t="s">
        <v>13000</v>
      </c>
      <c r="H3351" s="35" t="s">
        <v>1207</v>
      </c>
      <c r="I3351" s="25" t="s">
        <v>1208</v>
      </c>
    </row>
    <row r="3352" spans="1:9" s="31" customFormat="1" ht="225">
      <c r="A3352" s="19">
        <v>43546.762986111113</v>
      </c>
      <c r="B3352" s="20" t="str">
        <f t="shared" si="134"/>
        <v>@PPCpfdsddo</v>
      </c>
      <c r="C3352" s="21" t="s">
        <v>1205</v>
      </c>
      <c r="D3352" s="22" t="s">
        <v>8737</v>
      </c>
      <c r="E3352" s="23" t="str">
        <f t="shared" si="135"/>
        <v>Twitter Web Client</v>
      </c>
      <c r="F3352" s="19">
        <v>43413.790162037039</v>
      </c>
      <c r="G3352" s="17" t="s">
        <v>13000</v>
      </c>
      <c r="H3352" s="35" t="s">
        <v>1207</v>
      </c>
      <c r="I3352" s="25" t="s">
        <v>1208</v>
      </c>
    </row>
    <row r="3353" spans="1:9" s="31" customFormat="1" ht="225">
      <c r="A3353" s="12">
        <v>43578.439201388886</v>
      </c>
      <c r="B3353" s="13" t="str">
        <f t="shared" si="134"/>
        <v>@PPCpfdsddo</v>
      </c>
      <c r="C3353" s="14" t="s">
        <v>1205</v>
      </c>
      <c r="D3353" s="15" t="s">
        <v>1206</v>
      </c>
      <c r="E3353" s="16" t="str">
        <f t="shared" si="135"/>
        <v>Twitter Web Client</v>
      </c>
      <c r="F3353" s="12">
        <v>43413.790162037039</v>
      </c>
      <c r="G3353" s="17" t="s">
        <v>13000</v>
      </c>
      <c r="H3353" s="35" t="s">
        <v>1207</v>
      </c>
      <c r="I3353" s="18" t="s">
        <v>1208</v>
      </c>
    </row>
    <row r="3354" spans="1:9" s="31" customFormat="1" ht="90">
      <c r="A3354" s="12">
        <v>43575.260335648149</v>
      </c>
      <c r="B3354" s="13" t="str">
        <f t="shared" si="134"/>
        <v>@PPCpfdsddo</v>
      </c>
      <c r="C3354" s="14" t="s">
        <v>1205</v>
      </c>
      <c r="D3354" s="15" t="s">
        <v>2323</v>
      </c>
      <c r="E3354" s="16" t="str">
        <f t="shared" si="135"/>
        <v>Twitter Web Client</v>
      </c>
      <c r="F3354" s="12">
        <v>43413.790162037039</v>
      </c>
      <c r="G3354" s="17" t="s">
        <v>13000</v>
      </c>
      <c r="H3354" s="35" t="s">
        <v>1207</v>
      </c>
      <c r="I3354" s="18" t="s">
        <v>1208</v>
      </c>
    </row>
    <row r="3355" spans="1:9" s="31" customFormat="1" ht="180">
      <c r="A3355" s="12">
        <v>43574.285775462966</v>
      </c>
      <c r="B3355" s="13" t="str">
        <f t="shared" si="134"/>
        <v>@PPCpfdsddo</v>
      </c>
      <c r="C3355" s="14" t="s">
        <v>1205</v>
      </c>
      <c r="D3355" s="15" t="s">
        <v>2622</v>
      </c>
      <c r="E3355" s="16" t="str">
        <f t="shared" si="135"/>
        <v>Twitter Web Client</v>
      </c>
      <c r="F3355" s="12">
        <v>43413.790162037039</v>
      </c>
      <c r="G3355" s="17" t="s">
        <v>13000</v>
      </c>
      <c r="H3355" s="35" t="s">
        <v>1207</v>
      </c>
      <c r="I3355" s="18" t="s">
        <v>1208</v>
      </c>
    </row>
    <row r="3356" spans="1:9" s="31" customFormat="1" ht="105">
      <c r="A3356" s="12">
        <v>43571.296030092592</v>
      </c>
      <c r="B3356" s="13" t="str">
        <f t="shared" si="134"/>
        <v>@PPCpfdsddo</v>
      </c>
      <c r="C3356" s="14" t="s">
        <v>1205</v>
      </c>
      <c r="D3356" s="15" t="s">
        <v>3749</v>
      </c>
      <c r="E3356" s="16" t="str">
        <f t="shared" si="135"/>
        <v>Twitter Web Client</v>
      </c>
      <c r="F3356" s="12">
        <v>43413.790162037039</v>
      </c>
      <c r="G3356" s="17" t="s">
        <v>13000</v>
      </c>
      <c r="H3356" s="35" t="s">
        <v>1207</v>
      </c>
      <c r="I3356" s="18" t="s">
        <v>1208</v>
      </c>
    </row>
    <row r="3357" spans="1:9" s="31" customFormat="1" ht="210">
      <c r="A3357" s="12">
        <v>43565.620995370366</v>
      </c>
      <c r="B3357" s="13" t="str">
        <f t="shared" si="134"/>
        <v>@PPCpfdsddo</v>
      </c>
      <c r="C3357" s="14" t="s">
        <v>1205</v>
      </c>
      <c r="D3357" s="15" t="s">
        <v>5991</v>
      </c>
      <c r="E3357" s="16" t="str">
        <f t="shared" si="135"/>
        <v>Twitter Web Client</v>
      </c>
      <c r="F3357" s="12">
        <v>43413.790162037039</v>
      </c>
      <c r="G3357" s="17" t="s">
        <v>13000</v>
      </c>
      <c r="H3357" s="35" t="s">
        <v>1207</v>
      </c>
      <c r="I3357" s="18" t="s">
        <v>1208</v>
      </c>
    </row>
    <row r="3358" spans="1:9" s="31" customFormat="1" ht="180">
      <c r="A3358" s="12">
        <v>43565.26761574074</v>
      </c>
      <c r="B3358" s="13" t="str">
        <f t="shared" si="134"/>
        <v>@PPCpfdsddo</v>
      </c>
      <c r="C3358" s="14" t="s">
        <v>1205</v>
      </c>
      <c r="D3358" s="15" t="s">
        <v>6203</v>
      </c>
      <c r="E3358" s="16" t="str">
        <f t="shared" si="135"/>
        <v>Twitter Web Client</v>
      </c>
      <c r="F3358" s="12">
        <v>43413.790162037039</v>
      </c>
      <c r="G3358" s="17" t="s">
        <v>13000</v>
      </c>
      <c r="H3358" s="35" t="s">
        <v>1207</v>
      </c>
      <c r="I3358" s="18" t="s">
        <v>1208</v>
      </c>
    </row>
    <row r="3359" spans="1:9" s="31" customFormat="1" ht="180">
      <c r="A3359" s="12">
        <v>43564.725057870368</v>
      </c>
      <c r="B3359" s="13" t="str">
        <f t="shared" si="134"/>
        <v>@PPCpfdsddo</v>
      </c>
      <c r="C3359" s="14" t="s">
        <v>1205</v>
      </c>
      <c r="D3359" s="15" t="s">
        <v>6446</v>
      </c>
      <c r="E3359" s="16" t="str">
        <f t="shared" si="135"/>
        <v>Twitter Web Client</v>
      </c>
      <c r="F3359" s="12">
        <v>43413.790162037039</v>
      </c>
      <c r="G3359" s="17" t="s">
        <v>13000</v>
      </c>
      <c r="H3359" s="35" t="s">
        <v>1207</v>
      </c>
      <c r="I3359" s="18" t="s">
        <v>1208</v>
      </c>
    </row>
    <row r="3360" spans="1:9" s="31" customFormat="1" ht="135">
      <c r="A3360" s="12">
        <v>43564.510509259257</v>
      </c>
      <c r="B3360" s="13" t="str">
        <f t="shared" si="134"/>
        <v>@PPCpfdsddo</v>
      </c>
      <c r="C3360" s="14" t="s">
        <v>1205</v>
      </c>
      <c r="D3360" s="15" t="s">
        <v>6567</v>
      </c>
      <c r="E3360" s="16" t="str">
        <f t="shared" si="135"/>
        <v>Twitter Web Client</v>
      </c>
      <c r="F3360" s="12">
        <v>43413.790162037039</v>
      </c>
      <c r="G3360" s="17" t="s">
        <v>13000</v>
      </c>
      <c r="H3360" s="35" t="s">
        <v>1207</v>
      </c>
      <c r="I3360" s="18" t="s">
        <v>1208</v>
      </c>
    </row>
    <row r="3361" spans="1:9" s="31" customFormat="1" ht="105">
      <c r="A3361" s="12">
        <v>43564.421053240745</v>
      </c>
      <c r="B3361" s="13" t="str">
        <f t="shared" si="134"/>
        <v>@PPCpfdsddo</v>
      </c>
      <c r="C3361" s="14" t="s">
        <v>1205</v>
      </c>
      <c r="D3361" s="15" t="s">
        <v>6618</v>
      </c>
      <c r="E3361" s="16" t="str">
        <f t="shared" si="135"/>
        <v>Twitter Web Client</v>
      </c>
      <c r="F3361" s="12">
        <v>43413.790162037039</v>
      </c>
      <c r="G3361" s="17" t="s">
        <v>13000</v>
      </c>
      <c r="H3361" s="35" t="s">
        <v>1207</v>
      </c>
      <c r="I3361" s="18" t="s">
        <v>1208</v>
      </c>
    </row>
    <row r="3362" spans="1:9" s="31" customFormat="1" ht="45">
      <c r="A3362" s="12">
        <v>43577.842766203699</v>
      </c>
      <c r="B3362" s="13" t="str">
        <f>HYPERLINK("https://twitter.com/ifrometa","@ifrometa")</f>
        <v>@ifrometa</v>
      </c>
      <c r="C3362" s="14" t="s">
        <v>1481</v>
      </c>
      <c r="D3362" s="15" t="s">
        <v>1482</v>
      </c>
      <c r="E3362" s="16" t="str">
        <f>HYPERLINK("http://twitter.com/download/iphone","Twitter for iPhone")</f>
        <v>Twitter for iPhone</v>
      </c>
      <c r="F3362" s="12">
        <v>40253.717245370368</v>
      </c>
      <c r="G3362" s="17" t="s">
        <v>13000</v>
      </c>
      <c r="H3362" s="35" t="s">
        <v>1483</v>
      </c>
      <c r="I3362" s="18" t="s">
        <v>1484</v>
      </c>
    </row>
    <row r="3363" spans="1:9" s="31" customFormat="1" ht="45">
      <c r="A3363" s="4">
        <v>43560.368101851855</v>
      </c>
      <c r="B3363" s="5" t="str">
        <f>HYPERLINK("https://twitter.com/PerformancePM_","@PerformancePM_")</f>
        <v>@PerformancePM_</v>
      </c>
      <c r="C3363" s="6" t="s">
        <v>11416</v>
      </c>
      <c r="D3363" s="7" t="s">
        <v>11417</v>
      </c>
      <c r="E3363" s="8" t="str">
        <f>HYPERLINK("https://www.hootsuite.com","Hootsuite Inc.")</f>
        <v>Hootsuite Inc.</v>
      </c>
      <c r="F3363" s="4">
        <v>40672.342719907407</v>
      </c>
      <c r="G3363" s="9" t="s">
        <v>13000</v>
      </c>
      <c r="H3363" s="35" t="s">
        <v>11418</v>
      </c>
      <c r="I3363" s="10" t="s">
        <v>11419</v>
      </c>
    </row>
    <row r="3364" spans="1:9" s="31" customFormat="1" ht="45">
      <c r="A3364" s="4">
        <v>43561.886296296296</v>
      </c>
      <c r="B3364" s="5" t="str">
        <f>HYPERLINK("https://twitter.com/DrunkDecorist","@DrunkDecorist")</f>
        <v>@DrunkDecorist</v>
      </c>
      <c r="C3364" s="6" t="s">
        <v>10806</v>
      </c>
      <c r="D3364" s="7" t="s">
        <v>10807</v>
      </c>
      <c r="E3364" s="8" t="str">
        <f>HYPERLINK("http://twitter.com/download/android","Twitter for Android")</f>
        <v>Twitter for Android</v>
      </c>
      <c r="F3364" s="4">
        <v>43425.911979166667</v>
      </c>
      <c r="G3364" s="9" t="s">
        <v>13000</v>
      </c>
      <c r="H3364" s="35" t="s">
        <v>10808</v>
      </c>
      <c r="I3364" s="10" t="s">
        <v>10809</v>
      </c>
    </row>
    <row r="3365" spans="1:9" s="31" customFormat="1" ht="60">
      <c r="A3365" s="12">
        <v>43573.799768518518</v>
      </c>
      <c r="B3365" s="13" t="str">
        <f>HYPERLINK("https://twitter.com/UnderwaterLance","@UnderwaterLance")</f>
        <v>@UnderwaterLance</v>
      </c>
      <c r="C3365" s="14" t="s">
        <v>2734</v>
      </c>
      <c r="D3365" s="15" t="s">
        <v>2735</v>
      </c>
      <c r="E3365" s="16" t="str">
        <f>HYPERLINK("http://twitter.com/download/iphone","Twitter for iPhone")</f>
        <v>Twitter for iPhone</v>
      </c>
      <c r="F3365" s="12">
        <v>40154.680925925924</v>
      </c>
      <c r="G3365" s="17" t="s">
        <v>13000</v>
      </c>
      <c r="H3365" s="35" t="s">
        <v>2736</v>
      </c>
      <c r="I3365" s="18" t="s">
        <v>2737</v>
      </c>
    </row>
    <row r="3366" spans="1:9" s="31" customFormat="1" ht="45">
      <c r="A3366" s="19">
        <v>43550.879664351851</v>
      </c>
      <c r="B3366" s="20" t="str">
        <f>HYPERLINK("https://twitter.com/kranenburg","@kranenburg")</f>
        <v>@kranenburg</v>
      </c>
      <c r="C3366" s="21" t="s">
        <v>7474</v>
      </c>
      <c r="D3366" s="22" t="s">
        <v>7475</v>
      </c>
      <c r="E3366" s="23" t="str">
        <f>HYPERLINK("http://twitter.com/download/android","Twitter for Android")</f>
        <v>Twitter for Android</v>
      </c>
      <c r="F3366" s="19">
        <v>39895.418287037035</v>
      </c>
      <c r="G3366" s="24" t="s">
        <v>13000</v>
      </c>
      <c r="H3366" s="35" t="s">
        <v>7476</v>
      </c>
      <c r="I3366" s="25" t="s">
        <v>7477</v>
      </c>
    </row>
    <row r="3367" spans="1:9" s="31" customFormat="1" ht="150">
      <c r="A3367" s="4">
        <v>43564.410659722227</v>
      </c>
      <c r="B3367" s="5" t="str">
        <f>HYPERLINK("https://twitter.com/MelJBowler","@MelJBowler")</f>
        <v>@MelJBowler</v>
      </c>
      <c r="C3367" s="6" t="s">
        <v>6623</v>
      </c>
      <c r="D3367" s="7" t="s">
        <v>6624</v>
      </c>
      <c r="E3367" s="8" t="str">
        <f>HYPERLINK("http://twitter.com","Twitter Web Client")</f>
        <v>Twitter Web Client</v>
      </c>
      <c r="F3367" s="4">
        <v>40556.249699074076</v>
      </c>
      <c r="G3367" s="9" t="s">
        <v>13000</v>
      </c>
      <c r="H3367" s="35" t="s">
        <v>6625</v>
      </c>
      <c r="I3367" s="10" t="s">
        <v>6626</v>
      </c>
    </row>
    <row r="3368" spans="1:9" s="31" customFormat="1" ht="45">
      <c r="A3368" s="4">
        <v>43557.372499999998</v>
      </c>
      <c r="B3368" s="5" t="str">
        <f>HYPERLINK("https://twitter.com/ehp10029","@ehp10029")</f>
        <v>@ehp10029</v>
      </c>
      <c r="C3368" s="6" t="s">
        <v>12537</v>
      </c>
      <c r="D3368" s="7" t="s">
        <v>12538</v>
      </c>
      <c r="E3368" s="8" t="str">
        <f>HYPERLINK("http://twitter.com/download/iphone","Twitter for iPhone")</f>
        <v>Twitter for iPhone</v>
      </c>
      <c r="F3368" s="4">
        <v>40786.289039351854</v>
      </c>
      <c r="G3368" s="9" t="s">
        <v>13000</v>
      </c>
      <c r="H3368" s="35" t="s">
        <v>12539</v>
      </c>
      <c r="I3368" s="10" t="s">
        <v>12540</v>
      </c>
    </row>
    <row r="3369" spans="1:9" s="31" customFormat="1" ht="105">
      <c r="A3369" s="4">
        <v>43557.334479166668</v>
      </c>
      <c r="B3369" s="5" t="str">
        <f>HYPERLINK("https://twitter.com/RecruitMSU","@RecruitMSU")</f>
        <v>@RecruitMSU</v>
      </c>
      <c r="C3369" s="6" t="s">
        <v>12552</v>
      </c>
      <c r="D3369" s="7" t="s">
        <v>12553</v>
      </c>
      <c r="E3369" s="8" t="str">
        <f>HYPERLINK("https://www.hootsuite.com","Hootsuite Inc.")</f>
        <v>Hootsuite Inc.</v>
      </c>
      <c r="F3369" s="4">
        <v>39917.451574074075</v>
      </c>
      <c r="G3369" s="9" t="s">
        <v>13000</v>
      </c>
      <c r="H3369" s="35" t="s">
        <v>12554</v>
      </c>
      <c r="I3369" s="10" t="s">
        <v>12555</v>
      </c>
    </row>
    <row r="3370" spans="1:9" s="31" customFormat="1" ht="75">
      <c r="A3370" s="12">
        <v>43569.368391203709</v>
      </c>
      <c r="B3370" s="13" t="str">
        <f>HYPERLINK("https://twitter.com/ajaxsinger","@ajaxsinger")</f>
        <v>@ajaxsinger</v>
      </c>
      <c r="C3370" s="14" t="s">
        <v>4528</v>
      </c>
      <c r="D3370" s="15" t="s">
        <v>4529</v>
      </c>
      <c r="E3370" s="16" t="str">
        <f>HYPERLINK("http://instagram.com","Instagram")</f>
        <v>Instagram</v>
      </c>
      <c r="F3370" s="12">
        <v>39586.851689814815</v>
      </c>
      <c r="G3370" s="17" t="s">
        <v>13000</v>
      </c>
      <c r="H3370" s="35" t="s">
        <v>4530</v>
      </c>
      <c r="I3370" s="18" t="s">
        <v>4531</v>
      </c>
    </row>
    <row r="3371" spans="1:9" s="31" customFormat="1" ht="75">
      <c r="A3371" s="19">
        <v>43548.642268518517</v>
      </c>
      <c r="B3371" s="20" t="str">
        <f>HYPERLINK("https://twitter.com/Seattleviews","@Seattleviews")</f>
        <v>@Seattleviews</v>
      </c>
      <c r="C3371" s="21" t="s">
        <v>8256</v>
      </c>
      <c r="D3371" s="22" t="s">
        <v>8257</v>
      </c>
      <c r="E3371" s="23" t="str">
        <f>HYPERLINK("http://instagram.com","Instagram")</f>
        <v>Instagram</v>
      </c>
      <c r="F3371" s="19">
        <v>40083.590185185181</v>
      </c>
      <c r="G3371" s="24" t="s">
        <v>13000</v>
      </c>
      <c r="H3371" s="35" t="s">
        <v>8258</v>
      </c>
      <c r="I3371" s="25" t="s">
        <v>8259</v>
      </c>
    </row>
    <row r="3372" spans="1:9" s="31" customFormat="1" ht="105">
      <c r="A3372" s="12">
        <v>43568.333773148144</v>
      </c>
      <c r="B3372" s="13" t="str">
        <f>HYPERLINK("https://twitter.com/Christian_yeg","@Christian_yeg")</f>
        <v>@Christian_yeg</v>
      </c>
      <c r="C3372" s="14" t="s">
        <v>4806</v>
      </c>
      <c r="D3372" s="15" t="s">
        <v>4807</v>
      </c>
      <c r="E3372" s="16" t="str">
        <f>HYPERLINK("http://www.linkedin.com/","LinkedIn")</f>
        <v>LinkedIn</v>
      </c>
      <c r="F3372" s="12">
        <v>40115.370266203703</v>
      </c>
      <c r="G3372" s="24" t="s">
        <v>13000</v>
      </c>
      <c r="H3372" s="35" t="s">
        <v>4808</v>
      </c>
      <c r="I3372" s="18" t="s">
        <v>4809</v>
      </c>
    </row>
    <row r="3373" spans="1:9" s="31" customFormat="1" ht="105">
      <c r="A3373" s="19">
        <v>43546.548761574071</v>
      </c>
      <c r="B3373" s="20" t="str">
        <f>HYPERLINK("https://twitter.com/ginab_yeg","@ginab_yeg")</f>
        <v>@ginab_yeg</v>
      </c>
      <c r="C3373" s="21" t="s">
        <v>8810</v>
      </c>
      <c r="D3373" s="22" t="s">
        <v>8811</v>
      </c>
      <c r="E3373" s="23" t="str">
        <f>HYPERLINK("http://twitter.com","Twitter Web Client")</f>
        <v>Twitter Web Client</v>
      </c>
      <c r="F3373" s="19">
        <v>41769.361655092594</v>
      </c>
      <c r="G3373" s="24" t="s">
        <v>13000</v>
      </c>
      <c r="H3373" s="35" t="s">
        <v>773</v>
      </c>
      <c r="I3373" s="25" t="s">
        <v>8812</v>
      </c>
    </row>
    <row r="3374" spans="1:9" s="31" customFormat="1" ht="60">
      <c r="A3374" s="12">
        <v>43579.323159722218</v>
      </c>
      <c r="B3374" s="13" t="str">
        <f>HYPERLINK("https://twitter.com/revodmarketing","@revodmarketing")</f>
        <v>@revodmarketing</v>
      </c>
      <c r="C3374" s="14" t="s">
        <v>771</v>
      </c>
      <c r="D3374" s="15" t="s">
        <v>772</v>
      </c>
      <c r="E3374" s="16" t="str">
        <f>HYPERLINK("https://www.socialreport.com","SocialReport.com")</f>
        <v>SocialReport.com</v>
      </c>
      <c r="F3374" s="12">
        <v>43559.612685185188</v>
      </c>
      <c r="G3374" s="24" t="s">
        <v>13000</v>
      </c>
      <c r="H3374" s="35" t="s">
        <v>773</v>
      </c>
      <c r="I3374" s="18" t="s">
        <v>774</v>
      </c>
    </row>
    <row r="3375" spans="1:9" s="31" customFormat="1" ht="75">
      <c r="A3375" s="12">
        <v>43571.781041666662</v>
      </c>
      <c r="B3375" s="13" t="str">
        <f>HYPERLINK("https://twitter.com/jabreu69","@jabreu69")</f>
        <v>@jabreu69</v>
      </c>
      <c r="C3375" s="14" t="s">
        <v>3553</v>
      </c>
      <c r="D3375" s="15" t="s">
        <v>3554</v>
      </c>
      <c r="E3375" s="16" t="str">
        <f>HYPERLINK("http://instagram.com","Instagram")</f>
        <v>Instagram</v>
      </c>
      <c r="F3375" s="12">
        <v>40057.816469907411</v>
      </c>
      <c r="G3375" s="17" t="s">
        <v>13000</v>
      </c>
      <c r="H3375" s="35" t="s">
        <v>3555</v>
      </c>
      <c r="I3375" s="18" t="s">
        <v>3556</v>
      </c>
    </row>
    <row r="3376" spans="1:9" s="31" customFormat="1" ht="30">
      <c r="A3376" s="12">
        <v>43572.709317129629</v>
      </c>
      <c r="B3376" s="13" t="str">
        <f>HYPERLINK("https://twitter.com/BeautifulChaoZ1","@BeautifulChaoZ1")</f>
        <v>@BeautifulChaoZ1</v>
      </c>
      <c r="C3376" s="14" t="s">
        <v>3110</v>
      </c>
      <c r="D3376" s="15" t="s">
        <v>3111</v>
      </c>
      <c r="E3376" s="16" t="str">
        <f>HYPERLINK("http://twitter.com/download/iphone","Twitter for iPhone")</f>
        <v>Twitter for iPhone</v>
      </c>
      <c r="F3376" s="12">
        <v>41520.421481481484</v>
      </c>
      <c r="G3376" s="17" t="s">
        <v>13000</v>
      </c>
      <c r="H3376" s="35" t="s">
        <v>3112</v>
      </c>
      <c r="I3376" s="18" t="s">
        <v>3113</v>
      </c>
    </row>
    <row r="3377" spans="1:9" s="31" customFormat="1" ht="105">
      <c r="A3377" s="12">
        <v>43578.874189814815</v>
      </c>
      <c r="B3377" s="13" t="str">
        <f>HYPERLINK("https://twitter.com/CyberTaters","@CyberTaters")</f>
        <v>@CyberTaters</v>
      </c>
      <c r="C3377" s="14" t="s">
        <v>1002</v>
      </c>
      <c r="D3377" s="15" t="s">
        <v>1003</v>
      </c>
      <c r="E3377" s="16" t="str">
        <f>HYPERLINK("https://potatoes.misentropic.com","pillowy mounds")</f>
        <v>pillowy mounds</v>
      </c>
      <c r="F3377" s="12">
        <v>42155.918310185181</v>
      </c>
      <c r="G3377" s="17" t="s">
        <v>13000</v>
      </c>
      <c r="H3377" s="35" t="s">
        <v>1004</v>
      </c>
      <c r="I3377" s="18" t="s">
        <v>1005</v>
      </c>
    </row>
    <row r="3378" spans="1:9" s="31" customFormat="1" ht="105">
      <c r="A3378" s="12">
        <v>43579.544479166667</v>
      </c>
      <c r="B3378" s="13" t="str">
        <f>HYPERLINK("https://twitter.com/EllisDesignGrp","@EllisDesignGrp")</f>
        <v>@EllisDesignGrp</v>
      </c>
      <c r="C3378" s="14" t="s">
        <v>582</v>
      </c>
      <c r="D3378" s="15" t="s">
        <v>583</v>
      </c>
      <c r="E3378" s="16" t="str">
        <f>HYPERLINK("https://buffer.com","Buffer")</f>
        <v>Buffer</v>
      </c>
      <c r="F3378" s="12">
        <v>40963.745381944442</v>
      </c>
      <c r="G3378" s="17" t="s">
        <v>13000</v>
      </c>
      <c r="H3378" s="35" t="s">
        <v>584</v>
      </c>
      <c r="I3378" s="18" t="s">
        <v>585</v>
      </c>
    </row>
    <row r="3379" spans="1:9" s="31" customFormat="1" ht="120">
      <c r="A3379" s="19">
        <v>43548.083055555559</v>
      </c>
      <c r="B3379" s="20" t="str">
        <f>HYPERLINK("https://twitter.com/ductmanquan","@ductmanquan")</f>
        <v>@ductmanquan</v>
      </c>
      <c r="C3379" s="21" t="s">
        <v>8417</v>
      </c>
      <c r="D3379" s="22" t="s">
        <v>8418</v>
      </c>
      <c r="E3379" s="23" t="str">
        <f>HYPERLINK("http://twitter.com/download/iphone","Twitter for iPhone")</f>
        <v>Twitter for iPhone</v>
      </c>
      <c r="F3379" s="19">
        <v>42620.610833333332</v>
      </c>
      <c r="G3379" s="17" t="s">
        <v>13000</v>
      </c>
      <c r="H3379" s="35" t="s">
        <v>8419</v>
      </c>
      <c r="I3379" s="25"/>
    </row>
    <row r="3380" spans="1:9" s="31" customFormat="1" ht="30">
      <c r="A3380" s="4">
        <v>43558.510243055556</v>
      </c>
      <c r="B3380" s="5" t="str">
        <f>HYPERLINK("https://twitter.com/eeadpi","@eeadpi")</f>
        <v>@eeadpi</v>
      </c>
      <c r="C3380" s="6" t="s">
        <v>12150</v>
      </c>
      <c r="D3380" s="7" t="s">
        <v>12151</v>
      </c>
      <c r="E3380" s="8" t="str">
        <f>HYPERLINK("http://twitter.com/download/iphone","Twitter for iPhone")</f>
        <v>Twitter for iPhone</v>
      </c>
      <c r="F3380" s="4">
        <v>39798.636435185181</v>
      </c>
      <c r="G3380" s="17" t="s">
        <v>13000</v>
      </c>
      <c r="H3380" s="35" t="s">
        <v>12152</v>
      </c>
      <c r="I3380" s="10" t="s">
        <v>12153</v>
      </c>
    </row>
    <row r="3381" spans="1:9" s="31" customFormat="1" ht="75">
      <c r="A3381" s="19">
        <v>43549.50712962963</v>
      </c>
      <c r="B3381" s="20" t="str">
        <f>HYPERLINK("https://twitter.com/GS1_US","@GS1_US")</f>
        <v>@GS1_US</v>
      </c>
      <c r="C3381" s="21" t="s">
        <v>8007</v>
      </c>
      <c r="D3381" s="22" t="s">
        <v>8008</v>
      </c>
      <c r="E3381" s="23" t="str">
        <f>HYPERLINK("https://www.hootsuite.com","Hootsuite Inc.")</f>
        <v>Hootsuite Inc.</v>
      </c>
      <c r="F3381" s="19">
        <v>41767.573680555557</v>
      </c>
      <c r="G3381" s="17" t="s">
        <v>13000</v>
      </c>
      <c r="H3381" s="35" t="s">
        <v>8009</v>
      </c>
      <c r="I3381" s="25" t="s">
        <v>8010</v>
      </c>
    </row>
    <row r="3382" spans="1:9" s="31" customFormat="1" ht="45">
      <c r="A3382" s="19">
        <v>43550.296331018515</v>
      </c>
      <c r="B3382" s="20" t="str">
        <f>HYPERLINK("https://twitter.com/FairfaxFed","@FairfaxFed")</f>
        <v>@FairfaxFed</v>
      </c>
      <c r="C3382" s="21" t="s">
        <v>3058</v>
      </c>
      <c r="D3382" s="22" t="s">
        <v>7740</v>
      </c>
      <c r="E3382" s="23" t="str">
        <f>HYPERLINK("http://twitter.com","Twitter Web Client")</f>
        <v>Twitter Web Client</v>
      </c>
      <c r="F3382" s="19">
        <v>41446.630358796298</v>
      </c>
      <c r="G3382" s="17" t="s">
        <v>13000</v>
      </c>
      <c r="H3382" s="35" t="s">
        <v>3060</v>
      </c>
      <c r="I3382" s="25" t="s">
        <v>3061</v>
      </c>
    </row>
    <row r="3383" spans="1:9" s="31" customFormat="1" ht="45">
      <c r="A3383" s="12">
        <v>43572.917893518519</v>
      </c>
      <c r="B3383" s="13" t="str">
        <f>HYPERLINK("https://twitter.com/FairfaxFed","@FairfaxFed")</f>
        <v>@FairfaxFed</v>
      </c>
      <c r="C3383" s="14" t="s">
        <v>3058</v>
      </c>
      <c r="D3383" s="15" t="s">
        <v>3059</v>
      </c>
      <c r="E3383" s="16" t="str">
        <f>HYPERLINK("http://twitter.com","Twitter Web Client")</f>
        <v>Twitter Web Client</v>
      </c>
      <c r="F3383" s="12">
        <v>41446.630358796298</v>
      </c>
      <c r="G3383" s="17" t="s">
        <v>13000</v>
      </c>
      <c r="H3383" s="35" t="s">
        <v>3060</v>
      </c>
      <c r="I3383" s="18" t="s">
        <v>3061</v>
      </c>
    </row>
    <row r="3384" spans="1:9" s="31" customFormat="1" ht="60">
      <c r="A3384" s="19">
        <v>43550.482800925922</v>
      </c>
      <c r="B3384" s="20" t="str">
        <f t="shared" ref="B3384:B3396" si="136">HYPERLINK("https://twitter.com/Citizens4STR","@Citizens4STR")</f>
        <v>@Citizens4STR</v>
      </c>
      <c r="C3384" s="21" t="s">
        <v>5992</v>
      </c>
      <c r="D3384" s="22" t="s">
        <v>7652</v>
      </c>
      <c r="E3384" s="23" t="str">
        <f>HYPERLINK("http://twitter.com","Twitter Web Client")</f>
        <v>Twitter Web Client</v>
      </c>
      <c r="F3384" s="19">
        <v>43291.402881944443</v>
      </c>
      <c r="G3384" s="17" t="s">
        <v>13000</v>
      </c>
      <c r="H3384" s="35" t="s">
        <v>5994</v>
      </c>
      <c r="I3384" s="25" t="s">
        <v>5995</v>
      </c>
    </row>
    <row r="3385" spans="1:9" s="31" customFormat="1" ht="45">
      <c r="A3385" s="4">
        <v>43565.612974537042</v>
      </c>
      <c r="B3385" s="5" t="str">
        <f t="shared" si="136"/>
        <v>@Citizens4STR</v>
      </c>
      <c r="C3385" s="6" t="s">
        <v>5992</v>
      </c>
      <c r="D3385" s="7" t="s">
        <v>5993</v>
      </c>
      <c r="E3385" s="8" t="str">
        <f t="shared" ref="E3385:E3396" si="137">HYPERLINK("http://twitter.com/download/iphone","Twitter for iPhone")</f>
        <v>Twitter for iPhone</v>
      </c>
      <c r="F3385" s="4">
        <v>43291.402881944443</v>
      </c>
      <c r="G3385" s="17" t="s">
        <v>13000</v>
      </c>
      <c r="H3385" s="35" t="s">
        <v>5994</v>
      </c>
      <c r="I3385" s="10" t="s">
        <v>5995</v>
      </c>
    </row>
    <row r="3386" spans="1:9" s="31" customFormat="1" ht="60">
      <c r="A3386" s="4">
        <v>43565.612233796295</v>
      </c>
      <c r="B3386" s="5" t="str">
        <f t="shared" si="136"/>
        <v>@Citizens4STR</v>
      </c>
      <c r="C3386" s="6" t="s">
        <v>5992</v>
      </c>
      <c r="D3386" s="7" t="s">
        <v>5996</v>
      </c>
      <c r="E3386" s="8" t="str">
        <f t="shared" si="137"/>
        <v>Twitter for iPhone</v>
      </c>
      <c r="F3386" s="4">
        <v>43291.402881944443</v>
      </c>
      <c r="G3386" s="17" t="s">
        <v>13000</v>
      </c>
      <c r="H3386" s="35" t="s">
        <v>5994</v>
      </c>
      <c r="I3386" s="10" t="s">
        <v>5995</v>
      </c>
    </row>
    <row r="3387" spans="1:9" s="31" customFormat="1" ht="45">
      <c r="A3387" s="4">
        <v>43565.608634259261</v>
      </c>
      <c r="B3387" s="5" t="str">
        <f t="shared" si="136"/>
        <v>@Citizens4STR</v>
      </c>
      <c r="C3387" s="6" t="s">
        <v>5992</v>
      </c>
      <c r="D3387" s="7" t="s">
        <v>5997</v>
      </c>
      <c r="E3387" s="8" t="str">
        <f t="shared" si="137"/>
        <v>Twitter for iPhone</v>
      </c>
      <c r="F3387" s="4">
        <v>43291.402881944443</v>
      </c>
      <c r="G3387" s="17" t="s">
        <v>13000</v>
      </c>
      <c r="H3387" s="35" t="s">
        <v>5994</v>
      </c>
      <c r="I3387" s="10" t="s">
        <v>5995</v>
      </c>
    </row>
    <row r="3388" spans="1:9" s="31" customFormat="1" ht="45">
      <c r="A3388" s="4">
        <v>43565.606874999998</v>
      </c>
      <c r="B3388" s="5" t="str">
        <f t="shared" si="136"/>
        <v>@Citizens4STR</v>
      </c>
      <c r="C3388" s="6" t="s">
        <v>5992</v>
      </c>
      <c r="D3388" s="7" t="s">
        <v>5998</v>
      </c>
      <c r="E3388" s="8" t="str">
        <f t="shared" si="137"/>
        <v>Twitter for iPhone</v>
      </c>
      <c r="F3388" s="4">
        <v>43291.402881944443</v>
      </c>
      <c r="G3388" s="17" t="s">
        <v>13000</v>
      </c>
      <c r="H3388" s="35" t="s">
        <v>5994</v>
      </c>
      <c r="I3388" s="10" t="s">
        <v>5995</v>
      </c>
    </row>
    <row r="3389" spans="1:9" s="31" customFormat="1" ht="45">
      <c r="A3389" s="4">
        <v>43565.605671296296</v>
      </c>
      <c r="B3389" s="5" t="str">
        <f t="shared" si="136"/>
        <v>@Citizens4STR</v>
      </c>
      <c r="C3389" s="6" t="s">
        <v>5992</v>
      </c>
      <c r="D3389" s="7" t="s">
        <v>5999</v>
      </c>
      <c r="E3389" s="8" t="str">
        <f t="shared" si="137"/>
        <v>Twitter for iPhone</v>
      </c>
      <c r="F3389" s="4">
        <v>43291.402881944443</v>
      </c>
      <c r="G3389" s="17" t="s">
        <v>13000</v>
      </c>
      <c r="H3389" s="35" t="s">
        <v>5994</v>
      </c>
      <c r="I3389" s="10" t="s">
        <v>5995</v>
      </c>
    </row>
    <row r="3390" spans="1:9" s="31" customFormat="1" ht="60">
      <c r="A3390" s="4">
        <v>43565.60423611111</v>
      </c>
      <c r="B3390" s="5" t="str">
        <f t="shared" si="136"/>
        <v>@Citizens4STR</v>
      </c>
      <c r="C3390" s="6" t="s">
        <v>5992</v>
      </c>
      <c r="D3390" s="7" t="s">
        <v>6001</v>
      </c>
      <c r="E3390" s="8" t="str">
        <f t="shared" si="137"/>
        <v>Twitter for iPhone</v>
      </c>
      <c r="F3390" s="4">
        <v>43291.402881944443</v>
      </c>
      <c r="G3390" s="17" t="s">
        <v>13000</v>
      </c>
      <c r="H3390" s="35" t="s">
        <v>5994</v>
      </c>
      <c r="I3390" s="10" t="s">
        <v>5995</v>
      </c>
    </row>
    <row r="3391" spans="1:9" s="31" customFormat="1" ht="45">
      <c r="A3391" s="4">
        <v>43565.602777777778</v>
      </c>
      <c r="B3391" s="5" t="str">
        <f t="shared" si="136"/>
        <v>@Citizens4STR</v>
      </c>
      <c r="C3391" s="6" t="s">
        <v>5992</v>
      </c>
      <c r="D3391" s="7" t="s">
        <v>6005</v>
      </c>
      <c r="E3391" s="8" t="str">
        <f t="shared" si="137"/>
        <v>Twitter for iPhone</v>
      </c>
      <c r="F3391" s="4">
        <v>43291.402881944443</v>
      </c>
      <c r="G3391" s="17" t="s">
        <v>13000</v>
      </c>
      <c r="H3391" s="35" t="s">
        <v>5994</v>
      </c>
      <c r="I3391" s="10" t="s">
        <v>5995</v>
      </c>
    </row>
    <row r="3392" spans="1:9" s="31" customFormat="1" ht="60">
      <c r="A3392" s="4">
        <v>43565.601493055554</v>
      </c>
      <c r="B3392" s="5" t="str">
        <f t="shared" si="136"/>
        <v>@Citizens4STR</v>
      </c>
      <c r="C3392" s="6" t="s">
        <v>5992</v>
      </c>
      <c r="D3392" s="7" t="s">
        <v>6006</v>
      </c>
      <c r="E3392" s="8" t="str">
        <f t="shared" si="137"/>
        <v>Twitter for iPhone</v>
      </c>
      <c r="F3392" s="4">
        <v>43291.402881944443</v>
      </c>
      <c r="G3392" s="17" t="s">
        <v>13000</v>
      </c>
      <c r="H3392" s="35" t="s">
        <v>5994</v>
      </c>
      <c r="I3392" s="10" t="s">
        <v>5995</v>
      </c>
    </row>
    <row r="3393" spans="1:9" s="31" customFormat="1" ht="45">
      <c r="A3393" s="4">
        <v>43565.598275462966</v>
      </c>
      <c r="B3393" s="5" t="str">
        <f t="shared" si="136"/>
        <v>@Citizens4STR</v>
      </c>
      <c r="C3393" s="6" t="s">
        <v>5992</v>
      </c>
      <c r="D3393" s="7" t="s">
        <v>6008</v>
      </c>
      <c r="E3393" s="8" t="str">
        <f t="shared" si="137"/>
        <v>Twitter for iPhone</v>
      </c>
      <c r="F3393" s="4">
        <v>43291.402881944443</v>
      </c>
      <c r="G3393" s="17" t="s">
        <v>13000</v>
      </c>
      <c r="H3393" s="35" t="s">
        <v>5994</v>
      </c>
      <c r="I3393" s="10" t="s">
        <v>5995</v>
      </c>
    </row>
    <row r="3394" spans="1:9" s="31" customFormat="1" ht="60">
      <c r="A3394" s="4">
        <v>43565.59646990741</v>
      </c>
      <c r="B3394" s="5" t="str">
        <f t="shared" si="136"/>
        <v>@Citizens4STR</v>
      </c>
      <c r="C3394" s="6" t="s">
        <v>5992</v>
      </c>
      <c r="D3394" s="7" t="s">
        <v>6009</v>
      </c>
      <c r="E3394" s="8" t="str">
        <f t="shared" si="137"/>
        <v>Twitter for iPhone</v>
      </c>
      <c r="F3394" s="4">
        <v>43291.402881944443</v>
      </c>
      <c r="G3394" s="17" t="s">
        <v>13000</v>
      </c>
      <c r="H3394" s="35" t="s">
        <v>5994</v>
      </c>
      <c r="I3394" s="10" t="s">
        <v>5995</v>
      </c>
    </row>
    <row r="3395" spans="1:9" s="31" customFormat="1" ht="45">
      <c r="A3395" s="4">
        <v>43565.592835648145</v>
      </c>
      <c r="B3395" s="5" t="str">
        <f t="shared" si="136"/>
        <v>@Citizens4STR</v>
      </c>
      <c r="C3395" s="6" t="s">
        <v>5992</v>
      </c>
      <c r="D3395" s="7" t="s">
        <v>6011</v>
      </c>
      <c r="E3395" s="8" t="str">
        <f t="shared" si="137"/>
        <v>Twitter for iPhone</v>
      </c>
      <c r="F3395" s="4">
        <v>43291.402881944443</v>
      </c>
      <c r="G3395" s="17" t="s">
        <v>13000</v>
      </c>
      <c r="H3395" s="35" t="s">
        <v>5994</v>
      </c>
      <c r="I3395" s="10" t="s">
        <v>5995</v>
      </c>
    </row>
    <row r="3396" spans="1:9" s="31" customFormat="1" ht="60">
      <c r="A3396" s="4">
        <v>43565.591898148152</v>
      </c>
      <c r="B3396" s="5" t="str">
        <f t="shared" si="136"/>
        <v>@Citizens4STR</v>
      </c>
      <c r="C3396" s="6" t="s">
        <v>5992</v>
      </c>
      <c r="D3396" s="7" t="s">
        <v>6012</v>
      </c>
      <c r="E3396" s="8" t="str">
        <f t="shared" si="137"/>
        <v>Twitter for iPhone</v>
      </c>
      <c r="F3396" s="4">
        <v>43291.402881944443</v>
      </c>
      <c r="G3396" s="17" t="s">
        <v>13000</v>
      </c>
      <c r="H3396" s="35" t="s">
        <v>5994</v>
      </c>
      <c r="I3396" s="10" t="s">
        <v>5995</v>
      </c>
    </row>
    <row r="3397" spans="1:9" s="31" customFormat="1" ht="105">
      <c r="A3397" s="12">
        <v>43570.424907407403</v>
      </c>
      <c r="B3397" s="13" t="str">
        <f>HYPERLINK("https://twitter.com/Solano_EDC","@Solano_EDC")</f>
        <v>@Solano_EDC</v>
      </c>
      <c r="C3397" s="14" t="s">
        <v>4162</v>
      </c>
      <c r="D3397" s="15" t="s">
        <v>4163</v>
      </c>
      <c r="E3397" s="16" t="str">
        <f>HYPERLINK("http://twitter.com","Twitter Web Client")</f>
        <v>Twitter Web Client</v>
      </c>
      <c r="F3397" s="12">
        <v>42842.632951388892</v>
      </c>
      <c r="G3397" s="17" t="s">
        <v>13000</v>
      </c>
      <c r="H3397" s="35" t="s">
        <v>4164</v>
      </c>
      <c r="I3397" s="18" t="s">
        <v>4165</v>
      </c>
    </row>
    <row r="3398" spans="1:9" s="31" customFormat="1" ht="90">
      <c r="A3398" s="12">
        <v>43570.442511574074</v>
      </c>
      <c r="B3398" s="13" t="str">
        <f>HYPERLINK("https://twitter.com/WeeksBayBERRIES","@WeeksBayBERRIES")</f>
        <v>@WeeksBayBERRIES</v>
      </c>
      <c r="C3398" s="14" t="s">
        <v>4147</v>
      </c>
      <c r="D3398" s="15" t="s">
        <v>4148</v>
      </c>
      <c r="E3398" s="16" t="str">
        <f>HYPERLINK("http://twitter.com/download/iphone","Twitter for iPhone")</f>
        <v>Twitter for iPhone</v>
      </c>
      <c r="F3398" s="12">
        <v>41935.388877314814</v>
      </c>
      <c r="G3398" s="17" t="s">
        <v>13000</v>
      </c>
      <c r="H3398" s="35" t="s">
        <v>4149</v>
      </c>
      <c r="I3398" s="18" t="s">
        <v>4150</v>
      </c>
    </row>
    <row r="3399" spans="1:9" s="31" customFormat="1" ht="30">
      <c r="A3399" s="19">
        <v>43548.359375</v>
      </c>
      <c r="B3399" s="20" t="str">
        <f>HYPERLINK("https://twitter.com/PayyAhTention","@PayyAhTention")</f>
        <v>@PayyAhTention</v>
      </c>
      <c r="C3399" s="21" t="s">
        <v>8341</v>
      </c>
      <c r="D3399" s="22" t="s">
        <v>8342</v>
      </c>
      <c r="E3399" s="23" t="str">
        <f>HYPERLINK("http://www.facebook.com/twitter","Facebook")</f>
        <v>Facebook</v>
      </c>
      <c r="F3399" s="19">
        <v>39940.200497685189</v>
      </c>
      <c r="G3399" s="24" t="s">
        <v>13000</v>
      </c>
      <c r="H3399" s="35" t="s">
        <v>8343</v>
      </c>
      <c r="I3399" s="25" t="s">
        <v>8344</v>
      </c>
    </row>
    <row r="3400" spans="1:9" s="31" customFormat="1" ht="45">
      <c r="A3400" s="4">
        <v>43557.587835648148</v>
      </c>
      <c r="B3400" s="5" t="str">
        <f>HYPERLINK("https://twitter.com/MattBarbourTV","@MattBarbourTV")</f>
        <v>@MattBarbourTV</v>
      </c>
      <c r="C3400" s="6" t="s">
        <v>12450</v>
      </c>
      <c r="D3400" s="7" t="s">
        <v>12451</v>
      </c>
      <c r="E3400" s="8" t="str">
        <f>HYPERLINK("http://twitter.com/download/iphone","Twitter for iPhone")</f>
        <v>Twitter for iPhone</v>
      </c>
      <c r="F3400" s="4">
        <v>40386.549375000002</v>
      </c>
      <c r="G3400" s="24" t="s">
        <v>13000</v>
      </c>
      <c r="H3400" s="35" t="s">
        <v>12452</v>
      </c>
      <c r="I3400" s="10" t="s">
        <v>12453</v>
      </c>
    </row>
    <row r="3401" spans="1:9" s="31" customFormat="1" ht="75">
      <c r="A3401" s="19">
        <v>43550.766747685186</v>
      </c>
      <c r="B3401" s="20" t="str">
        <f>HYPERLINK("https://twitter.com/kassieleeee","@kassieleeee")</f>
        <v>@kassieleeee</v>
      </c>
      <c r="C3401" s="21" t="s">
        <v>7513</v>
      </c>
      <c r="D3401" s="22" t="s">
        <v>7514</v>
      </c>
      <c r="E3401" s="23" t="str">
        <f>HYPERLINK("https://mobile.twitter.com","Twitter Web App")</f>
        <v>Twitter Web App</v>
      </c>
      <c r="F3401" s="19">
        <v>43522.206446759257</v>
      </c>
      <c r="G3401" s="17" t="s">
        <v>13000</v>
      </c>
      <c r="H3401" s="35" t="s">
        <v>7515</v>
      </c>
      <c r="I3401" s="25" t="s">
        <v>7516</v>
      </c>
    </row>
    <row r="3402" spans="1:9" s="31" customFormat="1" ht="45">
      <c r="A3402" s="4">
        <v>43561.139085648145</v>
      </c>
      <c r="B3402" s="5" t="str">
        <f>HYPERLINK("https://twitter.com/MarionThorpe","@MarionThorpe")</f>
        <v>@MarionThorpe</v>
      </c>
      <c r="C3402" s="6" t="s">
        <v>11054</v>
      </c>
      <c r="D3402" s="7" t="s">
        <v>11055</v>
      </c>
      <c r="E3402" s="8" t="str">
        <f>HYPERLINK("http://twitter.com/download/android","Twitter for Android")</f>
        <v>Twitter for Android</v>
      </c>
      <c r="F3402" s="4">
        <v>39704.423611111109</v>
      </c>
      <c r="G3402" s="17" t="s">
        <v>13000</v>
      </c>
      <c r="H3402" s="35" t="s">
        <v>7515</v>
      </c>
      <c r="I3402" s="10" t="s">
        <v>11056</v>
      </c>
    </row>
    <row r="3403" spans="1:9" s="31" customFormat="1" ht="75">
      <c r="A3403" s="4">
        <v>43560.401388888888</v>
      </c>
      <c r="B3403" s="5" t="str">
        <f>HYPERLINK("https://twitter.com/RachaelMoshman","@RachaelMoshman")</f>
        <v>@RachaelMoshman</v>
      </c>
      <c r="C3403" s="6" t="s">
        <v>11406</v>
      </c>
      <c r="D3403" s="7" t="s">
        <v>11407</v>
      </c>
      <c r="E3403" s="8" t="str">
        <f>HYPERLINK("http://instagram.com","Instagram")</f>
        <v>Instagram</v>
      </c>
      <c r="F3403" s="4">
        <v>41055.373564814814</v>
      </c>
      <c r="G3403" s="17" t="s">
        <v>13000</v>
      </c>
      <c r="H3403" s="35" t="s">
        <v>7515</v>
      </c>
      <c r="I3403" s="10" t="s">
        <v>11408</v>
      </c>
    </row>
    <row r="3404" spans="1:9" s="31" customFormat="1" ht="45">
      <c r="A3404" s="19">
        <v>43546.649618055555</v>
      </c>
      <c r="B3404" s="20" t="str">
        <f>HYPERLINK("https://twitter.com/T4Leonard","@T4Leonard")</f>
        <v>@T4Leonard</v>
      </c>
      <c r="C3404" s="21" t="s">
        <v>2666</v>
      </c>
      <c r="D3404" s="22" t="s">
        <v>2667</v>
      </c>
      <c r="E3404" s="23" t="str">
        <f>HYPERLINK("http://postplanner.com","Post Planner Inc.")</f>
        <v>Post Planner Inc.</v>
      </c>
      <c r="F3404" s="19">
        <v>39902.430555555555</v>
      </c>
      <c r="G3404" s="17" t="s">
        <v>13000</v>
      </c>
      <c r="H3404" s="35" t="s">
        <v>1598</v>
      </c>
      <c r="I3404" s="25" t="s">
        <v>2668</v>
      </c>
    </row>
    <row r="3405" spans="1:9" s="31" customFormat="1" ht="75">
      <c r="A3405" s="19">
        <v>43546.37501157407</v>
      </c>
      <c r="B3405" s="20" t="str">
        <f>HYPERLINK("https://twitter.com/AirbnbWATCHFL","@AirbnbWATCHFL")</f>
        <v>@AirbnbWATCHFL</v>
      </c>
      <c r="C3405" s="21" t="s">
        <v>1596</v>
      </c>
      <c r="D3405" s="22" t="s">
        <v>8881</v>
      </c>
      <c r="E3405" s="23" t="str">
        <f>HYPERLINK("https://about.twitter.com/products/tweetdeck","TweetDeck")</f>
        <v>TweetDeck</v>
      </c>
      <c r="F3405" s="19">
        <v>42696.3441087963</v>
      </c>
      <c r="G3405" s="17" t="s">
        <v>13000</v>
      </c>
      <c r="H3405" s="35" t="s">
        <v>1598</v>
      </c>
      <c r="I3405" s="25" t="s">
        <v>1599</v>
      </c>
    </row>
    <row r="3406" spans="1:9" s="31" customFormat="1" ht="75">
      <c r="A3406" s="19">
        <v>43545.25</v>
      </c>
      <c r="B3406" s="20" t="str">
        <f>HYPERLINK("https://twitter.com/AirbnbWATCHFL","@AirbnbWATCHFL")</f>
        <v>@AirbnbWATCHFL</v>
      </c>
      <c r="C3406" s="21" t="s">
        <v>1596</v>
      </c>
      <c r="D3406" s="22" t="s">
        <v>9239</v>
      </c>
      <c r="E3406" s="23" t="str">
        <f>HYPERLINK("https://about.twitter.com/products/tweetdeck","TweetDeck")</f>
        <v>TweetDeck</v>
      </c>
      <c r="F3406" s="19">
        <v>42696.3441087963</v>
      </c>
      <c r="G3406" s="17" t="s">
        <v>13000</v>
      </c>
      <c r="H3406" s="35" t="s">
        <v>1598</v>
      </c>
      <c r="I3406" s="25" t="s">
        <v>1599</v>
      </c>
    </row>
    <row r="3407" spans="1:9" s="31" customFormat="1" ht="90">
      <c r="A3407" s="19">
        <v>43544.346932870365</v>
      </c>
      <c r="B3407" s="20" t="str">
        <f>HYPERLINK("https://twitter.com/SeaAirAh_J","@SeaAirAh_J")</f>
        <v>@SeaAirAh_J</v>
      </c>
      <c r="C3407" s="21" t="s">
        <v>3306</v>
      </c>
      <c r="D3407" s="22" t="s">
        <v>9505</v>
      </c>
      <c r="E3407" s="23" t="str">
        <f>HYPERLINK("http://twitter.com/download/android","Twitter for Android")</f>
        <v>Twitter for Android</v>
      </c>
      <c r="F3407" s="19">
        <v>42715.351365740746</v>
      </c>
      <c r="G3407" s="17" t="s">
        <v>13000</v>
      </c>
      <c r="H3407" s="35" t="s">
        <v>1598</v>
      </c>
      <c r="I3407" s="25" t="s">
        <v>3308</v>
      </c>
    </row>
    <row r="3408" spans="1:9" s="31" customFormat="1" ht="45">
      <c r="A3408" s="19">
        <v>43544.322442129633</v>
      </c>
      <c r="B3408" s="20" t="str">
        <f>HYPERLINK("https://twitter.com/MyAmeriTeamFl","@MyAmeriTeamFl")</f>
        <v>@MyAmeriTeamFl</v>
      </c>
      <c r="C3408" s="21" t="s">
        <v>9525</v>
      </c>
      <c r="D3408" s="22" t="s">
        <v>9526</v>
      </c>
      <c r="E3408" s="23" t="str">
        <f>HYPERLINK("https://www.circlepix.com/","Circlepix")</f>
        <v>Circlepix</v>
      </c>
      <c r="F3408" s="19">
        <v>41652.639594907407</v>
      </c>
      <c r="G3408" s="17" t="s">
        <v>13000</v>
      </c>
      <c r="H3408" s="35" t="s">
        <v>1598</v>
      </c>
      <c r="I3408" s="25" t="s">
        <v>9527</v>
      </c>
    </row>
    <row r="3409" spans="1:9" s="31" customFormat="1" ht="45">
      <c r="A3409" s="19">
        <v>43543.524664351848</v>
      </c>
      <c r="B3409" s="20" t="str">
        <f>HYPERLINK("https://twitter.com/T4Leonard","@T4Leonard")</f>
        <v>@T4Leonard</v>
      </c>
      <c r="C3409" s="21" t="s">
        <v>2666</v>
      </c>
      <c r="D3409" s="22" t="s">
        <v>3892</v>
      </c>
      <c r="E3409" s="23" t="str">
        <f>HYPERLINK("http://postplanner.com","Post Planner Inc.")</f>
        <v>Post Planner Inc.</v>
      </c>
      <c r="F3409" s="19">
        <v>39902.430555555555</v>
      </c>
      <c r="G3409" s="17" t="s">
        <v>13000</v>
      </c>
      <c r="H3409" s="35" t="s">
        <v>1598</v>
      </c>
      <c r="I3409" s="25" t="s">
        <v>2668</v>
      </c>
    </row>
    <row r="3410" spans="1:9" s="31" customFormat="1" ht="45">
      <c r="A3410" s="4">
        <v>43560.399606481486</v>
      </c>
      <c r="B3410" s="5" t="str">
        <f>HYPERLINK("https://twitter.com/T4Leonard","@T4Leonard")</f>
        <v>@T4Leonard</v>
      </c>
      <c r="C3410" s="6" t="s">
        <v>2666</v>
      </c>
      <c r="D3410" s="7" t="s">
        <v>2667</v>
      </c>
      <c r="E3410" s="8" t="str">
        <f>HYPERLINK("http://postplanner.com","Post Planner Inc.")</f>
        <v>Post Planner Inc.</v>
      </c>
      <c r="F3410" s="4">
        <v>39902.430555555555</v>
      </c>
      <c r="G3410" s="17" t="s">
        <v>13000</v>
      </c>
      <c r="H3410" s="35" t="s">
        <v>1598</v>
      </c>
      <c r="I3410" s="10" t="s">
        <v>2668</v>
      </c>
    </row>
    <row r="3411" spans="1:9" s="31" customFormat="1" ht="105">
      <c r="A3411" s="4">
        <v>43557.439780092594</v>
      </c>
      <c r="B3411" s="5" t="str">
        <f>HYPERLINK("https://twitter.com/SeaAirAh_J","@SeaAirAh_J")</f>
        <v>@SeaAirAh_J</v>
      </c>
      <c r="C3411" s="6" t="s">
        <v>3306</v>
      </c>
      <c r="D3411" s="7" t="s">
        <v>12512</v>
      </c>
      <c r="E3411" s="8" t="str">
        <f>HYPERLINK("http://twitter.com/download/android","Twitter for Android")</f>
        <v>Twitter for Android</v>
      </c>
      <c r="F3411" s="4">
        <v>42715.351365740746</v>
      </c>
      <c r="G3411" s="17" t="s">
        <v>13000</v>
      </c>
      <c r="H3411" s="35" t="s">
        <v>1598</v>
      </c>
      <c r="I3411" s="10" t="s">
        <v>3308</v>
      </c>
    </row>
    <row r="3412" spans="1:9" s="31" customFormat="1" ht="45">
      <c r="A3412" s="4">
        <v>43557.274351851855</v>
      </c>
      <c r="B3412" s="5" t="str">
        <f>HYPERLINK("https://twitter.com/T4Leonard","@T4Leonard")</f>
        <v>@T4Leonard</v>
      </c>
      <c r="C3412" s="6" t="s">
        <v>2666</v>
      </c>
      <c r="D3412" s="7" t="s">
        <v>3892</v>
      </c>
      <c r="E3412" s="8" t="str">
        <f>HYPERLINK("http://postplanner.com","Post Planner Inc.")</f>
        <v>Post Planner Inc.</v>
      </c>
      <c r="F3412" s="4">
        <v>39902.430555555555</v>
      </c>
      <c r="G3412" s="17" t="s">
        <v>13000</v>
      </c>
      <c r="H3412" s="35" t="s">
        <v>1598</v>
      </c>
      <c r="I3412" s="10" t="s">
        <v>2668</v>
      </c>
    </row>
    <row r="3413" spans="1:9" s="31" customFormat="1" ht="75">
      <c r="A3413" s="12">
        <v>43577.5</v>
      </c>
      <c r="B3413" s="13" t="str">
        <f>HYPERLINK("https://twitter.com/AirbnbWATCHFL","@AirbnbWATCHFL")</f>
        <v>@AirbnbWATCHFL</v>
      </c>
      <c r="C3413" s="14" t="s">
        <v>1596</v>
      </c>
      <c r="D3413" s="15" t="s">
        <v>1597</v>
      </c>
      <c r="E3413" s="16" t="str">
        <f>HYPERLINK("https://about.twitter.com/products/tweetdeck","TweetDeck")</f>
        <v>TweetDeck</v>
      </c>
      <c r="F3413" s="12">
        <v>42696.3441087963</v>
      </c>
      <c r="G3413" s="17" t="s">
        <v>13000</v>
      </c>
      <c r="H3413" s="35" t="s">
        <v>1598</v>
      </c>
      <c r="I3413" s="18" t="s">
        <v>1599</v>
      </c>
    </row>
    <row r="3414" spans="1:9" s="31" customFormat="1" ht="75">
      <c r="A3414" s="12">
        <v>43576.674432870372</v>
      </c>
      <c r="B3414" s="13" t="str">
        <f>HYPERLINK("https://twitter.com/TheFloridaMemes","@TheFloridaMemes")</f>
        <v>@TheFloridaMemes</v>
      </c>
      <c r="C3414" s="14" t="s">
        <v>1869</v>
      </c>
      <c r="D3414" s="15" t="s">
        <v>1870</v>
      </c>
      <c r="E3414" s="16" t="str">
        <f>HYPERLINK("http://instagram.com","Instagram")</f>
        <v>Instagram</v>
      </c>
      <c r="F3414" s="12">
        <v>43376.38998842593</v>
      </c>
      <c r="G3414" s="17" t="s">
        <v>13000</v>
      </c>
      <c r="H3414" s="35" t="s">
        <v>1598</v>
      </c>
      <c r="I3414" s="18" t="s">
        <v>1871</v>
      </c>
    </row>
    <row r="3415" spans="1:9" s="31" customFormat="1" ht="45">
      <c r="A3415" s="12">
        <v>43574.149710648147</v>
      </c>
      <c r="B3415" s="13" t="str">
        <f>HYPERLINK("https://twitter.com/T4Leonard","@T4Leonard")</f>
        <v>@T4Leonard</v>
      </c>
      <c r="C3415" s="14" t="s">
        <v>2666</v>
      </c>
      <c r="D3415" s="15" t="s">
        <v>2667</v>
      </c>
      <c r="E3415" s="16" t="str">
        <f>HYPERLINK("http://postplanner.com","Post Planner Inc.")</f>
        <v>Post Planner Inc.</v>
      </c>
      <c r="F3415" s="12">
        <v>39902.430555555555</v>
      </c>
      <c r="G3415" s="17" t="s">
        <v>13000</v>
      </c>
      <c r="H3415" s="35" t="s">
        <v>1598</v>
      </c>
      <c r="I3415" s="18" t="s">
        <v>2668</v>
      </c>
    </row>
    <row r="3416" spans="1:9" s="31" customFormat="1" ht="75">
      <c r="A3416" s="12">
        <v>43572.347951388889</v>
      </c>
      <c r="B3416" s="13" t="str">
        <f>HYPERLINK("https://twitter.com/SeaAirAh_J","@SeaAirAh_J")</f>
        <v>@SeaAirAh_J</v>
      </c>
      <c r="C3416" s="14" t="s">
        <v>3306</v>
      </c>
      <c r="D3416" s="15" t="s">
        <v>3307</v>
      </c>
      <c r="E3416" s="16" t="str">
        <f>HYPERLINK("http://twitter.com/download/android","Twitter for Android")</f>
        <v>Twitter for Android</v>
      </c>
      <c r="F3416" s="12">
        <v>42715.351365740746</v>
      </c>
      <c r="G3416" s="17" t="s">
        <v>13000</v>
      </c>
      <c r="H3416" s="35" t="s">
        <v>1598</v>
      </c>
      <c r="I3416" s="18" t="s">
        <v>3308</v>
      </c>
    </row>
    <row r="3417" spans="1:9" s="31" customFormat="1" ht="105">
      <c r="A3417" s="12">
        <v>43571.598726851851</v>
      </c>
      <c r="B3417" s="13" t="str">
        <f>HYPERLINK("https://twitter.com/ctolbirt","@ctolbirt")</f>
        <v>@ctolbirt</v>
      </c>
      <c r="C3417" s="14" t="s">
        <v>3625</v>
      </c>
      <c r="D3417" s="15" t="s">
        <v>3626</v>
      </c>
      <c r="E3417" s="16" t="str">
        <f>HYPERLINK("http://twitter.com","Twitter Web Client")</f>
        <v>Twitter Web Client</v>
      </c>
      <c r="F3417" s="12">
        <v>40985.421377314815</v>
      </c>
      <c r="G3417" s="17" t="s">
        <v>13000</v>
      </c>
      <c r="H3417" s="35" t="s">
        <v>1598</v>
      </c>
      <c r="I3417" s="18" t="s">
        <v>3627</v>
      </c>
    </row>
    <row r="3418" spans="1:9" s="31" customFormat="1" ht="45">
      <c r="A3418" s="12">
        <v>43571.024328703701</v>
      </c>
      <c r="B3418" s="13" t="str">
        <f>HYPERLINK("https://twitter.com/T4Leonard","@T4Leonard")</f>
        <v>@T4Leonard</v>
      </c>
      <c r="C3418" s="14" t="s">
        <v>2666</v>
      </c>
      <c r="D3418" s="15" t="s">
        <v>3892</v>
      </c>
      <c r="E3418" s="16" t="str">
        <f>HYPERLINK("http://postplanner.com","Post Planner Inc.")</f>
        <v>Post Planner Inc.</v>
      </c>
      <c r="F3418" s="12">
        <v>39902.430555555555</v>
      </c>
      <c r="G3418" s="17" t="s">
        <v>13000</v>
      </c>
      <c r="H3418" s="35" t="s">
        <v>1598</v>
      </c>
      <c r="I3418" s="18" t="s">
        <v>2668</v>
      </c>
    </row>
    <row r="3419" spans="1:9" s="31" customFormat="1" ht="60">
      <c r="A3419" s="12">
        <v>43570.973356481481</v>
      </c>
      <c r="B3419" s="13" t="str">
        <f>HYPERLINK("https://twitter.com/shel7798","@shel7798")</f>
        <v>@shel7798</v>
      </c>
      <c r="C3419" s="14" t="s">
        <v>3912</v>
      </c>
      <c r="D3419" s="15" t="s">
        <v>3913</v>
      </c>
      <c r="E3419" s="16" t="str">
        <f>HYPERLINK("http://twitter.com/download/iphone","Twitter for iPhone")</f>
        <v>Twitter for iPhone</v>
      </c>
      <c r="F3419" s="12">
        <v>41077.532696759255</v>
      </c>
      <c r="G3419" s="17" t="s">
        <v>13000</v>
      </c>
      <c r="H3419" s="35" t="s">
        <v>1598</v>
      </c>
      <c r="I3419" s="18" t="s">
        <v>3914</v>
      </c>
    </row>
    <row r="3420" spans="1:9" s="31" customFormat="1" ht="45">
      <c r="A3420" s="12">
        <v>43569.367627314816</v>
      </c>
      <c r="B3420" s="13" t="str">
        <f>HYPERLINK("https://twitter.com/randibarry","@randibarry")</f>
        <v>@randibarry</v>
      </c>
      <c r="C3420" s="14" t="s">
        <v>4532</v>
      </c>
      <c r="D3420" s="15" t="s">
        <v>4533</v>
      </c>
      <c r="E3420" s="16" t="str">
        <f>HYPERLINK("http://twitter.com","Twitter Web Client")</f>
        <v>Twitter Web Client</v>
      </c>
      <c r="F3420" s="12">
        <v>39917.034837962965</v>
      </c>
      <c r="G3420" s="17" t="s">
        <v>13000</v>
      </c>
      <c r="H3420" s="35" t="s">
        <v>1598</v>
      </c>
      <c r="I3420" s="18" t="s">
        <v>4534</v>
      </c>
    </row>
    <row r="3421" spans="1:9" s="31" customFormat="1" ht="75">
      <c r="A3421" s="12">
        <v>43567.541678240741</v>
      </c>
      <c r="B3421" s="13" t="str">
        <f>HYPERLINK("https://twitter.com/AirbnbWATCHFL","@AirbnbWATCHFL")</f>
        <v>@AirbnbWATCHFL</v>
      </c>
      <c r="C3421" s="14" t="s">
        <v>1596</v>
      </c>
      <c r="D3421" s="15" t="s">
        <v>5062</v>
      </c>
      <c r="E3421" s="16" t="str">
        <f>HYPERLINK("https://about.twitter.com/products/tweetdeck","TweetDeck")</f>
        <v>TweetDeck</v>
      </c>
      <c r="F3421" s="12">
        <v>42696.3441087963</v>
      </c>
      <c r="G3421" s="17" t="s">
        <v>13000</v>
      </c>
      <c r="H3421" s="35" t="s">
        <v>1598</v>
      </c>
      <c r="I3421" s="18" t="s">
        <v>1599</v>
      </c>
    </row>
    <row r="3422" spans="1:9" s="31" customFormat="1" ht="60">
      <c r="A3422" s="4">
        <v>43565.786643518513</v>
      </c>
      <c r="B3422" s="5" t="str">
        <f>HYPERLINK("https://twitter.com/MelissaErial","@MelissaErial")</f>
        <v>@MelissaErial</v>
      </c>
      <c r="C3422" s="6" t="s">
        <v>5899</v>
      </c>
      <c r="D3422" s="7" t="s">
        <v>5900</v>
      </c>
      <c r="E3422" s="8" t="str">
        <f>HYPERLINK("http://twitter.com/download/iphone","Twitter for iPhone")</f>
        <v>Twitter for iPhone</v>
      </c>
      <c r="F3422" s="4">
        <v>42838.225856481484</v>
      </c>
      <c r="G3422" s="24" t="s">
        <v>13000</v>
      </c>
      <c r="H3422" s="35" t="s">
        <v>5901</v>
      </c>
      <c r="I3422" s="10" t="s">
        <v>5902</v>
      </c>
    </row>
    <row r="3423" spans="1:9" s="31" customFormat="1" ht="60">
      <c r="A3423" s="4">
        <v>43562.59175925926</v>
      </c>
      <c r="B3423" s="5" t="str">
        <f>HYPERLINK("https://twitter.com/SaraCCrotts","@SaraCCrotts")</f>
        <v>@SaraCCrotts</v>
      </c>
      <c r="C3423" s="6" t="s">
        <v>10642</v>
      </c>
      <c r="D3423" s="7" t="s">
        <v>10643</v>
      </c>
      <c r="E3423" s="8" t="str">
        <f>HYPERLINK("http://instagram.com","Instagram")</f>
        <v>Instagram</v>
      </c>
      <c r="F3423" s="4">
        <v>41242.757256944446</v>
      </c>
      <c r="G3423" s="24" t="s">
        <v>13000</v>
      </c>
      <c r="H3423" s="35" t="s">
        <v>10644</v>
      </c>
      <c r="I3423" s="10"/>
    </row>
    <row r="3424" spans="1:9" s="31" customFormat="1" ht="105">
      <c r="A3424" s="12">
        <v>43570.35527777778</v>
      </c>
      <c r="B3424" s="13" t="str">
        <f>HYPERLINK("https://twitter.com/MaxCybersec","@MaxCybersec")</f>
        <v>@MaxCybersec</v>
      </c>
      <c r="C3424" s="14" t="s">
        <v>4207</v>
      </c>
      <c r="D3424" s="15" t="s">
        <v>4208</v>
      </c>
      <c r="E3424" s="16" t="str">
        <f>HYPERLINK("http://twitter.com","Twitter Web Client")</f>
        <v>Twitter Web Client</v>
      </c>
      <c r="F3424" s="12">
        <v>42368.337500000001</v>
      </c>
      <c r="G3424" s="24" t="s">
        <v>13000</v>
      </c>
      <c r="H3424" s="35" t="s">
        <v>4209</v>
      </c>
      <c r="I3424" s="18" t="s">
        <v>4210</v>
      </c>
    </row>
    <row r="3425" spans="1:9" s="31" customFormat="1" ht="105">
      <c r="A3425" s="4">
        <v>43560.444189814814</v>
      </c>
      <c r="B3425" s="5" t="str">
        <f>HYPERLINK("https://twitter.com/texastobeyond","@texastobeyond")</f>
        <v>@texastobeyond</v>
      </c>
      <c r="C3425" s="6" t="s">
        <v>11365</v>
      </c>
      <c r="D3425" s="7" t="s">
        <v>11366</v>
      </c>
      <c r="E3425" s="8" t="str">
        <f>HYPERLINK("http://twitter.com","Twitter Web Client")</f>
        <v>Twitter Web Client</v>
      </c>
      <c r="F3425" s="4">
        <v>42068.795775462961</v>
      </c>
      <c r="G3425" s="24" t="s">
        <v>13000</v>
      </c>
      <c r="H3425" s="35" t="s">
        <v>11367</v>
      </c>
      <c r="I3425" s="10" t="s">
        <v>11368</v>
      </c>
    </row>
    <row r="3426" spans="1:9" s="31" customFormat="1" ht="75">
      <c r="A3426" s="12">
        <v>43575.287407407406</v>
      </c>
      <c r="B3426" s="13" t="str">
        <f>HYPERLINK("https://twitter.com/EricEricinsures","@EricEricinsures")</f>
        <v>@EricEricinsures</v>
      </c>
      <c r="C3426" s="14" t="s">
        <v>2309</v>
      </c>
      <c r="D3426" s="15" t="s">
        <v>2310</v>
      </c>
      <c r="E3426" s="16" t="str">
        <f>HYPERLINK("http://www.linkedin.com/","LinkedIn")</f>
        <v>LinkedIn</v>
      </c>
      <c r="F3426" s="12">
        <v>41427.660821759258</v>
      </c>
      <c r="G3426" s="24" t="s">
        <v>13000</v>
      </c>
      <c r="H3426" s="35" t="s">
        <v>2311</v>
      </c>
      <c r="I3426" s="18" t="s">
        <v>2312</v>
      </c>
    </row>
    <row r="3427" spans="1:9" s="31" customFormat="1" ht="30">
      <c r="A3427" s="12">
        <v>43566.500532407408</v>
      </c>
      <c r="B3427" s="13" t="str">
        <f>HYPERLINK("https://twitter.com/CountryHomeAmy","@CountryHomeAmy")</f>
        <v>@CountryHomeAmy</v>
      </c>
      <c r="C3427" s="14" t="s">
        <v>5475</v>
      </c>
      <c r="D3427" s="15" t="s">
        <v>5476</v>
      </c>
      <c r="E3427" s="16" t="str">
        <f>HYPERLINK("http://gainapp.com","Gain App")</f>
        <v>Gain App</v>
      </c>
      <c r="F3427" s="12">
        <v>41448.774247685185</v>
      </c>
      <c r="G3427" s="24" t="s">
        <v>13000</v>
      </c>
      <c r="H3427" s="35" t="s">
        <v>5477</v>
      </c>
      <c r="I3427" s="18" t="s">
        <v>5478</v>
      </c>
    </row>
    <row r="3428" spans="1:9" s="31" customFormat="1" ht="60">
      <c r="A3428" s="12">
        <v>43570.41805555555</v>
      </c>
      <c r="B3428" s="13" t="str">
        <f>HYPERLINK("https://twitter.com/SWfullerton","@SWfullerton")</f>
        <v>@SWfullerton</v>
      </c>
      <c r="C3428" s="14" t="s">
        <v>2849</v>
      </c>
      <c r="D3428" s="15" t="s">
        <v>4167</v>
      </c>
      <c r="E3428" s="16" t="str">
        <f>HYPERLINK("https://about.twitter.com/products/tweetdeck","TweetDeck")</f>
        <v>TweetDeck</v>
      </c>
      <c r="F3428" s="12">
        <v>40042.708391203705</v>
      </c>
      <c r="G3428" s="17" t="s">
        <v>13000</v>
      </c>
      <c r="H3428" s="35" t="s">
        <v>4168</v>
      </c>
      <c r="I3428" s="18" t="s">
        <v>4169</v>
      </c>
    </row>
    <row r="3429" spans="1:9" s="31" customFormat="1" ht="45">
      <c r="A3429" s="19">
        <v>43546.967175925922</v>
      </c>
      <c r="B3429" s="20" t="str">
        <f>HYPERLINK("https://twitter.com/otdrewrich","@otdrewrich")</f>
        <v>@otdrewrich</v>
      </c>
      <c r="C3429" s="21" t="s">
        <v>8691</v>
      </c>
      <c r="D3429" s="22" t="s">
        <v>8692</v>
      </c>
      <c r="E3429" s="23" t="str">
        <f t="shared" ref="E3429:E3439" si="138">HYPERLINK("http://twitter.com/download/iphone","Twitter for iPhone")</f>
        <v>Twitter for iPhone</v>
      </c>
      <c r="F3429" s="19">
        <v>43445.879930555559</v>
      </c>
      <c r="G3429" s="17" t="s">
        <v>13000</v>
      </c>
      <c r="H3429" s="35" t="s">
        <v>8693</v>
      </c>
      <c r="I3429" s="25" t="s">
        <v>8694</v>
      </c>
    </row>
    <row r="3430" spans="1:9" s="31" customFormat="1" ht="105">
      <c r="A3430" s="19">
        <v>43549.450543981482</v>
      </c>
      <c r="B3430" s="20" t="str">
        <f t="shared" ref="B3430:B3438" si="139">HYPERLINK("https://twitter.com/KbcVacation","@KbcVacation")</f>
        <v>@KbcVacation</v>
      </c>
      <c r="C3430" s="21" t="s">
        <v>8027</v>
      </c>
      <c r="D3430" s="22" t="s">
        <v>8028</v>
      </c>
      <c r="E3430" s="23" t="str">
        <f t="shared" si="138"/>
        <v>Twitter for iPhone</v>
      </c>
      <c r="F3430" s="19">
        <v>43493.629791666666</v>
      </c>
      <c r="G3430" s="24" t="s">
        <v>13000</v>
      </c>
      <c r="H3430" s="35" t="s">
        <v>8029</v>
      </c>
      <c r="I3430" s="25" t="s">
        <v>8030</v>
      </c>
    </row>
    <row r="3431" spans="1:9" s="31" customFormat="1" ht="90">
      <c r="A3431" s="19">
        <v>43546.434027777781</v>
      </c>
      <c r="B3431" s="20" t="str">
        <f t="shared" si="139"/>
        <v>@KbcVacation</v>
      </c>
      <c r="C3431" s="21" t="s">
        <v>8027</v>
      </c>
      <c r="D3431" s="22" t="s">
        <v>8848</v>
      </c>
      <c r="E3431" s="23" t="str">
        <f t="shared" si="138"/>
        <v>Twitter for iPhone</v>
      </c>
      <c r="F3431" s="19">
        <v>43493.629791666666</v>
      </c>
      <c r="G3431" s="24" t="s">
        <v>13000</v>
      </c>
      <c r="H3431" s="35" t="s">
        <v>8029</v>
      </c>
      <c r="I3431" s="25" t="s">
        <v>8030</v>
      </c>
    </row>
    <row r="3432" spans="1:9" s="31" customFormat="1" ht="90">
      <c r="A3432" s="19">
        <v>43544.450439814813</v>
      </c>
      <c r="B3432" s="20" t="str">
        <f t="shared" si="139"/>
        <v>@KbcVacation</v>
      </c>
      <c r="C3432" s="21" t="s">
        <v>8027</v>
      </c>
      <c r="D3432" s="22" t="s">
        <v>9460</v>
      </c>
      <c r="E3432" s="23" t="str">
        <f t="shared" si="138"/>
        <v>Twitter for iPhone</v>
      </c>
      <c r="F3432" s="19">
        <v>43493.629791666666</v>
      </c>
      <c r="G3432" s="24" t="s">
        <v>13000</v>
      </c>
      <c r="H3432" s="35" t="s">
        <v>8029</v>
      </c>
      <c r="I3432" s="25" t="s">
        <v>8030</v>
      </c>
    </row>
    <row r="3433" spans="1:9" s="31" customFormat="1" ht="75">
      <c r="A3433" s="19">
        <v>43544.397326388891</v>
      </c>
      <c r="B3433" s="20" t="str">
        <f t="shared" si="139"/>
        <v>@KbcVacation</v>
      </c>
      <c r="C3433" s="21" t="s">
        <v>8027</v>
      </c>
      <c r="D3433" s="22" t="s">
        <v>9488</v>
      </c>
      <c r="E3433" s="23" t="str">
        <f t="shared" si="138"/>
        <v>Twitter for iPhone</v>
      </c>
      <c r="F3433" s="19">
        <v>43493.629791666666</v>
      </c>
      <c r="G3433" s="24" t="s">
        <v>13000</v>
      </c>
      <c r="H3433" s="35" t="s">
        <v>8029</v>
      </c>
      <c r="I3433" s="25" t="s">
        <v>8030</v>
      </c>
    </row>
    <row r="3434" spans="1:9" s="31" customFormat="1" ht="45">
      <c r="A3434" s="19">
        <v>43544.33766203704</v>
      </c>
      <c r="B3434" s="20" t="str">
        <f t="shared" si="139"/>
        <v>@KbcVacation</v>
      </c>
      <c r="C3434" s="21" t="s">
        <v>8027</v>
      </c>
      <c r="D3434" s="22" t="s">
        <v>9516</v>
      </c>
      <c r="E3434" s="23" t="str">
        <f t="shared" si="138"/>
        <v>Twitter for iPhone</v>
      </c>
      <c r="F3434" s="19">
        <v>43493.629791666666</v>
      </c>
      <c r="G3434" s="24" t="s">
        <v>13000</v>
      </c>
      <c r="H3434" s="35" t="s">
        <v>8029</v>
      </c>
      <c r="I3434" s="25" t="s">
        <v>8030</v>
      </c>
    </row>
    <row r="3435" spans="1:9" s="31" customFormat="1" ht="60">
      <c r="A3435" s="19">
        <v>43544.291261574079</v>
      </c>
      <c r="B3435" s="20" t="str">
        <f t="shared" si="139"/>
        <v>@KbcVacation</v>
      </c>
      <c r="C3435" s="21" t="s">
        <v>8027</v>
      </c>
      <c r="D3435" s="22" t="s">
        <v>9551</v>
      </c>
      <c r="E3435" s="23" t="str">
        <f t="shared" si="138"/>
        <v>Twitter for iPhone</v>
      </c>
      <c r="F3435" s="19">
        <v>43493.629791666666</v>
      </c>
      <c r="G3435" s="24" t="s">
        <v>13000</v>
      </c>
      <c r="H3435" s="35" t="s">
        <v>8029</v>
      </c>
      <c r="I3435" s="25" t="s">
        <v>8030</v>
      </c>
    </row>
    <row r="3436" spans="1:9" s="31" customFormat="1" ht="45">
      <c r="A3436" s="19">
        <v>43543.587083333332</v>
      </c>
      <c r="B3436" s="20" t="str">
        <f t="shared" si="139"/>
        <v>@KbcVacation</v>
      </c>
      <c r="C3436" s="21" t="s">
        <v>8027</v>
      </c>
      <c r="D3436" s="22" t="s">
        <v>9748</v>
      </c>
      <c r="E3436" s="23" t="str">
        <f t="shared" si="138"/>
        <v>Twitter for iPhone</v>
      </c>
      <c r="F3436" s="19">
        <v>43493.629791666666</v>
      </c>
      <c r="G3436" s="24" t="s">
        <v>13000</v>
      </c>
      <c r="H3436" s="35" t="s">
        <v>8029</v>
      </c>
      <c r="I3436" s="25" t="s">
        <v>8030</v>
      </c>
    </row>
    <row r="3437" spans="1:9" s="31" customFormat="1" ht="90">
      <c r="A3437" s="19">
        <v>43543.446979166663</v>
      </c>
      <c r="B3437" s="20" t="str">
        <f t="shared" si="139"/>
        <v>@KbcVacation</v>
      </c>
      <c r="C3437" s="21" t="s">
        <v>8027</v>
      </c>
      <c r="D3437" s="22" t="s">
        <v>9792</v>
      </c>
      <c r="E3437" s="23" t="str">
        <f t="shared" si="138"/>
        <v>Twitter for iPhone</v>
      </c>
      <c r="F3437" s="19">
        <v>43493.629791666666</v>
      </c>
      <c r="G3437" s="24" t="s">
        <v>13000</v>
      </c>
      <c r="H3437" s="35" t="s">
        <v>8029</v>
      </c>
      <c r="I3437" s="25" t="s">
        <v>8030</v>
      </c>
    </row>
    <row r="3438" spans="1:9" s="31" customFormat="1" ht="90">
      <c r="A3438" s="19">
        <v>43543.389606481476</v>
      </c>
      <c r="B3438" s="20" t="str">
        <f t="shared" si="139"/>
        <v>@KbcVacation</v>
      </c>
      <c r="C3438" s="21" t="s">
        <v>8027</v>
      </c>
      <c r="D3438" s="22" t="s">
        <v>9832</v>
      </c>
      <c r="E3438" s="23" t="str">
        <f t="shared" si="138"/>
        <v>Twitter for iPhone</v>
      </c>
      <c r="F3438" s="19">
        <v>43493.629791666666</v>
      </c>
      <c r="G3438" s="24" t="s">
        <v>13000</v>
      </c>
      <c r="H3438" s="35" t="s">
        <v>8029</v>
      </c>
      <c r="I3438" s="25" t="s">
        <v>8030</v>
      </c>
    </row>
    <row r="3439" spans="1:9" s="31" customFormat="1" ht="60">
      <c r="A3439" s="12">
        <v>43566.781701388885</v>
      </c>
      <c r="B3439" s="13" t="str">
        <f>HYPERLINK("https://twitter.com/BearTracts","@BearTracts")</f>
        <v>@BearTracts</v>
      </c>
      <c r="C3439" s="14" t="s">
        <v>5341</v>
      </c>
      <c r="D3439" s="15" t="s">
        <v>5342</v>
      </c>
      <c r="E3439" s="16" t="str">
        <f t="shared" si="138"/>
        <v>Twitter for iPhone</v>
      </c>
      <c r="F3439" s="12">
        <v>43478.322430555556</v>
      </c>
      <c r="G3439" s="17" t="s">
        <v>13000</v>
      </c>
      <c r="H3439" s="35" t="s">
        <v>5343</v>
      </c>
      <c r="I3439" s="18" t="s">
        <v>5344</v>
      </c>
    </row>
    <row r="3440" spans="1:9" s="31" customFormat="1" ht="60">
      <c r="A3440" s="12">
        <v>43579.336805555555</v>
      </c>
      <c r="B3440" s="13" t="str">
        <f>HYPERLINK("https://twitter.com/Hajh","@Hajh")</f>
        <v>@Hajh</v>
      </c>
      <c r="C3440" s="14" t="s">
        <v>756</v>
      </c>
      <c r="D3440" s="15" t="s">
        <v>757</v>
      </c>
      <c r="E3440" s="16" t="str">
        <f>HYPERLINK("http://www.facebook.com/twitter","Facebook")</f>
        <v>Facebook</v>
      </c>
      <c r="F3440" s="12">
        <v>39901.533506944441</v>
      </c>
      <c r="G3440" s="17" t="s">
        <v>13000</v>
      </c>
      <c r="H3440" s="35" t="s">
        <v>758</v>
      </c>
      <c r="I3440" s="18" t="s">
        <v>759</v>
      </c>
    </row>
    <row r="3441" spans="1:9" s="31" customFormat="1" ht="75">
      <c r="A3441" s="12">
        <v>43572.335289351853</v>
      </c>
      <c r="B3441" s="13" t="str">
        <f>HYPERLINK("https://twitter.com/Hajh","@Hajh")</f>
        <v>@Hajh</v>
      </c>
      <c r="C3441" s="14" t="s">
        <v>756</v>
      </c>
      <c r="D3441" s="15" t="s">
        <v>3323</v>
      </c>
      <c r="E3441" s="16" t="str">
        <f>HYPERLINK("http://www.facebook.com/twitter","Facebook")</f>
        <v>Facebook</v>
      </c>
      <c r="F3441" s="12">
        <v>39901.533506944441</v>
      </c>
      <c r="G3441" s="17" t="s">
        <v>13000</v>
      </c>
      <c r="H3441" s="35" t="s">
        <v>758</v>
      </c>
      <c r="I3441" s="18" t="s">
        <v>759</v>
      </c>
    </row>
    <row r="3442" spans="1:9" s="31" customFormat="1" ht="30">
      <c r="A3442" s="12">
        <v>43570.139120370368</v>
      </c>
      <c r="B3442" s="13" t="str">
        <f>HYPERLINK("https://twitter.com/LeliBlago","@LeliBlago")</f>
        <v>@LeliBlago</v>
      </c>
      <c r="C3442" s="14" t="s">
        <v>4321</v>
      </c>
      <c r="D3442" s="15" t="s">
        <v>4322</v>
      </c>
      <c r="E3442" s="16" t="str">
        <f>HYPERLINK("http://twitter.com/download/iphone","Twitter for iPhone")</f>
        <v>Twitter for iPhone</v>
      </c>
      <c r="F3442" s="12">
        <v>41347.001805555556</v>
      </c>
      <c r="G3442" s="17" t="s">
        <v>13000</v>
      </c>
      <c r="H3442" s="35" t="s">
        <v>4323</v>
      </c>
      <c r="I3442" s="18" t="s">
        <v>4324</v>
      </c>
    </row>
    <row r="3443" spans="1:9" s="31" customFormat="1" ht="75">
      <c r="A3443" s="19">
        <v>43544.458958333329</v>
      </c>
      <c r="B3443" s="20" t="str">
        <f>HYPERLINK("https://twitter.com/RentalUnited","@RentalUnited")</f>
        <v>@RentalUnited</v>
      </c>
      <c r="C3443" s="21" t="s">
        <v>9456</v>
      </c>
      <c r="D3443" s="22" t="s">
        <v>9457</v>
      </c>
      <c r="E3443" s="23" t="str">
        <f>HYPERLINK("https://www.later.com","LaterMedia")</f>
        <v>LaterMedia</v>
      </c>
      <c r="F3443" s="19">
        <v>43375.572465277779</v>
      </c>
      <c r="G3443" s="17" t="s">
        <v>13000</v>
      </c>
      <c r="H3443" s="35" t="s">
        <v>2753</v>
      </c>
      <c r="I3443" s="25" t="s">
        <v>9458</v>
      </c>
    </row>
    <row r="3444" spans="1:9" s="31" customFormat="1" ht="105">
      <c r="A3444" s="12">
        <v>43573.749583333338</v>
      </c>
      <c r="B3444" s="13" t="str">
        <f>HYPERLINK("https://twitter.com/me_frugal","@me_frugal")</f>
        <v>@me_frugal</v>
      </c>
      <c r="C3444" s="14" t="s">
        <v>2751</v>
      </c>
      <c r="D3444" s="15" t="s">
        <v>2752</v>
      </c>
      <c r="E3444" s="16" t="str">
        <f>HYPERLINK("http://twitter.com","Twitter Web Client")</f>
        <v>Twitter Web Client</v>
      </c>
      <c r="F3444" s="12">
        <v>43485.526701388888</v>
      </c>
      <c r="G3444" s="17" t="s">
        <v>13000</v>
      </c>
      <c r="H3444" s="35" t="s">
        <v>2753</v>
      </c>
      <c r="I3444" s="18" t="s">
        <v>2754</v>
      </c>
    </row>
    <row r="3445" spans="1:9" s="31" customFormat="1" ht="60">
      <c r="A3445" s="12">
        <v>43573.672222222223</v>
      </c>
      <c r="B3445" s="13" t="str">
        <f>HYPERLINK("https://twitter.com/TaxSlayer","@TaxSlayer")</f>
        <v>@TaxSlayer</v>
      </c>
      <c r="C3445" s="14" t="s">
        <v>2771</v>
      </c>
      <c r="D3445" s="15" t="s">
        <v>2772</v>
      </c>
      <c r="E3445" s="16" t="str">
        <f>HYPERLINK("https://sproutsocial.com","Sprout Social")</f>
        <v>Sprout Social</v>
      </c>
      <c r="F3445" s="12">
        <v>39995.329594907409</v>
      </c>
      <c r="G3445" s="17" t="s">
        <v>13000</v>
      </c>
      <c r="H3445" s="35" t="s">
        <v>2753</v>
      </c>
      <c r="I3445" s="18" t="s">
        <v>2773</v>
      </c>
    </row>
    <row r="3446" spans="1:9" s="31" customFormat="1" ht="45">
      <c r="A3446" s="12">
        <v>43576.618506944447</v>
      </c>
      <c r="B3446" s="13" t="str">
        <f>HYPERLINK("https://twitter.com/MaggieSellsCT","@MaggieSellsCT")</f>
        <v>@MaggieSellsCT</v>
      </c>
      <c r="C3446" s="14" t="s">
        <v>1889</v>
      </c>
      <c r="D3446" s="15" t="s">
        <v>1890</v>
      </c>
      <c r="E3446" s="16" t="str">
        <f>HYPERLINK("https://www.circlepix.com/","Circlepix")</f>
        <v>Circlepix</v>
      </c>
      <c r="F3446" s="12">
        <v>43283.766215277778</v>
      </c>
      <c r="G3446" s="17" t="s">
        <v>13000</v>
      </c>
      <c r="H3446" s="35" t="s">
        <v>1891</v>
      </c>
      <c r="I3446" s="18"/>
    </row>
    <row r="3447" spans="1:9" s="31" customFormat="1" ht="60">
      <c r="A3447" s="12">
        <v>43579.458078703705</v>
      </c>
      <c r="B3447" s="13" t="str">
        <f>HYPERLINK("https://twitter.com/RealtorSanam","@RealtorSanam")</f>
        <v>@RealtorSanam</v>
      </c>
      <c r="C3447" s="14" t="s">
        <v>650</v>
      </c>
      <c r="D3447" s="15" t="s">
        <v>594</v>
      </c>
      <c r="E3447" s="16" t="str">
        <f>HYPERLINK("http://twitter.com","Twitter Web Client")</f>
        <v>Twitter Web Client</v>
      </c>
      <c r="F3447" s="12">
        <v>40288.386064814811</v>
      </c>
      <c r="G3447" s="17" t="s">
        <v>13000</v>
      </c>
      <c r="H3447" s="35" t="s">
        <v>651</v>
      </c>
      <c r="I3447" s="18" t="s">
        <v>652</v>
      </c>
    </row>
    <row r="3448" spans="1:9" s="31" customFormat="1" ht="75">
      <c r="A3448" s="19">
        <v>43551.687685185185</v>
      </c>
      <c r="B3448" s="20" t="str">
        <f>HYPERLINK("https://twitter.com/MaryAnnPack","@MaryAnnPack")</f>
        <v>@MaryAnnPack</v>
      </c>
      <c r="C3448" s="21" t="s">
        <v>7047</v>
      </c>
      <c r="D3448" s="22" t="s">
        <v>7048</v>
      </c>
      <c r="E3448" s="23" t="str">
        <f>HYPERLINK("http://instagram.com","Instagram")</f>
        <v>Instagram</v>
      </c>
      <c r="F3448" s="19">
        <v>39826.377442129626</v>
      </c>
      <c r="G3448" s="24" t="s">
        <v>13000</v>
      </c>
      <c r="H3448" s="35" t="s">
        <v>7049</v>
      </c>
      <c r="I3448" s="25" t="s">
        <v>7050</v>
      </c>
    </row>
    <row r="3449" spans="1:9" s="31" customFormat="1" ht="90">
      <c r="A3449" s="4">
        <v>43559.458449074074</v>
      </c>
      <c r="B3449" s="5" t="str">
        <f>HYPERLINK("https://twitter.com/GuildGranburyTX","@GuildGranburyTX")</f>
        <v>@GuildGranburyTX</v>
      </c>
      <c r="C3449" s="6" t="s">
        <v>11809</v>
      </c>
      <c r="D3449" s="7" t="s">
        <v>11810</v>
      </c>
      <c r="E3449" s="8" t="str">
        <f>HYPERLINK("https://twittimer.com","Twittimer")</f>
        <v>Twittimer</v>
      </c>
      <c r="F3449" s="4">
        <v>42934.558425925927</v>
      </c>
      <c r="G3449" s="9" t="s">
        <v>13000</v>
      </c>
      <c r="H3449" s="35" t="s">
        <v>11811</v>
      </c>
      <c r="I3449" s="10" t="s">
        <v>11812</v>
      </c>
    </row>
    <row r="3450" spans="1:9" s="31" customFormat="1" ht="45">
      <c r="A3450" s="12">
        <v>43566.37091435185</v>
      </c>
      <c r="B3450" s="13" t="str">
        <f>HYPERLINK("https://twitter.com/SelbuSkiChalet","@SelbuSkiChalet")</f>
        <v>@SelbuSkiChalet</v>
      </c>
      <c r="C3450" s="14" t="s">
        <v>5601</v>
      </c>
      <c r="D3450" s="15" t="s">
        <v>5602</v>
      </c>
      <c r="E3450" s="16" t="str">
        <f>HYPERLINK("http://twitter.com/download/iphone","Twitter for iPhone")</f>
        <v>Twitter for iPhone</v>
      </c>
      <c r="F3450" s="12">
        <v>42841.374201388884</v>
      </c>
      <c r="G3450" s="17" t="s">
        <v>13000</v>
      </c>
      <c r="H3450" s="35" t="s">
        <v>5603</v>
      </c>
      <c r="I3450" s="18" t="s">
        <v>5604</v>
      </c>
    </row>
    <row r="3451" spans="1:9" s="31" customFormat="1" ht="15">
      <c r="A3451" s="12">
        <v>43566.260057870371</v>
      </c>
      <c r="B3451" s="13" t="str">
        <f>HYPERLINK("https://twitter.com/spike_marie","@spike_marie")</f>
        <v>@spike_marie</v>
      </c>
      <c r="C3451" s="14" t="s">
        <v>5705</v>
      </c>
      <c r="D3451" s="15" t="s">
        <v>5706</v>
      </c>
      <c r="E3451" s="16" t="str">
        <f>HYPERLINK("http://twitter.com","Twitter Web Client")</f>
        <v>Twitter Web Client</v>
      </c>
      <c r="F3451" s="12">
        <v>42086.3674537037</v>
      </c>
      <c r="G3451" s="17" t="s">
        <v>13000</v>
      </c>
      <c r="H3451" s="35" t="s">
        <v>5707</v>
      </c>
      <c r="I3451" s="18" t="s">
        <v>5708</v>
      </c>
    </row>
    <row r="3452" spans="1:9" s="31" customFormat="1" ht="105">
      <c r="A3452" s="19">
        <v>43548.234039351853</v>
      </c>
      <c r="B3452" s="20" t="str">
        <f>HYPERLINK("https://twitter.com/MoiraB12","@MoiraB12")</f>
        <v>@MoiraB12</v>
      </c>
      <c r="C3452" s="21" t="s">
        <v>8381</v>
      </c>
      <c r="D3452" s="22" t="s">
        <v>8382</v>
      </c>
      <c r="E3452" s="23" t="str">
        <f>HYPERLINK("http://twitter.com/download/iphone","Twitter for iPhone")</f>
        <v>Twitter for iPhone</v>
      </c>
      <c r="F3452" s="19">
        <v>41439.773819444446</v>
      </c>
      <c r="G3452" s="24" t="s">
        <v>13000</v>
      </c>
      <c r="H3452" s="35" t="s">
        <v>8383</v>
      </c>
      <c r="I3452" s="25" t="s">
        <v>8384</v>
      </c>
    </row>
    <row r="3453" spans="1:9" s="31" customFormat="1" ht="75">
      <c r="A3453" s="19">
        <v>43551.500300925924</v>
      </c>
      <c r="B3453" s="20" t="str">
        <f>HYPERLINK("https://twitter.com/GP_Oregon","@GP_Oregon")</f>
        <v>@GP_Oregon</v>
      </c>
      <c r="C3453" s="21" t="s">
        <v>7153</v>
      </c>
      <c r="D3453" s="22" t="s">
        <v>7154</v>
      </c>
      <c r="E3453" s="23" t="str">
        <f>HYPERLINK("https://buffer.com","Buffer")</f>
        <v>Buffer</v>
      </c>
      <c r="F3453" s="19">
        <v>42200.581608796296</v>
      </c>
      <c r="G3453" s="24" t="s">
        <v>13000</v>
      </c>
      <c r="H3453" s="35" t="s">
        <v>7155</v>
      </c>
      <c r="I3453" s="25" t="s">
        <v>7156</v>
      </c>
    </row>
    <row r="3454" spans="1:9" s="31" customFormat="1" ht="75">
      <c r="A3454" s="12">
        <v>43579.298611111109</v>
      </c>
      <c r="B3454" s="13" t="str">
        <f>HYPERLINK("https://twitter.com/aier","@aier")</f>
        <v>@aier</v>
      </c>
      <c r="C3454" s="14" t="s">
        <v>791</v>
      </c>
      <c r="D3454" s="15" t="s">
        <v>792</v>
      </c>
      <c r="E3454" s="16" t="str">
        <f>HYPERLINK("https://about.twitter.com/products/tweetdeck","TweetDeck")</f>
        <v>TweetDeck</v>
      </c>
      <c r="F3454" s="12">
        <v>39938.447233796294</v>
      </c>
      <c r="G3454" s="24" t="s">
        <v>13000</v>
      </c>
      <c r="H3454" s="35" t="s">
        <v>793</v>
      </c>
      <c r="I3454" s="18" t="s">
        <v>794</v>
      </c>
    </row>
    <row r="3455" spans="1:9" s="31" customFormat="1" ht="75">
      <c r="A3455" s="12">
        <v>43577.397893518515</v>
      </c>
      <c r="B3455" s="13" t="str">
        <f>HYPERLINK("https://twitter.com/aier","@aier")</f>
        <v>@aier</v>
      </c>
      <c r="C3455" s="14" t="s">
        <v>791</v>
      </c>
      <c r="D3455" s="15" t="s">
        <v>792</v>
      </c>
      <c r="E3455" s="16" t="str">
        <f>HYPERLINK("https://about.twitter.com/products/tweetdeck","TweetDeck")</f>
        <v>TweetDeck</v>
      </c>
      <c r="F3455" s="12">
        <v>39938.447233796294</v>
      </c>
      <c r="G3455" s="24" t="s">
        <v>13000</v>
      </c>
      <c r="H3455" s="35" t="s">
        <v>793</v>
      </c>
      <c r="I3455" s="18" t="s">
        <v>794</v>
      </c>
    </row>
    <row r="3456" spans="1:9" s="31" customFormat="1" ht="30">
      <c r="A3456" s="12">
        <v>43578.351458333331</v>
      </c>
      <c r="B3456" s="13" t="str">
        <f>HYPERLINK("https://twitter.com/GoVanguard","@GoVanguard")</f>
        <v>@GoVanguard</v>
      </c>
      <c r="C3456" s="14" t="s">
        <v>1273</v>
      </c>
      <c r="D3456" s="15" t="s">
        <v>1274</v>
      </c>
      <c r="E3456" s="16" t="str">
        <f>HYPERLINK("http://twitter.com","Dashboard.")</f>
        <v>Dashboard.</v>
      </c>
      <c r="F3456" s="12">
        <v>41491.519166666665</v>
      </c>
      <c r="G3456" s="17" t="s">
        <v>13000</v>
      </c>
      <c r="H3456" s="35" t="s">
        <v>1275</v>
      </c>
      <c r="I3456" s="18" t="s">
        <v>1276</v>
      </c>
    </row>
    <row r="3457" spans="1:9" s="31" customFormat="1" ht="105">
      <c r="A3457" s="4">
        <v>43557.305266203708</v>
      </c>
      <c r="B3457" s="5" t="str">
        <f>HYPERLINK("https://twitter.com/BethTraverso","@BethTraverso")</f>
        <v>@BethTraverso</v>
      </c>
      <c r="C3457" s="6" t="s">
        <v>12567</v>
      </c>
      <c r="D3457" s="7" t="s">
        <v>12568</v>
      </c>
      <c r="E3457" s="8" t="str">
        <f>HYPERLINK("http://www.facebook.com/twitter","Facebook")</f>
        <v>Facebook</v>
      </c>
      <c r="F3457" s="4">
        <v>41387.964513888888</v>
      </c>
      <c r="G3457" s="17" t="s">
        <v>13000</v>
      </c>
      <c r="H3457" s="35" t="s">
        <v>12569</v>
      </c>
      <c r="I3457" s="10" t="s">
        <v>12570</v>
      </c>
    </row>
    <row r="3458" spans="1:9" s="31" customFormat="1" ht="75">
      <c r="A3458" s="4">
        <v>43563.778310185182</v>
      </c>
      <c r="B3458" s="5" t="str">
        <f>HYPERLINK("https://twitter.com/BrokerWithSoul","@BrokerWithSoul")</f>
        <v>@BrokerWithSoul</v>
      </c>
      <c r="C3458" s="6" t="s">
        <v>6879</v>
      </c>
      <c r="D3458" s="7" t="s">
        <v>6880</v>
      </c>
      <c r="E3458" s="8" t="str">
        <f>HYPERLINK("http://instagram.com","Instagram")</f>
        <v>Instagram</v>
      </c>
      <c r="F3458" s="4">
        <v>41969.603912037041</v>
      </c>
      <c r="G3458" s="17" t="s">
        <v>13000</v>
      </c>
      <c r="H3458" s="35" t="s">
        <v>6881</v>
      </c>
      <c r="I3458" s="10" t="s">
        <v>6882</v>
      </c>
    </row>
    <row r="3459" spans="1:9" s="31" customFormat="1" ht="90">
      <c r="A3459" s="12">
        <v>43573.15215277778</v>
      </c>
      <c r="B3459" s="13" t="str">
        <f>HYPERLINK("https://twitter.com/DotWeekly","@DotWeekly")</f>
        <v>@DotWeekly</v>
      </c>
      <c r="C3459" s="14" t="s">
        <v>2991</v>
      </c>
      <c r="D3459" s="15" t="s">
        <v>2992</v>
      </c>
      <c r="E3459" s="16" t="str">
        <f>HYPERLINK("http://twitter.com","Twitter Web Client")</f>
        <v>Twitter Web Client</v>
      </c>
      <c r="F3459" s="12">
        <v>39645.565347222218</v>
      </c>
      <c r="G3459" s="17" t="s">
        <v>13000</v>
      </c>
      <c r="H3459" s="35" t="s">
        <v>2993</v>
      </c>
      <c r="I3459" s="18" t="s">
        <v>2994</v>
      </c>
    </row>
    <row r="3460" spans="1:9" s="31" customFormat="1" ht="105">
      <c r="A3460" s="19">
        <v>43547.04488425926</v>
      </c>
      <c r="B3460" s="20" t="str">
        <f>HYPERLINK("https://twitter.com/ERODJEDI","@ERODJEDI")</f>
        <v>@ERODJEDI</v>
      </c>
      <c r="C3460" s="21" t="s">
        <v>8664</v>
      </c>
      <c r="D3460" s="22" t="s">
        <v>8665</v>
      </c>
      <c r="E3460" s="23" t="str">
        <f>HYPERLINK("http://twitter.com","Twitter Web Client")</f>
        <v>Twitter Web Client</v>
      </c>
      <c r="F3460" s="19">
        <v>39890.981400462959</v>
      </c>
      <c r="G3460" s="24" t="s">
        <v>13000</v>
      </c>
      <c r="H3460" s="35" t="s">
        <v>8666</v>
      </c>
      <c r="I3460" s="25" t="s">
        <v>8667</v>
      </c>
    </row>
    <row r="3461" spans="1:9" s="31" customFormat="1" ht="105">
      <c r="A3461" s="19">
        <v>43546.971701388888</v>
      </c>
      <c r="B3461" s="20" t="str">
        <f>HYPERLINK("https://twitter.com/ERODJEDI","@ERODJEDI")</f>
        <v>@ERODJEDI</v>
      </c>
      <c r="C3461" s="21" t="s">
        <v>8664</v>
      </c>
      <c r="D3461" s="22" t="s">
        <v>8690</v>
      </c>
      <c r="E3461" s="23" t="str">
        <f>HYPERLINK("http://twitter.com","Twitter Web Client")</f>
        <v>Twitter Web Client</v>
      </c>
      <c r="F3461" s="19">
        <v>39890.981400462959</v>
      </c>
      <c r="G3461" s="24" t="s">
        <v>13000</v>
      </c>
      <c r="H3461" s="35" t="s">
        <v>8666</v>
      </c>
      <c r="I3461" s="25" t="s">
        <v>8667</v>
      </c>
    </row>
    <row r="3462" spans="1:9" s="31" customFormat="1" ht="60">
      <c r="A3462" s="19">
        <v>43542.685856481483</v>
      </c>
      <c r="B3462" s="20" t="str">
        <f>HYPERLINK("https://twitter.com/ERODJEDI","@ERODJEDI")</f>
        <v>@ERODJEDI</v>
      </c>
      <c r="C3462" s="21" t="s">
        <v>8664</v>
      </c>
      <c r="D3462" s="22" t="s">
        <v>10031</v>
      </c>
      <c r="E3462" s="23" t="str">
        <f>HYPERLINK("http://twitter.com/download/iphone","Twitter for iPhone")</f>
        <v>Twitter for iPhone</v>
      </c>
      <c r="F3462" s="19">
        <v>39890.981400462959</v>
      </c>
      <c r="G3462" s="24" t="s">
        <v>13000</v>
      </c>
      <c r="H3462" s="35" t="s">
        <v>8666</v>
      </c>
      <c r="I3462" s="25" t="s">
        <v>8667</v>
      </c>
    </row>
    <row r="3463" spans="1:9" s="31" customFormat="1" ht="120">
      <c r="A3463" s="4">
        <v>43559.128495370373</v>
      </c>
      <c r="B3463" s="5" t="str">
        <f>HYPERLINK("https://twitter.com/comfortconvn","@comfortconvn")</f>
        <v>@comfortconvn</v>
      </c>
      <c r="C3463" s="6" t="s">
        <v>4766</v>
      </c>
      <c r="D3463" s="7" t="s">
        <v>11937</v>
      </c>
      <c r="E3463" s="8" t="str">
        <f>HYPERLINK("http://twitter.com/download/iphone","Twitter for iPhone")</f>
        <v>Twitter for iPhone</v>
      </c>
      <c r="F3463" s="4">
        <v>43512.35800925926</v>
      </c>
      <c r="G3463" s="24" t="s">
        <v>13000</v>
      </c>
      <c r="H3463" s="35" t="s">
        <v>4768</v>
      </c>
      <c r="I3463" s="10" t="s">
        <v>4769</v>
      </c>
    </row>
    <row r="3464" spans="1:9" s="31" customFormat="1" ht="105">
      <c r="A3464" s="4">
        <v>43559.11818287037</v>
      </c>
      <c r="B3464" s="5" t="str">
        <f>HYPERLINK("https://twitter.com/comfortconvn","@comfortconvn")</f>
        <v>@comfortconvn</v>
      </c>
      <c r="C3464" s="6" t="s">
        <v>4766</v>
      </c>
      <c r="D3464" s="7" t="s">
        <v>11940</v>
      </c>
      <c r="E3464" s="8" t="str">
        <f>HYPERLINK("http://twitter.com/download/iphone","Twitter for iPhone")</f>
        <v>Twitter for iPhone</v>
      </c>
      <c r="F3464" s="4">
        <v>43512.35800925926</v>
      </c>
      <c r="G3464" s="24" t="s">
        <v>13000</v>
      </c>
      <c r="H3464" s="35" t="s">
        <v>4768</v>
      </c>
      <c r="I3464" s="10" t="s">
        <v>4769</v>
      </c>
    </row>
    <row r="3465" spans="1:9" s="31" customFormat="1" ht="45">
      <c r="A3465" s="12">
        <v>43568.444004629629</v>
      </c>
      <c r="B3465" s="13" t="str">
        <f>HYPERLINK("https://twitter.com/comfortconvn","@comfortconvn")</f>
        <v>@comfortconvn</v>
      </c>
      <c r="C3465" s="14" t="s">
        <v>4766</v>
      </c>
      <c r="D3465" s="15" t="s">
        <v>4767</v>
      </c>
      <c r="E3465" s="16" t="str">
        <f>HYPERLINK("http://twitter.com/download/iphone","Twitter for iPhone")</f>
        <v>Twitter for iPhone</v>
      </c>
      <c r="F3465" s="12">
        <v>43512.35800925926</v>
      </c>
      <c r="G3465" s="24" t="s">
        <v>13000</v>
      </c>
      <c r="H3465" s="35" t="s">
        <v>4768</v>
      </c>
      <c r="I3465" s="18" t="s">
        <v>4769</v>
      </c>
    </row>
    <row r="3466" spans="1:9" s="31" customFormat="1" ht="30">
      <c r="A3466" s="12">
        <v>43574.25163194444</v>
      </c>
      <c r="B3466" s="13" t="str">
        <f>HYPERLINK("https://twitter.com/WESCFM","@WESCFM")</f>
        <v>@WESCFM</v>
      </c>
      <c r="C3466" s="14" t="s">
        <v>2640</v>
      </c>
      <c r="D3466" s="15" t="s">
        <v>2641</v>
      </c>
      <c r="E3466" s="16" t="str">
        <f>HYPERLINK("http://www.socialflow.com","SocialFlow")</f>
        <v>SocialFlow</v>
      </c>
      <c r="F3466" s="12">
        <v>40778.385787037041</v>
      </c>
      <c r="G3466" s="24" t="s">
        <v>13000</v>
      </c>
      <c r="H3466" s="35" t="s">
        <v>2642</v>
      </c>
      <c r="I3466" s="18" t="s">
        <v>2643</v>
      </c>
    </row>
    <row r="3467" spans="1:9" s="31" customFormat="1" ht="45">
      <c r="A3467" s="4">
        <v>43561.483576388884</v>
      </c>
      <c r="B3467" s="5" t="str">
        <f>HYPERLINK("https://twitter.com/Mycho","@Mycho")</f>
        <v>@Mycho</v>
      </c>
      <c r="C3467" s="6" t="s">
        <v>10957</v>
      </c>
      <c r="D3467" s="7" t="s">
        <v>10958</v>
      </c>
      <c r="E3467" s="8" t="str">
        <f>HYPERLINK("http://twitter.com","Twitter Web Client")</f>
        <v>Twitter Web Client</v>
      </c>
      <c r="F3467" s="4">
        <v>39582.850520833337</v>
      </c>
      <c r="G3467" s="24" t="s">
        <v>13000</v>
      </c>
      <c r="H3467" s="35" t="s">
        <v>10959</v>
      </c>
      <c r="I3467" s="10" t="s">
        <v>10960</v>
      </c>
    </row>
    <row r="3468" spans="1:9" s="31" customFormat="1" ht="105">
      <c r="A3468" s="19">
        <v>43551.56454861111</v>
      </c>
      <c r="B3468" s="20" t="str">
        <f t="shared" ref="B3468:B3473" si="140">HYPERLINK("https://twitter.com/LNosara","@LNosara")</f>
        <v>@LNosara</v>
      </c>
      <c r="C3468" s="21" t="s">
        <v>2785</v>
      </c>
      <c r="D3468" s="22" t="s">
        <v>7121</v>
      </c>
      <c r="E3468" s="23" t="str">
        <f t="shared" ref="E3468:E3473" si="141">HYPERLINK("http://twitter.com/download/android","Twitter for Android")</f>
        <v>Twitter for Android</v>
      </c>
      <c r="F3468" s="19">
        <v>43499.376770833333</v>
      </c>
      <c r="G3468" s="24" t="s">
        <v>13000</v>
      </c>
      <c r="H3468" s="35" t="s">
        <v>2787</v>
      </c>
      <c r="I3468" s="25" t="s">
        <v>2788</v>
      </c>
    </row>
    <row r="3469" spans="1:9" s="31" customFormat="1" ht="105">
      <c r="A3469" s="19">
        <v>43546.482974537037</v>
      </c>
      <c r="B3469" s="20" t="str">
        <f t="shared" si="140"/>
        <v>@LNosara</v>
      </c>
      <c r="C3469" s="21" t="s">
        <v>2785</v>
      </c>
      <c r="D3469" s="22" t="s">
        <v>8831</v>
      </c>
      <c r="E3469" s="23" t="str">
        <f t="shared" si="141"/>
        <v>Twitter for Android</v>
      </c>
      <c r="F3469" s="19">
        <v>43499.376770833333</v>
      </c>
      <c r="G3469" s="24" t="s">
        <v>13000</v>
      </c>
      <c r="H3469" s="35" t="s">
        <v>2787</v>
      </c>
      <c r="I3469" s="25" t="s">
        <v>2788</v>
      </c>
    </row>
    <row r="3470" spans="1:9" s="31" customFormat="1" ht="105">
      <c r="A3470" s="19">
        <v>43544.442939814813</v>
      </c>
      <c r="B3470" s="20" t="str">
        <f t="shared" si="140"/>
        <v>@LNosara</v>
      </c>
      <c r="C3470" s="21" t="s">
        <v>2785</v>
      </c>
      <c r="D3470" s="22" t="s">
        <v>9462</v>
      </c>
      <c r="E3470" s="23" t="str">
        <f t="shared" si="141"/>
        <v>Twitter for Android</v>
      </c>
      <c r="F3470" s="19">
        <v>43499.376770833333</v>
      </c>
      <c r="G3470" s="24" t="s">
        <v>13000</v>
      </c>
      <c r="H3470" s="35" t="s">
        <v>2787</v>
      </c>
      <c r="I3470" s="25" t="s">
        <v>2788</v>
      </c>
    </row>
    <row r="3471" spans="1:9" s="31" customFormat="1" ht="105">
      <c r="A3471" s="4">
        <v>43565.661469907413</v>
      </c>
      <c r="B3471" s="5" t="str">
        <f t="shared" si="140"/>
        <v>@LNosara</v>
      </c>
      <c r="C3471" s="6" t="s">
        <v>2785</v>
      </c>
      <c r="D3471" s="7" t="s">
        <v>5960</v>
      </c>
      <c r="E3471" s="8" t="str">
        <f t="shared" si="141"/>
        <v>Twitter for Android</v>
      </c>
      <c r="F3471" s="4">
        <v>43499.376770833333</v>
      </c>
      <c r="G3471" s="24" t="s">
        <v>13000</v>
      </c>
      <c r="H3471" s="35" t="s">
        <v>2787</v>
      </c>
      <c r="I3471" s="10" t="s">
        <v>2788</v>
      </c>
    </row>
    <row r="3472" spans="1:9" s="31" customFormat="1" ht="105">
      <c r="A3472" s="12">
        <v>43573.663287037038</v>
      </c>
      <c r="B3472" s="13" t="str">
        <f t="shared" si="140"/>
        <v>@LNosara</v>
      </c>
      <c r="C3472" s="14" t="s">
        <v>2785</v>
      </c>
      <c r="D3472" s="15" t="s">
        <v>2786</v>
      </c>
      <c r="E3472" s="16" t="str">
        <f t="shared" si="141"/>
        <v>Twitter for Android</v>
      </c>
      <c r="F3472" s="12">
        <v>43499.376770833333</v>
      </c>
      <c r="G3472" s="24" t="s">
        <v>13000</v>
      </c>
      <c r="H3472" s="35" t="s">
        <v>2787</v>
      </c>
      <c r="I3472" s="18" t="s">
        <v>2788</v>
      </c>
    </row>
    <row r="3473" spans="1:9" s="31" customFormat="1" ht="105">
      <c r="A3473" s="12">
        <v>43571.49728009259</v>
      </c>
      <c r="B3473" s="13" t="str">
        <f t="shared" si="140"/>
        <v>@LNosara</v>
      </c>
      <c r="C3473" s="14" t="s">
        <v>2785</v>
      </c>
      <c r="D3473" s="15" t="s">
        <v>3660</v>
      </c>
      <c r="E3473" s="16" t="str">
        <f t="shared" si="141"/>
        <v>Twitter for Android</v>
      </c>
      <c r="F3473" s="12">
        <v>43499.376770833333</v>
      </c>
      <c r="G3473" s="24" t="s">
        <v>13000</v>
      </c>
      <c r="H3473" s="35" t="s">
        <v>2787</v>
      </c>
      <c r="I3473" s="18" t="s">
        <v>2788</v>
      </c>
    </row>
    <row r="3474" spans="1:9" s="31" customFormat="1" ht="120">
      <c r="A3474" s="12">
        <v>43568.436921296292</v>
      </c>
      <c r="B3474" s="13" t="str">
        <f>HYPERLINK("https://twitter.com/ALDANAJD","@ALDANAJD")</f>
        <v>@ALDANAJD</v>
      </c>
      <c r="C3474" s="14" t="s">
        <v>4770</v>
      </c>
      <c r="D3474" s="15" t="s">
        <v>4771</v>
      </c>
      <c r="E3474" s="16" t="str">
        <f>HYPERLINK("http://twitter.com/download/iphone","Twitter for iPhone")</f>
        <v>Twitter for iPhone</v>
      </c>
      <c r="F3474" s="12">
        <v>40827.654745370368</v>
      </c>
      <c r="G3474" s="17" t="s">
        <v>13000</v>
      </c>
      <c r="H3474" s="35" t="s">
        <v>4772</v>
      </c>
      <c r="I3474" s="18" t="s">
        <v>4773</v>
      </c>
    </row>
    <row r="3475" spans="1:9" s="31" customFormat="1" ht="60">
      <c r="A3475" s="4">
        <v>43565.343969907408</v>
      </c>
      <c r="B3475" s="5" t="str">
        <f>HYPERLINK("https://twitter.com/mirandasyndrome","@mirandasyndrome")</f>
        <v>@mirandasyndrome</v>
      </c>
      <c r="C3475" s="6" t="s">
        <v>5013</v>
      </c>
      <c r="D3475" s="7" t="s">
        <v>6151</v>
      </c>
      <c r="E3475" s="8" t="str">
        <f>HYPERLINK("http://twitter.com/download/iphone","Twitter for iPhone")</f>
        <v>Twitter for iPhone</v>
      </c>
      <c r="F3475" s="4">
        <v>40849.592094907406</v>
      </c>
      <c r="G3475" s="9" t="s">
        <v>13000</v>
      </c>
      <c r="H3475" s="35" t="s">
        <v>5015</v>
      </c>
      <c r="I3475" s="10" t="s">
        <v>5016</v>
      </c>
    </row>
    <row r="3476" spans="1:9" s="31" customFormat="1" ht="60">
      <c r="A3476" s="12">
        <v>43567.661909722221</v>
      </c>
      <c r="B3476" s="13" t="str">
        <f>HYPERLINK("https://twitter.com/mirandasyndrome","@mirandasyndrome")</f>
        <v>@mirandasyndrome</v>
      </c>
      <c r="C3476" s="14" t="s">
        <v>5013</v>
      </c>
      <c r="D3476" s="15" t="s">
        <v>5014</v>
      </c>
      <c r="E3476" s="16" t="str">
        <f>HYPERLINK("http://twitter.com","Twitter Web Client")</f>
        <v>Twitter Web Client</v>
      </c>
      <c r="F3476" s="12">
        <v>40849.592094907406</v>
      </c>
      <c r="G3476" s="9" t="s">
        <v>13000</v>
      </c>
      <c r="H3476" s="35" t="s">
        <v>5015</v>
      </c>
      <c r="I3476" s="18" t="s">
        <v>5016</v>
      </c>
    </row>
    <row r="3477" spans="1:9" s="31" customFormat="1" ht="105">
      <c r="A3477" s="12">
        <v>43574.37399305556</v>
      </c>
      <c r="B3477" s="13" t="str">
        <f>HYPERLINK("https://twitter.com/kandigrantz","@kandigrantz")</f>
        <v>@kandigrantz</v>
      </c>
      <c r="C3477" s="14" t="s">
        <v>2572</v>
      </c>
      <c r="D3477" s="15" t="s">
        <v>2573</v>
      </c>
      <c r="E3477" s="16" t="str">
        <f>HYPERLINK("http://twitter.com/download/iphone","Twitter for iPhone")</f>
        <v>Twitter for iPhone</v>
      </c>
      <c r="F3477" s="12">
        <v>39909.888310185182</v>
      </c>
      <c r="G3477" s="9" t="s">
        <v>13000</v>
      </c>
      <c r="H3477" s="35" t="s">
        <v>2574</v>
      </c>
      <c r="I3477" s="18" t="s">
        <v>2575</v>
      </c>
    </row>
    <row r="3478" spans="1:9" s="31" customFormat="1" ht="30">
      <c r="A3478" s="12">
        <v>43572.935231481482</v>
      </c>
      <c r="B3478" s="13" t="str">
        <f>HYPERLINK("https://twitter.com/halehakubay","@halehakubay")</f>
        <v>@halehakubay</v>
      </c>
      <c r="C3478" s="14" t="s">
        <v>3051</v>
      </c>
      <c r="D3478" s="15" t="s">
        <v>3052</v>
      </c>
      <c r="E3478" s="16" t="str">
        <f>HYPERLINK("http://twitter.com/download/iphone","Twitter for iPhone")</f>
        <v>Twitter for iPhone</v>
      </c>
      <c r="F3478" s="12">
        <v>43566.546458333338</v>
      </c>
      <c r="G3478" s="9" t="s">
        <v>13000</v>
      </c>
      <c r="H3478" s="35" t="s">
        <v>2574</v>
      </c>
      <c r="I3478" s="18" t="s">
        <v>3053</v>
      </c>
    </row>
    <row r="3479" spans="1:9" s="31" customFormat="1" ht="45">
      <c r="A3479" s="4">
        <v>43564.184120370366</v>
      </c>
      <c r="B3479" s="5" t="str">
        <f>HYPERLINK("https://twitter.com/Rob_Scanlan","@Rob_Scanlan")</f>
        <v>@Rob_Scanlan</v>
      </c>
      <c r="C3479" s="6" t="s">
        <v>6750</v>
      </c>
      <c r="D3479" s="7" t="s">
        <v>6751</v>
      </c>
      <c r="E3479" s="8" t="str">
        <f>HYPERLINK("http://twitter.com","Twitter Web Client")</f>
        <v>Twitter Web Client</v>
      </c>
      <c r="F3479" s="4">
        <v>40575.739641203705</v>
      </c>
      <c r="G3479" s="9" t="s">
        <v>13000</v>
      </c>
      <c r="H3479" s="35" t="s">
        <v>6752</v>
      </c>
      <c r="I3479" s="10" t="s">
        <v>6753</v>
      </c>
    </row>
    <row r="3480" spans="1:9" s="31" customFormat="1" ht="60">
      <c r="A3480" s="12">
        <v>43569.564629629633</v>
      </c>
      <c r="B3480" s="13" t="str">
        <f>HYPERLINK("https://twitter.com/ChristophrJoyce","@ChristophrJoyce")</f>
        <v>@ChristophrJoyce</v>
      </c>
      <c r="C3480" s="14" t="s">
        <v>4479</v>
      </c>
      <c r="D3480" s="15" t="s">
        <v>4480</v>
      </c>
      <c r="E3480" s="16" t="str">
        <f>HYPERLINK("http://instagram.com","Instagram")</f>
        <v>Instagram</v>
      </c>
      <c r="F3480" s="12">
        <v>40685.635081018518</v>
      </c>
      <c r="G3480" s="9" t="s">
        <v>13000</v>
      </c>
      <c r="H3480" s="35" t="s">
        <v>4481</v>
      </c>
      <c r="I3480" s="18" t="s">
        <v>4482</v>
      </c>
    </row>
    <row r="3481" spans="1:9" s="31" customFormat="1" ht="75">
      <c r="A3481" s="12">
        <v>43576.733425925922</v>
      </c>
      <c r="B3481" s="13" t="str">
        <f>HYPERLINK("https://twitter.com/jfrphotography","@jfrphotography")</f>
        <v>@jfrphotography</v>
      </c>
      <c r="C3481" s="14" t="s">
        <v>1857</v>
      </c>
      <c r="D3481" s="15" t="s">
        <v>1858</v>
      </c>
      <c r="E3481" s="16" t="str">
        <f>HYPERLINK("http://instagram.com","Instagram")</f>
        <v>Instagram</v>
      </c>
      <c r="F3481" s="12">
        <v>42225.686076388884</v>
      </c>
      <c r="G3481" s="17" t="s">
        <v>13000</v>
      </c>
      <c r="H3481" s="35" t="s">
        <v>1859</v>
      </c>
      <c r="I3481" s="18" t="s">
        <v>1860</v>
      </c>
    </row>
    <row r="3482" spans="1:9" s="31" customFormat="1" ht="120">
      <c r="A3482" s="19">
        <v>43550.648472222223</v>
      </c>
      <c r="B3482" s="20" t="str">
        <f>HYPERLINK("https://twitter.com/carolangelad","@carolangelad")</f>
        <v>@carolangelad</v>
      </c>
      <c r="C3482" s="21" t="s">
        <v>7571</v>
      </c>
      <c r="D3482" s="22" t="s">
        <v>7572</v>
      </c>
      <c r="E3482" s="23" t="str">
        <f>HYPERLINK("http://twitter.com/download/iphone","Twitter for iPhone")</f>
        <v>Twitter for iPhone</v>
      </c>
      <c r="F3482" s="19">
        <v>40272.866111111114</v>
      </c>
      <c r="G3482" s="17" t="s">
        <v>13000</v>
      </c>
      <c r="H3482" s="35" t="s">
        <v>7573</v>
      </c>
      <c r="I3482" s="25" t="s">
        <v>7574</v>
      </c>
    </row>
    <row r="3483" spans="1:9" s="31" customFormat="1" ht="90">
      <c r="A3483" s="12">
        <v>43580.72923611111</v>
      </c>
      <c r="B3483" s="13" t="str">
        <f t="shared" ref="B3483:B3496" si="142">HYPERLINK("https://twitter.com/IshnaSolutions","@IshnaSolutions")</f>
        <v>@IshnaSolutions</v>
      </c>
      <c r="C3483" s="14" t="s">
        <v>115</v>
      </c>
      <c r="D3483" s="15" t="s">
        <v>116</v>
      </c>
      <c r="E3483" s="16" t="str">
        <f t="shared" ref="E3483:E3496" si="143">HYPERLINK("http://www.pagemodo.com","Pagemodo Engagement")</f>
        <v>Pagemodo Engagement</v>
      </c>
      <c r="F3483" s="12">
        <v>43522.91878472222</v>
      </c>
      <c r="G3483" s="17" t="s">
        <v>13000</v>
      </c>
      <c r="H3483" s="35" t="s">
        <v>117</v>
      </c>
      <c r="I3483" s="18" t="s">
        <v>118</v>
      </c>
    </row>
    <row r="3484" spans="1:9" s="31" customFormat="1" ht="90">
      <c r="A3484" s="12">
        <v>43580.729212962964</v>
      </c>
      <c r="B3484" s="13" t="str">
        <f t="shared" si="142"/>
        <v>@IshnaSolutions</v>
      </c>
      <c r="C3484" s="14" t="s">
        <v>115</v>
      </c>
      <c r="D3484" s="15" t="s">
        <v>116</v>
      </c>
      <c r="E3484" s="16" t="str">
        <f t="shared" si="143"/>
        <v>Pagemodo Engagement</v>
      </c>
      <c r="F3484" s="12">
        <v>43522.91878472222</v>
      </c>
      <c r="G3484" s="17" t="s">
        <v>13000</v>
      </c>
      <c r="H3484" s="35" t="s">
        <v>117</v>
      </c>
      <c r="I3484" s="18" t="s">
        <v>118</v>
      </c>
    </row>
    <row r="3485" spans="1:9" s="31" customFormat="1" ht="120">
      <c r="A3485" s="12">
        <v>43580.729201388887</v>
      </c>
      <c r="B3485" s="13" t="str">
        <f t="shared" si="142"/>
        <v>@IshnaSolutions</v>
      </c>
      <c r="C3485" s="14" t="s">
        <v>115</v>
      </c>
      <c r="D3485" s="15" t="s">
        <v>119</v>
      </c>
      <c r="E3485" s="16" t="str">
        <f t="shared" si="143"/>
        <v>Pagemodo Engagement</v>
      </c>
      <c r="F3485" s="12">
        <v>43522.91878472222</v>
      </c>
      <c r="G3485" s="17" t="s">
        <v>13000</v>
      </c>
      <c r="H3485" s="35" t="s">
        <v>117</v>
      </c>
      <c r="I3485" s="18" t="s">
        <v>118</v>
      </c>
    </row>
    <row r="3486" spans="1:9" s="31" customFormat="1" ht="105">
      <c r="A3486" s="12">
        <v>43579.270925925928</v>
      </c>
      <c r="B3486" s="13" t="str">
        <f t="shared" si="142"/>
        <v>@IshnaSolutions</v>
      </c>
      <c r="C3486" s="14" t="s">
        <v>115</v>
      </c>
      <c r="D3486" s="15" t="s">
        <v>806</v>
      </c>
      <c r="E3486" s="16" t="str">
        <f t="shared" si="143"/>
        <v>Pagemodo Engagement</v>
      </c>
      <c r="F3486" s="12">
        <v>43522.41878472222</v>
      </c>
      <c r="G3486" s="17" t="s">
        <v>13000</v>
      </c>
      <c r="H3486" s="35" t="s">
        <v>117</v>
      </c>
      <c r="I3486" s="18" t="s">
        <v>118</v>
      </c>
    </row>
    <row r="3487" spans="1:9" s="31" customFormat="1" ht="120">
      <c r="A3487" s="12">
        <v>43579.270914351851</v>
      </c>
      <c r="B3487" s="13" t="str">
        <f t="shared" si="142"/>
        <v>@IshnaSolutions</v>
      </c>
      <c r="C3487" s="14" t="s">
        <v>115</v>
      </c>
      <c r="D3487" s="15" t="s">
        <v>119</v>
      </c>
      <c r="E3487" s="16" t="str">
        <f t="shared" si="143"/>
        <v>Pagemodo Engagement</v>
      </c>
      <c r="F3487" s="12">
        <v>43522.41878472222</v>
      </c>
      <c r="G3487" s="17" t="s">
        <v>13000</v>
      </c>
      <c r="H3487" s="35" t="s">
        <v>117</v>
      </c>
      <c r="I3487" s="18" t="s">
        <v>118</v>
      </c>
    </row>
    <row r="3488" spans="1:9" s="31" customFormat="1" ht="90">
      <c r="A3488" s="12">
        <v>43579.270914351851</v>
      </c>
      <c r="B3488" s="13" t="str">
        <f t="shared" si="142"/>
        <v>@IshnaSolutions</v>
      </c>
      <c r="C3488" s="14" t="s">
        <v>115</v>
      </c>
      <c r="D3488" s="15" t="s">
        <v>116</v>
      </c>
      <c r="E3488" s="16" t="str">
        <f t="shared" si="143"/>
        <v>Pagemodo Engagement</v>
      </c>
      <c r="F3488" s="12">
        <v>43522.41878472222</v>
      </c>
      <c r="G3488" s="17" t="s">
        <v>13000</v>
      </c>
      <c r="H3488" s="35" t="s">
        <v>117</v>
      </c>
      <c r="I3488" s="18" t="s">
        <v>118</v>
      </c>
    </row>
    <row r="3489" spans="1:9" s="31" customFormat="1" ht="90">
      <c r="A3489" s="12">
        <v>43579.270902777775</v>
      </c>
      <c r="B3489" s="13" t="str">
        <f t="shared" si="142"/>
        <v>@IshnaSolutions</v>
      </c>
      <c r="C3489" s="14" t="s">
        <v>115</v>
      </c>
      <c r="D3489" s="15" t="s">
        <v>116</v>
      </c>
      <c r="E3489" s="16" t="str">
        <f t="shared" si="143"/>
        <v>Pagemodo Engagement</v>
      </c>
      <c r="F3489" s="12">
        <v>43522.41878472222</v>
      </c>
      <c r="G3489" s="17" t="s">
        <v>13000</v>
      </c>
      <c r="H3489" s="35" t="s">
        <v>117</v>
      </c>
      <c r="I3489" s="18" t="s">
        <v>118</v>
      </c>
    </row>
    <row r="3490" spans="1:9" s="31" customFormat="1" ht="90">
      <c r="A3490" s="12">
        <v>43578.270937499998</v>
      </c>
      <c r="B3490" s="13" t="str">
        <f t="shared" si="142"/>
        <v>@IshnaSolutions</v>
      </c>
      <c r="C3490" s="14" t="s">
        <v>115</v>
      </c>
      <c r="D3490" s="15" t="s">
        <v>1333</v>
      </c>
      <c r="E3490" s="16" t="str">
        <f t="shared" si="143"/>
        <v>Pagemodo Engagement</v>
      </c>
      <c r="F3490" s="12">
        <v>43522.41878472222</v>
      </c>
      <c r="G3490" s="17" t="s">
        <v>13000</v>
      </c>
      <c r="H3490" s="35" t="s">
        <v>117</v>
      </c>
      <c r="I3490" s="18" t="s">
        <v>118</v>
      </c>
    </row>
    <row r="3491" spans="1:9" s="31" customFormat="1" ht="105">
      <c r="A3491" s="12">
        <v>43578.270914351851</v>
      </c>
      <c r="B3491" s="13" t="str">
        <f t="shared" si="142"/>
        <v>@IshnaSolutions</v>
      </c>
      <c r="C3491" s="14" t="s">
        <v>115</v>
      </c>
      <c r="D3491" s="15" t="s">
        <v>806</v>
      </c>
      <c r="E3491" s="16" t="str">
        <f t="shared" si="143"/>
        <v>Pagemodo Engagement</v>
      </c>
      <c r="F3491" s="12">
        <v>43522.41878472222</v>
      </c>
      <c r="G3491" s="17" t="s">
        <v>13000</v>
      </c>
      <c r="H3491" s="35" t="s">
        <v>117</v>
      </c>
      <c r="I3491" s="18" t="s">
        <v>118</v>
      </c>
    </row>
    <row r="3492" spans="1:9" s="31" customFormat="1" ht="105">
      <c r="A3492" s="12">
        <v>43578.270902777775</v>
      </c>
      <c r="B3492" s="13" t="str">
        <f t="shared" si="142"/>
        <v>@IshnaSolutions</v>
      </c>
      <c r="C3492" s="14" t="s">
        <v>115</v>
      </c>
      <c r="D3492" s="15" t="s">
        <v>806</v>
      </c>
      <c r="E3492" s="16" t="str">
        <f t="shared" si="143"/>
        <v>Pagemodo Engagement</v>
      </c>
      <c r="F3492" s="12">
        <v>43522.41878472222</v>
      </c>
      <c r="G3492" s="17" t="s">
        <v>13000</v>
      </c>
      <c r="H3492" s="35" t="s">
        <v>117</v>
      </c>
      <c r="I3492" s="18" t="s">
        <v>118</v>
      </c>
    </row>
    <row r="3493" spans="1:9" s="31" customFormat="1" ht="90">
      <c r="A3493" s="12">
        <v>43577.270914351851</v>
      </c>
      <c r="B3493" s="13" t="str">
        <f t="shared" si="142"/>
        <v>@IshnaSolutions</v>
      </c>
      <c r="C3493" s="14" t="s">
        <v>115</v>
      </c>
      <c r="D3493" s="15" t="s">
        <v>1333</v>
      </c>
      <c r="E3493" s="16" t="str">
        <f t="shared" si="143"/>
        <v>Pagemodo Engagement</v>
      </c>
      <c r="F3493" s="12">
        <v>43522.41878472222</v>
      </c>
      <c r="G3493" s="17" t="s">
        <v>13000</v>
      </c>
      <c r="H3493" s="35" t="s">
        <v>117</v>
      </c>
      <c r="I3493" s="18" t="s">
        <v>118</v>
      </c>
    </row>
    <row r="3494" spans="1:9" s="31" customFormat="1" ht="120">
      <c r="A3494" s="12">
        <v>43577.270902777775</v>
      </c>
      <c r="B3494" s="13" t="str">
        <f t="shared" si="142"/>
        <v>@IshnaSolutions</v>
      </c>
      <c r="C3494" s="14" t="s">
        <v>115</v>
      </c>
      <c r="D3494" s="15" t="s">
        <v>119</v>
      </c>
      <c r="E3494" s="16" t="str">
        <f t="shared" si="143"/>
        <v>Pagemodo Engagement</v>
      </c>
      <c r="F3494" s="12">
        <v>43522.41878472222</v>
      </c>
      <c r="G3494" s="17" t="s">
        <v>13000</v>
      </c>
      <c r="H3494" s="35" t="s">
        <v>117</v>
      </c>
      <c r="I3494" s="18" t="s">
        <v>118</v>
      </c>
    </row>
    <row r="3495" spans="1:9" s="31" customFormat="1" ht="90">
      <c r="A3495" s="12">
        <v>43577.270902777775</v>
      </c>
      <c r="B3495" s="13" t="str">
        <f t="shared" si="142"/>
        <v>@IshnaSolutions</v>
      </c>
      <c r="C3495" s="14" t="s">
        <v>115</v>
      </c>
      <c r="D3495" s="15" t="s">
        <v>1333</v>
      </c>
      <c r="E3495" s="16" t="str">
        <f t="shared" si="143"/>
        <v>Pagemodo Engagement</v>
      </c>
      <c r="F3495" s="12">
        <v>43522.41878472222</v>
      </c>
      <c r="G3495" s="17" t="s">
        <v>13000</v>
      </c>
      <c r="H3495" s="35" t="s">
        <v>117</v>
      </c>
      <c r="I3495" s="18" t="s">
        <v>118</v>
      </c>
    </row>
    <row r="3496" spans="1:9" s="31" customFormat="1" ht="90">
      <c r="A3496" s="12">
        <v>43577.270891203705</v>
      </c>
      <c r="B3496" s="13" t="str">
        <f t="shared" si="142"/>
        <v>@IshnaSolutions</v>
      </c>
      <c r="C3496" s="14" t="s">
        <v>115</v>
      </c>
      <c r="D3496" s="15" t="s">
        <v>1333</v>
      </c>
      <c r="E3496" s="16" t="str">
        <f t="shared" si="143"/>
        <v>Pagemodo Engagement</v>
      </c>
      <c r="F3496" s="12">
        <v>43522.41878472222</v>
      </c>
      <c r="G3496" s="17" t="s">
        <v>13000</v>
      </c>
      <c r="H3496" s="35" t="s">
        <v>117</v>
      </c>
      <c r="I3496" s="18" t="s">
        <v>118</v>
      </c>
    </row>
    <row r="3497" spans="1:9" s="31" customFormat="1" ht="75">
      <c r="A3497" s="4">
        <v>43560.702094907407</v>
      </c>
      <c r="B3497" s="5" t="str">
        <f>HYPERLINK("https://twitter.com/MattiasClymer","@MattiasClymer")</f>
        <v>@MattiasClymer</v>
      </c>
      <c r="C3497" s="6" t="s">
        <v>11216</v>
      </c>
      <c r="D3497" s="7" t="s">
        <v>11217</v>
      </c>
      <c r="E3497" s="8" t="str">
        <f>HYPERLINK("https://buffer.com","Buffer")</f>
        <v>Buffer</v>
      </c>
      <c r="F3497" s="4">
        <v>41781.599444444444</v>
      </c>
      <c r="G3497" s="17" t="s">
        <v>13000</v>
      </c>
      <c r="H3497" s="35" t="s">
        <v>11218</v>
      </c>
      <c r="I3497" s="10" t="s">
        <v>11219</v>
      </c>
    </row>
    <row r="3498" spans="1:9" s="31" customFormat="1" ht="210">
      <c r="A3498" s="12">
        <v>43573.724351851852</v>
      </c>
      <c r="B3498" s="13" t="str">
        <f>HYPERLINK("https://twitter.com/BrittMJ4evr","@BrittMJ4evr")</f>
        <v>@BrittMJ4evr</v>
      </c>
      <c r="C3498" s="14" t="s">
        <v>2755</v>
      </c>
      <c r="D3498" s="15" t="s">
        <v>2756</v>
      </c>
      <c r="E3498" s="16" t="str">
        <f>HYPERLINK("http://twitter.com/download/android","Twitter for Android")</f>
        <v>Twitter for Android</v>
      </c>
      <c r="F3498" s="12">
        <v>41515.366064814814</v>
      </c>
      <c r="G3498" s="17" t="s">
        <v>13000</v>
      </c>
      <c r="H3498" s="35" t="s">
        <v>2757</v>
      </c>
      <c r="I3498" s="18" t="s">
        <v>2758</v>
      </c>
    </row>
    <row r="3499" spans="1:9" s="31" customFormat="1" ht="75">
      <c r="A3499" s="4">
        <v>43564.376597222217</v>
      </c>
      <c r="B3499" s="5" t="str">
        <f>HYPERLINK("https://twitter.com/HastingsCounty","@HastingsCounty")</f>
        <v>@HastingsCounty</v>
      </c>
      <c r="C3499" s="6" t="s">
        <v>1126</v>
      </c>
      <c r="D3499" s="7" t="s">
        <v>6651</v>
      </c>
      <c r="E3499" s="8" t="str">
        <f>HYPERLINK("https://www.hootsuite.com","Hootsuite Inc.")</f>
        <v>Hootsuite Inc.</v>
      </c>
      <c r="F3499" s="4">
        <v>39991.895601851851</v>
      </c>
      <c r="G3499" s="17" t="s">
        <v>13000</v>
      </c>
      <c r="H3499" s="35" t="s">
        <v>1128</v>
      </c>
      <c r="I3499" s="10" t="s">
        <v>1129</v>
      </c>
    </row>
    <row r="3500" spans="1:9" s="31" customFormat="1" ht="60">
      <c r="A3500" s="12">
        <v>43578.625821759255</v>
      </c>
      <c r="B3500" s="13" t="str">
        <f>HYPERLINK("https://twitter.com/HastingsCounty","@HastingsCounty")</f>
        <v>@HastingsCounty</v>
      </c>
      <c r="C3500" s="14" t="s">
        <v>1126</v>
      </c>
      <c r="D3500" s="15" t="s">
        <v>1127</v>
      </c>
      <c r="E3500" s="16" t="str">
        <f>HYPERLINK("https://www.hootsuite.com","Hootsuite Inc.")</f>
        <v>Hootsuite Inc.</v>
      </c>
      <c r="F3500" s="12">
        <v>39991.895601851851</v>
      </c>
      <c r="G3500" s="17" t="s">
        <v>13000</v>
      </c>
      <c r="H3500" s="35" t="s">
        <v>1128</v>
      </c>
      <c r="I3500" s="18" t="s">
        <v>1129</v>
      </c>
    </row>
    <row r="3501" spans="1:9" s="31" customFormat="1" ht="90">
      <c r="A3501" s="12">
        <v>43571.251643518517</v>
      </c>
      <c r="B3501" s="13" t="str">
        <f>HYPERLINK("https://twitter.com/HastingsCounty","@HastingsCounty")</f>
        <v>@HastingsCounty</v>
      </c>
      <c r="C3501" s="14" t="s">
        <v>1126</v>
      </c>
      <c r="D3501" s="15" t="s">
        <v>3770</v>
      </c>
      <c r="E3501" s="16" t="str">
        <f>HYPERLINK("https://www.hootsuite.com","Hootsuite Inc.")</f>
        <v>Hootsuite Inc.</v>
      </c>
      <c r="F3501" s="12">
        <v>39991.895601851851</v>
      </c>
      <c r="G3501" s="17" t="s">
        <v>13000</v>
      </c>
      <c r="H3501" s="35" t="s">
        <v>1128</v>
      </c>
      <c r="I3501" s="18" t="s">
        <v>1129</v>
      </c>
    </row>
    <row r="3502" spans="1:9" s="31" customFormat="1" ht="120">
      <c r="A3502" s="19">
        <v>43551.375208333338</v>
      </c>
      <c r="B3502" s="20" t="str">
        <f t="shared" ref="B3502:B3509" si="144">HYPERLINK("https://twitter.com/lasiguaraya","@lasiguaraya")</f>
        <v>@lasiguaraya</v>
      </c>
      <c r="C3502" s="21" t="s">
        <v>4196</v>
      </c>
      <c r="D3502" s="22" t="s">
        <v>7265</v>
      </c>
      <c r="E3502" s="23" t="str">
        <f t="shared" ref="E3502:E3509" si="145">HYPERLINK("https://www.later.com","LaterMedia")</f>
        <v>LaterMedia</v>
      </c>
      <c r="F3502" s="19">
        <v>43499.522939814815</v>
      </c>
      <c r="G3502" s="17" t="s">
        <v>13000</v>
      </c>
      <c r="H3502" s="35" t="s">
        <v>4198</v>
      </c>
      <c r="I3502" s="25" t="s">
        <v>4199</v>
      </c>
    </row>
    <row r="3503" spans="1:9" s="31" customFormat="1" ht="90">
      <c r="A3503" s="19">
        <v>43550.375208333338</v>
      </c>
      <c r="B3503" s="20" t="str">
        <f t="shared" si="144"/>
        <v>@lasiguaraya</v>
      </c>
      <c r="C3503" s="21" t="s">
        <v>4196</v>
      </c>
      <c r="D3503" s="22" t="s">
        <v>7697</v>
      </c>
      <c r="E3503" s="23" t="str">
        <f t="shared" si="145"/>
        <v>LaterMedia</v>
      </c>
      <c r="F3503" s="19">
        <v>43499.522939814815</v>
      </c>
      <c r="G3503" s="17" t="s">
        <v>13000</v>
      </c>
      <c r="H3503" s="35" t="s">
        <v>4198</v>
      </c>
      <c r="I3503" s="25" t="s">
        <v>4199</v>
      </c>
    </row>
    <row r="3504" spans="1:9" s="31" customFormat="1" ht="120">
      <c r="A3504" s="19">
        <v>43549.375243055554</v>
      </c>
      <c r="B3504" s="20" t="str">
        <f t="shared" si="144"/>
        <v>@lasiguaraya</v>
      </c>
      <c r="C3504" s="21" t="s">
        <v>4196</v>
      </c>
      <c r="D3504" s="22" t="s">
        <v>8074</v>
      </c>
      <c r="E3504" s="23" t="str">
        <f t="shared" si="145"/>
        <v>LaterMedia</v>
      </c>
      <c r="F3504" s="19">
        <v>43499.522939814815</v>
      </c>
      <c r="G3504" s="17" t="s">
        <v>13000</v>
      </c>
      <c r="H3504" s="35" t="s">
        <v>4198</v>
      </c>
      <c r="I3504" s="25" t="s">
        <v>4199</v>
      </c>
    </row>
    <row r="3505" spans="1:9" s="31" customFormat="1" ht="105">
      <c r="A3505" s="19">
        <v>43548.375162037039</v>
      </c>
      <c r="B3505" s="20" t="str">
        <f t="shared" si="144"/>
        <v>@lasiguaraya</v>
      </c>
      <c r="C3505" s="21" t="s">
        <v>4196</v>
      </c>
      <c r="D3505" s="22" t="s">
        <v>8339</v>
      </c>
      <c r="E3505" s="23" t="str">
        <f t="shared" si="145"/>
        <v>LaterMedia</v>
      </c>
      <c r="F3505" s="19">
        <v>43499.522939814815</v>
      </c>
      <c r="G3505" s="17" t="s">
        <v>13000</v>
      </c>
      <c r="H3505" s="35" t="s">
        <v>4198</v>
      </c>
      <c r="I3505" s="25" t="s">
        <v>4199</v>
      </c>
    </row>
    <row r="3506" spans="1:9" s="31" customFormat="1" ht="120">
      <c r="A3506" s="19">
        <v>43547.375185185185</v>
      </c>
      <c r="B3506" s="20" t="str">
        <f t="shared" si="144"/>
        <v>@lasiguaraya</v>
      </c>
      <c r="C3506" s="21" t="s">
        <v>4196</v>
      </c>
      <c r="D3506" s="22" t="s">
        <v>8577</v>
      </c>
      <c r="E3506" s="23" t="str">
        <f t="shared" si="145"/>
        <v>LaterMedia</v>
      </c>
      <c r="F3506" s="19">
        <v>43499.522939814815</v>
      </c>
      <c r="G3506" s="17" t="s">
        <v>13000</v>
      </c>
      <c r="H3506" s="35" t="s">
        <v>4198</v>
      </c>
      <c r="I3506" s="25" t="s">
        <v>4199</v>
      </c>
    </row>
    <row r="3507" spans="1:9" s="31" customFormat="1" ht="120">
      <c r="A3507" s="19">
        <v>43546.375254629631</v>
      </c>
      <c r="B3507" s="20" t="str">
        <f t="shared" si="144"/>
        <v>@lasiguaraya</v>
      </c>
      <c r="C3507" s="21" t="s">
        <v>4196</v>
      </c>
      <c r="D3507" s="22" t="s">
        <v>8880</v>
      </c>
      <c r="E3507" s="23" t="str">
        <f t="shared" si="145"/>
        <v>LaterMedia</v>
      </c>
      <c r="F3507" s="19">
        <v>43499.522939814815</v>
      </c>
      <c r="G3507" s="17" t="s">
        <v>13000</v>
      </c>
      <c r="H3507" s="35" t="s">
        <v>4198</v>
      </c>
      <c r="I3507" s="25" t="s">
        <v>4199</v>
      </c>
    </row>
    <row r="3508" spans="1:9" s="31" customFormat="1" ht="105">
      <c r="A3508" s="19">
        <v>43545.375219907408</v>
      </c>
      <c r="B3508" s="20" t="str">
        <f t="shared" si="144"/>
        <v>@lasiguaraya</v>
      </c>
      <c r="C3508" s="21" t="s">
        <v>4196</v>
      </c>
      <c r="D3508" s="22" t="s">
        <v>9165</v>
      </c>
      <c r="E3508" s="23" t="str">
        <f t="shared" si="145"/>
        <v>LaterMedia</v>
      </c>
      <c r="F3508" s="19">
        <v>43499.522939814815</v>
      </c>
      <c r="G3508" s="17" t="s">
        <v>13000</v>
      </c>
      <c r="H3508" s="35" t="s">
        <v>4198</v>
      </c>
      <c r="I3508" s="25" t="s">
        <v>4199</v>
      </c>
    </row>
    <row r="3509" spans="1:9" s="31" customFormat="1" ht="120">
      <c r="A3509" s="12">
        <v>43570.375706018516</v>
      </c>
      <c r="B3509" s="13" t="str">
        <f t="shared" si="144"/>
        <v>@lasiguaraya</v>
      </c>
      <c r="C3509" s="14" t="s">
        <v>4196</v>
      </c>
      <c r="D3509" s="15" t="s">
        <v>4197</v>
      </c>
      <c r="E3509" s="16" t="str">
        <f t="shared" si="145"/>
        <v>LaterMedia</v>
      </c>
      <c r="F3509" s="12">
        <v>43499.522939814815</v>
      </c>
      <c r="G3509" s="17" t="s">
        <v>13000</v>
      </c>
      <c r="H3509" s="35" t="s">
        <v>4198</v>
      </c>
      <c r="I3509" s="18" t="s">
        <v>4199</v>
      </c>
    </row>
    <row r="3510" spans="1:9" s="31" customFormat="1" ht="90">
      <c r="A3510" s="12">
        <v>43566.386226851857</v>
      </c>
      <c r="B3510" s="13" t="str">
        <f>HYPERLINK("https://twitter.com/Cubamigos","@Cubamigos")</f>
        <v>@Cubamigos</v>
      </c>
      <c r="C3510" s="14" t="s">
        <v>5573</v>
      </c>
      <c r="D3510" s="15" t="s">
        <v>5574</v>
      </c>
      <c r="E3510" s="16" t="str">
        <f>HYPERLINK("http://instagram.com","Instagram")</f>
        <v>Instagram</v>
      </c>
      <c r="F3510" s="12">
        <v>40109.857291666667</v>
      </c>
      <c r="G3510" s="17" t="s">
        <v>13000</v>
      </c>
      <c r="H3510" s="35" t="s">
        <v>5575</v>
      </c>
      <c r="I3510" s="18" t="s">
        <v>5576</v>
      </c>
    </row>
    <row r="3511" spans="1:9" s="31" customFormat="1" ht="30">
      <c r="A3511" s="4">
        <v>43565.366689814815</v>
      </c>
      <c r="B3511" s="5" t="str">
        <f>HYPERLINK("https://twitter.com/LaurieHanan","@LaurieHanan")</f>
        <v>@LaurieHanan</v>
      </c>
      <c r="C3511" s="6" t="s">
        <v>6142</v>
      </c>
      <c r="D3511" s="7" t="s">
        <v>6143</v>
      </c>
      <c r="E3511" s="8" t="str">
        <f>HYPERLINK("http://twitter.com","Twitter Web Client")</f>
        <v>Twitter Web Client</v>
      </c>
      <c r="F3511" s="4">
        <v>39977.818761574075</v>
      </c>
      <c r="G3511" s="17" t="s">
        <v>13000</v>
      </c>
      <c r="H3511" s="35" t="s">
        <v>6144</v>
      </c>
      <c r="I3511" s="10" t="s">
        <v>6145</v>
      </c>
    </row>
    <row r="3512" spans="1:9" s="31" customFormat="1" ht="90">
      <c r="A3512" s="19">
        <v>43546.536145833335</v>
      </c>
      <c r="B3512" s="20" t="str">
        <f>HYPERLINK("https://twitter.com/BoundlessHawaii","@BoundlessHawaii")</f>
        <v>@BoundlessHawaii</v>
      </c>
      <c r="C3512" s="21" t="s">
        <v>5019</v>
      </c>
      <c r="D3512" s="22" t="s">
        <v>8815</v>
      </c>
      <c r="E3512" s="23" t="str">
        <f>HYPERLINK("https://buffer.com","Buffer")</f>
        <v>Buffer</v>
      </c>
      <c r="F3512" s="19">
        <v>41294.61824074074</v>
      </c>
      <c r="G3512" s="17" t="s">
        <v>13000</v>
      </c>
      <c r="H3512" s="35" t="s">
        <v>5021</v>
      </c>
      <c r="I3512" s="25" t="s">
        <v>5022</v>
      </c>
    </row>
    <row r="3513" spans="1:9" s="31" customFormat="1" ht="75">
      <c r="A3513" s="19">
        <v>43545.521192129629</v>
      </c>
      <c r="B3513" s="20" t="str">
        <f>HYPERLINK("https://twitter.com/BoundlessHawaii","@BoundlessHawaii")</f>
        <v>@BoundlessHawaii</v>
      </c>
      <c r="C3513" s="21" t="s">
        <v>5019</v>
      </c>
      <c r="D3513" s="22" t="s">
        <v>9112</v>
      </c>
      <c r="E3513" s="23" t="str">
        <f>HYPERLINK("https://buffer.com","Buffer")</f>
        <v>Buffer</v>
      </c>
      <c r="F3513" s="19">
        <v>41294.61824074074</v>
      </c>
      <c r="G3513" s="17" t="s">
        <v>13000</v>
      </c>
      <c r="H3513" s="35" t="s">
        <v>5021</v>
      </c>
      <c r="I3513" s="25" t="s">
        <v>5022</v>
      </c>
    </row>
    <row r="3514" spans="1:9" s="31" customFormat="1" ht="90">
      <c r="A3514" s="19">
        <v>43544.593842592592</v>
      </c>
      <c r="B3514" s="20" t="str">
        <f>HYPERLINK("https://twitter.com/BoundlessHawaii","@BoundlessHawaii")</f>
        <v>@BoundlessHawaii</v>
      </c>
      <c r="C3514" s="21" t="s">
        <v>5019</v>
      </c>
      <c r="D3514" s="22" t="s">
        <v>9404</v>
      </c>
      <c r="E3514" s="23" t="str">
        <f>HYPERLINK("https://buffer.com","Buffer")</f>
        <v>Buffer</v>
      </c>
      <c r="F3514" s="19">
        <v>41294.61824074074</v>
      </c>
      <c r="G3514" s="17" t="s">
        <v>13000</v>
      </c>
      <c r="H3514" s="35" t="s">
        <v>5021</v>
      </c>
      <c r="I3514" s="25" t="s">
        <v>5022</v>
      </c>
    </row>
    <row r="3515" spans="1:9" s="31" customFormat="1" ht="90">
      <c r="A3515" s="19">
        <v>43543.542037037041</v>
      </c>
      <c r="B3515" s="20" t="str">
        <f>HYPERLINK("https://twitter.com/BoundlessHawaii","@BoundlessHawaii")</f>
        <v>@BoundlessHawaii</v>
      </c>
      <c r="C3515" s="21" t="s">
        <v>5019</v>
      </c>
      <c r="D3515" s="22" t="s">
        <v>9759</v>
      </c>
      <c r="E3515" s="23" t="str">
        <f>HYPERLINK("https://buffer.com","Buffer")</f>
        <v>Buffer</v>
      </c>
      <c r="F3515" s="19">
        <v>41294.61824074074</v>
      </c>
      <c r="G3515" s="17" t="s">
        <v>13000</v>
      </c>
      <c r="H3515" s="35" t="s">
        <v>5021</v>
      </c>
      <c r="I3515" s="25" t="s">
        <v>5022</v>
      </c>
    </row>
    <row r="3516" spans="1:9" s="31" customFormat="1" ht="90">
      <c r="A3516" s="19">
        <v>43542.547962962963</v>
      </c>
      <c r="B3516" s="20" t="str">
        <f>HYPERLINK("https://twitter.com/BoundlessHawaii","@BoundlessHawaii")</f>
        <v>@BoundlessHawaii</v>
      </c>
      <c r="C3516" s="21" t="s">
        <v>5019</v>
      </c>
      <c r="D3516" s="22" t="s">
        <v>10108</v>
      </c>
      <c r="E3516" s="23" t="str">
        <f>HYPERLINK("https://buffer.com","Buffer")</f>
        <v>Buffer</v>
      </c>
      <c r="F3516" s="19">
        <v>41294.61824074074</v>
      </c>
      <c r="G3516" s="17" t="s">
        <v>13000</v>
      </c>
      <c r="H3516" s="35" t="s">
        <v>5021</v>
      </c>
      <c r="I3516" s="25" t="s">
        <v>5022</v>
      </c>
    </row>
    <row r="3517" spans="1:9" s="31" customFormat="1" ht="105">
      <c r="A3517" s="4">
        <v>43560.361400462964</v>
      </c>
      <c r="B3517" s="5" t="str">
        <f>HYPERLINK("https://twitter.com/808maidllc","@808maidllc")</f>
        <v>@808maidllc</v>
      </c>
      <c r="C3517" s="6" t="s">
        <v>11428</v>
      </c>
      <c r="D3517" s="7" t="s">
        <v>11429</v>
      </c>
      <c r="E3517" s="8" t="str">
        <f>HYPERLINK("http://twitter.com","Twitter Web Client")</f>
        <v>Twitter Web Client</v>
      </c>
      <c r="F3517" s="4">
        <v>43556.442442129628</v>
      </c>
      <c r="G3517" s="17" t="s">
        <v>13000</v>
      </c>
      <c r="H3517" s="35" t="s">
        <v>5021</v>
      </c>
      <c r="I3517" s="10" t="s">
        <v>11430</v>
      </c>
    </row>
    <row r="3518" spans="1:9" s="31" customFormat="1" ht="120">
      <c r="A3518" s="12">
        <v>43567.650393518517</v>
      </c>
      <c r="B3518" s="13" t="str">
        <f>HYPERLINK("https://twitter.com/BoundlessHawaii","@BoundlessHawaii")</f>
        <v>@BoundlessHawaii</v>
      </c>
      <c r="C3518" s="14" t="s">
        <v>5019</v>
      </c>
      <c r="D3518" s="15" t="s">
        <v>5020</v>
      </c>
      <c r="E3518" s="16" t="str">
        <f>HYPERLINK("https://buffer.com","Buffer")</f>
        <v>Buffer</v>
      </c>
      <c r="F3518" s="12">
        <v>41294.61824074074</v>
      </c>
      <c r="G3518" s="17" t="s">
        <v>13000</v>
      </c>
      <c r="H3518" s="35" t="s">
        <v>5021</v>
      </c>
      <c r="I3518" s="18" t="s">
        <v>5022</v>
      </c>
    </row>
    <row r="3519" spans="1:9" s="31" customFormat="1" ht="120">
      <c r="A3519" s="12">
        <v>43566.697870370372</v>
      </c>
      <c r="B3519" s="13" t="str">
        <f>HYPERLINK("https://twitter.com/BoundlessHawaii","@BoundlessHawaii")</f>
        <v>@BoundlessHawaii</v>
      </c>
      <c r="C3519" s="14" t="s">
        <v>5019</v>
      </c>
      <c r="D3519" s="15" t="s">
        <v>5373</v>
      </c>
      <c r="E3519" s="16" t="str">
        <f>HYPERLINK("https://buffer.com","Buffer")</f>
        <v>Buffer</v>
      </c>
      <c r="F3519" s="12">
        <v>41294.61824074074</v>
      </c>
      <c r="G3519" s="17" t="s">
        <v>13000</v>
      </c>
      <c r="H3519" s="35" t="s">
        <v>5021</v>
      </c>
      <c r="I3519" s="18" t="s">
        <v>5022</v>
      </c>
    </row>
    <row r="3520" spans="1:9" s="31" customFormat="1" ht="45">
      <c r="A3520" s="4">
        <v>43561.508333333331</v>
      </c>
      <c r="B3520" s="5" t="str">
        <f>HYPERLINK("https://twitter.com/swboulderhwynv","@swboulderhwynv")</f>
        <v>@swboulderhwynv</v>
      </c>
      <c r="C3520" s="6" t="s">
        <v>10949</v>
      </c>
      <c r="D3520" s="7" t="s">
        <v>10950</v>
      </c>
      <c r="E3520" s="8" t="str">
        <f>HYPERLINK("https://about.twitter.com/products/tweetdeck","TweetDeck")</f>
        <v>TweetDeck</v>
      </c>
      <c r="F3520" s="4">
        <v>40068.762372685189</v>
      </c>
      <c r="G3520" s="9" t="s">
        <v>13000</v>
      </c>
      <c r="H3520" s="35" t="s">
        <v>10951</v>
      </c>
      <c r="I3520" s="10" t="s">
        <v>10952</v>
      </c>
    </row>
    <row r="3521" spans="1:9" s="31" customFormat="1" ht="75">
      <c r="A3521" s="19">
        <v>43551.578819444447</v>
      </c>
      <c r="B3521" s="20" t="str">
        <f>HYPERLINK("https://twitter.com/synergysponsor","@synergysponsor")</f>
        <v>@synergysponsor</v>
      </c>
      <c r="C3521" s="21" t="s">
        <v>7111</v>
      </c>
      <c r="D3521" s="22" t="s">
        <v>7112</v>
      </c>
      <c r="E3521" s="23" t="str">
        <f>HYPERLINK("http://instagram.com","Instagram")</f>
        <v>Instagram</v>
      </c>
      <c r="F3521" s="19">
        <v>39748.707766203705</v>
      </c>
      <c r="G3521" s="24" t="s">
        <v>13000</v>
      </c>
      <c r="H3521" s="35" t="s">
        <v>7113</v>
      </c>
      <c r="I3521" s="25" t="s">
        <v>7114</v>
      </c>
    </row>
    <row r="3522" spans="1:9" s="31" customFormat="1" ht="105">
      <c r="A3522" s="12">
        <v>43574.282129629632</v>
      </c>
      <c r="B3522" s="13" t="str">
        <f>HYPERLINK("https://twitter.com/VRSPMP","@VRSPMP")</f>
        <v>@VRSPMP</v>
      </c>
      <c r="C3522" s="14" t="s">
        <v>2627</v>
      </c>
      <c r="D3522" s="15" t="s">
        <v>2628</v>
      </c>
      <c r="E3522" s="16" t="str">
        <f>HYPERLINK("http://twitter.com","Twitter Web Client")</f>
        <v>Twitter Web Client</v>
      </c>
      <c r="F3522" s="12">
        <v>42992.581284722226</v>
      </c>
      <c r="G3522" s="24" t="s">
        <v>13000</v>
      </c>
      <c r="H3522" s="35" t="s">
        <v>2629</v>
      </c>
      <c r="I3522" s="18" t="s">
        <v>2630</v>
      </c>
    </row>
    <row r="3523" spans="1:9" s="31" customFormat="1" ht="60">
      <c r="A3523" s="12">
        <v>43566.355324074073</v>
      </c>
      <c r="B3523" s="13" t="str">
        <f>HYPERLINK("https://twitter.com/RefugiodeReyes1","@RefugiodeReyes1")</f>
        <v>@RefugiodeReyes1</v>
      </c>
      <c r="C3523" s="14" t="s">
        <v>5624</v>
      </c>
      <c r="D3523" s="15" t="s">
        <v>5625</v>
      </c>
      <c r="E3523" s="16" t="str">
        <f>HYPERLINK("http://twitter.com/download/iphone","Twitter for iPhone")</f>
        <v>Twitter for iPhone</v>
      </c>
      <c r="F3523" s="12">
        <v>43538.265821759254</v>
      </c>
      <c r="G3523" s="17" t="s">
        <v>13000</v>
      </c>
      <c r="H3523" s="35" t="s">
        <v>5626</v>
      </c>
      <c r="I3523" s="18" t="s">
        <v>5627</v>
      </c>
    </row>
    <row r="3524" spans="1:9" s="31" customFormat="1" ht="60">
      <c r="A3524" s="12">
        <v>43569.507245370369</v>
      </c>
      <c r="B3524" s="13" t="str">
        <f>HYPERLINK("https://twitter.com/garbs","@garbs")</f>
        <v>@garbs</v>
      </c>
      <c r="C3524" s="14" t="s">
        <v>4494</v>
      </c>
      <c r="D3524" s="15" t="s">
        <v>4495</v>
      </c>
      <c r="E3524" s="16" t="str">
        <f>HYPERLINK("https://mobile.twitter.com","Twitter Web App")</f>
        <v>Twitter Web App</v>
      </c>
      <c r="F3524" s="12">
        <v>40264.784351851849</v>
      </c>
      <c r="G3524" s="17" t="s">
        <v>13000</v>
      </c>
      <c r="H3524" s="35" t="s">
        <v>4496</v>
      </c>
      <c r="I3524" s="18" t="s">
        <v>4497</v>
      </c>
    </row>
    <row r="3525" spans="1:9" s="31" customFormat="1" ht="75">
      <c r="A3525" s="12">
        <v>43567.97719907407</v>
      </c>
      <c r="B3525" s="13" t="str">
        <f>HYPERLINK("https://twitter.com/jason_metcalfe","@jason_metcalfe")</f>
        <v>@jason_metcalfe</v>
      </c>
      <c r="C3525" s="14" t="s">
        <v>4907</v>
      </c>
      <c r="D3525" s="15" t="s">
        <v>4908</v>
      </c>
      <c r="E3525" s="16" t="str">
        <f>HYPERLINK("http://instagram.com","Instagram")</f>
        <v>Instagram</v>
      </c>
      <c r="F3525" s="12">
        <v>40510.46292824074</v>
      </c>
      <c r="G3525" s="17" t="s">
        <v>13000</v>
      </c>
      <c r="H3525" s="35" t="s">
        <v>4909</v>
      </c>
      <c r="I3525" s="18" t="s">
        <v>4910</v>
      </c>
    </row>
    <row r="3526" spans="1:9" s="31" customFormat="1" ht="75">
      <c r="A3526" s="19">
        <v>43543.89162037037</v>
      </c>
      <c r="B3526" s="20" t="str">
        <f>HYPERLINK("https://twitter.com/MillardsHouseof","@MillardsHouseof")</f>
        <v>@MillardsHouseof</v>
      </c>
      <c r="C3526" s="21" t="s">
        <v>9655</v>
      </c>
      <c r="D3526" s="22" t="s">
        <v>9656</v>
      </c>
      <c r="E3526" s="23" t="str">
        <f>HYPERLINK("http://twitter.com","Twitter Web Client")</f>
        <v>Twitter Web Client</v>
      </c>
      <c r="F3526" s="19">
        <v>42457.707685185189</v>
      </c>
      <c r="G3526" s="17" t="s">
        <v>13000</v>
      </c>
      <c r="H3526" s="35" t="s">
        <v>9657</v>
      </c>
      <c r="I3526" s="25" t="s">
        <v>9658</v>
      </c>
    </row>
    <row r="3527" spans="1:9" s="31" customFormat="1" ht="45">
      <c r="A3527" s="19">
        <v>43547.450185185182</v>
      </c>
      <c r="B3527" s="20" t="str">
        <f>HYPERLINK("https://twitter.com/monehhh","@monehhh")</f>
        <v>@monehhh</v>
      </c>
      <c r="C3527" s="21" t="s">
        <v>3030</v>
      </c>
      <c r="D3527" s="22" t="s">
        <v>8538</v>
      </c>
      <c r="E3527" s="23" t="str">
        <f>HYPERLINK("http://twitter.com/download/iphone","Twitter for iPhone")</f>
        <v>Twitter for iPhone</v>
      </c>
      <c r="F3527" s="19">
        <v>39910.084837962961</v>
      </c>
      <c r="G3527" s="17" t="s">
        <v>13000</v>
      </c>
      <c r="H3527" s="35" t="s">
        <v>3032</v>
      </c>
      <c r="I3527" s="25" t="s">
        <v>3033</v>
      </c>
    </row>
    <row r="3528" spans="1:9" s="31" customFormat="1" ht="45">
      <c r="A3528" s="4">
        <v>43564.429479166662</v>
      </c>
      <c r="B3528" s="5" t="str">
        <f>HYPERLINK("https://twitter.com/monehhh","@monehhh")</f>
        <v>@monehhh</v>
      </c>
      <c r="C3528" s="6" t="s">
        <v>3030</v>
      </c>
      <c r="D3528" s="7" t="s">
        <v>4681</v>
      </c>
      <c r="E3528" s="8" t="str">
        <f>HYPERLINK("http://twitter.com/download/iphone","Twitter for iPhone")</f>
        <v>Twitter for iPhone</v>
      </c>
      <c r="F3528" s="4">
        <v>39910.084837962961</v>
      </c>
      <c r="G3528" s="17" t="s">
        <v>13000</v>
      </c>
      <c r="H3528" s="35" t="s">
        <v>3032</v>
      </c>
      <c r="I3528" s="10" t="s">
        <v>3033</v>
      </c>
    </row>
    <row r="3529" spans="1:9" s="31" customFormat="1" ht="45">
      <c r="A3529" s="12">
        <v>43572.997939814813</v>
      </c>
      <c r="B3529" s="13" t="str">
        <f>HYPERLINK("https://twitter.com/monehhh","@monehhh")</f>
        <v>@monehhh</v>
      </c>
      <c r="C3529" s="14" t="s">
        <v>3030</v>
      </c>
      <c r="D3529" s="15" t="s">
        <v>3031</v>
      </c>
      <c r="E3529" s="16" t="str">
        <f>HYPERLINK("http://twitter.com/download/iphone","Twitter for iPhone")</f>
        <v>Twitter for iPhone</v>
      </c>
      <c r="F3529" s="12">
        <v>39910.084837962961</v>
      </c>
      <c r="G3529" s="17" t="s">
        <v>13000</v>
      </c>
      <c r="H3529" s="35" t="s">
        <v>3032</v>
      </c>
      <c r="I3529" s="18" t="s">
        <v>3033</v>
      </c>
    </row>
    <row r="3530" spans="1:9" s="31" customFormat="1" ht="45">
      <c r="A3530" s="12">
        <v>43568.64534722222</v>
      </c>
      <c r="B3530" s="13" t="str">
        <f>HYPERLINK("https://twitter.com/monehhh","@monehhh")</f>
        <v>@monehhh</v>
      </c>
      <c r="C3530" s="14" t="s">
        <v>3030</v>
      </c>
      <c r="D3530" s="15" t="s">
        <v>4681</v>
      </c>
      <c r="E3530" s="16" t="str">
        <f>HYPERLINK("http://twitter.com/download/iphone","Twitter for iPhone")</f>
        <v>Twitter for iPhone</v>
      </c>
      <c r="F3530" s="12">
        <v>39910.084837962961</v>
      </c>
      <c r="G3530" s="17" t="s">
        <v>13000</v>
      </c>
      <c r="H3530" s="35" t="s">
        <v>3032</v>
      </c>
      <c r="I3530" s="18" t="s">
        <v>3033</v>
      </c>
    </row>
    <row r="3531" spans="1:9" s="31" customFormat="1" ht="60">
      <c r="A3531" s="12">
        <v>43574.031423611115</v>
      </c>
      <c r="B3531" s="13" t="str">
        <f>HYPERLINK("https://twitter.com/DianneSanLuis","@DianneSanLuis")</f>
        <v>@DianneSanLuis</v>
      </c>
      <c r="C3531" s="14" t="s">
        <v>2685</v>
      </c>
      <c r="D3531" s="15" t="s">
        <v>2686</v>
      </c>
      <c r="E3531" s="16" t="str">
        <f>HYPERLINK("http://twitter.com/download/android","Twitter for Android")</f>
        <v>Twitter for Android</v>
      </c>
      <c r="F3531" s="12">
        <v>39853.527777777781</v>
      </c>
      <c r="G3531" s="17" t="s">
        <v>13000</v>
      </c>
      <c r="H3531" s="35" t="s">
        <v>2687</v>
      </c>
      <c r="I3531" s="18" t="s">
        <v>2688</v>
      </c>
    </row>
    <row r="3532" spans="1:9" s="31" customFormat="1" ht="90">
      <c r="A3532" s="12">
        <v>43573.67292824074</v>
      </c>
      <c r="B3532" s="13" t="str">
        <f>HYPERLINK("https://twitter.com/royalrealtyllc","@royalrealtyllc")</f>
        <v>@royalrealtyllc</v>
      </c>
      <c r="C3532" s="14" t="s">
        <v>2768</v>
      </c>
      <c r="D3532" s="15" t="s">
        <v>2769</v>
      </c>
      <c r="E3532" s="16" t="str">
        <f>HYPERLINK("https://sproutsocial.com","Sprout Social")</f>
        <v>Sprout Social</v>
      </c>
      <c r="F3532" s="12">
        <v>42832.688032407408</v>
      </c>
      <c r="G3532" s="17" t="s">
        <v>13000</v>
      </c>
      <c r="H3532" s="35" t="s">
        <v>2687</v>
      </c>
      <c r="I3532" s="18" t="s">
        <v>2770</v>
      </c>
    </row>
    <row r="3533" spans="1:9" s="31" customFormat="1" ht="60">
      <c r="A3533" s="12">
        <v>43577.475243055553</v>
      </c>
      <c r="B3533" s="13" t="str">
        <f>HYPERLINK("https://twitter.com/jongardella","@jongardella")</f>
        <v>@jongardella</v>
      </c>
      <c r="C3533" s="14" t="s">
        <v>1609</v>
      </c>
      <c r="D3533" s="15" t="s">
        <v>1610</v>
      </c>
      <c r="E3533" s="16" t="str">
        <f>HYPERLINK("http://www.linkedin.com/","LinkedIn")</f>
        <v>LinkedIn</v>
      </c>
      <c r="F3533" s="12">
        <v>41537.499421296292</v>
      </c>
      <c r="G3533" s="17" t="s">
        <v>13000</v>
      </c>
      <c r="H3533" s="35" t="s">
        <v>1611</v>
      </c>
      <c r="I3533" s="18" t="s">
        <v>1612</v>
      </c>
    </row>
    <row r="3534" spans="1:9" s="31" customFormat="1" ht="45">
      <c r="A3534" s="12">
        <v>43577.185983796298</v>
      </c>
      <c r="B3534" s="13" t="str">
        <f>HYPERLINK("https://twitter.com/jongardella","@jongardella")</f>
        <v>@jongardella</v>
      </c>
      <c r="C3534" s="14" t="s">
        <v>1609</v>
      </c>
      <c r="D3534" s="15" t="s">
        <v>1716</v>
      </c>
      <c r="E3534" s="16" t="str">
        <f>HYPERLINK("http://twitter.com/download/android","Twitter for Android")</f>
        <v>Twitter for Android</v>
      </c>
      <c r="F3534" s="12">
        <v>41537.499421296292</v>
      </c>
      <c r="G3534" s="17" t="s">
        <v>13000</v>
      </c>
      <c r="H3534" s="35" t="s">
        <v>1611</v>
      </c>
      <c r="I3534" s="18" t="s">
        <v>1612</v>
      </c>
    </row>
    <row r="3535" spans="1:9" s="31" customFormat="1" ht="45">
      <c r="A3535" s="12">
        <v>43579.268506944441</v>
      </c>
      <c r="B3535" s="13" t="str">
        <f>HYPERLINK("https://twitter.com/buyfromcurtis","@buyfromcurtis")</f>
        <v>@buyfromcurtis</v>
      </c>
      <c r="C3535" s="14" t="s">
        <v>807</v>
      </c>
      <c r="D3535" s="15" t="s">
        <v>808</v>
      </c>
      <c r="E3535" s="16" t="str">
        <f>HYPERLINK("http://www.facebook.com/twitter","Facebook")</f>
        <v>Facebook</v>
      </c>
      <c r="F3535" s="12">
        <v>40051.757870370369</v>
      </c>
      <c r="G3535" s="17" t="s">
        <v>13000</v>
      </c>
      <c r="H3535" s="35" t="s">
        <v>809</v>
      </c>
      <c r="I3535" s="18" t="s">
        <v>810</v>
      </c>
    </row>
    <row r="3536" spans="1:9" s="31" customFormat="1" ht="75">
      <c r="A3536" s="19">
        <v>43550.531689814816</v>
      </c>
      <c r="B3536" s="20" t="str">
        <f>HYPERLINK("https://twitter.com/AllBidNoLid","@AllBidNoLid")</f>
        <v>@AllBidNoLid</v>
      </c>
      <c r="C3536" s="21" t="s">
        <v>7620</v>
      </c>
      <c r="D3536" s="22" t="s">
        <v>7621</v>
      </c>
      <c r="E3536" s="23" t="str">
        <f>HYPERLINK("http://instagram.com","Instagram")</f>
        <v>Instagram</v>
      </c>
      <c r="F3536" s="19">
        <v>40494.508206018516</v>
      </c>
      <c r="G3536" s="17" t="s">
        <v>13000</v>
      </c>
      <c r="H3536" s="35" t="s">
        <v>7622</v>
      </c>
      <c r="I3536" s="25" t="s">
        <v>7623</v>
      </c>
    </row>
    <row r="3537" spans="1:9" s="31" customFormat="1" ht="30">
      <c r="A3537" s="19">
        <v>43550.427268518513</v>
      </c>
      <c r="B3537" s="20" t="str">
        <f>HYPERLINK("https://twitter.com/hospitality_law","@hospitality_law")</f>
        <v>@hospitality_law</v>
      </c>
      <c r="C3537" s="21" t="s">
        <v>7670</v>
      </c>
      <c r="D3537" s="22" t="s">
        <v>7671</v>
      </c>
      <c r="E3537" s="23" t="str">
        <f>HYPERLINK("https://www.hootsuite.com","Hootsuite Inc.")</f>
        <v>Hootsuite Inc.</v>
      </c>
      <c r="F3537" s="19">
        <v>40035.325243055559</v>
      </c>
      <c r="G3537" s="17" t="s">
        <v>13000</v>
      </c>
      <c r="H3537" s="35" t="s">
        <v>7622</v>
      </c>
      <c r="I3537" s="25" t="s">
        <v>7672</v>
      </c>
    </row>
    <row r="3538" spans="1:9" s="31" customFormat="1" ht="30">
      <c r="A3538" s="19">
        <v>43545.552233796298</v>
      </c>
      <c r="B3538" s="20" t="str">
        <f>HYPERLINK("https://twitter.com/hospitality_law","@hospitality_law")</f>
        <v>@hospitality_law</v>
      </c>
      <c r="C3538" s="21" t="s">
        <v>7670</v>
      </c>
      <c r="D3538" s="22" t="s">
        <v>9099</v>
      </c>
      <c r="E3538" s="23" t="str">
        <f>HYPERLINK("https://www.hootsuite.com","Hootsuite Inc.")</f>
        <v>Hootsuite Inc.</v>
      </c>
      <c r="F3538" s="19">
        <v>40035.325243055559</v>
      </c>
      <c r="G3538" s="17" t="s">
        <v>13000</v>
      </c>
      <c r="H3538" s="35" t="s">
        <v>7622</v>
      </c>
      <c r="I3538" s="25" t="s">
        <v>7672</v>
      </c>
    </row>
    <row r="3539" spans="1:9" s="31" customFormat="1" ht="45">
      <c r="A3539" s="19">
        <v>43543.687071759261</v>
      </c>
      <c r="B3539" s="20" t="str">
        <f>HYPERLINK("https://twitter.com/deville713","@deville713")</f>
        <v>@deville713</v>
      </c>
      <c r="C3539" s="21" t="s">
        <v>9703</v>
      </c>
      <c r="D3539" s="22" t="s">
        <v>9704</v>
      </c>
      <c r="E3539" s="23" t="str">
        <f>HYPERLINK("http://twitter.com/download/iphone","Twitter for iPhone")</f>
        <v>Twitter for iPhone</v>
      </c>
      <c r="F3539" s="19">
        <v>40213.335509259261</v>
      </c>
      <c r="G3539" s="17" t="s">
        <v>13000</v>
      </c>
      <c r="H3539" s="35" t="s">
        <v>7622</v>
      </c>
      <c r="I3539" s="25" t="s">
        <v>9705</v>
      </c>
    </row>
    <row r="3540" spans="1:9" s="31" customFormat="1" ht="45">
      <c r="A3540" s="4">
        <v>43558.890231481477</v>
      </c>
      <c r="B3540" s="5" t="str">
        <f>HYPERLINK("https://twitter.com/GreatBeerNow","@GreatBeerNow")</f>
        <v>@GreatBeerNow</v>
      </c>
      <c r="C3540" s="6" t="s">
        <v>12002</v>
      </c>
      <c r="D3540" s="7" t="s">
        <v>12003</v>
      </c>
      <c r="E3540" s="8" t="str">
        <f>HYPERLINK("http://twitter.com/download/android","Twitter for Android")</f>
        <v>Twitter for Android</v>
      </c>
      <c r="F3540" s="4">
        <v>40179.53833333333</v>
      </c>
      <c r="G3540" s="17" t="s">
        <v>13000</v>
      </c>
      <c r="H3540" s="35" t="s">
        <v>7622</v>
      </c>
      <c r="I3540" s="10" t="s">
        <v>12004</v>
      </c>
    </row>
    <row r="3541" spans="1:9" s="31" customFormat="1" ht="90">
      <c r="A3541" s="4">
        <v>43563.563680555555</v>
      </c>
      <c r="B3541" s="5" t="str">
        <f>HYPERLINK("https://twitter.com/NigeriaCircle","@NigeriaCircle")</f>
        <v>@NigeriaCircle</v>
      </c>
      <c r="C3541" s="6" t="s">
        <v>10222</v>
      </c>
      <c r="D3541" s="7" t="s">
        <v>10223</v>
      </c>
      <c r="E3541" s="8" t="str">
        <f>HYPERLINK("https://nigeriacircle.com","NigeriaCircle.com")</f>
        <v>NigeriaCircle.com</v>
      </c>
      <c r="F3541" s="4">
        <v>42033.48605324074</v>
      </c>
      <c r="G3541" s="17" t="s">
        <v>13000</v>
      </c>
      <c r="H3541" s="35" t="s">
        <v>10224</v>
      </c>
      <c r="I3541" s="10" t="s">
        <v>10225</v>
      </c>
    </row>
    <row r="3542" spans="1:9" s="31" customFormat="1" ht="105">
      <c r="A3542" s="19">
        <v>43550.29409722222</v>
      </c>
      <c r="B3542" s="20" t="str">
        <f>HYPERLINK("https://twitter.com/TidalLoans","@TidalLoans")</f>
        <v>@TidalLoans</v>
      </c>
      <c r="C3542" s="21" t="s">
        <v>7741</v>
      </c>
      <c r="D3542" s="22" t="s">
        <v>7742</v>
      </c>
      <c r="E3542" s="23" t="str">
        <f>HYPERLINK("http://twitter.com/download/iphone","Twitter for iPhone")</f>
        <v>Twitter for iPhone</v>
      </c>
      <c r="F3542" s="19">
        <v>42886.434606481482</v>
      </c>
      <c r="G3542" s="17" t="s">
        <v>13000</v>
      </c>
      <c r="H3542" s="35" t="s">
        <v>2864</v>
      </c>
      <c r="I3542" s="25" t="s">
        <v>7743</v>
      </c>
    </row>
    <row r="3543" spans="1:9" s="31" customFormat="1" ht="90">
      <c r="A3543" s="19">
        <v>43544.353078703702</v>
      </c>
      <c r="B3543" s="20" t="str">
        <f>HYPERLINK("https://twitter.com/dombeveridge","@dombeveridge")</f>
        <v>@dombeveridge</v>
      </c>
      <c r="C3543" s="21" t="s">
        <v>2862</v>
      </c>
      <c r="D3543" s="22" t="s">
        <v>9500</v>
      </c>
      <c r="E3543" s="23" t="str">
        <f>HYPERLINK("http://twitter.com","Twitter Web Client")</f>
        <v>Twitter Web Client</v>
      </c>
      <c r="F3543" s="19">
        <v>39701.303576388891</v>
      </c>
      <c r="G3543" s="17" t="s">
        <v>13000</v>
      </c>
      <c r="H3543" s="35" t="s">
        <v>2864</v>
      </c>
      <c r="I3543" s="25" t="s">
        <v>2865</v>
      </c>
    </row>
    <row r="3544" spans="1:9" s="31" customFormat="1" ht="45">
      <c r="A3544" s="19">
        <v>43543.610891203702</v>
      </c>
      <c r="B3544" s="20" t="str">
        <f>HYPERLINK("https://twitter.com/HTOWN_AIRBNB","@HTOWN_AIRBNB")</f>
        <v>@HTOWN_AIRBNB</v>
      </c>
      <c r="C3544" s="21" t="s">
        <v>6387</v>
      </c>
      <c r="D3544" s="22" t="s">
        <v>9740</v>
      </c>
      <c r="E3544" s="23" t="str">
        <f>HYPERLINK("http://twitter.com/download/iphone","Twitter for iPhone")</f>
        <v>Twitter for iPhone</v>
      </c>
      <c r="F3544" s="19">
        <v>42814.549074074079</v>
      </c>
      <c r="G3544" s="17" t="s">
        <v>13000</v>
      </c>
      <c r="H3544" s="35" t="s">
        <v>2864</v>
      </c>
      <c r="I3544" s="25" t="s">
        <v>6389</v>
      </c>
    </row>
    <row r="3545" spans="1:9" s="31" customFormat="1" ht="60">
      <c r="A3545" s="19">
        <v>43542.71738425926</v>
      </c>
      <c r="B3545" s="20" t="str">
        <f>HYPERLINK("https://twitter.com/haroldlgardner","@haroldlgardner")</f>
        <v>@haroldlgardner</v>
      </c>
      <c r="C3545" s="21" t="s">
        <v>10028</v>
      </c>
      <c r="D3545" s="22" t="s">
        <v>10029</v>
      </c>
      <c r="E3545" s="23" t="str">
        <f>HYPERLINK("https://buffer.com","Buffer")</f>
        <v>Buffer</v>
      </c>
      <c r="F3545" s="19">
        <v>40466.16615740741</v>
      </c>
      <c r="G3545" s="17" t="s">
        <v>13000</v>
      </c>
      <c r="H3545" s="35" t="s">
        <v>2864</v>
      </c>
      <c r="I3545" s="25" t="s">
        <v>10030</v>
      </c>
    </row>
    <row r="3546" spans="1:9" s="31" customFormat="1" ht="45">
      <c r="A3546" s="4">
        <v>43565.652789351851</v>
      </c>
      <c r="B3546" s="5" t="str">
        <f>HYPERLINK("https://twitter.com/SWchannelview","@SWchannelview")</f>
        <v>@SWchannelview</v>
      </c>
      <c r="C3546" s="6" t="s">
        <v>5965</v>
      </c>
      <c r="D3546" s="7" t="s">
        <v>5966</v>
      </c>
      <c r="E3546" s="8" t="str">
        <f>HYPERLINK("https://about.twitter.com/products/tweetdeck","TweetDeck")</f>
        <v>TweetDeck</v>
      </c>
      <c r="F3546" s="4">
        <v>41457.370023148149</v>
      </c>
      <c r="G3546" s="17" t="s">
        <v>13000</v>
      </c>
      <c r="H3546" s="35" t="s">
        <v>5967</v>
      </c>
      <c r="I3546" s="10" t="s">
        <v>5968</v>
      </c>
    </row>
    <row r="3547" spans="1:9" s="31" customFormat="1" ht="45">
      <c r="A3547" s="4">
        <v>43564.902303240742</v>
      </c>
      <c r="B3547" s="5" t="str">
        <f>HYPERLINK("https://twitter.com/HTOWN_AIRBNB","@HTOWN_AIRBNB")</f>
        <v>@HTOWN_AIRBNB</v>
      </c>
      <c r="C3547" s="6" t="s">
        <v>6387</v>
      </c>
      <c r="D3547" s="7" t="s">
        <v>6388</v>
      </c>
      <c r="E3547" s="8" t="str">
        <f>HYPERLINK("http://twitter.com/download/iphone","Twitter for iPhone")</f>
        <v>Twitter for iPhone</v>
      </c>
      <c r="F3547" s="4">
        <v>42814.549074074079</v>
      </c>
      <c r="G3547" s="17" t="s">
        <v>13000</v>
      </c>
      <c r="H3547" s="35" t="s">
        <v>2864</v>
      </c>
      <c r="I3547" s="10" t="s">
        <v>6389</v>
      </c>
    </row>
    <row r="3548" spans="1:9" s="31" customFormat="1" ht="210">
      <c r="A3548" s="4">
        <v>43564.884687500002</v>
      </c>
      <c r="B3548" s="5" t="str">
        <f>HYPERLINK("https://twitter.com/HTOWN_AIRBNB","@HTOWN_AIRBNB")</f>
        <v>@HTOWN_AIRBNB</v>
      </c>
      <c r="C3548" s="6" t="s">
        <v>6387</v>
      </c>
      <c r="D3548" s="7" t="s">
        <v>6390</v>
      </c>
      <c r="E3548" s="8" t="str">
        <f>HYPERLINK("http://twitter.com/download/iphone","Twitter for iPhone")</f>
        <v>Twitter for iPhone</v>
      </c>
      <c r="F3548" s="4">
        <v>42814.549074074079</v>
      </c>
      <c r="G3548" s="17" t="s">
        <v>13000</v>
      </c>
      <c r="H3548" s="35" t="s">
        <v>2864</v>
      </c>
      <c r="I3548" s="10" t="s">
        <v>6389</v>
      </c>
    </row>
    <row r="3549" spans="1:9" s="31" customFormat="1" ht="30">
      <c r="A3549" s="4">
        <v>43564.838900462964</v>
      </c>
      <c r="B3549" s="5" t="str">
        <f>HYPERLINK("https://twitter.com/scolyke","@scolyke")</f>
        <v>@scolyke</v>
      </c>
      <c r="C3549" s="6" t="s">
        <v>10195</v>
      </c>
      <c r="D3549" s="7" t="s">
        <v>10196</v>
      </c>
      <c r="E3549" s="8" t="str">
        <f>HYPERLINK("http://twitter.com/download/iphone","Twitter for iPhone")</f>
        <v>Twitter for iPhone</v>
      </c>
      <c r="F3549" s="4">
        <v>42459.37332175926</v>
      </c>
      <c r="G3549" s="17" t="s">
        <v>13000</v>
      </c>
      <c r="H3549" s="35" t="s">
        <v>2864</v>
      </c>
      <c r="I3549" s="10" t="s">
        <v>10197</v>
      </c>
    </row>
    <row r="3550" spans="1:9" s="31" customFormat="1" ht="45">
      <c r="A3550" s="4">
        <v>43561.90825231481</v>
      </c>
      <c r="B3550" s="5" t="str">
        <f>HYPERLINK("https://twitter.com/LifeWithSammiN","@LifeWithSammiN")</f>
        <v>@LifeWithSammiN</v>
      </c>
      <c r="C3550" s="6" t="s">
        <v>10800</v>
      </c>
      <c r="D3550" s="7" t="s">
        <v>10801</v>
      </c>
      <c r="E3550" s="8" t="str">
        <f>HYPERLINK("http://twitter.com","Twitter Web Client")</f>
        <v>Twitter Web Client</v>
      </c>
      <c r="F3550" s="4">
        <v>41065.710370370369</v>
      </c>
      <c r="G3550" s="17" t="s">
        <v>13000</v>
      </c>
      <c r="H3550" s="35" t="s">
        <v>2864</v>
      </c>
      <c r="I3550" s="10" t="s">
        <v>10802</v>
      </c>
    </row>
    <row r="3551" spans="1:9" s="31" customFormat="1" ht="45">
      <c r="A3551" s="4">
        <v>43560.674768518518</v>
      </c>
      <c r="B3551" s="5" t="str">
        <f>HYPERLINK("https://twitter.com/TyronMcDaniel","@TyronMcDaniel")</f>
        <v>@TyronMcDaniel</v>
      </c>
      <c r="C3551" s="6" t="s">
        <v>11224</v>
      </c>
      <c r="D3551" s="7" t="s">
        <v>11225</v>
      </c>
      <c r="E3551" s="8" t="str">
        <f>HYPERLINK("http://twitter.com/download/iphone","Twitter for iPhone")</f>
        <v>Twitter for iPhone</v>
      </c>
      <c r="F3551" s="4">
        <v>42138.354687500003</v>
      </c>
      <c r="G3551" s="17" t="s">
        <v>13000</v>
      </c>
      <c r="H3551" s="35" t="s">
        <v>2864</v>
      </c>
      <c r="I3551" s="10" t="s">
        <v>11226</v>
      </c>
    </row>
    <row r="3552" spans="1:9" s="31" customFormat="1" ht="45">
      <c r="A3552" s="4">
        <v>43559.600902777776</v>
      </c>
      <c r="B3552" s="5" t="str">
        <f>HYPERLINK("https://twitter.com/dombeveridge","@dombeveridge")</f>
        <v>@dombeveridge</v>
      </c>
      <c r="C3552" s="6" t="s">
        <v>2862</v>
      </c>
      <c r="D3552" s="7" t="s">
        <v>11749</v>
      </c>
      <c r="E3552" s="8" t="str">
        <f>HYPERLINK("http://twitter.com","Twitter Web Client")</f>
        <v>Twitter Web Client</v>
      </c>
      <c r="F3552" s="4">
        <v>39701.303576388891</v>
      </c>
      <c r="G3552" s="17" t="s">
        <v>13000</v>
      </c>
      <c r="H3552" s="35" t="s">
        <v>2864</v>
      </c>
      <c r="I3552" s="10" t="s">
        <v>2865</v>
      </c>
    </row>
    <row r="3553" spans="1:9" s="31" customFormat="1" ht="75">
      <c r="A3553" s="4">
        <v>43557.669270833328</v>
      </c>
      <c r="B3553" s="5" t="str">
        <f>HYPERLINK("https://twitter.com/HTOWN_AIRBNB","@HTOWN_AIRBNB")</f>
        <v>@HTOWN_AIRBNB</v>
      </c>
      <c r="C3553" s="6" t="s">
        <v>6387</v>
      </c>
      <c r="D3553" s="7" t="s">
        <v>12419</v>
      </c>
      <c r="E3553" s="8" t="str">
        <f>HYPERLINK("http://twitter.com/download/iphone","Twitter for iPhone")</f>
        <v>Twitter for iPhone</v>
      </c>
      <c r="F3553" s="4">
        <v>42814.549074074079</v>
      </c>
      <c r="G3553" s="17" t="s">
        <v>13000</v>
      </c>
      <c r="H3553" s="35" t="s">
        <v>2864</v>
      </c>
      <c r="I3553" s="10" t="s">
        <v>6389</v>
      </c>
    </row>
    <row r="3554" spans="1:9" s="31" customFormat="1" ht="60">
      <c r="A3554" s="4">
        <v>43557.500833333332</v>
      </c>
      <c r="B3554" s="5" t="str">
        <f>HYPERLINK("https://twitter.com/glking1","@glking1")</f>
        <v>@glking1</v>
      </c>
      <c r="C3554" s="6" t="s">
        <v>12496</v>
      </c>
      <c r="D3554" s="7" t="s">
        <v>12497</v>
      </c>
      <c r="E3554" s="8" t="str">
        <f>HYPERLINK("http://instagram.com","Instagram")</f>
        <v>Instagram</v>
      </c>
      <c r="F3554" s="4">
        <v>39691.903761574074</v>
      </c>
      <c r="G3554" s="17" t="s">
        <v>13000</v>
      </c>
      <c r="H3554" s="35" t="s">
        <v>2864</v>
      </c>
      <c r="I3554" s="10" t="s">
        <v>12498</v>
      </c>
    </row>
    <row r="3555" spans="1:9" s="31" customFormat="1" ht="60">
      <c r="A3555" s="4">
        <v>43556.717372685191</v>
      </c>
      <c r="B3555" s="5" t="str">
        <f>HYPERLINK("https://twitter.com/haroldlgardner","@haroldlgardner")</f>
        <v>@haroldlgardner</v>
      </c>
      <c r="C3555" s="6" t="s">
        <v>10028</v>
      </c>
      <c r="D3555" s="7" t="s">
        <v>12763</v>
      </c>
      <c r="E3555" s="8" t="str">
        <f>HYPERLINK("https://buffer.com","Buffer")</f>
        <v>Buffer</v>
      </c>
      <c r="F3555" s="4">
        <v>40466.16615740741</v>
      </c>
      <c r="G3555" s="17" t="s">
        <v>13000</v>
      </c>
      <c r="H3555" s="35" t="s">
        <v>2864</v>
      </c>
      <c r="I3555" s="10" t="s">
        <v>10030</v>
      </c>
    </row>
    <row r="3556" spans="1:9" s="31" customFormat="1" ht="90">
      <c r="A3556" s="12">
        <v>43573.431724537033</v>
      </c>
      <c r="B3556" s="13" t="str">
        <f>HYPERLINK("https://twitter.com/dombeveridge","@dombeveridge")</f>
        <v>@dombeveridge</v>
      </c>
      <c r="C3556" s="14" t="s">
        <v>2862</v>
      </c>
      <c r="D3556" s="15" t="s">
        <v>2863</v>
      </c>
      <c r="E3556" s="16" t="str">
        <f>HYPERLINK("http://twitter.com","Twitter Web Client")</f>
        <v>Twitter Web Client</v>
      </c>
      <c r="F3556" s="12">
        <v>39701.303576388891</v>
      </c>
      <c r="G3556" s="17" t="s">
        <v>13000</v>
      </c>
      <c r="H3556" s="35" t="s">
        <v>2864</v>
      </c>
      <c r="I3556" s="18" t="s">
        <v>2865</v>
      </c>
    </row>
    <row r="3557" spans="1:9" s="31" customFormat="1" ht="90">
      <c r="A3557" s="19">
        <v>43543.871608796297</v>
      </c>
      <c r="B3557" s="20" t="str">
        <f>HYPERLINK("https://twitter.com/AuthorMaca","@AuthorMaca")</f>
        <v>@AuthorMaca</v>
      </c>
      <c r="C3557" s="21" t="s">
        <v>9659</v>
      </c>
      <c r="D3557" s="22" t="s">
        <v>9660</v>
      </c>
      <c r="E3557" s="23" t="str">
        <f>HYPERLINK("http://twitter.com/download/iphone","Twitter for iPhone")</f>
        <v>Twitter for iPhone</v>
      </c>
      <c r="F3557" s="19">
        <v>41950.620335648149</v>
      </c>
      <c r="G3557" s="17" t="s">
        <v>13000</v>
      </c>
      <c r="H3557" s="35" t="s">
        <v>9661</v>
      </c>
      <c r="I3557" s="25" t="s">
        <v>9662</v>
      </c>
    </row>
    <row r="3558" spans="1:9" s="31" customFormat="1" ht="45">
      <c r="A3558" s="4">
        <v>43561.830659722225</v>
      </c>
      <c r="B3558" s="5" t="str">
        <f>HYPERLINK("https://twitter.com/akfullerton","@akfullerton")</f>
        <v>@akfullerton</v>
      </c>
      <c r="C3558" s="6" t="s">
        <v>10815</v>
      </c>
      <c r="D3558" s="7" t="s">
        <v>10816</v>
      </c>
      <c r="E3558" s="8" t="str">
        <f>HYPERLINK("http://twitter.com","Twitter Web Client")</f>
        <v>Twitter Web Client</v>
      </c>
      <c r="F3558" s="4">
        <v>41877.248391203706</v>
      </c>
      <c r="G3558" s="9" t="s">
        <v>13000</v>
      </c>
      <c r="H3558" s="35" t="s">
        <v>10817</v>
      </c>
      <c r="I3558" s="10" t="s">
        <v>10818</v>
      </c>
    </row>
    <row r="3559" spans="1:9" s="31" customFormat="1" ht="90">
      <c r="A3559" s="4">
        <v>43560.624444444446</v>
      </c>
      <c r="B3559" s="5" t="str">
        <f>HYPERLINK("https://twitter.com/surfriders75","@surfriders75")</f>
        <v>@surfriders75</v>
      </c>
      <c r="C3559" s="6" t="s">
        <v>11241</v>
      </c>
      <c r="D3559" s="7" t="s">
        <v>11242</v>
      </c>
      <c r="E3559" s="8" t="str">
        <f>HYPERLINK("http://www.facebook.com/twitter","Facebook")</f>
        <v>Facebook</v>
      </c>
      <c r="F3559" s="4">
        <v>40113.891284722224</v>
      </c>
      <c r="G3559" s="17" t="s">
        <v>13000</v>
      </c>
      <c r="H3559" s="35" t="s">
        <v>11243</v>
      </c>
      <c r="I3559" s="10" t="s">
        <v>11244</v>
      </c>
    </row>
    <row r="3560" spans="1:9" s="31" customFormat="1" ht="90">
      <c r="A3560" s="4">
        <v>43560.624224537038</v>
      </c>
      <c r="B3560" s="5" t="str">
        <f>HYPERLINK("https://twitter.com/surfriders75","@surfriders75")</f>
        <v>@surfriders75</v>
      </c>
      <c r="C3560" s="6" t="s">
        <v>11241</v>
      </c>
      <c r="D3560" s="7" t="s">
        <v>11242</v>
      </c>
      <c r="E3560" s="8" t="str">
        <f>HYPERLINK("http://www.facebook.com/twitter","Facebook")</f>
        <v>Facebook</v>
      </c>
      <c r="F3560" s="4">
        <v>40113.891284722224</v>
      </c>
      <c r="G3560" s="17" t="s">
        <v>13000</v>
      </c>
      <c r="H3560" s="35" t="s">
        <v>11243</v>
      </c>
      <c r="I3560" s="10" t="s">
        <v>11244</v>
      </c>
    </row>
    <row r="3561" spans="1:9" s="31" customFormat="1" ht="30">
      <c r="A3561" s="4">
        <v>43561.507210648153</v>
      </c>
      <c r="B3561" s="5" t="str">
        <f>HYPERLINK("https://twitter.com/mowie","@mowie")</f>
        <v>@mowie</v>
      </c>
      <c r="C3561" s="6" t="s">
        <v>10953</v>
      </c>
      <c r="D3561" s="7" t="s">
        <v>10954</v>
      </c>
      <c r="E3561" s="8" t="str">
        <f>HYPERLINK("http://www.linkedin.com/","LinkedIn")</f>
        <v>LinkedIn</v>
      </c>
      <c r="F3561" s="4">
        <v>39596.806192129632</v>
      </c>
      <c r="G3561" s="17" t="s">
        <v>13000</v>
      </c>
      <c r="H3561" s="35" t="s">
        <v>10955</v>
      </c>
      <c r="I3561" s="10" t="s">
        <v>10956</v>
      </c>
    </row>
    <row r="3562" spans="1:9" s="31" customFormat="1" ht="45">
      <c r="A3562" s="12">
        <v>43574.279699074075</v>
      </c>
      <c r="B3562" s="13" t="str">
        <f>HYPERLINK("https://twitter.com/hayfetts","@hayfetts")</f>
        <v>@hayfetts</v>
      </c>
      <c r="C3562" s="14" t="s">
        <v>2634</v>
      </c>
      <c r="D3562" s="15" t="s">
        <v>2635</v>
      </c>
      <c r="E3562" s="16" t="str">
        <f>HYPERLINK("http://twitter.com/download/iphone","Twitter for iPhone")</f>
        <v>Twitter for iPhone</v>
      </c>
      <c r="F3562" s="12">
        <v>43425.474351851852</v>
      </c>
      <c r="G3562" s="17" t="s">
        <v>13000</v>
      </c>
      <c r="H3562" s="35" t="s">
        <v>2636</v>
      </c>
      <c r="I3562" s="18" t="s">
        <v>2637</v>
      </c>
    </row>
    <row r="3563" spans="1:9" s="31" customFormat="1" ht="105">
      <c r="A3563" s="12">
        <v>43577.576782407406</v>
      </c>
      <c r="B3563" s="13" t="str">
        <f>HYPERLINK("https://twitter.com/IdahoPotato","@IdahoPotato")</f>
        <v>@IdahoPotato</v>
      </c>
      <c r="C3563" s="14" t="s">
        <v>1569</v>
      </c>
      <c r="D3563" s="15" t="s">
        <v>1570</v>
      </c>
      <c r="E3563" s="16" t="str">
        <f>HYPERLINK("http://twitter.com","Twitter Web Client")</f>
        <v>Twitter Web Client</v>
      </c>
      <c r="F3563" s="12">
        <v>39646.890347222223</v>
      </c>
      <c r="G3563" s="17" t="s">
        <v>13000</v>
      </c>
      <c r="H3563" s="35" t="s">
        <v>1571</v>
      </c>
      <c r="I3563" s="18" t="s">
        <v>1572</v>
      </c>
    </row>
    <row r="3564" spans="1:9" s="31" customFormat="1" ht="105">
      <c r="A3564" s="12">
        <v>43571.174432870372</v>
      </c>
      <c r="B3564" s="13" t="str">
        <f>HYPERLINK("https://twitter.com/JoFiz","@JoFiz")</f>
        <v>@JoFiz</v>
      </c>
      <c r="C3564" s="14" t="s">
        <v>3809</v>
      </c>
      <c r="D3564" s="15" t="s">
        <v>3810</v>
      </c>
      <c r="E3564" s="16" t="str">
        <f>HYPERLINK("http://twitter.com/download/iphone","Twitter for iPhone")</f>
        <v>Twitter for iPhone</v>
      </c>
      <c r="F3564" s="12">
        <v>39888.825185185182</v>
      </c>
      <c r="G3564" s="17" t="s">
        <v>13000</v>
      </c>
      <c r="H3564" s="35" t="s">
        <v>3811</v>
      </c>
      <c r="I3564" s="18" t="s">
        <v>3812</v>
      </c>
    </row>
    <row r="3565" spans="1:9" s="31" customFormat="1" ht="45">
      <c r="A3565" s="19">
        <v>43544.495752314819</v>
      </c>
      <c r="B3565" s="20" t="str">
        <f>HYPERLINK("https://twitter.com/startupbutton_","@startupbutton_")</f>
        <v>@startupbutton_</v>
      </c>
      <c r="C3565" s="21" t="s">
        <v>9440</v>
      </c>
      <c r="D3565" s="22" t="s">
        <v>9441</v>
      </c>
      <c r="E3565" s="23" t="str">
        <f>HYPERLINK("http://twitter.com","Twitter Web Client")</f>
        <v>Twitter Web Client</v>
      </c>
      <c r="F3565" s="19">
        <v>42798.617893518516</v>
      </c>
      <c r="G3565" s="9" t="s">
        <v>13000</v>
      </c>
      <c r="H3565" s="35" t="s">
        <v>9442</v>
      </c>
      <c r="I3565" s="25" t="s">
        <v>9443</v>
      </c>
    </row>
    <row r="3566" spans="1:9" s="31" customFormat="1" ht="30">
      <c r="A3566" s="4">
        <v>43561.112118055556</v>
      </c>
      <c r="B3566" s="5" t="str">
        <f>HYPERLINK("https://twitter.com/PTwiggle","@PTwiggle")</f>
        <v>@PTwiggle</v>
      </c>
      <c r="C3566" s="6" t="s">
        <v>11065</v>
      </c>
      <c r="D3566" s="7" t="s">
        <v>11066</v>
      </c>
      <c r="E3566" s="8" t="str">
        <f>HYPERLINK("https://mobile.twitter.com","Twitter Web App")</f>
        <v>Twitter Web App</v>
      </c>
      <c r="F3566" s="4">
        <v>42398.60555555555</v>
      </c>
      <c r="G3566" s="9" t="s">
        <v>13000</v>
      </c>
      <c r="H3566" s="35" t="s">
        <v>9442</v>
      </c>
      <c r="I3566" s="10"/>
    </row>
    <row r="3567" spans="1:9" s="31" customFormat="1" ht="45">
      <c r="A3567" s="12">
        <v>43566.632569444446</v>
      </c>
      <c r="B3567" s="13" t="str">
        <f>HYPERLINK("https://twitter.com/tomjohnz","@tomjohnz")</f>
        <v>@tomjohnz</v>
      </c>
      <c r="C3567" s="14" t="s">
        <v>5387</v>
      </c>
      <c r="D3567" s="15" t="s">
        <v>5388</v>
      </c>
      <c r="E3567" s="16" t="str">
        <f>HYPERLINK("http://twitter.com/download/iphone","Twitter for iPhone")</f>
        <v>Twitter for iPhone</v>
      </c>
      <c r="F3567" s="12">
        <v>39892.917094907403</v>
      </c>
      <c r="G3567" s="17" t="s">
        <v>13000</v>
      </c>
      <c r="H3567" s="35" t="s">
        <v>5389</v>
      </c>
      <c r="I3567" s="18" t="s">
        <v>5390</v>
      </c>
    </row>
    <row r="3568" spans="1:9" s="31" customFormat="1" ht="75">
      <c r="A3568" s="4">
        <v>43558.328055555554</v>
      </c>
      <c r="B3568" s="5" t="str">
        <f>HYPERLINK("https://twitter.com/sandycottages","@sandycottages")</f>
        <v>@sandycottages</v>
      </c>
      <c r="C3568" s="6" t="s">
        <v>12236</v>
      </c>
      <c r="D3568" s="7" t="s">
        <v>12237</v>
      </c>
      <c r="E3568" s="8" t="str">
        <f>HYPERLINK("http://instagram.com","Instagram")</f>
        <v>Instagram</v>
      </c>
      <c r="F3568" s="4">
        <v>43067.183472222227</v>
      </c>
      <c r="G3568" s="17" t="s">
        <v>13000</v>
      </c>
      <c r="H3568" s="35" t="s">
        <v>12238</v>
      </c>
      <c r="I3568" s="10" t="s">
        <v>12239</v>
      </c>
    </row>
    <row r="3569" spans="1:9" s="31" customFormat="1" ht="30">
      <c r="A3569" s="4">
        <v>43563.352812500001</v>
      </c>
      <c r="B3569" s="5" t="str">
        <f>HYPERLINK("https://twitter.com/LoftsMidtown","@LoftsMidtown")</f>
        <v>@LoftsMidtown</v>
      </c>
      <c r="C3569" s="6" t="s">
        <v>10345</v>
      </c>
      <c r="D3569" s="7" t="s">
        <v>10346</v>
      </c>
      <c r="E3569" s="8" t="str">
        <f>HYPERLINK("https://buffer.com","Buffer")</f>
        <v>Buffer</v>
      </c>
      <c r="F3569" s="4">
        <v>43543.351458333331</v>
      </c>
      <c r="G3569" s="17" t="s">
        <v>13000</v>
      </c>
      <c r="H3569" s="35" t="s">
        <v>10347</v>
      </c>
      <c r="I3569" s="10" t="s">
        <v>10348</v>
      </c>
    </row>
    <row r="3570" spans="1:9" s="31" customFormat="1" ht="45">
      <c r="A3570" s="4">
        <v>43561.587523148148</v>
      </c>
      <c r="B3570" s="5" t="str">
        <f>HYPERLINK("https://twitter.com/SnailPaceTrans","@SnailPaceTrans")</f>
        <v>@SnailPaceTrans</v>
      </c>
      <c r="C3570" s="6" t="s">
        <v>10924</v>
      </c>
      <c r="D3570" s="7" t="s">
        <v>10925</v>
      </c>
      <c r="E3570" s="8" t="str">
        <f>HYPERLINK("https://buffer.com","Buffer")</f>
        <v>Buffer</v>
      </c>
      <c r="F3570" s="4">
        <v>41276.168877314813</v>
      </c>
      <c r="G3570" s="17" t="s">
        <v>13000</v>
      </c>
      <c r="H3570" s="35" t="s">
        <v>10347</v>
      </c>
      <c r="I3570" s="10" t="s">
        <v>10926</v>
      </c>
    </row>
    <row r="3571" spans="1:9" s="31" customFormat="1" ht="60">
      <c r="A3571" s="19">
        <v>43551.083240740743</v>
      </c>
      <c r="B3571" s="20" t="str">
        <f>HYPERLINK("https://twitter.com/HoosierSurv","@HoosierSurv")</f>
        <v>@HoosierSurv</v>
      </c>
      <c r="C3571" s="21" t="s">
        <v>7442</v>
      </c>
      <c r="D3571" s="22" t="s">
        <v>7443</v>
      </c>
      <c r="E3571" s="23" t="str">
        <f>HYPERLINK("http://twitter.com","Twitter Web Client")</f>
        <v>Twitter Web Client</v>
      </c>
      <c r="F3571" s="19">
        <v>42330.356874999998</v>
      </c>
      <c r="G3571" s="17" t="s">
        <v>13000</v>
      </c>
      <c r="H3571" s="35" t="s">
        <v>3586</v>
      </c>
      <c r="I3571" s="25" t="s">
        <v>7444</v>
      </c>
    </row>
    <row r="3572" spans="1:9" s="31" customFormat="1" ht="30">
      <c r="A3572" s="4">
        <v>43563.352800925924</v>
      </c>
      <c r="B3572" s="5" t="str">
        <f>HYPERLINK("https://twitter.com/townhouses10th","@townhouses10th")</f>
        <v>@townhouses10th</v>
      </c>
      <c r="C3572" s="6" t="s">
        <v>10349</v>
      </c>
      <c r="D3572" s="7" t="s">
        <v>10346</v>
      </c>
      <c r="E3572" s="8" t="str">
        <f>HYPERLINK("https://buffer.com","Buffer")</f>
        <v>Buffer</v>
      </c>
      <c r="F3572" s="4">
        <v>42608.358576388884</v>
      </c>
      <c r="G3572" s="17" t="s">
        <v>13000</v>
      </c>
      <c r="H3572" s="35" t="s">
        <v>3586</v>
      </c>
      <c r="I3572" s="10" t="s">
        <v>10350</v>
      </c>
    </row>
    <row r="3573" spans="1:9" s="31" customFormat="1" ht="30">
      <c r="A3573" s="12">
        <v>43571.712268518517</v>
      </c>
      <c r="B3573" s="13" t="str">
        <f>HYPERLINK("https://twitter.com/mkruzil","@mkruzil")</f>
        <v>@mkruzil</v>
      </c>
      <c r="C3573" s="14" t="s">
        <v>3584</v>
      </c>
      <c r="D3573" s="15" t="s">
        <v>3585</v>
      </c>
      <c r="E3573" s="16" t="str">
        <f t="shared" ref="E3573:E3594" si="146">HYPERLINK("http://twitter.com/download/iphone","Twitter for iPhone")</f>
        <v>Twitter for iPhone</v>
      </c>
      <c r="F3573" s="12">
        <v>40705.240416666667</v>
      </c>
      <c r="G3573" s="17" t="s">
        <v>13000</v>
      </c>
      <c r="H3573" s="35" t="s">
        <v>3586</v>
      </c>
      <c r="I3573" s="18" t="s">
        <v>3587</v>
      </c>
    </row>
    <row r="3574" spans="1:9" s="31" customFormat="1" ht="60">
      <c r="A3574" s="19">
        <v>43549.489548611113</v>
      </c>
      <c r="B3574" s="20" t="str">
        <f t="shared" ref="B3574:B3592" si="147">HYPERLINK("https://twitter.com/IndyMidtownStay","@IndyMidtownStay")</f>
        <v>@IndyMidtownStay</v>
      </c>
      <c r="C3574" s="21" t="s">
        <v>200</v>
      </c>
      <c r="D3574" s="22" t="s">
        <v>8015</v>
      </c>
      <c r="E3574" s="23" t="str">
        <f t="shared" si="146"/>
        <v>Twitter for iPhone</v>
      </c>
      <c r="F3574" s="19">
        <v>43412.440416666665</v>
      </c>
      <c r="G3574" s="17" t="s">
        <v>13000</v>
      </c>
      <c r="H3574" s="35" t="s">
        <v>202</v>
      </c>
      <c r="I3574" s="25" t="s">
        <v>203</v>
      </c>
    </row>
    <row r="3575" spans="1:9" s="31" customFormat="1" ht="60">
      <c r="A3575" s="19">
        <v>43548.445613425924</v>
      </c>
      <c r="B3575" s="20" t="str">
        <f t="shared" si="147"/>
        <v>@IndyMidtownStay</v>
      </c>
      <c r="C3575" s="21" t="s">
        <v>200</v>
      </c>
      <c r="D3575" s="22" t="s">
        <v>8316</v>
      </c>
      <c r="E3575" s="23" t="str">
        <f t="shared" si="146"/>
        <v>Twitter for iPhone</v>
      </c>
      <c r="F3575" s="19">
        <v>43412.440416666665</v>
      </c>
      <c r="G3575" s="17" t="s">
        <v>13000</v>
      </c>
      <c r="H3575" s="35" t="s">
        <v>202</v>
      </c>
      <c r="I3575" s="25" t="s">
        <v>203</v>
      </c>
    </row>
    <row r="3576" spans="1:9" s="31" customFormat="1" ht="90">
      <c r="A3576" s="19">
        <v>43545.501597222217</v>
      </c>
      <c r="B3576" s="20" t="str">
        <f t="shared" si="147"/>
        <v>@IndyMidtownStay</v>
      </c>
      <c r="C3576" s="21" t="s">
        <v>200</v>
      </c>
      <c r="D3576" s="22" t="s">
        <v>9119</v>
      </c>
      <c r="E3576" s="23" t="str">
        <f t="shared" si="146"/>
        <v>Twitter for iPhone</v>
      </c>
      <c r="F3576" s="19">
        <v>43412.440416666665</v>
      </c>
      <c r="G3576" s="17" t="s">
        <v>13000</v>
      </c>
      <c r="H3576" s="35" t="s">
        <v>202</v>
      </c>
      <c r="I3576" s="25" t="s">
        <v>203</v>
      </c>
    </row>
    <row r="3577" spans="1:9" s="31" customFormat="1" ht="60">
      <c r="A3577" s="19">
        <v>43543.647025462968</v>
      </c>
      <c r="B3577" s="20" t="str">
        <f t="shared" si="147"/>
        <v>@IndyMidtownStay</v>
      </c>
      <c r="C3577" s="21" t="s">
        <v>200</v>
      </c>
      <c r="D3577" s="22" t="s">
        <v>9714</v>
      </c>
      <c r="E3577" s="23" t="str">
        <f t="shared" si="146"/>
        <v>Twitter for iPhone</v>
      </c>
      <c r="F3577" s="19">
        <v>43412.440416666665</v>
      </c>
      <c r="G3577" s="17" t="s">
        <v>13000</v>
      </c>
      <c r="H3577" s="35" t="s">
        <v>202</v>
      </c>
      <c r="I3577" s="25" t="s">
        <v>203</v>
      </c>
    </row>
    <row r="3578" spans="1:9" s="31" customFormat="1" ht="60">
      <c r="A3578" s="4">
        <v>43565.23951388889</v>
      </c>
      <c r="B3578" s="5" t="str">
        <f t="shared" si="147"/>
        <v>@IndyMidtownStay</v>
      </c>
      <c r="C3578" s="6" t="s">
        <v>200</v>
      </c>
      <c r="D3578" s="7" t="s">
        <v>6212</v>
      </c>
      <c r="E3578" s="8" t="str">
        <f t="shared" si="146"/>
        <v>Twitter for iPhone</v>
      </c>
      <c r="F3578" s="4">
        <v>43412.440416666665</v>
      </c>
      <c r="G3578" s="17" t="s">
        <v>13000</v>
      </c>
      <c r="H3578" s="35" t="s">
        <v>202</v>
      </c>
      <c r="I3578" s="10" t="s">
        <v>203</v>
      </c>
    </row>
    <row r="3579" spans="1:9" s="31" customFormat="1" ht="75">
      <c r="A3579" s="4">
        <v>43562.519155092596</v>
      </c>
      <c r="B3579" s="5" t="str">
        <f t="shared" si="147"/>
        <v>@IndyMidtownStay</v>
      </c>
      <c r="C3579" s="6" t="s">
        <v>200</v>
      </c>
      <c r="D3579" s="7" t="s">
        <v>10655</v>
      </c>
      <c r="E3579" s="8" t="str">
        <f t="shared" si="146"/>
        <v>Twitter for iPhone</v>
      </c>
      <c r="F3579" s="4">
        <v>43412.440416666665</v>
      </c>
      <c r="G3579" s="17" t="s">
        <v>13000</v>
      </c>
      <c r="H3579" s="35" t="s">
        <v>202</v>
      </c>
      <c r="I3579" s="10" t="s">
        <v>203</v>
      </c>
    </row>
    <row r="3580" spans="1:9" s="31" customFormat="1" ht="45">
      <c r="A3580" s="4">
        <v>43559.68414351852</v>
      </c>
      <c r="B3580" s="5" t="str">
        <f t="shared" si="147"/>
        <v>@IndyMidtownStay</v>
      </c>
      <c r="C3580" s="6" t="s">
        <v>200</v>
      </c>
      <c r="D3580" s="7" t="s">
        <v>11711</v>
      </c>
      <c r="E3580" s="8" t="str">
        <f t="shared" si="146"/>
        <v>Twitter for iPhone</v>
      </c>
      <c r="F3580" s="4">
        <v>43412.440416666665</v>
      </c>
      <c r="G3580" s="17" t="s">
        <v>13000</v>
      </c>
      <c r="H3580" s="35" t="s">
        <v>202</v>
      </c>
      <c r="I3580" s="10" t="s">
        <v>203</v>
      </c>
    </row>
    <row r="3581" spans="1:9" s="31" customFormat="1" ht="75">
      <c r="A3581" s="12">
        <v>43580.622210648144</v>
      </c>
      <c r="B3581" s="13" t="str">
        <f t="shared" si="147"/>
        <v>@IndyMidtownStay</v>
      </c>
      <c r="C3581" s="14" t="s">
        <v>200</v>
      </c>
      <c r="D3581" s="15" t="s">
        <v>201</v>
      </c>
      <c r="E3581" s="16" t="str">
        <f t="shared" si="146"/>
        <v>Twitter for iPhone</v>
      </c>
      <c r="F3581" s="12">
        <v>43412.940416666665</v>
      </c>
      <c r="G3581" s="17" t="s">
        <v>13000</v>
      </c>
      <c r="H3581" s="35" t="s">
        <v>202</v>
      </c>
      <c r="I3581" s="18" t="s">
        <v>203</v>
      </c>
    </row>
    <row r="3582" spans="1:9" s="31" customFormat="1" ht="75">
      <c r="A3582" s="12">
        <v>43579.300289351857</v>
      </c>
      <c r="B3582" s="13" t="str">
        <f t="shared" si="147"/>
        <v>@IndyMidtownStay</v>
      </c>
      <c r="C3582" s="14" t="s">
        <v>200</v>
      </c>
      <c r="D3582" s="15" t="s">
        <v>790</v>
      </c>
      <c r="E3582" s="16" t="str">
        <f t="shared" si="146"/>
        <v>Twitter for iPhone</v>
      </c>
      <c r="F3582" s="12">
        <v>43412.440416666665</v>
      </c>
      <c r="G3582" s="17" t="s">
        <v>13000</v>
      </c>
      <c r="H3582" s="35" t="s">
        <v>202</v>
      </c>
      <c r="I3582" s="18" t="s">
        <v>203</v>
      </c>
    </row>
    <row r="3583" spans="1:9" s="31" customFormat="1" ht="180">
      <c r="A3583" s="12">
        <v>43578.347974537042</v>
      </c>
      <c r="B3583" s="13" t="str">
        <f t="shared" si="147"/>
        <v>@IndyMidtownStay</v>
      </c>
      <c r="C3583" s="14" t="s">
        <v>200</v>
      </c>
      <c r="D3583" s="15" t="s">
        <v>1278</v>
      </c>
      <c r="E3583" s="16" t="str">
        <f t="shared" si="146"/>
        <v>Twitter for iPhone</v>
      </c>
      <c r="F3583" s="12">
        <v>43412.440416666665</v>
      </c>
      <c r="G3583" s="17" t="s">
        <v>13000</v>
      </c>
      <c r="H3583" s="35" t="s">
        <v>202</v>
      </c>
      <c r="I3583" s="18" t="s">
        <v>203</v>
      </c>
    </row>
    <row r="3584" spans="1:9" s="31" customFormat="1" ht="45">
      <c r="A3584" s="12">
        <v>43577.436550925922</v>
      </c>
      <c r="B3584" s="13" t="str">
        <f t="shared" si="147"/>
        <v>@IndyMidtownStay</v>
      </c>
      <c r="C3584" s="14" t="s">
        <v>200</v>
      </c>
      <c r="D3584" s="15" t="s">
        <v>1635</v>
      </c>
      <c r="E3584" s="16" t="str">
        <f t="shared" si="146"/>
        <v>Twitter for iPhone</v>
      </c>
      <c r="F3584" s="12">
        <v>43412.440416666665</v>
      </c>
      <c r="G3584" s="17" t="s">
        <v>13000</v>
      </c>
      <c r="H3584" s="35" t="s">
        <v>202</v>
      </c>
      <c r="I3584" s="18" t="s">
        <v>203</v>
      </c>
    </row>
    <row r="3585" spans="1:9" s="31" customFormat="1" ht="45">
      <c r="A3585" s="12">
        <v>43577.113703703704</v>
      </c>
      <c r="B3585" s="13" t="str">
        <f t="shared" si="147"/>
        <v>@IndyMidtownStay</v>
      </c>
      <c r="C3585" s="14" t="s">
        <v>200</v>
      </c>
      <c r="D3585" s="15" t="s">
        <v>1749</v>
      </c>
      <c r="E3585" s="16" t="str">
        <f t="shared" si="146"/>
        <v>Twitter for iPhone</v>
      </c>
      <c r="F3585" s="12">
        <v>43412.440416666665</v>
      </c>
      <c r="G3585" s="17" t="s">
        <v>13000</v>
      </c>
      <c r="H3585" s="35" t="s">
        <v>202</v>
      </c>
      <c r="I3585" s="18" t="s">
        <v>203</v>
      </c>
    </row>
    <row r="3586" spans="1:9" s="31" customFormat="1" ht="60">
      <c r="A3586" s="12">
        <v>43574.433171296296</v>
      </c>
      <c r="B3586" s="13" t="str">
        <f t="shared" si="147"/>
        <v>@IndyMidtownStay</v>
      </c>
      <c r="C3586" s="14" t="s">
        <v>200</v>
      </c>
      <c r="D3586" s="15" t="s">
        <v>2553</v>
      </c>
      <c r="E3586" s="16" t="str">
        <f t="shared" si="146"/>
        <v>Twitter for iPhone</v>
      </c>
      <c r="F3586" s="12">
        <v>43412.440416666665</v>
      </c>
      <c r="G3586" s="17" t="s">
        <v>13000</v>
      </c>
      <c r="H3586" s="35" t="s">
        <v>202</v>
      </c>
      <c r="I3586" s="18" t="s">
        <v>203</v>
      </c>
    </row>
    <row r="3587" spans="1:9" s="31" customFormat="1" ht="60">
      <c r="A3587" s="12">
        <v>43573.758506944447</v>
      </c>
      <c r="B3587" s="13" t="str">
        <f t="shared" si="147"/>
        <v>@IndyMidtownStay</v>
      </c>
      <c r="C3587" s="14" t="s">
        <v>200</v>
      </c>
      <c r="D3587" s="15" t="s">
        <v>2746</v>
      </c>
      <c r="E3587" s="16" t="str">
        <f t="shared" si="146"/>
        <v>Twitter for iPhone</v>
      </c>
      <c r="F3587" s="12">
        <v>43412.440416666665</v>
      </c>
      <c r="G3587" s="17" t="s">
        <v>13000</v>
      </c>
      <c r="H3587" s="35" t="s">
        <v>202</v>
      </c>
      <c r="I3587" s="18" t="s">
        <v>203</v>
      </c>
    </row>
    <row r="3588" spans="1:9" s="31" customFormat="1" ht="75">
      <c r="A3588" s="12">
        <v>43573.372615740736</v>
      </c>
      <c r="B3588" s="13" t="str">
        <f t="shared" si="147"/>
        <v>@IndyMidtownStay</v>
      </c>
      <c r="C3588" s="14" t="s">
        <v>200</v>
      </c>
      <c r="D3588" s="15" t="s">
        <v>2910</v>
      </c>
      <c r="E3588" s="16" t="str">
        <f t="shared" si="146"/>
        <v>Twitter for iPhone</v>
      </c>
      <c r="F3588" s="12">
        <v>43412.440416666665</v>
      </c>
      <c r="G3588" s="17" t="s">
        <v>13000</v>
      </c>
      <c r="H3588" s="35" t="s">
        <v>202</v>
      </c>
      <c r="I3588" s="18" t="s">
        <v>203</v>
      </c>
    </row>
    <row r="3589" spans="1:9" s="31" customFormat="1" ht="75">
      <c r="A3589" s="12">
        <v>43570.832488425927</v>
      </c>
      <c r="B3589" s="13" t="str">
        <f t="shared" si="147"/>
        <v>@IndyMidtownStay</v>
      </c>
      <c r="C3589" s="14" t="s">
        <v>200</v>
      </c>
      <c r="D3589" s="15" t="s">
        <v>3970</v>
      </c>
      <c r="E3589" s="16" t="str">
        <f t="shared" si="146"/>
        <v>Twitter for iPhone</v>
      </c>
      <c r="F3589" s="12">
        <v>43412.440416666665</v>
      </c>
      <c r="G3589" s="17" t="s">
        <v>13000</v>
      </c>
      <c r="H3589" s="35" t="s">
        <v>202</v>
      </c>
      <c r="I3589" s="18" t="s">
        <v>203</v>
      </c>
    </row>
    <row r="3590" spans="1:9" s="31" customFormat="1" ht="45">
      <c r="A3590" s="12">
        <v>43570.513819444444</v>
      </c>
      <c r="B3590" s="13" t="str">
        <f t="shared" si="147"/>
        <v>@IndyMidtownStay</v>
      </c>
      <c r="C3590" s="14" t="s">
        <v>200</v>
      </c>
      <c r="D3590" s="15" t="s">
        <v>4096</v>
      </c>
      <c r="E3590" s="16" t="str">
        <f t="shared" si="146"/>
        <v>Twitter for iPhone</v>
      </c>
      <c r="F3590" s="12">
        <v>43412.440416666665</v>
      </c>
      <c r="G3590" s="17" t="s">
        <v>13000</v>
      </c>
      <c r="H3590" s="35" t="s">
        <v>202</v>
      </c>
      <c r="I3590" s="18" t="s">
        <v>203</v>
      </c>
    </row>
    <row r="3591" spans="1:9" s="31" customFormat="1" ht="45">
      <c r="A3591" s="12">
        <v>43567.334664351853</v>
      </c>
      <c r="B3591" s="13" t="str">
        <f t="shared" si="147"/>
        <v>@IndyMidtownStay</v>
      </c>
      <c r="C3591" s="14" t="s">
        <v>200</v>
      </c>
      <c r="D3591" s="15" t="s">
        <v>5160</v>
      </c>
      <c r="E3591" s="16" t="str">
        <f t="shared" si="146"/>
        <v>Twitter for iPhone</v>
      </c>
      <c r="F3591" s="12">
        <v>43412.440416666665</v>
      </c>
      <c r="G3591" s="17" t="s">
        <v>13000</v>
      </c>
      <c r="H3591" s="35" t="s">
        <v>202</v>
      </c>
      <c r="I3591" s="18" t="s">
        <v>203</v>
      </c>
    </row>
    <row r="3592" spans="1:9" s="31" customFormat="1" ht="105">
      <c r="A3592" s="12">
        <v>43566.546481481477</v>
      </c>
      <c r="B3592" s="13" t="str">
        <f t="shared" si="147"/>
        <v>@IndyMidtownStay</v>
      </c>
      <c r="C3592" s="14" t="s">
        <v>200</v>
      </c>
      <c r="D3592" s="15" t="s">
        <v>5453</v>
      </c>
      <c r="E3592" s="16" t="str">
        <f t="shared" si="146"/>
        <v>Twitter for iPhone</v>
      </c>
      <c r="F3592" s="12">
        <v>43412.440416666665</v>
      </c>
      <c r="G3592" s="17" t="s">
        <v>13000</v>
      </c>
      <c r="H3592" s="35" t="s">
        <v>202</v>
      </c>
      <c r="I3592" s="18" t="s">
        <v>203</v>
      </c>
    </row>
    <row r="3593" spans="1:9" s="31" customFormat="1" ht="30">
      <c r="A3593" s="12">
        <v>43577.466631944444</v>
      </c>
      <c r="B3593" s="13" t="str">
        <f>HYPERLINK("https://twitter.com/NerdlePopApril","@NerdlePopApril")</f>
        <v>@NerdlePopApril</v>
      </c>
      <c r="C3593" s="14" t="s">
        <v>1616</v>
      </c>
      <c r="D3593" s="15" t="s">
        <v>1617</v>
      </c>
      <c r="E3593" s="16" t="str">
        <f t="shared" si="146"/>
        <v>Twitter for iPhone</v>
      </c>
      <c r="F3593" s="12">
        <v>39920.614884259259</v>
      </c>
      <c r="G3593" s="17" t="s">
        <v>13000</v>
      </c>
      <c r="H3593" s="35" t="s">
        <v>1618</v>
      </c>
      <c r="I3593" s="18" t="s">
        <v>1619</v>
      </c>
    </row>
    <row r="3594" spans="1:9" s="31" customFormat="1" ht="75">
      <c r="A3594" s="12">
        <v>43573.812777777777</v>
      </c>
      <c r="B3594" s="13" t="str">
        <f>HYPERLINK("https://twitter.com/InglewoodsLA","@InglewoodsLA")</f>
        <v>@InglewoodsLA</v>
      </c>
      <c r="C3594" s="14" t="s">
        <v>2731</v>
      </c>
      <c r="D3594" s="15" t="s">
        <v>2732</v>
      </c>
      <c r="E3594" s="16" t="str">
        <f t="shared" si="146"/>
        <v>Twitter for iPhone</v>
      </c>
      <c r="F3594" s="12">
        <v>42857.991840277777</v>
      </c>
      <c r="G3594" s="17" t="s">
        <v>13000</v>
      </c>
      <c r="H3594" s="35" t="s">
        <v>2733</v>
      </c>
      <c r="I3594" s="18"/>
    </row>
    <row r="3595" spans="1:9" s="31" customFormat="1" ht="75">
      <c r="A3595" s="4">
        <v>43557.375810185185</v>
      </c>
      <c r="B3595" s="5" t="str">
        <f>HYPERLINK("https://twitter.com/SherrieHansen","@SherrieHansen")</f>
        <v>@SherrieHansen</v>
      </c>
      <c r="C3595" s="6" t="s">
        <v>2747</v>
      </c>
      <c r="D3595" s="7" t="s">
        <v>12534</v>
      </c>
      <c r="E3595" s="8" t="str">
        <f>HYPERLINK("http://instagram.com","Instagram")</f>
        <v>Instagram</v>
      </c>
      <c r="F3595" s="4">
        <v>39904.357395833329</v>
      </c>
      <c r="G3595" s="24" t="s">
        <v>13000</v>
      </c>
      <c r="H3595" s="35" t="s">
        <v>2749</v>
      </c>
      <c r="I3595" s="10" t="s">
        <v>2750</v>
      </c>
    </row>
    <row r="3596" spans="1:9" s="31" customFormat="1" ht="75">
      <c r="A3596" s="4">
        <v>43557.373217592598</v>
      </c>
      <c r="B3596" s="5" t="str">
        <f>HYPERLINK("https://twitter.com/SherrieHansen","@SherrieHansen")</f>
        <v>@SherrieHansen</v>
      </c>
      <c r="C3596" s="6" t="s">
        <v>2747</v>
      </c>
      <c r="D3596" s="7" t="s">
        <v>12536</v>
      </c>
      <c r="E3596" s="8" t="str">
        <f>HYPERLINK("http://instagram.com","Instagram")</f>
        <v>Instagram</v>
      </c>
      <c r="F3596" s="4">
        <v>39904.357395833329</v>
      </c>
      <c r="G3596" s="24" t="s">
        <v>13000</v>
      </c>
      <c r="H3596" s="35" t="s">
        <v>2749</v>
      </c>
      <c r="I3596" s="10" t="s">
        <v>2750</v>
      </c>
    </row>
    <row r="3597" spans="1:9" s="33" customFormat="1" ht="60">
      <c r="A3597" s="12">
        <v>43573.75099537037</v>
      </c>
      <c r="B3597" s="13" t="str">
        <f>HYPERLINK("https://twitter.com/SherrieHansen","@SherrieHansen")</f>
        <v>@SherrieHansen</v>
      </c>
      <c r="C3597" s="14" t="s">
        <v>2747</v>
      </c>
      <c r="D3597" s="15" t="s">
        <v>2748</v>
      </c>
      <c r="E3597" s="16" t="str">
        <f>HYPERLINK("http://instagram.com","Instagram")</f>
        <v>Instagram</v>
      </c>
      <c r="F3597" s="12">
        <v>39904.357395833329</v>
      </c>
      <c r="G3597" s="24" t="s">
        <v>13000</v>
      </c>
      <c r="H3597" s="35" t="s">
        <v>2749</v>
      </c>
      <c r="I3597" s="18" t="s">
        <v>2750</v>
      </c>
    </row>
    <row r="3598" spans="1:9" s="33" customFormat="1" ht="45">
      <c r="A3598" s="19">
        <v>43551.50854166667</v>
      </c>
      <c r="B3598" s="20" t="str">
        <f>HYPERLINK("https://twitter.com/BryerMarnin","@BryerMarnin")</f>
        <v>@BryerMarnin</v>
      </c>
      <c r="C3598" s="21" t="s">
        <v>3335</v>
      </c>
      <c r="D3598" s="22" t="s">
        <v>7144</v>
      </c>
      <c r="E3598" s="23" t="str">
        <f>HYPERLINK("http://twitter.com","Twitter Web Client")</f>
        <v>Twitter Web Client</v>
      </c>
      <c r="F3598" s="19">
        <v>41816.83452546296</v>
      </c>
      <c r="G3598" s="24" t="s">
        <v>13000</v>
      </c>
      <c r="H3598" s="35" t="s">
        <v>3337</v>
      </c>
      <c r="I3598" s="25" t="s">
        <v>3338</v>
      </c>
    </row>
    <row r="3599" spans="1:9" s="33" customFormat="1" ht="45">
      <c r="A3599" s="12">
        <v>43572.316018518519</v>
      </c>
      <c r="B3599" s="13" t="str">
        <f>HYPERLINK("https://twitter.com/BryerMarnin","@BryerMarnin")</f>
        <v>@BryerMarnin</v>
      </c>
      <c r="C3599" s="14" t="s">
        <v>3335</v>
      </c>
      <c r="D3599" s="15" t="s">
        <v>3336</v>
      </c>
      <c r="E3599" s="16" t="str">
        <f>HYPERLINK("http://twitter.com","Twitter Web Client")</f>
        <v>Twitter Web Client</v>
      </c>
      <c r="F3599" s="12">
        <v>41816.83452546296</v>
      </c>
      <c r="G3599" s="24" t="s">
        <v>13000</v>
      </c>
      <c r="H3599" s="35" t="s">
        <v>3337</v>
      </c>
      <c r="I3599" s="18" t="s">
        <v>3338</v>
      </c>
    </row>
    <row r="3600" spans="1:9" s="33" customFormat="1" ht="45">
      <c r="A3600" s="12">
        <v>43576.577291666668</v>
      </c>
      <c r="B3600" s="13" t="str">
        <f>HYPERLINK("https://twitter.com/jpinmiami","@jpinmiami")</f>
        <v>@jpinmiami</v>
      </c>
      <c r="C3600" s="14" t="s">
        <v>1911</v>
      </c>
      <c r="D3600" s="15" t="s">
        <v>1912</v>
      </c>
      <c r="E3600" s="16" t="str">
        <f>HYPERLINK("http://www.facebook.com/twitter","Facebook")</f>
        <v>Facebook</v>
      </c>
      <c r="F3600" s="12">
        <v>39895.502025462964</v>
      </c>
      <c r="G3600" s="17" t="s">
        <v>13000</v>
      </c>
      <c r="H3600" s="35" t="s">
        <v>1913</v>
      </c>
      <c r="I3600" s="18" t="s">
        <v>1914</v>
      </c>
    </row>
    <row r="3601" spans="1:9" s="33" customFormat="1" ht="45">
      <c r="A3601" s="12">
        <v>43576.577233796299</v>
      </c>
      <c r="B3601" s="13" t="str">
        <f>HYPERLINK("https://twitter.com/jpinmiami","@jpinmiami")</f>
        <v>@jpinmiami</v>
      </c>
      <c r="C3601" s="14" t="s">
        <v>1911</v>
      </c>
      <c r="D3601" s="15" t="s">
        <v>1912</v>
      </c>
      <c r="E3601" s="16" t="str">
        <f>HYPERLINK("https://www.circlepix.com/","Circlepix")</f>
        <v>Circlepix</v>
      </c>
      <c r="F3601" s="12">
        <v>39895.502025462964</v>
      </c>
      <c r="G3601" s="17" t="s">
        <v>13000</v>
      </c>
      <c r="H3601" s="35" t="s">
        <v>1913</v>
      </c>
      <c r="I3601" s="18" t="s">
        <v>1914</v>
      </c>
    </row>
    <row r="3602" spans="1:9" s="33" customFormat="1" ht="45">
      <c r="A3602" s="4">
        <v>43565.312997685185</v>
      </c>
      <c r="B3602" s="5" t="str">
        <f>HYPERLINK("https://twitter.com/WebCamSafety","@WebCamSafety")</f>
        <v>@WebCamSafety</v>
      </c>
      <c r="C3602" s="6" t="s">
        <v>6180</v>
      </c>
      <c r="D3602" s="7" t="s">
        <v>6181</v>
      </c>
      <c r="E3602" s="8" t="str">
        <f>HYPERLINK("http://publicize.wp.com/","WordPress.com")</f>
        <v>WordPress.com</v>
      </c>
      <c r="F3602" s="4">
        <v>42675.26295138889</v>
      </c>
      <c r="G3602" s="24" t="s">
        <v>13000</v>
      </c>
      <c r="H3602" s="35" t="s">
        <v>10181</v>
      </c>
      <c r="I3602" s="10" t="s">
        <v>6182</v>
      </c>
    </row>
    <row r="3603" spans="1:9" s="33" customFormat="1" ht="60">
      <c r="A3603" s="19">
        <v>43551.518750000003</v>
      </c>
      <c r="B3603" s="20" t="str">
        <f>HYPERLINK("https://twitter.com/SWirvine","@SWirvine")</f>
        <v>@SWirvine</v>
      </c>
      <c r="C3603" s="21" t="s">
        <v>7137</v>
      </c>
      <c r="D3603" s="22" t="s">
        <v>7138</v>
      </c>
      <c r="E3603" s="23" t="str">
        <f>HYPERLINK("https://about.twitter.com/products/tweetdeck","TweetDeck")</f>
        <v>TweetDeck</v>
      </c>
      <c r="F3603" s="19">
        <v>40043.327465277776</v>
      </c>
      <c r="G3603" s="24" t="s">
        <v>13000</v>
      </c>
      <c r="H3603" s="35" t="s">
        <v>7139</v>
      </c>
      <c r="I3603" s="25" t="s">
        <v>7140</v>
      </c>
    </row>
    <row r="3604" spans="1:9" s="33" customFormat="1" ht="45">
      <c r="A3604" s="12">
        <v>43574.724305555559</v>
      </c>
      <c r="B3604" s="13" t="str">
        <f>HYPERLINK("https://twitter.com/HomeUnion","@HomeUnion")</f>
        <v>@HomeUnion</v>
      </c>
      <c r="C3604" s="14" t="s">
        <v>2465</v>
      </c>
      <c r="D3604" s="15" t="s">
        <v>2466</v>
      </c>
      <c r="E3604" s="16" t="str">
        <f>HYPERLINK("https://buffer.com","Buffer")</f>
        <v>Buffer</v>
      </c>
      <c r="F3604" s="12">
        <v>40527.633148148147</v>
      </c>
      <c r="G3604" s="24" t="s">
        <v>13000</v>
      </c>
      <c r="H3604" s="35" t="s">
        <v>2467</v>
      </c>
      <c r="I3604" s="18" t="s">
        <v>2468</v>
      </c>
    </row>
    <row r="3605" spans="1:9" s="33" customFormat="1" ht="90">
      <c r="A3605" s="4">
        <v>43564.656203703707</v>
      </c>
      <c r="B3605" s="5" t="str">
        <f>HYPERLINK("https://twitter.com/UCSB_ITSECURITY","@UCSB_ITSECURITY")</f>
        <v>@UCSB_ITSECURITY</v>
      </c>
      <c r="C3605" s="6" t="s">
        <v>10204</v>
      </c>
      <c r="D3605" s="7" t="s">
        <v>10205</v>
      </c>
      <c r="E3605" s="8" t="str">
        <f>HYPERLINK("http://twitter.com/download/android","Twitter for Android")</f>
        <v>Twitter for Android</v>
      </c>
      <c r="F3605" s="4">
        <v>43105.56894675926</v>
      </c>
      <c r="G3605" s="24" t="s">
        <v>13000</v>
      </c>
      <c r="H3605" s="35" t="s">
        <v>10206</v>
      </c>
      <c r="I3605" s="10" t="s">
        <v>10207</v>
      </c>
    </row>
    <row r="3606" spans="1:9" s="33" customFormat="1" ht="60">
      <c r="A3606" s="19">
        <v>43545.194166666668</v>
      </c>
      <c r="B3606" s="20" t="str">
        <f>HYPERLINK("https://twitter.com/LhartREALTOR","@LhartREALTOR")</f>
        <v>@LhartREALTOR</v>
      </c>
      <c r="C3606" s="21" t="s">
        <v>9266</v>
      </c>
      <c r="D3606" s="22" t="s">
        <v>9267</v>
      </c>
      <c r="E3606" s="23" t="str">
        <f>HYPERLINK("http://www.facebook.com/twitter","Facebook")</f>
        <v>Facebook</v>
      </c>
      <c r="F3606" s="19">
        <v>40621.217662037037</v>
      </c>
      <c r="G3606" s="24" t="s">
        <v>13000</v>
      </c>
      <c r="H3606" s="35" t="s">
        <v>9268</v>
      </c>
      <c r="I3606" s="25" t="s">
        <v>9269</v>
      </c>
    </row>
    <row r="3607" spans="1:9" s="33" customFormat="1" ht="90">
      <c r="A3607" s="19">
        <v>43544.71775462963</v>
      </c>
      <c r="B3607" s="20" t="str">
        <f>HYPERLINK("https://twitter.com/imrichardfertig","@imrichardfertig")</f>
        <v>@imrichardfertig</v>
      </c>
      <c r="C3607" s="21" t="s">
        <v>752</v>
      </c>
      <c r="D3607" s="22" t="s">
        <v>9365</v>
      </c>
      <c r="E3607" s="23" t="str">
        <f>HYPERLINK("http://twitter.com/download/iphone","Twitter for iPhone")</f>
        <v>Twitter for iPhone</v>
      </c>
      <c r="F3607" s="19">
        <v>39868.676712962959</v>
      </c>
      <c r="G3607" s="17" t="s">
        <v>13000</v>
      </c>
      <c r="H3607" s="35" t="s">
        <v>754</v>
      </c>
      <c r="I3607" s="25" t="s">
        <v>755</v>
      </c>
    </row>
    <row r="3608" spans="1:9" s="33" customFormat="1" ht="60">
      <c r="A3608" s="12">
        <v>43579.33766203704</v>
      </c>
      <c r="B3608" s="13" t="str">
        <f>HYPERLINK("https://twitter.com/imrichardfertig","@imrichardfertig")</f>
        <v>@imrichardfertig</v>
      </c>
      <c r="C3608" s="14" t="s">
        <v>752</v>
      </c>
      <c r="D3608" s="15" t="s">
        <v>753</v>
      </c>
      <c r="E3608" s="16" t="str">
        <f>HYPERLINK("http://twitter.com/download/iphone","Twitter for iPhone")</f>
        <v>Twitter for iPhone</v>
      </c>
      <c r="F3608" s="12">
        <v>39868.676712962959</v>
      </c>
      <c r="G3608" s="17" t="s">
        <v>13000</v>
      </c>
      <c r="H3608" s="35" t="s">
        <v>754</v>
      </c>
      <c r="I3608" s="18" t="s">
        <v>755</v>
      </c>
    </row>
    <row r="3609" spans="1:9" s="33" customFormat="1" ht="45">
      <c r="A3609" s="12">
        <v>43575.233865740738</v>
      </c>
      <c r="B3609" s="13" t="str">
        <f>HYPERLINK("https://twitter.com/dawnmeckem","@dawnmeckem")</f>
        <v>@dawnmeckem</v>
      </c>
      <c r="C3609" s="14" t="s">
        <v>2333</v>
      </c>
      <c r="D3609" s="15" t="s">
        <v>2334</v>
      </c>
      <c r="E3609" s="16" t="str">
        <f>HYPERLINK("https://ifttt.com","IFTTT")</f>
        <v>IFTTT</v>
      </c>
      <c r="F3609" s="12">
        <v>41029.551342592589</v>
      </c>
      <c r="G3609" s="17" t="s">
        <v>13000</v>
      </c>
      <c r="H3609" s="35" t="s">
        <v>754</v>
      </c>
      <c r="I3609" s="18" t="s">
        <v>2335</v>
      </c>
    </row>
    <row r="3610" spans="1:9" s="33" customFormat="1" ht="75">
      <c r="A3610" s="19">
        <v>43550.830879629633</v>
      </c>
      <c r="B3610" s="20" t="str">
        <f>HYPERLINK("https://twitter.com/CTMcCall","@CTMcCall")</f>
        <v>@CTMcCall</v>
      </c>
      <c r="C3610" s="21" t="s">
        <v>7492</v>
      </c>
      <c r="D3610" s="22" t="s">
        <v>7493</v>
      </c>
      <c r="E3610" s="23" t="str">
        <f>HYPERLINK("http://twitter.com/download/android","Twitter for Android")</f>
        <v>Twitter for Android</v>
      </c>
      <c r="F3610" s="19">
        <v>41693.561874999999</v>
      </c>
      <c r="G3610" s="17" t="s">
        <v>13000</v>
      </c>
      <c r="H3610" s="35" t="s">
        <v>1855</v>
      </c>
      <c r="I3610" s="25" t="s">
        <v>7494</v>
      </c>
    </row>
    <row r="3611" spans="1:9" s="33" customFormat="1" ht="45">
      <c r="A3611" s="19">
        <v>43548.736145833333</v>
      </c>
      <c r="B3611" s="20" t="str">
        <f>HYPERLINK("https://twitter.com/ReiDotHow","@ReiDotHow")</f>
        <v>@ReiDotHow</v>
      </c>
      <c r="C3611" s="21" t="s">
        <v>1853</v>
      </c>
      <c r="D3611" s="22" t="s">
        <v>1854</v>
      </c>
      <c r="E3611" s="23" t="str">
        <f>HYPERLINK("https://www.hootsuite.com","Hootsuite Inc.")</f>
        <v>Hootsuite Inc.</v>
      </c>
      <c r="F3611" s="19">
        <v>42530.51667824074</v>
      </c>
      <c r="G3611" s="17" t="s">
        <v>13000</v>
      </c>
      <c r="H3611" s="35" t="s">
        <v>1855</v>
      </c>
      <c r="I3611" s="25" t="s">
        <v>1856</v>
      </c>
    </row>
    <row r="3612" spans="1:9" s="33" customFormat="1" ht="45">
      <c r="A3612" s="19">
        <v>43545.736145833333</v>
      </c>
      <c r="B3612" s="20" t="str">
        <f>HYPERLINK("https://twitter.com/ReiDotHow","@ReiDotHow")</f>
        <v>@ReiDotHow</v>
      </c>
      <c r="C3612" s="21" t="s">
        <v>1853</v>
      </c>
      <c r="D3612" s="22" t="s">
        <v>1854</v>
      </c>
      <c r="E3612" s="23" t="str">
        <f>HYPERLINK("https://www.hootsuite.com","Hootsuite Inc.")</f>
        <v>Hootsuite Inc.</v>
      </c>
      <c r="F3612" s="19">
        <v>42530.51667824074</v>
      </c>
      <c r="G3612" s="17" t="s">
        <v>13000</v>
      </c>
      <c r="H3612" s="35" t="s">
        <v>1855</v>
      </c>
      <c r="I3612" s="25" t="s">
        <v>1856</v>
      </c>
    </row>
    <row r="3613" spans="1:9" s="33" customFormat="1" ht="45">
      <c r="A3613" s="19">
        <v>43542.736157407402</v>
      </c>
      <c r="B3613" s="20" t="str">
        <f>HYPERLINK("https://twitter.com/ReiDotHow","@ReiDotHow")</f>
        <v>@ReiDotHow</v>
      </c>
      <c r="C3613" s="21" t="s">
        <v>1853</v>
      </c>
      <c r="D3613" s="22" t="s">
        <v>1854</v>
      </c>
      <c r="E3613" s="23" t="str">
        <f>HYPERLINK("https://www.hootsuite.com","Hootsuite Inc.")</f>
        <v>Hootsuite Inc.</v>
      </c>
      <c r="F3613" s="19">
        <v>42530.51667824074</v>
      </c>
      <c r="G3613" s="17" t="s">
        <v>13000</v>
      </c>
      <c r="H3613" s="35" t="s">
        <v>1855</v>
      </c>
      <c r="I3613" s="25" t="s">
        <v>1856</v>
      </c>
    </row>
    <row r="3614" spans="1:9" s="33" customFormat="1" ht="45">
      <c r="A3614" s="4">
        <v>43565.736168981486</v>
      </c>
      <c r="B3614" s="5" t="str">
        <f>HYPERLINK("https://twitter.com/ReiDotHow","@ReiDotHow")</f>
        <v>@ReiDotHow</v>
      </c>
      <c r="C3614" s="6" t="s">
        <v>1853</v>
      </c>
      <c r="D3614" s="7" t="s">
        <v>1854</v>
      </c>
      <c r="E3614" s="8" t="str">
        <f>HYPERLINK("https://www.hootsuite.com","Hootsuite Inc.")</f>
        <v>Hootsuite Inc.</v>
      </c>
      <c r="F3614" s="4">
        <v>42530.51667824074</v>
      </c>
      <c r="G3614" s="17" t="s">
        <v>13000</v>
      </c>
      <c r="H3614" s="35" t="s">
        <v>1855</v>
      </c>
      <c r="I3614" s="10" t="s">
        <v>1856</v>
      </c>
    </row>
    <row r="3615" spans="1:9" s="33" customFormat="1" ht="45">
      <c r="A3615" s="4">
        <v>43559.736157407402</v>
      </c>
      <c r="B3615" s="5" t="str">
        <f>HYPERLINK("https://twitter.com/ReiDotHow","@ReiDotHow")</f>
        <v>@ReiDotHow</v>
      </c>
      <c r="C3615" s="6" t="s">
        <v>1853</v>
      </c>
      <c r="D3615" s="7" t="s">
        <v>1854</v>
      </c>
      <c r="E3615" s="8" t="str">
        <f>HYPERLINK("https://www.hootsuite.com","Hootsuite Inc.")</f>
        <v>Hootsuite Inc.</v>
      </c>
      <c r="F3615" s="4">
        <v>42530.51667824074</v>
      </c>
      <c r="G3615" s="17" t="s">
        <v>13000</v>
      </c>
      <c r="H3615" s="35" t="s">
        <v>1855</v>
      </c>
      <c r="I3615" s="10" t="s">
        <v>1856</v>
      </c>
    </row>
    <row r="3616" spans="1:9" s="33" customFormat="1" ht="75">
      <c r="A3616" s="4">
        <v>43557.97246527778</v>
      </c>
      <c r="B3616" s="5" t="str">
        <f>HYPERLINK("https://twitter.com/duvaldrunks","@duvaldrunks")</f>
        <v>@duvaldrunks</v>
      </c>
      <c r="C3616" s="6" t="s">
        <v>12354</v>
      </c>
      <c r="D3616" s="7" t="s">
        <v>12355</v>
      </c>
      <c r="E3616" s="8" t="str">
        <f>HYPERLINK("http://twitter.com/download/android","Twitter for Android")</f>
        <v>Twitter for Android</v>
      </c>
      <c r="F3616" s="4">
        <v>41135.638969907406</v>
      </c>
      <c r="G3616" s="17" t="s">
        <v>13000</v>
      </c>
      <c r="H3616" s="35" t="s">
        <v>1855</v>
      </c>
      <c r="I3616" s="10" t="s">
        <v>12356</v>
      </c>
    </row>
    <row r="3617" spans="1:9" s="33" customFormat="1" ht="45">
      <c r="A3617" s="12">
        <v>43576.736134259263</v>
      </c>
      <c r="B3617" s="13" t="str">
        <f>HYPERLINK("https://twitter.com/ReiDotHow","@ReiDotHow")</f>
        <v>@ReiDotHow</v>
      </c>
      <c r="C3617" s="14" t="s">
        <v>1853</v>
      </c>
      <c r="D3617" s="15" t="s">
        <v>1854</v>
      </c>
      <c r="E3617" s="16" t="str">
        <f>HYPERLINK("https://www.hootsuite.com","Hootsuite Inc.")</f>
        <v>Hootsuite Inc.</v>
      </c>
      <c r="F3617" s="12">
        <v>42530.51667824074</v>
      </c>
      <c r="G3617" s="17" t="s">
        <v>13000</v>
      </c>
      <c r="H3617" s="35" t="s">
        <v>1855</v>
      </c>
      <c r="I3617" s="18" t="s">
        <v>1856</v>
      </c>
    </row>
    <row r="3618" spans="1:9" s="33" customFormat="1" ht="45">
      <c r="A3618" s="12">
        <v>43572.736145833333</v>
      </c>
      <c r="B3618" s="13" t="str">
        <f>HYPERLINK("https://twitter.com/ReiDotHow","@ReiDotHow")</f>
        <v>@ReiDotHow</v>
      </c>
      <c r="C3618" s="14" t="s">
        <v>1853</v>
      </c>
      <c r="D3618" s="15" t="s">
        <v>1854</v>
      </c>
      <c r="E3618" s="16" t="str">
        <f>HYPERLINK("https://www.hootsuite.com","Hootsuite Inc.")</f>
        <v>Hootsuite Inc.</v>
      </c>
      <c r="F3618" s="12">
        <v>42530.51667824074</v>
      </c>
      <c r="G3618" s="17" t="s">
        <v>13000</v>
      </c>
      <c r="H3618" s="35" t="s">
        <v>1855</v>
      </c>
      <c r="I3618" s="18" t="s">
        <v>1856</v>
      </c>
    </row>
    <row r="3619" spans="1:9" s="33" customFormat="1" ht="45">
      <c r="A3619" s="12">
        <v>43568.736145833333</v>
      </c>
      <c r="B3619" s="13" t="str">
        <f>HYPERLINK("https://twitter.com/ReiDotHow","@ReiDotHow")</f>
        <v>@ReiDotHow</v>
      </c>
      <c r="C3619" s="14" t="s">
        <v>1853</v>
      </c>
      <c r="D3619" s="15" t="s">
        <v>1854</v>
      </c>
      <c r="E3619" s="16" t="str">
        <f>HYPERLINK("https://www.hootsuite.com","Hootsuite Inc.")</f>
        <v>Hootsuite Inc.</v>
      </c>
      <c r="F3619" s="12">
        <v>42530.51667824074</v>
      </c>
      <c r="G3619" s="17" t="s">
        <v>13000</v>
      </c>
      <c r="H3619" s="35" t="s">
        <v>1855</v>
      </c>
      <c r="I3619" s="18" t="s">
        <v>1856</v>
      </c>
    </row>
    <row r="3620" spans="1:9" s="33" customFormat="1" ht="30">
      <c r="A3620" s="12">
        <v>43566.350775462968</v>
      </c>
      <c r="B3620" s="13" t="str">
        <f>HYPERLINK("https://twitter.com/johullrich","@johullrich")</f>
        <v>@johullrich</v>
      </c>
      <c r="C3620" s="14" t="s">
        <v>5635</v>
      </c>
      <c r="D3620" s="15" t="s">
        <v>5636</v>
      </c>
      <c r="E3620" s="16" t="str">
        <f>HYPERLINK("http://twitter.com","Twitter Web Client")</f>
        <v>Twitter Web Client</v>
      </c>
      <c r="F3620" s="12">
        <v>39811.351736111115</v>
      </c>
      <c r="G3620" s="17" t="s">
        <v>13000</v>
      </c>
      <c r="H3620" s="35" t="s">
        <v>5637</v>
      </c>
      <c r="I3620" s="18" t="s">
        <v>5638</v>
      </c>
    </row>
    <row r="3621" spans="1:9" s="33" customFormat="1" ht="45">
      <c r="A3621" s="12">
        <v>43575.374594907407</v>
      </c>
      <c r="B3621" s="13" t="str">
        <f>HYPERLINK("https://twitter.com/sahmplusblog","@sahmplusblog")</f>
        <v>@sahmplusblog</v>
      </c>
      <c r="C3621" s="14" t="s">
        <v>2248</v>
      </c>
      <c r="D3621" s="15" t="s">
        <v>2249</v>
      </c>
      <c r="E3621" s="16" t="str">
        <f>HYPERLINK("https://missinglettr.com","Missinglettr")</f>
        <v>Missinglettr</v>
      </c>
      <c r="F3621" s="12">
        <v>39987.773240740738</v>
      </c>
      <c r="G3621" s="17" t="s">
        <v>13000</v>
      </c>
      <c r="H3621" s="35" t="s">
        <v>2250</v>
      </c>
      <c r="I3621" s="18" t="s">
        <v>2251</v>
      </c>
    </row>
    <row r="3622" spans="1:9" s="33" customFormat="1" ht="105">
      <c r="A3622" s="19">
        <v>43550.242523148147</v>
      </c>
      <c r="B3622" s="20" t="str">
        <f>HYPERLINK("https://twitter.com/SunriseVilla876","@SunriseVilla876")</f>
        <v>@SunriseVilla876</v>
      </c>
      <c r="C3622" s="21" t="s">
        <v>3436</v>
      </c>
      <c r="D3622" s="22" t="s">
        <v>7775</v>
      </c>
      <c r="E3622" s="23" t="str">
        <f t="shared" ref="E3622:E3629" si="148">HYPERLINK("http://twitter.com/download/android","Twitter for Android")</f>
        <v>Twitter for Android</v>
      </c>
      <c r="F3622" s="19">
        <v>43019.009108796294</v>
      </c>
      <c r="G3622" s="9" t="s">
        <v>13000</v>
      </c>
      <c r="H3622" s="35" t="s">
        <v>2595</v>
      </c>
      <c r="I3622" s="25" t="s">
        <v>3438</v>
      </c>
    </row>
    <row r="3623" spans="1:9" s="33" customFormat="1" ht="105">
      <c r="A3623" s="19">
        <v>43547.914027777777</v>
      </c>
      <c r="B3623" s="20" t="str">
        <f>HYPERLINK("https://twitter.com/JoysEcoLodge","@JoysEcoLodge")</f>
        <v>@JoysEcoLodge</v>
      </c>
      <c r="C3623" s="21" t="s">
        <v>8438</v>
      </c>
      <c r="D3623" s="22" t="s">
        <v>8439</v>
      </c>
      <c r="E3623" s="23" t="str">
        <f t="shared" si="148"/>
        <v>Twitter for Android</v>
      </c>
      <c r="F3623" s="19">
        <v>43439.864270833335</v>
      </c>
      <c r="G3623" s="9" t="s">
        <v>13000</v>
      </c>
      <c r="H3623" s="35" t="s">
        <v>2595</v>
      </c>
      <c r="I3623" s="25" t="s">
        <v>8440</v>
      </c>
    </row>
    <row r="3624" spans="1:9" s="33" customFormat="1" ht="120">
      <c r="A3624" s="4">
        <v>43564.33458333333</v>
      </c>
      <c r="B3624" s="5" t="str">
        <f t="shared" ref="B3624:B3629" si="149">HYPERLINK("https://twitter.com/ParadiseJamaica","@ParadiseJamaica")</f>
        <v>@ParadiseJamaica</v>
      </c>
      <c r="C3624" s="6" t="s">
        <v>3794</v>
      </c>
      <c r="D3624" s="7" t="s">
        <v>6677</v>
      </c>
      <c r="E3624" s="8" t="str">
        <f t="shared" si="148"/>
        <v>Twitter for Android</v>
      </c>
      <c r="F3624" s="4">
        <v>40101.245578703703</v>
      </c>
      <c r="G3624" s="9" t="s">
        <v>13000</v>
      </c>
      <c r="H3624" s="35" t="s">
        <v>2595</v>
      </c>
      <c r="I3624" s="10" t="s">
        <v>3796</v>
      </c>
    </row>
    <row r="3625" spans="1:9" s="33" customFormat="1" ht="120">
      <c r="A3625" s="4">
        <v>43564.33425925926</v>
      </c>
      <c r="B3625" s="5" t="str">
        <f t="shared" si="149"/>
        <v>@ParadiseJamaica</v>
      </c>
      <c r="C3625" s="6" t="s">
        <v>3794</v>
      </c>
      <c r="D3625" s="7" t="s">
        <v>6677</v>
      </c>
      <c r="E3625" s="8" t="str">
        <f t="shared" si="148"/>
        <v>Twitter for Android</v>
      </c>
      <c r="F3625" s="4">
        <v>40101.245578703703</v>
      </c>
      <c r="G3625" s="9" t="s">
        <v>13000</v>
      </c>
      <c r="H3625" s="35" t="s">
        <v>2595</v>
      </c>
      <c r="I3625" s="10" t="s">
        <v>3796</v>
      </c>
    </row>
    <row r="3626" spans="1:9" s="33" customFormat="1" ht="120">
      <c r="A3626" s="4">
        <v>43564.333356481482</v>
      </c>
      <c r="B3626" s="5" t="str">
        <f t="shared" si="149"/>
        <v>@ParadiseJamaica</v>
      </c>
      <c r="C3626" s="6" t="s">
        <v>3794</v>
      </c>
      <c r="D3626" s="7" t="s">
        <v>6677</v>
      </c>
      <c r="E3626" s="8" t="str">
        <f t="shared" si="148"/>
        <v>Twitter for Android</v>
      </c>
      <c r="F3626" s="4">
        <v>40101.245578703703</v>
      </c>
      <c r="G3626" s="9" t="s">
        <v>13000</v>
      </c>
      <c r="H3626" s="35" t="s">
        <v>2595</v>
      </c>
      <c r="I3626" s="10" t="s">
        <v>3796</v>
      </c>
    </row>
    <row r="3627" spans="1:9" s="33" customFormat="1" ht="120">
      <c r="A3627" s="4">
        <v>43564.332905092597</v>
      </c>
      <c r="B3627" s="5" t="str">
        <f t="shared" si="149"/>
        <v>@ParadiseJamaica</v>
      </c>
      <c r="C3627" s="6" t="s">
        <v>3794</v>
      </c>
      <c r="D3627" s="7" t="s">
        <v>6677</v>
      </c>
      <c r="E3627" s="8" t="str">
        <f t="shared" si="148"/>
        <v>Twitter for Android</v>
      </c>
      <c r="F3627" s="4">
        <v>40101.245578703703</v>
      </c>
      <c r="G3627" s="9" t="s">
        <v>13000</v>
      </c>
      <c r="H3627" s="35" t="s">
        <v>2595</v>
      </c>
      <c r="I3627" s="10" t="s">
        <v>3796</v>
      </c>
    </row>
    <row r="3628" spans="1:9" s="33" customFormat="1" ht="120">
      <c r="A3628" s="4">
        <v>43564.332511574074</v>
      </c>
      <c r="B3628" s="5" t="str">
        <f t="shared" si="149"/>
        <v>@ParadiseJamaica</v>
      </c>
      <c r="C3628" s="6" t="s">
        <v>3794</v>
      </c>
      <c r="D3628" s="7" t="s">
        <v>6677</v>
      </c>
      <c r="E3628" s="8" t="str">
        <f t="shared" si="148"/>
        <v>Twitter for Android</v>
      </c>
      <c r="F3628" s="4">
        <v>40101.245578703703</v>
      </c>
      <c r="G3628" s="9" t="s">
        <v>13000</v>
      </c>
      <c r="H3628" s="35" t="s">
        <v>2595</v>
      </c>
      <c r="I3628" s="10" t="s">
        <v>3796</v>
      </c>
    </row>
    <row r="3629" spans="1:9" s="33" customFormat="1" ht="120">
      <c r="A3629" s="4">
        <v>43564.331261574072</v>
      </c>
      <c r="B3629" s="5" t="str">
        <f t="shared" si="149"/>
        <v>@ParadiseJamaica</v>
      </c>
      <c r="C3629" s="6" t="s">
        <v>3794</v>
      </c>
      <c r="D3629" s="7" t="s">
        <v>6677</v>
      </c>
      <c r="E3629" s="8" t="str">
        <f t="shared" si="148"/>
        <v>Twitter for Android</v>
      </c>
      <c r="F3629" s="4">
        <v>40101.245578703703</v>
      </c>
      <c r="G3629" s="9" t="s">
        <v>13000</v>
      </c>
      <c r="H3629" s="35" t="s">
        <v>2595</v>
      </c>
      <c r="I3629" s="10" t="s">
        <v>3796</v>
      </c>
    </row>
    <row r="3630" spans="1:9" s="33" customFormat="1" ht="105">
      <c r="A3630" s="4">
        <v>43559.447835648149</v>
      </c>
      <c r="B3630" s="5" t="str">
        <f>HYPERLINK("https://twitter.com/JamaicaVilla","@JamaicaVilla")</f>
        <v>@JamaicaVilla</v>
      </c>
      <c r="C3630" s="6" t="s">
        <v>11826</v>
      </c>
      <c r="D3630" s="7" t="s">
        <v>11827</v>
      </c>
      <c r="E3630" s="8" t="str">
        <f>HYPERLINK("http://twitter.com","Twitter Web Client")</f>
        <v>Twitter Web Client</v>
      </c>
      <c r="F3630" s="4">
        <v>40031.69189814815</v>
      </c>
      <c r="G3630" s="9" t="s">
        <v>13000</v>
      </c>
      <c r="H3630" s="35" t="s">
        <v>2595</v>
      </c>
      <c r="I3630" s="10" t="s">
        <v>11828</v>
      </c>
    </row>
    <row r="3631" spans="1:9" s="33" customFormat="1" ht="105">
      <c r="A3631" s="12">
        <v>43574.331157407403</v>
      </c>
      <c r="B3631" s="13" t="str">
        <f>HYPERLINK("https://twitter.com/tours_rt","@tours_rt")</f>
        <v>@tours_rt</v>
      </c>
      <c r="C3631" s="14" t="s">
        <v>2593</v>
      </c>
      <c r="D3631" s="15" t="s">
        <v>2594</v>
      </c>
      <c r="E3631" s="16" t="str">
        <f>HYPERLINK("http://twitter.com/download/android","Twitter for Android")</f>
        <v>Twitter for Android</v>
      </c>
      <c r="F3631" s="12">
        <v>41786.866585648146</v>
      </c>
      <c r="G3631" s="9" t="s">
        <v>13000</v>
      </c>
      <c r="H3631" s="35" t="s">
        <v>2595</v>
      </c>
      <c r="I3631" s="18" t="s">
        <v>2596</v>
      </c>
    </row>
    <row r="3632" spans="1:9" s="33" customFormat="1" ht="105">
      <c r="A3632" s="12">
        <v>43572.09165509259</v>
      </c>
      <c r="B3632" s="13" t="str">
        <f>HYPERLINK("https://twitter.com/SunriseVilla876","@SunriseVilla876")</f>
        <v>@SunriseVilla876</v>
      </c>
      <c r="C3632" s="14" t="s">
        <v>3436</v>
      </c>
      <c r="D3632" s="15" t="s">
        <v>3437</v>
      </c>
      <c r="E3632" s="16" t="str">
        <f>HYPERLINK("http://twitter.com/download/android","Twitter for Android")</f>
        <v>Twitter for Android</v>
      </c>
      <c r="F3632" s="12">
        <v>43019.009108796294</v>
      </c>
      <c r="G3632" s="9" t="s">
        <v>13000</v>
      </c>
      <c r="H3632" s="35" t="s">
        <v>2595</v>
      </c>
      <c r="I3632" s="18" t="s">
        <v>3438</v>
      </c>
    </row>
    <row r="3633" spans="1:9" s="33" customFormat="1" ht="105">
      <c r="A3633" s="12">
        <v>43571.199270833335</v>
      </c>
      <c r="B3633" s="13" t="str">
        <f>HYPERLINK("https://twitter.com/ParadiseJamaica","@ParadiseJamaica")</f>
        <v>@ParadiseJamaica</v>
      </c>
      <c r="C3633" s="14" t="s">
        <v>3794</v>
      </c>
      <c r="D3633" s="15" t="s">
        <v>3795</v>
      </c>
      <c r="E3633" s="16" t="str">
        <f>HYPERLINK("http://twitter.com/download/android","Twitter for Android")</f>
        <v>Twitter for Android</v>
      </c>
      <c r="F3633" s="12">
        <v>40101.245578703703</v>
      </c>
      <c r="G3633" s="9" t="s">
        <v>13000</v>
      </c>
      <c r="H3633" s="35" t="s">
        <v>2595</v>
      </c>
      <c r="I3633" s="18" t="s">
        <v>3796</v>
      </c>
    </row>
    <row r="3634" spans="1:9" s="33" customFormat="1" ht="90">
      <c r="A3634" s="12">
        <v>43571.198148148149</v>
      </c>
      <c r="B3634" s="13" t="str">
        <f>HYPERLINK("https://twitter.com/ParadiseJamaica","@ParadiseJamaica")</f>
        <v>@ParadiseJamaica</v>
      </c>
      <c r="C3634" s="14" t="s">
        <v>3794</v>
      </c>
      <c r="D3634" s="15" t="s">
        <v>3797</v>
      </c>
      <c r="E3634" s="16" t="str">
        <f>HYPERLINK("http://twitter.com/download/android","Twitter for Android")</f>
        <v>Twitter for Android</v>
      </c>
      <c r="F3634" s="12">
        <v>40101.245578703703</v>
      </c>
      <c r="G3634" s="9" t="s">
        <v>13000</v>
      </c>
      <c r="H3634" s="35" t="s">
        <v>2595</v>
      </c>
      <c r="I3634" s="18" t="s">
        <v>3796</v>
      </c>
    </row>
    <row r="3635" spans="1:9" s="33" customFormat="1" ht="75">
      <c r="A3635" s="12">
        <v>43570.556539351848</v>
      </c>
      <c r="B3635" s="13" t="str">
        <f>HYPERLINK("https://twitter.com/tours_rt","@tours_rt")</f>
        <v>@tours_rt</v>
      </c>
      <c r="C3635" s="14" t="s">
        <v>2593</v>
      </c>
      <c r="D3635" s="15" t="s">
        <v>4077</v>
      </c>
      <c r="E3635" s="16" t="str">
        <f>HYPERLINK("http://twitter.com/download/android","Twitter for Android")</f>
        <v>Twitter for Android</v>
      </c>
      <c r="F3635" s="12">
        <v>41786.866585648146</v>
      </c>
      <c r="G3635" s="9" t="s">
        <v>13000</v>
      </c>
      <c r="H3635" s="35" t="s">
        <v>2595</v>
      </c>
      <c r="I3635" s="18" t="s">
        <v>2596</v>
      </c>
    </row>
    <row r="3636" spans="1:9" s="33" customFormat="1" ht="75">
      <c r="A3636" s="4">
        <v>43563.447870370372</v>
      </c>
      <c r="B3636" s="5" t="str">
        <f>HYPERLINK("https://twitter.com/GazaHask3ll_bjj","@GazaHask3ll_bjj")</f>
        <v>@GazaHask3ll_bjj</v>
      </c>
      <c r="C3636" s="6" t="s">
        <v>10287</v>
      </c>
      <c r="D3636" s="7" t="s">
        <v>10288</v>
      </c>
      <c r="E3636" s="8" t="str">
        <f>HYPERLINK("http://instagram.com","Instagram")</f>
        <v>Instagram</v>
      </c>
      <c r="F3636" s="4">
        <v>40367.341377314813</v>
      </c>
      <c r="G3636" s="9" t="s">
        <v>13000</v>
      </c>
      <c r="H3636" s="35" t="s">
        <v>10289</v>
      </c>
      <c r="I3636" s="10" t="s">
        <v>10290</v>
      </c>
    </row>
    <row r="3637" spans="1:9" s="33" customFormat="1" ht="75">
      <c r="A3637" s="4">
        <v>43560.446840277778</v>
      </c>
      <c r="B3637" s="5" t="str">
        <f>HYPERLINK("https://twitter.com/GazaHask3ll_bjj","@GazaHask3ll_bjj")</f>
        <v>@GazaHask3ll_bjj</v>
      </c>
      <c r="C3637" s="6" t="s">
        <v>10287</v>
      </c>
      <c r="D3637" s="7" t="s">
        <v>11360</v>
      </c>
      <c r="E3637" s="8" t="str">
        <f>HYPERLINK("http://instagram.com","Instagram")</f>
        <v>Instagram</v>
      </c>
      <c r="F3637" s="4">
        <v>40367.341377314813</v>
      </c>
      <c r="G3637" s="9" t="s">
        <v>13000</v>
      </c>
      <c r="H3637" s="35" t="s">
        <v>10289</v>
      </c>
      <c r="I3637" s="10" t="s">
        <v>10290</v>
      </c>
    </row>
    <row r="3638" spans="1:9" s="33" customFormat="1" ht="60">
      <c r="A3638" s="4">
        <v>43559.255775462967</v>
      </c>
      <c r="B3638" s="5" t="str">
        <f>HYPERLINK("https://twitter.com/GazaHask3ll_bjj","@GazaHask3ll_bjj")</f>
        <v>@GazaHask3ll_bjj</v>
      </c>
      <c r="C3638" s="6" t="s">
        <v>10287</v>
      </c>
      <c r="D3638" s="7" t="s">
        <v>11900</v>
      </c>
      <c r="E3638" s="8" t="str">
        <f>HYPERLINK("http://instagram.com","Instagram")</f>
        <v>Instagram</v>
      </c>
      <c r="F3638" s="4">
        <v>40367.341377314813</v>
      </c>
      <c r="G3638" s="9" t="s">
        <v>13000</v>
      </c>
      <c r="H3638" s="35" t="s">
        <v>10289</v>
      </c>
      <c r="I3638" s="10" t="s">
        <v>10290</v>
      </c>
    </row>
    <row r="3639" spans="1:9" s="33" customFormat="1" ht="75">
      <c r="A3639" s="19">
        <v>43542.586840277778</v>
      </c>
      <c r="B3639" s="20" t="str">
        <f>HYPERLINK("https://twitter.com/SM_OnlineClass","@SM_OnlineClass")</f>
        <v>@SM_OnlineClass</v>
      </c>
      <c r="C3639" s="21" t="s">
        <v>10086</v>
      </c>
      <c r="D3639" s="22" t="s">
        <v>10087</v>
      </c>
      <c r="E3639" s="23" t="str">
        <f>HYPERLINK("https://sproutsocial.com","Sprout Social")</f>
        <v>Sprout Social</v>
      </c>
      <c r="F3639" s="19">
        <v>40466.67827546296</v>
      </c>
      <c r="G3639" s="17" t="s">
        <v>13000</v>
      </c>
      <c r="H3639" s="35" t="s">
        <v>10088</v>
      </c>
      <c r="I3639" s="25" t="s">
        <v>10089</v>
      </c>
    </row>
    <row r="3640" spans="1:9" s="33" customFormat="1" ht="135">
      <c r="A3640" s="12">
        <v>43571.79074074074</v>
      </c>
      <c r="B3640" s="13" t="str">
        <f>HYPERLINK("https://twitter.com/brayhillhouse","@brayhillhouse")</f>
        <v>@brayhillhouse</v>
      </c>
      <c r="C3640" s="14" t="s">
        <v>3545</v>
      </c>
      <c r="D3640" s="15" t="s">
        <v>3546</v>
      </c>
      <c r="E3640" s="16" t="str">
        <f>HYPERLINK("http://twitter.com","Twitter Web Client")</f>
        <v>Twitter Web Client</v>
      </c>
      <c r="F3640" s="12">
        <v>42887.342731481476</v>
      </c>
      <c r="G3640" s="17" t="s">
        <v>13000</v>
      </c>
      <c r="H3640" s="35" t="s">
        <v>3547</v>
      </c>
      <c r="I3640" s="18" t="s">
        <v>3548</v>
      </c>
    </row>
    <row r="3641" spans="1:9" s="33" customFormat="1" ht="105">
      <c r="A3641" s="19">
        <v>43549.333472222221</v>
      </c>
      <c r="B3641" s="20" t="str">
        <f>HYPERLINK("https://twitter.com/pamelagoodchild","@pamelagoodchild")</f>
        <v>@pamelagoodchild</v>
      </c>
      <c r="C3641" s="21" t="s">
        <v>8083</v>
      </c>
      <c r="D3641" s="22" t="s">
        <v>8084</v>
      </c>
      <c r="E3641" s="23" t="str">
        <f>HYPERLINK("http://www.facebook.com/twitter","Facebook")</f>
        <v>Facebook</v>
      </c>
      <c r="F3641" s="19">
        <v>39927.756226851852</v>
      </c>
      <c r="G3641" s="24" t="s">
        <v>13000</v>
      </c>
      <c r="H3641" s="35" t="s">
        <v>8085</v>
      </c>
      <c r="I3641" s="25" t="s">
        <v>8086</v>
      </c>
    </row>
    <row r="3642" spans="1:9" s="33" customFormat="1" ht="75">
      <c r="A3642" s="19">
        <v>43550.336817129632</v>
      </c>
      <c r="B3642" s="20" t="str">
        <f t="shared" ref="B3642:B3656" si="150">HYPERLINK("https://twitter.com/LailanBento1","@LailanBento1")</f>
        <v>@LailanBento1</v>
      </c>
      <c r="C3642" s="21" t="s">
        <v>2794</v>
      </c>
      <c r="D3642" s="22" t="s">
        <v>4686</v>
      </c>
      <c r="E3642" s="23" t="str">
        <f t="shared" ref="E3642:E3653" si="151">HYPERLINK("https://eclincher.com","eClincher")</f>
        <v>eClincher</v>
      </c>
      <c r="F3642" s="19">
        <v>41914.838159722218</v>
      </c>
      <c r="G3642" s="17" t="s">
        <v>13000</v>
      </c>
      <c r="H3642" s="35" t="s">
        <v>2796</v>
      </c>
      <c r="I3642" s="25" t="s">
        <v>7719</v>
      </c>
    </row>
    <row r="3643" spans="1:9" s="33" customFormat="1" ht="105">
      <c r="A3643" s="19">
        <v>43550.25209490741</v>
      </c>
      <c r="B3643" s="20" t="str">
        <f t="shared" si="150"/>
        <v>@LailanBento1</v>
      </c>
      <c r="C3643" s="21" t="s">
        <v>2794</v>
      </c>
      <c r="D3643" s="22" t="s">
        <v>4706</v>
      </c>
      <c r="E3643" s="23" t="str">
        <f t="shared" si="151"/>
        <v>eClincher</v>
      </c>
      <c r="F3643" s="19">
        <v>41914.838159722218</v>
      </c>
      <c r="G3643" s="17" t="s">
        <v>13000</v>
      </c>
      <c r="H3643" s="35" t="s">
        <v>2796</v>
      </c>
      <c r="I3643" s="25" t="s">
        <v>7719</v>
      </c>
    </row>
    <row r="3644" spans="1:9" s="33" customFormat="1" ht="75">
      <c r="A3644" s="19">
        <v>43546.633368055554</v>
      </c>
      <c r="B3644" s="20" t="str">
        <f t="shared" si="150"/>
        <v>@LailanBento1</v>
      </c>
      <c r="C3644" s="21" t="s">
        <v>2794</v>
      </c>
      <c r="D3644" s="22" t="s">
        <v>4686</v>
      </c>
      <c r="E3644" s="23" t="str">
        <f t="shared" si="151"/>
        <v>eClincher</v>
      </c>
      <c r="F3644" s="19">
        <v>41914.838159722218</v>
      </c>
      <c r="G3644" s="17" t="s">
        <v>13000</v>
      </c>
      <c r="H3644" s="35" t="s">
        <v>2796</v>
      </c>
      <c r="I3644" s="25" t="s">
        <v>7719</v>
      </c>
    </row>
    <row r="3645" spans="1:9" s="33" customFormat="1" ht="105">
      <c r="A3645" s="19">
        <v>43546.548634259263</v>
      </c>
      <c r="B3645" s="20" t="str">
        <f t="shared" si="150"/>
        <v>@LailanBento1</v>
      </c>
      <c r="C3645" s="21" t="s">
        <v>2794</v>
      </c>
      <c r="D3645" s="22" t="s">
        <v>4706</v>
      </c>
      <c r="E3645" s="23" t="str">
        <f t="shared" si="151"/>
        <v>eClincher</v>
      </c>
      <c r="F3645" s="19">
        <v>41914.838159722218</v>
      </c>
      <c r="G3645" s="17" t="s">
        <v>13000</v>
      </c>
      <c r="H3645" s="35" t="s">
        <v>2796</v>
      </c>
      <c r="I3645" s="25" t="s">
        <v>7719</v>
      </c>
    </row>
    <row r="3646" spans="1:9" s="33" customFormat="1" ht="75">
      <c r="A3646" s="19">
        <v>43543.506261574075</v>
      </c>
      <c r="B3646" s="20" t="str">
        <f t="shared" si="150"/>
        <v>@LailanBento1</v>
      </c>
      <c r="C3646" s="21" t="s">
        <v>2794</v>
      </c>
      <c r="D3646" s="22" t="s">
        <v>4686</v>
      </c>
      <c r="E3646" s="23" t="str">
        <f t="shared" si="151"/>
        <v>eClincher</v>
      </c>
      <c r="F3646" s="19">
        <v>41914.838159722218</v>
      </c>
      <c r="G3646" s="17" t="s">
        <v>13000</v>
      </c>
      <c r="H3646" s="35" t="s">
        <v>2796</v>
      </c>
      <c r="I3646" s="25" t="s">
        <v>7719</v>
      </c>
    </row>
    <row r="3647" spans="1:9" s="33" customFormat="1" ht="105">
      <c r="A3647" s="19">
        <v>43543.421539351853</v>
      </c>
      <c r="B3647" s="20" t="str">
        <f t="shared" si="150"/>
        <v>@LailanBento1</v>
      </c>
      <c r="C3647" s="21" t="s">
        <v>2794</v>
      </c>
      <c r="D3647" s="22" t="s">
        <v>4706</v>
      </c>
      <c r="E3647" s="23" t="str">
        <f t="shared" si="151"/>
        <v>eClincher</v>
      </c>
      <c r="F3647" s="19">
        <v>41914.838159722218</v>
      </c>
      <c r="G3647" s="17" t="s">
        <v>13000</v>
      </c>
      <c r="H3647" s="35" t="s">
        <v>2796</v>
      </c>
      <c r="I3647" s="25" t="s">
        <v>7719</v>
      </c>
    </row>
    <row r="3648" spans="1:9" s="33" customFormat="1" ht="75">
      <c r="A3648" s="4">
        <v>43565.294444444444</v>
      </c>
      <c r="B3648" s="5" t="str">
        <f t="shared" si="150"/>
        <v>@LailanBento1</v>
      </c>
      <c r="C3648" s="6" t="s">
        <v>2794</v>
      </c>
      <c r="D3648" s="7" t="s">
        <v>4686</v>
      </c>
      <c r="E3648" s="8" t="str">
        <f t="shared" si="151"/>
        <v>eClincher</v>
      </c>
      <c r="F3648" s="4">
        <v>41914.838159722218</v>
      </c>
      <c r="G3648" s="17" t="s">
        <v>13000</v>
      </c>
      <c r="H3648" s="35" t="s">
        <v>2796</v>
      </c>
      <c r="I3648" s="10" t="s">
        <v>2797</v>
      </c>
    </row>
    <row r="3649" spans="1:9" s="33" customFormat="1" ht="105">
      <c r="A3649" s="4">
        <v>43564.633344907408</v>
      </c>
      <c r="B3649" s="5" t="str">
        <f t="shared" si="150"/>
        <v>@LailanBento1</v>
      </c>
      <c r="C3649" s="6" t="s">
        <v>2794</v>
      </c>
      <c r="D3649" s="7" t="s">
        <v>4706</v>
      </c>
      <c r="E3649" s="8" t="str">
        <f t="shared" si="151"/>
        <v>eClincher</v>
      </c>
      <c r="F3649" s="4">
        <v>41914.838159722218</v>
      </c>
      <c r="G3649" s="17" t="s">
        <v>13000</v>
      </c>
      <c r="H3649" s="35" t="s">
        <v>2796</v>
      </c>
      <c r="I3649" s="10" t="s">
        <v>2797</v>
      </c>
    </row>
    <row r="3650" spans="1:9" s="33" customFormat="1" ht="75">
      <c r="A3650" s="4">
        <v>43561.379178240742</v>
      </c>
      <c r="B3650" s="5" t="str">
        <f t="shared" si="150"/>
        <v>@LailanBento1</v>
      </c>
      <c r="C3650" s="6" t="s">
        <v>2794</v>
      </c>
      <c r="D3650" s="7" t="s">
        <v>4686</v>
      </c>
      <c r="E3650" s="8" t="str">
        <f t="shared" si="151"/>
        <v>eClincher</v>
      </c>
      <c r="F3650" s="4">
        <v>41914.838159722218</v>
      </c>
      <c r="G3650" s="17" t="s">
        <v>13000</v>
      </c>
      <c r="H3650" s="35" t="s">
        <v>2796</v>
      </c>
      <c r="I3650" s="10" t="s">
        <v>2797</v>
      </c>
    </row>
    <row r="3651" spans="1:9" s="33" customFormat="1" ht="105">
      <c r="A3651" s="4">
        <v>43561.294456018513</v>
      </c>
      <c r="B3651" s="5" t="str">
        <f t="shared" si="150"/>
        <v>@LailanBento1</v>
      </c>
      <c r="C3651" s="6" t="s">
        <v>2794</v>
      </c>
      <c r="D3651" s="7" t="s">
        <v>4706</v>
      </c>
      <c r="E3651" s="8" t="str">
        <f t="shared" si="151"/>
        <v>eClincher</v>
      </c>
      <c r="F3651" s="4">
        <v>41914.838159722218</v>
      </c>
      <c r="G3651" s="17" t="s">
        <v>13000</v>
      </c>
      <c r="H3651" s="35" t="s">
        <v>2796</v>
      </c>
      <c r="I3651" s="10" t="s">
        <v>2797</v>
      </c>
    </row>
    <row r="3652" spans="1:9" s="33" customFormat="1" ht="75">
      <c r="A3652" s="4">
        <v>43557.463900462964</v>
      </c>
      <c r="B3652" s="5" t="str">
        <f t="shared" si="150"/>
        <v>@LailanBento1</v>
      </c>
      <c r="C3652" s="6" t="s">
        <v>2794</v>
      </c>
      <c r="D3652" s="7" t="s">
        <v>4686</v>
      </c>
      <c r="E3652" s="8" t="str">
        <f t="shared" si="151"/>
        <v>eClincher</v>
      </c>
      <c r="F3652" s="4">
        <v>41914.838159722218</v>
      </c>
      <c r="G3652" s="17" t="s">
        <v>13000</v>
      </c>
      <c r="H3652" s="35" t="s">
        <v>2796</v>
      </c>
      <c r="I3652" s="10" t="s">
        <v>2797</v>
      </c>
    </row>
    <row r="3653" spans="1:9" s="33" customFormat="1" ht="105">
      <c r="A3653" s="4">
        <v>43557.379178240742</v>
      </c>
      <c r="B3653" s="5" t="str">
        <f t="shared" si="150"/>
        <v>@LailanBento1</v>
      </c>
      <c r="C3653" s="6" t="s">
        <v>2794</v>
      </c>
      <c r="D3653" s="7" t="s">
        <v>4706</v>
      </c>
      <c r="E3653" s="8" t="str">
        <f t="shared" si="151"/>
        <v>eClincher</v>
      </c>
      <c r="F3653" s="4">
        <v>41914.838159722218</v>
      </c>
      <c r="G3653" s="17" t="s">
        <v>13000</v>
      </c>
      <c r="H3653" s="35" t="s">
        <v>2796</v>
      </c>
      <c r="I3653" s="10" t="s">
        <v>2797</v>
      </c>
    </row>
    <row r="3654" spans="1:9" s="33" customFormat="1" ht="60">
      <c r="A3654" s="12">
        <v>43573.646504629629</v>
      </c>
      <c r="B3654" s="13" t="str">
        <f t="shared" si="150"/>
        <v>@LailanBento1</v>
      </c>
      <c r="C3654" s="14" t="s">
        <v>2794</v>
      </c>
      <c r="D3654" s="15" t="s">
        <v>2795</v>
      </c>
      <c r="E3654" s="16" t="str">
        <f>HYPERLINK("https://www.later.com","LaterMedia")</f>
        <v>LaterMedia</v>
      </c>
      <c r="F3654" s="12">
        <v>41914.838159722218</v>
      </c>
      <c r="G3654" s="17" t="s">
        <v>13000</v>
      </c>
      <c r="H3654" s="35" t="s">
        <v>2796</v>
      </c>
      <c r="I3654" s="18" t="s">
        <v>2797</v>
      </c>
    </row>
    <row r="3655" spans="1:9" s="33" customFormat="1" ht="75">
      <c r="A3655" s="12">
        <v>43568.633344907408</v>
      </c>
      <c r="B3655" s="13" t="str">
        <f t="shared" si="150"/>
        <v>@LailanBento1</v>
      </c>
      <c r="C3655" s="14" t="s">
        <v>2794</v>
      </c>
      <c r="D3655" s="15" t="s">
        <v>4686</v>
      </c>
      <c r="E3655" s="16" t="str">
        <f>HYPERLINK("https://eclincher.com","eClincher")</f>
        <v>eClincher</v>
      </c>
      <c r="F3655" s="12">
        <v>41914.838159722218</v>
      </c>
      <c r="G3655" s="17" t="s">
        <v>13000</v>
      </c>
      <c r="H3655" s="35" t="s">
        <v>2796</v>
      </c>
      <c r="I3655" s="18" t="s">
        <v>2797</v>
      </c>
    </row>
    <row r="3656" spans="1:9" s="33" customFormat="1" ht="105">
      <c r="A3656" s="12">
        <v>43568.548611111109</v>
      </c>
      <c r="B3656" s="13" t="str">
        <f t="shared" si="150"/>
        <v>@LailanBento1</v>
      </c>
      <c r="C3656" s="14" t="s">
        <v>2794</v>
      </c>
      <c r="D3656" s="15" t="s">
        <v>4706</v>
      </c>
      <c r="E3656" s="16" t="str">
        <f>HYPERLINK("https://eclincher.com","eClincher")</f>
        <v>eClincher</v>
      </c>
      <c r="F3656" s="12">
        <v>41914.838159722218</v>
      </c>
      <c r="G3656" s="17" t="s">
        <v>13000</v>
      </c>
      <c r="H3656" s="35" t="s">
        <v>2796</v>
      </c>
      <c r="I3656" s="18" t="s">
        <v>2797</v>
      </c>
    </row>
    <row r="3657" spans="1:9" s="33" customFormat="1" ht="45">
      <c r="A3657" s="12">
        <v>43567.865972222222</v>
      </c>
      <c r="B3657" s="13" t="str">
        <f>HYPERLINK("https://twitter.com/RobinAHolstein","@RobinAHolstein")</f>
        <v>@RobinAHolstein</v>
      </c>
      <c r="C3657" s="14" t="s">
        <v>4927</v>
      </c>
      <c r="D3657" s="15" t="s">
        <v>4928</v>
      </c>
      <c r="E3657" s="16" t="str">
        <f>HYPERLINK("http://instagram.com","Instagram")</f>
        <v>Instagram</v>
      </c>
      <c r="F3657" s="12">
        <v>40928.373032407406</v>
      </c>
      <c r="G3657" s="17" t="s">
        <v>13000</v>
      </c>
      <c r="H3657" s="35" t="s">
        <v>4929</v>
      </c>
      <c r="I3657" s="18" t="s">
        <v>4930</v>
      </c>
    </row>
    <row r="3658" spans="1:9" s="33" customFormat="1" ht="90">
      <c r="A3658" s="19">
        <v>43547.866527777776</v>
      </c>
      <c r="B3658" s="20" t="str">
        <f>HYPERLINK("https://twitter.com/bmrnvti","@bmrnvti")</f>
        <v>@bmrnvti</v>
      </c>
      <c r="C3658" s="21" t="s">
        <v>8459</v>
      </c>
      <c r="D3658" s="22" t="s">
        <v>8460</v>
      </c>
      <c r="E3658" s="23" t="str">
        <f>HYPERLINK("http://twitter.com/download/iphone","Twitter for iPhone")</f>
        <v>Twitter for iPhone</v>
      </c>
      <c r="F3658" s="19">
        <v>42317.039340277777</v>
      </c>
      <c r="G3658" s="17" t="s">
        <v>13000</v>
      </c>
      <c r="H3658" s="35" t="s">
        <v>8461</v>
      </c>
      <c r="I3658" s="25" t="s">
        <v>8462</v>
      </c>
    </row>
    <row r="3659" spans="1:9" s="33" customFormat="1" ht="30">
      <c r="A3659" s="4">
        <v>43559.357789351852</v>
      </c>
      <c r="B3659" s="5" t="str">
        <f>HYPERLINK("https://twitter.com/Freeleezy","@Freeleezy")</f>
        <v>@Freeleezy</v>
      </c>
      <c r="C3659" s="6" t="s">
        <v>11877</v>
      </c>
      <c r="D3659" s="7" t="s">
        <v>11878</v>
      </c>
      <c r="E3659" s="8" t="str">
        <f>HYPERLINK("http://twitter.com/download/android","Twitter for Android")</f>
        <v>Twitter for Android</v>
      </c>
      <c r="F3659" s="4">
        <v>39922.828020833331</v>
      </c>
      <c r="G3659" s="17" t="s">
        <v>13000</v>
      </c>
      <c r="H3659" s="35" t="s">
        <v>8461</v>
      </c>
      <c r="I3659" s="10" t="s">
        <v>11879</v>
      </c>
    </row>
    <row r="3660" spans="1:9" s="33" customFormat="1" ht="30">
      <c r="A3660" s="4">
        <v>43565.046203703707</v>
      </c>
      <c r="B3660" s="5" t="str">
        <f>HYPERLINK("https://twitter.com/mgolojuch","@mgolojuch")</f>
        <v>@mgolojuch</v>
      </c>
      <c r="C3660" s="6" t="s">
        <v>6328</v>
      </c>
      <c r="D3660" s="7" t="s">
        <v>6329</v>
      </c>
      <c r="E3660" s="8" t="str">
        <f>HYPERLINK("http://www.facebook.com/twitter","Facebook")</f>
        <v>Facebook</v>
      </c>
      <c r="F3660" s="4">
        <v>39717.756157407406</v>
      </c>
      <c r="G3660" s="17" t="s">
        <v>13000</v>
      </c>
      <c r="H3660" s="35" t="s">
        <v>6330</v>
      </c>
      <c r="I3660" s="10" t="s">
        <v>6331</v>
      </c>
    </row>
    <row r="3661" spans="1:9" s="33" customFormat="1" ht="90">
      <c r="A3661" s="4">
        <v>43557.646620370375</v>
      </c>
      <c r="B3661" s="5" t="str">
        <f>HYPERLINK("https://twitter.com/KauaiVacations","@KauaiVacations")</f>
        <v>@KauaiVacations</v>
      </c>
      <c r="C3661" s="6" t="s">
        <v>12424</v>
      </c>
      <c r="D3661" s="7" t="s">
        <v>12425</v>
      </c>
      <c r="E3661" s="8" t="str">
        <f>HYPERLINK("http://www.facebook.com/twitter","Facebook")</f>
        <v>Facebook</v>
      </c>
      <c r="F3661" s="4">
        <v>39944.58556712963</v>
      </c>
      <c r="G3661" s="9" t="s">
        <v>13000</v>
      </c>
      <c r="H3661" s="35" t="s">
        <v>12426</v>
      </c>
      <c r="I3661" s="10" t="s">
        <v>12427</v>
      </c>
    </row>
    <row r="3662" spans="1:9" s="33" customFormat="1" ht="75">
      <c r="A3662" s="12">
        <v>43572.192673611113</v>
      </c>
      <c r="B3662" s="13" t="str">
        <f t="shared" ref="B3662:B3669" si="152">HYPERLINK("https://twitter.com/Westoneastkeen1","@Westoneastkeen1")</f>
        <v>@Westoneastkeen1</v>
      </c>
      <c r="C3662" s="14" t="s">
        <v>3382</v>
      </c>
      <c r="D3662" s="15" t="s">
        <v>3383</v>
      </c>
      <c r="E3662" s="16" t="str">
        <f t="shared" ref="E3662:E3669" si="153">HYPERLINK("http://twitter.com/download/android","Twitter for Android")</f>
        <v>Twitter for Android</v>
      </c>
      <c r="F3662" s="12">
        <v>43389.696631944447</v>
      </c>
      <c r="G3662" s="17" t="s">
        <v>13000</v>
      </c>
      <c r="H3662" s="35" t="s">
        <v>3384</v>
      </c>
      <c r="I3662" s="18" t="s">
        <v>3385</v>
      </c>
    </row>
    <row r="3663" spans="1:9" s="33" customFormat="1" ht="105">
      <c r="A3663" s="12">
        <v>43569.659618055557</v>
      </c>
      <c r="B3663" s="13" t="str">
        <f t="shared" si="152"/>
        <v>@Westoneastkeen1</v>
      </c>
      <c r="C3663" s="14" t="s">
        <v>3382</v>
      </c>
      <c r="D3663" s="15" t="s">
        <v>4441</v>
      </c>
      <c r="E3663" s="16" t="str">
        <f t="shared" si="153"/>
        <v>Twitter for Android</v>
      </c>
      <c r="F3663" s="12">
        <v>43389.696631944447</v>
      </c>
      <c r="G3663" s="17" t="s">
        <v>13000</v>
      </c>
      <c r="H3663" s="35" t="s">
        <v>3384</v>
      </c>
      <c r="I3663" s="18" t="s">
        <v>3385</v>
      </c>
    </row>
    <row r="3664" spans="1:9" s="33" customFormat="1" ht="150">
      <c r="A3664" s="12">
        <v>43569.599293981482</v>
      </c>
      <c r="B3664" s="13" t="str">
        <f t="shared" si="152"/>
        <v>@Westoneastkeen1</v>
      </c>
      <c r="C3664" s="14" t="s">
        <v>3382</v>
      </c>
      <c r="D3664" s="15" t="s">
        <v>4466</v>
      </c>
      <c r="E3664" s="16" t="str">
        <f t="shared" si="153"/>
        <v>Twitter for Android</v>
      </c>
      <c r="F3664" s="12">
        <v>43389.696631944447</v>
      </c>
      <c r="G3664" s="17" t="s">
        <v>13000</v>
      </c>
      <c r="H3664" s="35" t="s">
        <v>3384</v>
      </c>
      <c r="I3664" s="18" t="s">
        <v>3385</v>
      </c>
    </row>
    <row r="3665" spans="1:9" s="33" customFormat="1" ht="120">
      <c r="A3665" s="12">
        <v>43568.279386574075</v>
      </c>
      <c r="B3665" s="13" t="str">
        <f t="shared" si="152"/>
        <v>@Westoneastkeen1</v>
      </c>
      <c r="C3665" s="14" t="s">
        <v>3382</v>
      </c>
      <c r="D3665" s="15" t="s">
        <v>4823</v>
      </c>
      <c r="E3665" s="16" t="str">
        <f t="shared" si="153"/>
        <v>Twitter for Android</v>
      </c>
      <c r="F3665" s="12">
        <v>43389.696631944447</v>
      </c>
      <c r="G3665" s="17" t="s">
        <v>13000</v>
      </c>
      <c r="H3665" s="35" t="s">
        <v>3384</v>
      </c>
      <c r="I3665" s="18" t="s">
        <v>3385</v>
      </c>
    </row>
    <row r="3666" spans="1:9" s="33" customFormat="1" ht="75">
      <c r="A3666" s="12">
        <v>43567.736388888894</v>
      </c>
      <c r="B3666" s="13" t="str">
        <f t="shared" si="152"/>
        <v>@Westoneastkeen1</v>
      </c>
      <c r="C3666" s="14" t="s">
        <v>3382</v>
      </c>
      <c r="D3666" s="15" t="s">
        <v>4971</v>
      </c>
      <c r="E3666" s="16" t="str">
        <f t="shared" si="153"/>
        <v>Twitter for Android</v>
      </c>
      <c r="F3666" s="12">
        <v>43389.696631944447</v>
      </c>
      <c r="G3666" s="17" t="s">
        <v>13000</v>
      </c>
      <c r="H3666" s="35" t="s">
        <v>3384</v>
      </c>
      <c r="I3666" s="18" t="s">
        <v>3385</v>
      </c>
    </row>
    <row r="3667" spans="1:9" s="33" customFormat="1" ht="120">
      <c r="A3667" s="12">
        <v>43567.731273148151</v>
      </c>
      <c r="B3667" s="13" t="str">
        <f t="shared" si="152"/>
        <v>@Westoneastkeen1</v>
      </c>
      <c r="C3667" s="14" t="s">
        <v>3382</v>
      </c>
      <c r="D3667" s="15" t="s">
        <v>4972</v>
      </c>
      <c r="E3667" s="16" t="str">
        <f t="shared" si="153"/>
        <v>Twitter for Android</v>
      </c>
      <c r="F3667" s="12">
        <v>43389.696631944447</v>
      </c>
      <c r="G3667" s="17" t="s">
        <v>13000</v>
      </c>
      <c r="H3667" s="35" t="s">
        <v>3384</v>
      </c>
      <c r="I3667" s="18" t="s">
        <v>3385</v>
      </c>
    </row>
    <row r="3668" spans="1:9" s="33" customFormat="1" ht="90">
      <c r="A3668" s="12">
        <v>43567.724618055552</v>
      </c>
      <c r="B3668" s="13" t="str">
        <f t="shared" si="152"/>
        <v>@Westoneastkeen1</v>
      </c>
      <c r="C3668" s="14" t="s">
        <v>3382</v>
      </c>
      <c r="D3668" s="15" t="s">
        <v>4984</v>
      </c>
      <c r="E3668" s="16" t="str">
        <f t="shared" si="153"/>
        <v>Twitter for Android</v>
      </c>
      <c r="F3668" s="12">
        <v>43389.696631944447</v>
      </c>
      <c r="G3668" s="17" t="s">
        <v>13000</v>
      </c>
      <c r="H3668" s="35" t="s">
        <v>3384</v>
      </c>
      <c r="I3668" s="18" t="s">
        <v>3385</v>
      </c>
    </row>
    <row r="3669" spans="1:9" s="33" customFormat="1" ht="90">
      <c r="A3669" s="12">
        <v>43567.721331018518</v>
      </c>
      <c r="B3669" s="13" t="str">
        <f t="shared" si="152"/>
        <v>@Westoneastkeen1</v>
      </c>
      <c r="C3669" s="14" t="s">
        <v>3382</v>
      </c>
      <c r="D3669" s="15" t="s">
        <v>4985</v>
      </c>
      <c r="E3669" s="16" t="str">
        <f t="shared" si="153"/>
        <v>Twitter for Android</v>
      </c>
      <c r="F3669" s="12">
        <v>43389.696631944447</v>
      </c>
      <c r="G3669" s="17" t="s">
        <v>13000</v>
      </c>
      <c r="H3669" s="35" t="s">
        <v>3384</v>
      </c>
      <c r="I3669" s="18" t="s">
        <v>3385</v>
      </c>
    </row>
    <row r="3670" spans="1:9" s="33" customFormat="1" ht="45">
      <c r="A3670" s="4">
        <v>43559.480023148149</v>
      </c>
      <c r="B3670" s="5" t="str">
        <f>HYPERLINK("https://twitter.com/Kva7k","@Kva7k")</f>
        <v>@Kva7k</v>
      </c>
      <c r="C3670" s="6" t="s">
        <v>4744</v>
      </c>
      <c r="D3670" s="7" t="s">
        <v>11791</v>
      </c>
      <c r="E3670" s="8" t="str">
        <f>HYPERLINK("http://twitter.com","Twitter Web Client")</f>
        <v>Twitter Web Client</v>
      </c>
      <c r="F3670" s="4">
        <v>42982.338449074072</v>
      </c>
      <c r="G3670" s="17" t="s">
        <v>13000</v>
      </c>
      <c r="H3670" s="35" t="s">
        <v>4746</v>
      </c>
      <c r="I3670" s="10" t="s">
        <v>4747</v>
      </c>
    </row>
    <row r="3671" spans="1:9" s="33" customFormat="1" ht="75">
      <c r="A3671" s="12">
        <v>43568.468946759254</v>
      </c>
      <c r="B3671" s="13" t="str">
        <f>HYPERLINK("https://twitter.com/Kva7k","@Kva7k")</f>
        <v>@Kva7k</v>
      </c>
      <c r="C3671" s="14" t="s">
        <v>4744</v>
      </c>
      <c r="D3671" s="15" t="s">
        <v>4745</v>
      </c>
      <c r="E3671" s="16" t="str">
        <f>HYPERLINK("http://twitter.com","Twitter Web Client")</f>
        <v>Twitter Web Client</v>
      </c>
      <c r="F3671" s="12">
        <v>42982.338449074072</v>
      </c>
      <c r="G3671" s="17" t="s">
        <v>13000</v>
      </c>
      <c r="H3671" s="35" t="s">
        <v>4746</v>
      </c>
      <c r="I3671" s="18" t="s">
        <v>4747</v>
      </c>
    </row>
    <row r="3672" spans="1:9" s="33" customFormat="1" ht="60">
      <c r="A3672" s="12">
        <v>43567.369131944448</v>
      </c>
      <c r="B3672" s="13" t="str">
        <f>HYPERLINK("https://twitter.com/AKPermafrost","@AKPermafrost")</f>
        <v>@AKPermafrost</v>
      </c>
      <c r="C3672" s="14" t="s">
        <v>5136</v>
      </c>
      <c r="D3672" s="15" t="s">
        <v>5137</v>
      </c>
      <c r="E3672" s="16" t="str">
        <f>HYPERLINK("http://twitter.com/download/iphone","Twitter for iPhone")</f>
        <v>Twitter for iPhone</v>
      </c>
      <c r="F3672" s="12">
        <v>42721.396469907406</v>
      </c>
      <c r="G3672" s="17" t="s">
        <v>13000</v>
      </c>
      <c r="H3672" s="35" t="s">
        <v>5138</v>
      </c>
      <c r="I3672" s="18" t="s">
        <v>5139</v>
      </c>
    </row>
    <row r="3673" spans="1:9" s="33" customFormat="1" ht="45">
      <c r="A3673" s="12">
        <v>43571.054456018523</v>
      </c>
      <c r="B3673" s="13" t="str">
        <f>HYPERLINK("https://twitter.com/techfindr","@techfindr")</f>
        <v>@techfindr</v>
      </c>
      <c r="C3673" s="14" t="s">
        <v>3876</v>
      </c>
      <c r="D3673" s="15" t="s">
        <v>3877</v>
      </c>
      <c r="E3673" s="16" t="str">
        <f>HYPERLINK("https://www.hootsuite.com","Hootsuite Inc.")</f>
        <v>Hootsuite Inc.</v>
      </c>
      <c r="F3673" s="12">
        <v>42216.395775462966</v>
      </c>
      <c r="G3673" s="17" t="s">
        <v>13000</v>
      </c>
      <c r="H3673" s="35" t="s">
        <v>3878</v>
      </c>
      <c r="I3673" s="18" t="s">
        <v>3879</v>
      </c>
    </row>
    <row r="3674" spans="1:9" s="33" customFormat="1" ht="45">
      <c r="A3674" s="19">
        <v>43546.931504629625</v>
      </c>
      <c r="B3674" s="20" t="str">
        <f>HYPERLINK("https://twitter.com/TrailblzrHAWAII","@TrailblzrHAWAII")</f>
        <v>@TrailblzrHAWAII</v>
      </c>
      <c r="C3674" s="21" t="s">
        <v>5152</v>
      </c>
      <c r="D3674" s="22" t="s">
        <v>8699</v>
      </c>
      <c r="E3674" s="23" t="str">
        <f>HYPERLINK("http://twitter.com","Twitter Web Client")</f>
        <v>Twitter Web Client</v>
      </c>
      <c r="F3674" s="19">
        <v>40361.338750000003</v>
      </c>
      <c r="G3674" s="17" t="s">
        <v>13000</v>
      </c>
      <c r="H3674" s="35" t="s">
        <v>5154</v>
      </c>
      <c r="I3674" s="25" t="s">
        <v>5155</v>
      </c>
    </row>
    <row r="3675" spans="1:9" s="33" customFormat="1" ht="45">
      <c r="A3675" s="4">
        <v>43561.396585648152</v>
      </c>
      <c r="B3675" s="5" t="str">
        <f>HYPERLINK("https://twitter.com/TrailblzrHAWAII","@TrailblzrHAWAII")</f>
        <v>@TrailblzrHAWAII</v>
      </c>
      <c r="C3675" s="6" t="s">
        <v>5152</v>
      </c>
      <c r="D3675" s="7" t="s">
        <v>10988</v>
      </c>
      <c r="E3675" s="8" t="str">
        <f>HYPERLINK("http://twitter.com","Twitter Web Client")</f>
        <v>Twitter Web Client</v>
      </c>
      <c r="F3675" s="4">
        <v>40361.338750000003</v>
      </c>
      <c r="G3675" s="17" t="s">
        <v>13000</v>
      </c>
      <c r="H3675" s="35" t="s">
        <v>5154</v>
      </c>
      <c r="I3675" s="10" t="s">
        <v>5155</v>
      </c>
    </row>
    <row r="3676" spans="1:9" s="33" customFormat="1" ht="45">
      <c r="A3676" s="4">
        <v>43559.919131944444</v>
      </c>
      <c r="B3676" s="5" t="str">
        <f>HYPERLINK("https://twitter.com/TrailblzrHAWAII","@TrailblzrHAWAII")</f>
        <v>@TrailblzrHAWAII</v>
      </c>
      <c r="C3676" s="6" t="s">
        <v>5152</v>
      </c>
      <c r="D3676" s="7" t="s">
        <v>11663</v>
      </c>
      <c r="E3676" s="8" t="str">
        <f>HYPERLINK("http://twitter.com","Twitter Web Client")</f>
        <v>Twitter Web Client</v>
      </c>
      <c r="F3676" s="4">
        <v>40361.338750000003</v>
      </c>
      <c r="G3676" s="17" t="s">
        <v>13000</v>
      </c>
      <c r="H3676" s="35" t="s">
        <v>5154</v>
      </c>
      <c r="I3676" s="10" t="s">
        <v>5155</v>
      </c>
    </row>
    <row r="3677" spans="1:9" s="33" customFormat="1" ht="60">
      <c r="A3677" s="12">
        <v>43567.343194444446</v>
      </c>
      <c r="B3677" s="13" t="str">
        <f>HYPERLINK("https://twitter.com/TrailblzrHAWAII","@TrailblzrHAWAII")</f>
        <v>@TrailblzrHAWAII</v>
      </c>
      <c r="C3677" s="14" t="s">
        <v>5152</v>
      </c>
      <c r="D3677" s="15" t="s">
        <v>5153</v>
      </c>
      <c r="E3677" s="16" t="str">
        <f>HYPERLINK("http://twitter.com","Twitter Web Client")</f>
        <v>Twitter Web Client</v>
      </c>
      <c r="F3677" s="12">
        <v>40361.338750000003</v>
      </c>
      <c r="G3677" s="17" t="s">
        <v>13000</v>
      </c>
      <c r="H3677" s="35" t="s">
        <v>5154</v>
      </c>
      <c r="I3677" s="18" t="s">
        <v>5155</v>
      </c>
    </row>
    <row r="3678" spans="1:9" s="33" customFormat="1" ht="90">
      <c r="A3678" s="19">
        <v>43550.413356481484</v>
      </c>
      <c r="B3678" s="20" t="str">
        <f>HYPERLINK("https://twitter.com/MarieHa04729818","@MarieHa04729818")</f>
        <v>@MarieHa04729818</v>
      </c>
      <c r="C3678" s="21" t="s">
        <v>7680</v>
      </c>
      <c r="D3678" s="22" t="s">
        <v>7681</v>
      </c>
      <c r="E3678" s="23" t="str">
        <f>HYPERLINK("http://twitter.com/download/android","Twitter for Android")</f>
        <v>Twitter for Android</v>
      </c>
      <c r="F3678" s="19">
        <v>43430.759456018517</v>
      </c>
      <c r="G3678" s="17" t="s">
        <v>13000</v>
      </c>
      <c r="H3678" s="35" t="s">
        <v>2246</v>
      </c>
      <c r="I3678" s="25" t="s">
        <v>7682</v>
      </c>
    </row>
    <row r="3679" spans="1:9" s="33" customFormat="1" ht="75">
      <c r="A3679" s="19">
        <v>43548.68268518518</v>
      </c>
      <c r="B3679" s="20" t="str">
        <f>HYPERLINK("https://twitter.com/MarieHa04729818","@MarieHa04729818")</f>
        <v>@MarieHa04729818</v>
      </c>
      <c r="C3679" s="21" t="s">
        <v>7680</v>
      </c>
      <c r="D3679" s="22" t="s">
        <v>8248</v>
      </c>
      <c r="E3679" s="23" t="str">
        <f>HYPERLINK("http://twitter.com/download/android","Twitter for Android")</f>
        <v>Twitter for Android</v>
      </c>
      <c r="F3679" s="19">
        <v>43430.759456018517</v>
      </c>
      <c r="G3679" s="17" t="s">
        <v>13000</v>
      </c>
      <c r="H3679" s="35" t="s">
        <v>2246</v>
      </c>
      <c r="I3679" s="25" t="s">
        <v>7682</v>
      </c>
    </row>
    <row r="3680" spans="1:9" s="33" customFormat="1" ht="75">
      <c r="A3680" s="19">
        <v>43546.568530092598</v>
      </c>
      <c r="B3680" s="20" t="str">
        <f>HYPERLINK("https://twitter.com/DancehallBuzz","@DancehallBuzz")</f>
        <v>@DancehallBuzz</v>
      </c>
      <c r="C3680" s="21" t="s">
        <v>8798</v>
      </c>
      <c r="D3680" s="22" t="s">
        <v>8799</v>
      </c>
      <c r="E3680" s="23" t="str">
        <f>HYPERLINK("http://instagram.com","Instagram")</f>
        <v>Instagram</v>
      </c>
      <c r="F3680" s="19">
        <v>39925.442303240743</v>
      </c>
      <c r="G3680" s="17" t="s">
        <v>13000</v>
      </c>
      <c r="H3680" s="35" t="s">
        <v>2246</v>
      </c>
      <c r="I3680" s="25" t="s">
        <v>8800</v>
      </c>
    </row>
    <row r="3681" spans="1:9" s="33" customFormat="1" ht="45">
      <c r="A3681" s="12">
        <v>43575.383993055555</v>
      </c>
      <c r="B3681" s="13" t="str">
        <f>HYPERLINK("https://twitter.com/PHC_Digital","@PHC_Digital")</f>
        <v>@PHC_Digital</v>
      </c>
      <c r="C3681" s="14" t="s">
        <v>2244</v>
      </c>
      <c r="D3681" s="15" t="s">
        <v>2245</v>
      </c>
      <c r="E3681" s="16" t="str">
        <f>HYPERLINK("http://twitter.com","Twitter Web Client")</f>
        <v>Twitter Web Client</v>
      </c>
      <c r="F3681" s="12">
        <v>40416.275127314817</v>
      </c>
      <c r="G3681" s="17" t="s">
        <v>13000</v>
      </c>
      <c r="H3681" s="35" t="s">
        <v>2246</v>
      </c>
      <c r="I3681" s="18" t="s">
        <v>2247</v>
      </c>
    </row>
    <row r="3682" spans="1:9" s="33" customFormat="1" ht="105">
      <c r="A3682" s="4">
        <v>43559.958564814813</v>
      </c>
      <c r="B3682" s="5" t="str">
        <f>HYPERLINK("https://twitter.com/LOTooleRealty","@LOTooleRealty")</f>
        <v>@LOTooleRealty</v>
      </c>
      <c r="C3682" s="6" t="s">
        <v>11645</v>
      </c>
      <c r="D3682" s="7" t="s">
        <v>11646</v>
      </c>
      <c r="E3682" s="8" t="str">
        <f>HYPERLINK("https://www.hootsuite.com","Hootsuite Inc.")</f>
        <v>Hootsuite Inc.</v>
      </c>
      <c r="F3682" s="4">
        <v>43290.526817129634</v>
      </c>
      <c r="G3682" s="17" t="s">
        <v>13000</v>
      </c>
      <c r="H3682" s="35" t="s">
        <v>11647</v>
      </c>
      <c r="I3682" s="10" t="s">
        <v>11648</v>
      </c>
    </row>
    <row r="3683" spans="1:9" s="33" customFormat="1" ht="90">
      <c r="A3683" s="12">
        <v>43572.236180555556</v>
      </c>
      <c r="B3683" s="13" t="str">
        <f>HYPERLINK("https://twitter.com/AndyLarin","@AndyLarin")</f>
        <v>@AndyLarin</v>
      </c>
      <c r="C3683" s="14" t="s">
        <v>3366</v>
      </c>
      <c r="D3683" s="15" t="s">
        <v>3367</v>
      </c>
      <c r="E3683" s="16" t="str">
        <f>HYPERLINK("https://www.hootsuite.com","Hootsuite Inc.")</f>
        <v>Hootsuite Inc.</v>
      </c>
      <c r="F3683" s="12">
        <v>39888.370833333334</v>
      </c>
      <c r="G3683" s="17" t="s">
        <v>13000</v>
      </c>
      <c r="H3683" s="35" t="s">
        <v>3368</v>
      </c>
      <c r="I3683" s="18" t="s">
        <v>3369</v>
      </c>
    </row>
    <row r="3684" spans="1:9" s="33" customFormat="1" ht="45">
      <c r="A3684" s="12">
        <v>43574.319293981476</v>
      </c>
      <c r="B3684" s="13" t="str">
        <f>HYPERLINK("https://twitter.com/carlaacarlson","@carlaacarlson")</f>
        <v>@carlaacarlson</v>
      </c>
      <c r="C3684" s="14" t="s">
        <v>2597</v>
      </c>
      <c r="D3684" s="15" t="s">
        <v>2598</v>
      </c>
      <c r="E3684" s="16" t="str">
        <f>HYPERLINK("http://twitter.com/download/iphone","Twitter for iPhone")</f>
        <v>Twitter for iPhone</v>
      </c>
      <c r="F3684" s="12">
        <v>40017.694537037038</v>
      </c>
      <c r="G3684" s="17" t="s">
        <v>13000</v>
      </c>
      <c r="H3684" s="35" t="s">
        <v>2599</v>
      </c>
      <c r="I3684" s="18" t="s">
        <v>2600</v>
      </c>
    </row>
    <row r="3685" spans="1:9" s="33" customFormat="1" ht="105">
      <c r="A3685" s="19">
        <v>43550.434062500004</v>
      </c>
      <c r="B3685" s="20" t="str">
        <f>HYPERLINK("https://twitter.com/vprealtor1","@vprealtor1")</f>
        <v>@vprealtor1</v>
      </c>
      <c r="C3685" s="21" t="s">
        <v>7665</v>
      </c>
      <c r="D3685" s="22" t="s">
        <v>7666</v>
      </c>
      <c r="E3685" s="23" t="str">
        <f>HYPERLINK("http://www.linkedin.com/","LinkedIn")</f>
        <v>LinkedIn</v>
      </c>
      <c r="F3685" s="19">
        <v>39989.497465277775</v>
      </c>
      <c r="G3685" s="24" t="s">
        <v>13000</v>
      </c>
      <c r="H3685" s="35" t="s">
        <v>7667</v>
      </c>
      <c r="I3685" s="25" t="s">
        <v>7668</v>
      </c>
    </row>
    <row r="3686" spans="1:9" s="33" customFormat="1" ht="60">
      <c r="A3686" s="12">
        <v>43578.699189814812</v>
      </c>
      <c r="B3686" s="13" t="str">
        <f>HYPERLINK("https://twitter.com/BrianKeithEllis","@BrianKeithEllis")</f>
        <v>@BrianKeithEllis</v>
      </c>
      <c r="C3686" s="14" t="s">
        <v>1090</v>
      </c>
      <c r="D3686" s="15" t="s">
        <v>1091</v>
      </c>
      <c r="E3686" s="16" t="str">
        <f>HYPERLINK("http://www.facebook.com/twitter","Facebook")</f>
        <v>Facebook</v>
      </c>
      <c r="F3686" s="12">
        <v>39894.304456018523</v>
      </c>
      <c r="G3686" s="17" t="s">
        <v>13000</v>
      </c>
      <c r="H3686" s="35" t="s">
        <v>1092</v>
      </c>
      <c r="I3686" s="18" t="s">
        <v>1093</v>
      </c>
    </row>
    <row r="3687" spans="1:9" s="33" customFormat="1" ht="75">
      <c r="A3687" s="19">
        <v>43550.336817129632</v>
      </c>
      <c r="B3687" s="20" t="str">
        <f>HYPERLINK("https://twitter.com/SerendipityOBX","@SerendipityOBX")</f>
        <v>@SerendipityOBX</v>
      </c>
      <c r="C3687" s="21" t="s">
        <v>7720</v>
      </c>
      <c r="D3687" s="22" t="s">
        <v>7721</v>
      </c>
      <c r="E3687" s="23" t="str">
        <f>HYPERLINK("http://instagram.com","Instagram")</f>
        <v>Instagram</v>
      </c>
      <c r="F3687" s="19">
        <v>42944.876898148148</v>
      </c>
      <c r="G3687" s="17" t="s">
        <v>13000</v>
      </c>
      <c r="H3687" s="35" t="s">
        <v>7722</v>
      </c>
      <c r="I3687" s="25" t="s">
        <v>7723</v>
      </c>
    </row>
    <row r="3688" spans="1:9" s="33" customFormat="1" ht="45">
      <c r="A3688" s="19">
        <v>43548.26081018518</v>
      </c>
      <c r="B3688" s="20" t="str">
        <f>HYPERLINK("https://twitter.com/JustinKnoxville","@JustinKnoxville")</f>
        <v>@JustinKnoxville</v>
      </c>
      <c r="C3688" s="21" t="s">
        <v>8362</v>
      </c>
      <c r="D3688" s="22" t="s">
        <v>8363</v>
      </c>
      <c r="E3688" s="23" t="str">
        <f>HYPERLINK("https://www.circlepix.com/","Circlepix")</f>
        <v>Circlepix</v>
      </c>
      <c r="F3688" s="19">
        <v>42412.277685185181</v>
      </c>
      <c r="G3688" s="17" t="s">
        <v>13000</v>
      </c>
      <c r="H3688" s="35" t="s">
        <v>2900</v>
      </c>
      <c r="I3688" s="25" t="s">
        <v>8364</v>
      </c>
    </row>
    <row r="3689" spans="1:9" s="33" customFormat="1" ht="105">
      <c r="A3689" s="12">
        <v>43573.392118055555</v>
      </c>
      <c r="B3689" s="13" t="str">
        <f>HYPERLINK("https://twitter.com/farm_furniture","@farm_furniture")</f>
        <v>@farm_furniture</v>
      </c>
      <c r="C3689" s="14" t="s">
        <v>2898</v>
      </c>
      <c r="D3689" s="15" t="s">
        <v>2899</v>
      </c>
      <c r="E3689" s="16" t="str">
        <f>HYPERLINK("http://twitter.com","Twitter Web Client")</f>
        <v>Twitter Web Client</v>
      </c>
      <c r="F3689" s="12">
        <v>42542.552847222221</v>
      </c>
      <c r="G3689" s="17" t="s">
        <v>13000</v>
      </c>
      <c r="H3689" s="35" t="s">
        <v>2900</v>
      </c>
      <c r="I3689" s="18" t="s">
        <v>2901</v>
      </c>
    </row>
    <row r="3690" spans="1:9" s="33" customFormat="1" ht="75">
      <c r="A3690" s="19">
        <v>43550.818275462967</v>
      </c>
      <c r="B3690" s="20" t="str">
        <f>HYPERLINK("https://twitter.com/Upon_the_Laurel","@Upon_the_Laurel")</f>
        <v>@Upon_the_Laurel</v>
      </c>
      <c r="C3690" s="21" t="s">
        <v>7496</v>
      </c>
      <c r="D3690" s="22" t="s">
        <v>7497</v>
      </c>
      <c r="E3690" s="23" t="str">
        <f>HYPERLINK("http://twitter.com/download/iphone","Twitter for iPhone")</f>
        <v>Twitter for iPhone</v>
      </c>
      <c r="F3690" s="19">
        <v>42589.45207175926</v>
      </c>
      <c r="G3690" s="9" t="s">
        <v>13000</v>
      </c>
      <c r="H3690" s="35" t="s">
        <v>7498</v>
      </c>
      <c r="I3690" s="25" t="s">
        <v>7499</v>
      </c>
    </row>
    <row r="3691" spans="1:9" s="33" customFormat="1" ht="105">
      <c r="A3691" s="19">
        <v>43546.413113425922</v>
      </c>
      <c r="B3691" s="20" t="str">
        <f>HYPERLINK("https://twitter.com/Upon_the_Laurel","@Upon_the_Laurel")</f>
        <v>@Upon_the_Laurel</v>
      </c>
      <c r="C3691" s="21" t="s">
        <v>7496</v>
      </c>
      <c r="D3691" s="22" t="s">
        <v>8874</v>
      </c>
      <c r="E3691" s="23" t="str">
        <f>HYPERLINK("http://twitter.com/download/iphone","Twitter for iPhone")</f>
        <v>Twitter for iPhone</v>
      </c>
      <c r="F3691" s="19">
        <v>42589.45207175926</v>
      </c>
      <c r="G3691" s="9" t="s">
        <v>13000</v>
      </c>
      <c r="H3691" s="35" t="s">
        <v>7498</v>
      </c>
      <c r="I3691" s="25" t="s">
        <v>7499</v>
      </c>
    </row>
    <row r="3692" spans="1:9" s="33" customFormat="1" ht="90">
      <c r="A3692" s="4">
        <v>43557.751203703709</v>
      </c>
      <c r="B3692" s="5" t="str">
        <f>HYPERLINK("https://twitter.com/Upon_the_Laurel","@Upon_the_Laurel")</f>
        <v>@Upon_the_Laurel</v>
      </c>
      <c r="C3692" s="6" t="s">
        <v>7496</v>
      </c>
      <c r="D3692" s="7" t="s">
        <v>12396</v>
      </c>
      <c r="E3692" s="8" t="str">
        <f>HYPERLINK("http://twitter.com/download/iphone","Twitter for iPhone")</f>
        <v>Twitter for iPhone</v>
      </c>
      <c r="F3692" s="4">
        <v>42589.45207175926</v>
      </c>
      <c r="G3692" s="9" t="s">
        <v>13000</v>
      </c>
      <c r="H3692" s="35" t="s">
        <v>7498</v>
      </c>
      <c r="I3692" s="10" t="s">
        <v>7499</v>
      </c>
    </row>
    <row r="3693" spans="1:9" s="33" customFormat="1" ht="75">
      <c r="A3693" s="19">
        <v>43545.811898148153</v>
      </c>
      <c r="B3693" s="20" t="str">
        <f>HYPERLINK("https://twitter.com/anabellerossell","@anabellerossell")</f>
        <v>@anabellerossell</v>
      </c>
      <c r="C3693" s="21" t="s">
        <v>2714</v>
      </c>
      <c r="D3693" s="22" t="s">
        <v>9046</v>
      </c>
      <c r="E3693" s="23" t="str">
        <f>HYPERLINK("http://instagram.com","Instagram")</f>
        <v>Instagram</v>
      </c>
      <c r="F3693" s="19">
        <v>40028.687800925924</v>
      </c>
      <c r="G3693" s="17" t="s">
        <v>13000</v>
      </c>
      <c r="H3693" s="35" t="s">
        <v>2716</v>
      </c>
      <c r="I3693" s="25" t="s">
        <v>2717</v>
      </c>
    </row>
    <row r="3694" spans="1:9" s="33" customFormat="1" ht="75">
      <c r="A3694" s="19">
        <v>43544.895694444444</v>
      </c>
      <c r="B3694" s="20" t="str">
        <f>HYPERLINK("https://twitter.com/anabellerossell","@anabellerossell")</f>
        <v>@anabellerossell</v>
      </c>
      <c r="C3694" s="21" t="s">
        <v>2714</v>
      </c>
      <c r="D3694" s="22" t="s">
        <v>9319</v>
      </c>
      <c r="E3694" s="23" t="str">
        <f>HYPERLINK("http://instagram.com","Instagram")</f>
        <v>Instagram</v>
      </c>
      <c r="F3694" s="19">
        <v>40028.687800925924</v>
      </c>
      <c r="G3694" s="17" t="s">
        <v>13000</v>
      </c>
      <c r="H3694" s="35" t="s">
        <v>2716</v>
      </c>
      <c r="I3694" s="25" t="s">
        <v>2717</v>
      </c>
    </row>
    <row r="3695" spans="1:9" s="33" customFormat="1" ht="90">
      <c r="A3695" s="4">
        <v>43558.679259259261</v>
      </c>
      <c r="B3695" s="5" t="str">
        <f>HYPERLINK("https://twitter.com/anabellerossell","@anabellerossell")</f>
        <v>@anabellerossell</v>
      </c>
      <c r="C3695" s="6" t="s">
        <v>2714</v>
      </c>
      <c r="D3695" s="7" t="s">
        <v>12074</v>
      </c>
      <c r="E3695" s="8" t="str">
        <f>HYPERLINK("http://instagram.com","Instagram")</f>
        <v>Instagram</v>
      </c>
      <c r="F3695" s="4">
        <v>40028.687800925924</v>
      </c>
      <c r="G3695" s="17" t="s">
        <v>13000</v>
      </c>
      <c r="H3695" s="35" t="s">
        <v>2716</v>
      </c>
      <c r="I3695" s="10" t="s">
        <v>2717</v>
      </c>
    </row>
    <row r="3696" spans="1:9" s="33" customFormat="1" ht="60">
      <c r="A3696" s="12">
        <v>43573.888611111106</v>
      </c>
      <c r="B3696" s="13" t="str">
        <f>HYPERLINK("https://twitter.com/anabellerossell","@anabellerossell")</f>
        <v>@anabellerossell</v>
      </c>
      <c r="C3696" s="14" t="s">
        <v>2714</v>
      </c>
      <c r="D3696" s="15" t="s">
        <v>2715</v>
      </c>
      <c r="E3696" s="16" t="str">
        <f>HYPERLINK("http://instagram.com","Instagram")</f>
        <v>Instagram</v>
      </c>
      <c r="F3696" s="12">
        <v>40028.687800925924</v>
      </c>
      <c r="G3696" s="17" t="s">
        <v>13000</v>
      </c>
      <c r="H3696" s="35" t="s">
        <v>2716</v>
      </c>
      <c r="I3696" s="18" t="s">
        <v>2717</v>
      </c>
    </row>
    <row r="3697" spans="1:9" s="33" customFormat="1" ht="60">
      <c r="A3697" s="12">
        <v>43570.795671296291</v>
      </c>
      <c r="B3697" s="13" t="str">
        <f>HYPERLINK("https://twitter.com/anabellerossell","@anabellerossell")</f>
        <v>@anabellerossell</v>
      </c>
      <c r="C3697" s="14" t="s">
        <v>2714</v>
      </c>
      <c r="D3697" s="15" t="s">
        <v>3977</v>
      </c>
      <c r="E3697" s="16" t="str">
        <f>HYPERLINK("http://instagram.com","Instagram")</f>
        <v>Instagram</v>
      </c>
      <c r="F3697" s="12">
        <v>40028.687800925924</v>
      </c>
      <c r="G3697" s="17" t="s">
        <v>13000</v>
      </c>
      <c r="H3697" s="35" t="s">
        <v>2716</v>
      </c>
      <c r="I3697" s="18" t="s">
        <v>2717</v>
      </c>
    </row>
    <row r="3698" spans="1:9" s="33" customFormat="1" ht="45">
      <c r="A3698" s="19">
        <v>43543.635462962964</v>
      </c>
      <c r="B3698" s="20" t="str">
        <f>HYPERLINK("https://twitter.com/emmelieforsyth","@emmelieforsyth")</f>
        <v>@emmelieforsyth</v>
      </c>
      <c r="C3698" s="21" t="s">
        <v>9718</v>
      </c>
      <c r="D3698" s="22" t="s">
        <v>9719</v>
      </c>
      <c r="E3698" s="23" t="str">
        <f>HYPERLINK("https://buffer.com","Buffer")</f>
        <v>Buffer</v>
      </c>
      <c r="F3698" s="19">
        <v>40461.820659722223</v>
      </c>
      <c r="G3698" s="17" t="s">
        <v>13000</v>
      </c>
      <c r="H3698" s="35" t="s">
        <v>9720</v>
      </c>
      <c r="I3698" s="25" t="s">
        <v>9721</v>
      </c>
    </row>
    <row r="3699" spans="1:9" s="33" customFormat="1" ht="45">
      <c r="A3699" s="12">
        <v>43570.525092592594</v>
      </c>
      <c r="B3699" s="13" t="str">
        <f>HYPERLINK("https://twitter.com/KellyCavanaugh_","@KellyCavanaugh_")</f>
        <v>@KellyCavanaugh_</v>
      </c>
      <c r="C3699" s="14" t="s">
        <v>4089</v>
      </c>
      <c r="D3699" s="15" t="s">
        <v>4090</v>
      </c>
      <c r="E3699" s="16" t="str">
        <f>HYPERLINK("http://twitter.com/download/iphone","Twitter for iPhone")</f>
        <v>Twitter for iPhone</v>
      </c>
      <c r="F3699" s="12">
        <v>41102.41375</v>
      </c>
      <c r="G3699" s="17" t="s">
        <v>13000</v>
      </c>
      <c r="H3699" s="35" t="s">
        <v>4091</v>
      </c>
      <c r="I3699" s="18" t="s">
        <v>4092</v>
      </c>
    </row>
    <row r="3700" spans="1:9" s="33" customFormat="1" ht="75">
      <c r="A3700" s="19">
        <v>43546.360127314816</v>
      </c>
      <c r="B3700" s="20" t="str">
        <f>HYPERLINK("https://twitter.com/danengel1","@danengel1")</f>
        <v>@danengel1</v>
      </c>
      <c r="C3700" s="21" t="s">
        <v>8889</v>
      </c>
      <c r="D3700" s="22" t="s">
        <v>8890</v>
      </c>
      <c r="E3700" s="23" t="str">
        <f>HYPERLINK("http://twitter.com","Twitter Web Client")</f>
        <v>Twitter Web Client</v>
      </c>
      <c r="F3700" s="19">
        <v>40814.402222222227</v>
      </c>
      <c r="G3700" s="17" t="s">
        <v>13000</v>
      </c>
      <c r="H3700" s="35" t="s">
        <v>8891</v>
      </c>
      <c r="I3700" s="25" t="s">
        <v>8892</v>
      </c>
    </row>
    <row r="3701" spans="1:9" s="33" customFormat="1" ht="30">
      <c r="A3701" s="4">
        <v>43564.949861111112</v>
      </c>
      <c r="B3701" s="5" t="str">
        <f>HYPERLINK("https://twitter.com/Corptravel","@Corptravel")</f>
        <v>@Corptravel</v>
      </c>
      <c r="C3701" s="6" t="s">
        <v>5446</v>
      </c>
      <c r="D3701" s="7" t="s">
        <v>6376</v>
      </c>
      <c r="E3701" s="8" t="str">
        <f>HYPERLINK("http://twitter.com/download/iphone","Twitter for iPhone")</f>
        <v>Twitter for iPhone</v>
      </c>
      <c r="F3701" s="4">
        <v>39921.417581018519</v>
      </c>
      <c r="G3701" s="17" t="s">
        <v>13000</v>
      </c>
      <c r="H3701" s="35" t="s">
        <v>5448</v>
      </c>
      <c r="I3701" s="10" t="s">
        <v>5449</v>
      </c>
    </row>
    <row r="3702" spans="1:9" s="33" customFormat="1" ht="30">
      <c r="A3702" s="12">
        <v>43566.552430555559</v>
      </c>
      <c r="B3702" s="13" t="str">
        <f>HYPERLINK("https://twitter.com/Corptravel","@Corptravel")</f>
        <v>@Corptravel</v>
      </c>
      <c r="C3702" s="14" t="s">
        <v>5446</v>
      </c>
      <c r="D3702" s="15" t="s">
        <v>5447</v>
      </c>
      <c r="E3702" s="16" t="str">
        <f>HYPERLINK("http://twitter.com/download/iphone","Twitter for iPhone")</f>
        <v>Twitter for iPhone</v>
      </c>
      <c r="F3702" s="12">
        <v>39921.417581018519</v>
      </c>
      <c r="G3702" s="17" t="s">
        <v>13000</v>
      </c>
      <c r="H3702" s="35" t="s">
        <v>5448</v>
      </c>
      <c r="I3702" s="18" t="s">
        <v>5449</v>
      </c>
    </row>
    <row r="3703" spans="1:9" s="33" customFormat="1" ht="120">
      <c r="A3703" s="19">
        <v>43544.137569444443</v>
      </c>
      <c r="B3703" s="20" t="str">
        <f>HYPERLINK("https://twitter.com/374Annandale","@374Annandale")</f>
        <v>@374Annandale</v>
      </c>
      <c r="C3703" s="21" t="s">
        <v>3159</v>
      </c>
      <c r="D3703" s="22" t="s">
        <v>9606</v>
      </c>
      <c r="E3703" s="23" t="str">
        <f>HYPERLINK("http://twitter.com/download/iphone","Twitter for iPhone")</f>
        <v>Twitter for iPhone</v>
      </c>
      <c r="F3703" s="19">
        <v>42910.940023148149</v>
      </c>
      <c r="G3703" s="24" t="s">
        <v>13000</v>
      </c>
      <c r="H3703" s="35" t="s">
        <v>3161</v>
      </c>
      <c r="I3703" s="25" t="s">
        <v>3162</v>
      </c>
    </row>
    <row r="3704" spans="1:9" s="33" customFormat="1" ht="75">
      <c r="A3704" s="19">
        <v>43543.482777777783</v>
      </c>
      <c r="B3704" s="20" t="str">
        <f>HYPERLINK("https://twitter.com/LAVillage","@LAVillage")</f>
        <v>@LAVillage</v>
      </c>
      <c r="C3704" s="21" t="s">
        <v>9781</v>
      </c>
      <c r="D3704" s="22" t="s">
        <v>9782</v>
      </c>
      <c r="E3704" s="23" t="str">
        <f>HYPERLINK("https://www.hootsuite.com","Hootsuite Inc.")</f>
        <v>Hootsuite Inc.</v>
      </c>
      <c r="F3704" s="19">
        <v>39932.481979166667</v>
      </c>
      <c r="G3704" s="24" t="s">
        <v>13000</v>
      </c>
      <c r="H3704" s="35" t="s">
        <v>3161</v>
      </c>
      <c r="I3704" s="25" t="s">
        <v>9783</v>
      </c>
    </row>
    <row r="3705" spans="1:9" s="33" customFormat="1" ht="105">
      <c r="A3705" s="12">
        <v>43572.562199074076</v>
      </c>
      <c r="B3705" s="13" t="str">
        <f>HYPERLINK("https://twitter.com/374Annandale","@374Annandale")</f>
        <v>@374Annandale</v>
      </c>
      <c r="C3705" s="14" t="s">
        <v>3159</v>
      </c>
      <c r="D3705" s="15" t="s">
        <v>3160</v>
      </c>
      <c r="E3705" s="16" t="str">
        <f>HYPERLINK("http://twitter.com/download/iphone","Twitter for iPhone")</f>
        <v>Twitter for iPhone</v>
      </c>
      <c r="F3705" s="12">
        <v>42910.940023148149</v>
      </c>
      <c r="G3705" s="24" t="s">
        <v>13000</v>
      </c>
      <c r="H3705" s="35" t="s">
        <v>3161</v>
      </c>
      <c r="I3705" s="18" t="s">
        <v>3162</v>
      </c>
    </row>
    <row r="3706" spans="1:9" s="33" customFormat="1" ht="60">
      <c r="A3706" s="12">
        <v>43566.757210648153</v>
      </c>
      <c r="B3706" s="13" t="str">
        <f>HYPERLINK("https://twitter.com/374Annandale","@374Annandale")</f>
        <v>@374Annandale</v>
      </c>
      <c r="C3706" s="14" t="s">
        <v>3159</v>
      </c>
      <c r="D3706" s="15" t="s">
        <v>5350</v>
      </c>
      <c r="E3706" s="16" t="str">
        <f>HYPERLINK("http://twitter.com/download/iphone","Twitter for iPhone")</f>
        <v>Twitter for iPhone</v>
      </c>
      <c r="F3706" s="12">
        <v>42910.940023148149</v>
      </c>
      <c r="G3706" s="24" t="s">
        <v>13000</v>
      </c>
      <c r="H3706" s="35" t="s">
        <v>3161</v>
      </c>
      <c r="I3706" s="18" t="s">
        <v>3162</v>
      </c>
    </row>
    <row r="3707" spans="1:9" s="33" customFormat="1" ht="30">
      <c r="A3707" s="19">
        <v>43543.745416666672</v>
      </c>
      <c r="B3707" s="20" t="str">
        <f>HYPERLINK("https://twitter.com/SeanLainePhoto","@SeanLainePhoto")</f>
        <v>@SeanLainePhoto</v>
      </c>
      <c r="C3707" s="21" t="s">
        <v>9685</v>
      </c>
      <c r="D3707" s="22" t="s">
        <v>9686</v>
      </c>
      <c r="E3707" s="23" t="str">
        <f>HYPERLINK("http://twitter.com/download/android","Twitter for Android")</f>
        <v>Twitter for Android</v>
      </c>
      <c r="F3707" s="19">
        <v>42575.521400462967</v>
      </c>
      <c r="G3707" s="24" t="s">
        <v>13000</v>
      </c>
      <c r="H3707" s="35" t="s">
        <v>9687</v>
      </c>
      <c r="I3707" s="25" t="s">
        <v>9688</v>
      </c>
    </row>
    <row r="3708" spans="1:9" s="33" customFormat="1" ht="75">
      <c r="A3708" s="12">
        <v>43571.088310185187</v>
      </c>
      <c r="B3708" s="13" t="str">
        <f>HYPERLINK("https://twitter.com/FishingWithGus","@FishingWithGus")</f>
        <v>@FishingWithGus</v>
      </c>
      <c r="C3708" s="14" t="s">
        <v>3852</v>
      </c>
      <c r="D3708" s="15" t="s">
        <v>3853</v>
      </c>
      <c r="E3708" s="16" t="str">
        <f>HYPERLINK("http://instagram.com","Instagram")</f>
        <v>Instagram</v>
      </c>
      <c r="F3708" s="12">
        <v>40022.164143518516</v>
      </c>
      <c r="G3708" s="24" t="s">
        <v>13000</v>
      </c>
      <c r="H3708" s="35" t="s">
        <v>3854</v>
      </c>
      <c r="I3708" s="18" t="s">
        <v>3855</v>
      </c>
    </row>
    <row r="3709" spans="1:9" s="33" customFormat="1" ht="90">
      <c r="A3709" s="19">
        <v>43550.371620370366</v>
      </c>
      <c r="B3709" s="20" t="str">
        <f>HYPERLINK("https://twitter.com/GoCottage","@GoCottage")</f>
        <v>@GoCottage</v>
      </c>
      <c r="C3709" s="21" t="s">
        <v>3394</v>
      </c>
      <c r="D3709" s="22" t="s">
        <v>3395</v>
      </c>
      <c r="E3709" s="23" t="str">
        <f>HYPERLINK("https://www.hootsuite.com","Hootsuite Inc.")</f>
        <v>Hootsuite Inc.</v>
      </c>
      <c r="F3709" s="19">
        <v>40426.290011574078</v>
      </c>
      <c r="G3709" s="24" t="s">
        <v>13000</v>
      </c>
      <c r="H3709" s="35" t="s">
        <v>3396</v>
      </c>
      <c r="I3709" s="25" t="s">
        <v>3397</v>
      </c>
    </row>
    <row r="3710" spans="1:9" s="33" customFormat="1" ht="90">
      <c r="A3710" s="19">
        <v>43546.371631944443</v>
      </c>
      <c r="B3710" s="20" t="str">
        <f>HYPERLINK("https://twitter.com/GoCottage","@GoCottage")</f>
        <v>@GoCottage</v>
      </c>
      <c r="C3710" s="21" t="s">
        <v>3394</v>
      </c>
      <c r="D3710" s="22" t="s">
        <v>3395</v>
      </c>
      <c r="E3710" s="23" t="str">
        <f>HYPERLINK("https://www.hootsuite.com","Hootsuite Inc.")</f>
        <v>Hootsuite Inc.</v>
      </c>
      <c r="F3710" s="19">
        <v>40426.290011574078</v>
      </c>
      <c r="G3710" s="24" t="s">
        <v>13000</v>
      </c>
      <c r="H3710" s="35" t="s">
        <v>3396</v>
      </c>
      <c r="I3710" s="25" t="s">
        <v>3397</v>
      </c>
    </row>
    <row r="3711" spans="1:9" s="33" customFormat="1" ht="90">
      <c r="A3711" s="4">
        <v>43557.406354166669</v>
      </c>
      <c r="B3711" s="5" t="str">
        <f>HYPERLINK("https://twitter.com/GoCottage","@GoCottage")</f>
        <v>@GoCottage</v>
      </c>
      <c r="C3711" s="6" t="s">
        <v>3394</v>
      </c>
      <c r="D3711" s="7" t="s">
        <v>3395</v>
      </c>
      <c r="E3711" s="8" t="str">
        <f>HYPERLINK("https://www.hootsuite.com","Hootsuite Inc.")</f>
        <v>Hootsuite Inc.</v>
      </c>
      <c r="F3711" s="4">
        <v>40426.290011574078</v>
      </c>
      <c r="G3711" s="24" t="s">
        <v>13000</v>
      </c>
      <c r="H3711" s="35" t="s">
        <v>3396</v>
      </c>
      <c r="I3711" s="10" t="s">
        <v>3397</v>
      </c>
    </row>
    <row r="3712" spans="1:9" s="33" customFormat="1" ht="90">
      <c r="A3712" s="12">
        <v>43572.173680555556</v>
      </c>
      <c r="B3712" s="13" t="str">
        <f>HYPERLINK("https://twitter.com/GoCottage","@GoCottage")</f>
        <v>@GoCottage</v>
      </c>
      <c r="C3712" s="14" t="s">
        <v>3394</v>
      </c>
      <c r="D3712" s="15" t="s">
        <v>3395</v>
      </c>
      <c r="E3712" s="16" t="str">
        <f>HYPERLINK("https://www.hootsuite.com","Hootsuite Inc.")</f>
        <v>Hootsuite Inc.</v>
      </c>
      <c r="F3712" s="12">
        <v>40426.290011574078</v>
      </c>
      <c r="G3712" s="24" t="s">
        <v>13000</v>
      </c>
      <c r="H3712" s="35" t="s">
        <v>3396</v>
      </c>
      <c r="I3712" s="18" t="s">
        <v>3397</v>
      </c>
    </row>
    <row r="3713" spans="1:9" s="33" customFormat="1" ht="75">
      <c r="A3713" s="12">
        <v>43572.688900462963</v>
      </c>
      <c r="B3713" s="13" t="str">
        <f>HYPERLINK("https://twitter.com/alison_martel","@alison_martel")</f>
        <v>@alison_martel</v>
      </c>
      <c r="C3713" s="14" t="s">
        <v>3117</v>
      </c>
      <c r="D3713" s="15" t="s">
        <v>3118</v>
      </c>
      <c r="E3713" s="16" t="str">
        <f>HYPERLINK("http://instagram.com","Instagram")</f>
        <v>Instagram</v>
      </c>
      <c r="F3713" s="12">
        <v>41781.363171296296</v>
      </c>
      <c r="G3713" s="24" t="s">
        <v>13000</v>
      </c>
      <c r="H3713" s="35" t="s">
        <v>3119</v>
      </c>
      <c r="I3713" s="18" t="s">
        <v>3120</v>
      </c>
    </row>
    <row r="3714" spans="1:9" s="33" customFormat="1" ht="60">
      <c r="A3714" s="19">
        <v>43542.644212962958</v>
      </c>
      <c r="B3714" s="20" t="str">
        <f>HYPERLINK("https://twitter.com/chumajerome","@chumajerome")</f>
        <v>@chumajerome</v>
      </c>
      <c r="C3714" s="21" t="s">
        <v>6394</v>
      </c>
      <c r="D3714" s="22" t="s">
        <v>10049</v>
      </c>
      <c r="E3714" s="23" t="str">
        <f>HYPERLINK("http://instagram.com","Instagram")</f>
        <v>Instagram</v>
      </c>
      <c r="F3714" s="19">
        <v>39755.743043981478</v>
      </c>
      <c r="G3714" s="24" t="s">
        <v>13000</v>
      </c>
      <c r="H3714" s="35" t="s">
        <v>6396</v>
      </c>
      <c r="I3714" s="25" t="s">
        <v>6397</v>
      </c>
    </row>
    <row r="3715" spans="1:9" s="33" customFormat="1" ht="90">
      <c r="A3715" s="4">
        <v>43564.853136574078</v>
      </c>
      <c r="B3715" s="5" t="str">
        <f>HYPERLINK("https://twitter.com/chumajerome","@chumajerome")</f>
        <v>@chumajerome</v>
      </c>
      <c r="C3715" s="6" t="s">
        <v>6394</v>
      </c>
      <c r="D3715" s="7" t="s">
        <v>6395</v>
      </c>
      <c r="E3715" s="8" t="str">
        <f>HYPERLINK("http://instagram.com","Instagram")</f>
        <v>Instagram</v>
      </c>
      <c r="F3715" s="4">
        <v>39755.743043981478</v>
      </c>
      <c r="G3715" s="24" t="s">
        <v>13000</v>
      </c>
      <c r="H3715" s="35" t="s">
        <v>6396</v>
      </c>
      <c r="I3715" s="10" t="s">
        <v>6397</v>
      </c>
    </row>
    <row r="3716" spans="1:9" s="33" customFormat="1" ht="90">
      <c r="A3716" s="4">
        <v>43563.287754629629</v>
      </c>
      <c r="B3716" s="5" t="str">
        <f>HYPERLINK("https://twitter.com/chumajerome","@chumajerome")</f>
        <v>@chumajerome</v>
      </c>
      <c r="C3716" s="6" t="s">
        <v>6394</v>
      </c>
      <c r="D3716" s="7" t="s">
        <v>10402</v>
      </c>
      <c r="E3716" s="8" t="str">
        <f>HYPERLINK("http://instagram.com","Instagram")</f>
        <v>Instagram</v>
      </c>
      <c r="F3716" s="4">
        <v>39755.743043981478</v>
      </c>
      <c r="G3716" s="24" t="s">
        <v>13000</v>
      </c>
      <c r="H3716" s="35" t="s">
        <v>6396</v>
      </c>
      <c r="I3716" s="10" t="s">
        <v>6397</v>
      </c>
    </row>
    <row r="3717" spans="1:9" s="33" customFormat="1" ht="75">
      <c r="A3717" s="4">
        <v>43558.258518518516</v>
      </c>
      <c r="B3717" s="5" t="str">
        <f>HYPERLINK("https://twitter.com/chumajerome","@chumajerome")</f>
        <v>@chumajerome</v>
      </c>
      <c r="C3717" s="6" t="s">
        <v>6394</v>
      </c>
      <c r="D3717" s="7" t="s">
        <v>12259</v>
      </c>
      <c r="E3717" s="8" t="str">
        <f>HYPERLINK("http://instagram.com","Instagram")</f>
        <v>Instagram</v>
      </c>
      <c r="F3717" s="4">
        <v>39755.743043981478</v>
      </c>
      <c r="G3717" s="24" t="s">
        <v>13000</v>
      </c>
      <c r="H3717" s="35" t="s">
        <v>6396</v>
      </c>
      <c r="I3717" s="10" t="s">
        <v>6397</v>
      </c>
    </row>
    <row r="3718" spans="1:9" s="33" customFormat="1" ht="45">
      <c r="A3718" s="4">
        <v>43565.522048611107</v>
      </c>
      <c r="B3718" s="5" t="str">
        <f>HYPERLINK("https://twitter.com/elkhorninn","@elkhorninn")</f>
        <v>@elkhorninn</v>
      </c>
      <c r="C3718" s="6" t="s">
        <v>6042</v>
      </c>
      <c r="D3718" s="7" t="s">
        <v>6043</v>
      </c>
      <c r="E3718" s="8" t="str">
        <f>HYPERLINK("http://twitter.com","Twitter Web Client")</f>
        <v>Twitter Web Client</v>
      </c>
      <c r="F3718" s="4">
        <v>39884.471030092594</v>
      </c>
      <c r="G3718" s="24" t="s">
        <v>13000</v>
      </c>
      <c r="H3718" s="35" t="s">
        <v>6044</v>
      </c>
      <c r="I3718" s="10" t="s">
        <v>6045</v>
      </c>
    </row>
    <row r="3719" spans="1:9" s="33" customFormat="1" ht="135">
      <c r="A3719" s="19">
        <v>43542.494143518517</v>
      </c>
      <c r="B3719" s="20" t="str">
        <f>HYPERLINK("https://twitter.com/Vendram1n","@Vendram1n")</f>
        <v>@Vendram1n</v>
      </c>
      <c r="C3719" s="21" t="s">
        <v>10138</v>
      </c>
      <c r="D3719" s="22" t="s">
        <v>10139</v>
      </c>
      <c r="E3719" s="23" t="str">
        <f>HYPERLINK("http://twitter.com/download/iphone","Twitter for iPhone")</f>
        <v>Twitter for iPhone</v>
      </c>
      <c r="F3719" s="19">
        <v>40610.832395833335</v>
      </c>
      <c r="G3719" s="24" t="s">
        <v>13000</v>
      </c>
      <c r="H3719" s="35" t="s">
        <v>10140</v>
      </c>
      <c r="I3719" s="25" t="s">
        <v>10141</v>
      </c>
    </row>
    <row r="3720" spans="1:9" s="33" customFormat="1" ht="75">
      <c r="A3720" s="12">
        <v>43575.766284722224</v>
      </c>
      <c r="B3720" s="13" t="str">
        <f>HYPERLINK("https://twitter.com/forkerphotos","@forkerphotos")</f>
        <v>@forkerphotos</v>
      </c>
      <c r="C3720" s="14" t="s">
        <v>2125</v>
      </c>
      <c r="D3720" s="15" t="s">
        <v>2126</v>
      </c>
      <c r="E3720" s="16" t="str">
        <f>HYPERLINK("http://instagram.com","Instagram")</f>
        <v>Instagram</v>
      </c>
      <c r="F3720" s="12">
        <v>41002.719814814816</v>
      </c>
      <c r="G3720" s="17" t="s">
        <v>13000</v>
      </c>
      <c r="H3720" s="35" t="s">
        <v>2127</v>
      </c>
      <c r="I3720" s="18"/>
    </row>
    <row r="3721" spans="1:9" s="33" customFormat="1" ht="90">
      <c r="A3721" s="12">
        <v>43575.752835648149</v>
      </c>
      <c r="B3721" s="13" t="str">
        <f>HYPERLINK("https://twitter.com/forkerphotos","@forkerphotos")</f>
        <v>@forkerphotos</v>
      </c>
      <c r="C3721" s="14" t="s">
        <v>2125</v>
      </c>
      <c r="D3721" s="15" t="s">
        <v>2132</v>
      </c>
      <c r="E3721" s="16" t="str">
        <f>HYPERLINK("http://instagram.com","Instagram")</f>
        <v>Instagram</v>
      </c>
      <c r="F3721" s="12">
        <v>41002.719814814816</v>
      </c>
      <c r="G3721" s="17" t="s">
        <v>13000</v>
      </c>
      <c r="H3721" s="35" t="s">
        <v>2127</v>
      </c>
      <c r="I3721" s="18"/>
    </row>
    <row r="3722" spans="1:9" s="33" customFormat="1" ht="60">
      <c r="A3722" s="4">
        <v>43557.506909722222</v>
      </c>
      <c r="B3722" s="5" t="str">
        <f>HYPERLINK("https://twitter.com/jbordinhao","@jbordinhao")</f>
        <v>@jbordinhao</v>
      </c>
      <c r="C3722" s="6" t="s">
        <v>12492</v>
      </c>
      <c r="D3722" s="7" t="s">
        <v>12493</v>
      </c>
      <c r="E3722" s="8" t="str">
        <f>HYPERLINK("http://instagram.com","Instagram")</f>
        <v>Instagram</v>
      </c>
      <c r="F3722" s="4">
        <v>39659.549293981479</v>
      </c>
      <c r="G3722" s="17" t="s">
        <v>13000</v>
      </c>
      <c r="H3722" s="35" t="s">
        <v>12494</v>
      </c>
      <c r="I3722" s="10" t="s">
        <v>12495</v>
      </c>
    </row>
    <row r="3723" spans="1:9" s="33" customFormat="1" ht="105">
      <c r="A3723" s="19">
        <v>43550.475659722222</v>
      </c>
      <c r="B3723" s="20" t="str">
        <f>HYPERLINK("https://twitter.com/F3R_Music","@F3R_Music")</f>
        <v>@F3R_Music</v>
      </c>
      <c r="C3723" s="21" t="s">
        <v>7654</v>
      </c>
      <c r="D3723" s="22" t="s">
        <v>7655</v>
      </c>
      <c r="E3723" s="23" t="str">
        <f>HYPERLINK("http://www.facebook.com/twitter","Facebook")</f>
        <v>Facebook</v>
      </c>
      <c r="F3723" s="19">
        <v>41315.542326388888</v>
      </c>
      <c r="G3723" s="17" t="s">
        <v>13000</v>
      </c>
      <c r="H3723" s="35" t="s">
        <v>7656</v>
      </c>
      <c r="I3723" s="25"/>
    </row>
    <row r="3724" spans="1:9" s="33" customFormat="1" ht="90">
      <c r="A3724" s="19">
        <v>43549.62972222222</v>
      </c>
      <c r="B3724" s="20" t="str">
        <f>HYPERLINK("https://twitter.com/F3R_Music","@F3R_Music")</f>
        <v>@F3R_Music</v>
      </c>
      <c r="C3724" s="21" t="s">
        <v>7654</v>
      </c>
      <c r="D3724" s="22" t="s">
        <v>7958</v>
      </c>
      <c r="E3724" s="23" t="str">
        <f>HYPERLINK("http://www.facebook.com/twitter","Facebook")</f>
        <v>Facebook</v>
      </c>
      <c r="F3724" s="19">
        <v>41315.542326388888</v>
      </c>
      <c r="G3724" s="17" t="s">
        <v>13000</v>
      </c>
      <c r="H3724" s="35" t="s">
        <v>7656</v>
      </c>
      <c r="I3724" s="25"/>
    </row>
    <row r="3725" spans="1:9" s="33" customFormat="1" ht="75">
      <c r="A3725" s="4">
        <v>43562.504328703704</v>
      </c>
      <c r="B3725" s="5" t="str">
        <f>HYPERLINK("https://twitter.com/F3R_Music","@F3R_Music")</f>
        <v>@F3R_Music</v>
      </c>
      <c r="C3725" s="6" t="s">
        <v>7654</v>
      </c>
      <c r="D3725" s="7" t="s">
        <v>10656</v>
      </c>
      <c r="E3725" s="8" t="str">
        <f>HYPERLINK("http://www.facebook.com/twitter","Facebook")</f>
        <v>Facebook</v>
      </c>
      <c r="F3725" s="4">
        <v>41315.542326388888</v>
      </c>
      <c r="G3725" s="17" t="s">
        <v>13000</v>
      </c>
      <c r="H3725" s="35" t="s">
        <v>7656</v>
      </c>
      <c r="I3725" s="10"/>
    </row>
    <row r="3726" spans="1:9" s="33" customFormat="1" ht="75">
      <c r="A3726" s="19">
        <v>43544.339583333334</v>
      </c>
      <c r="B3726" s="20" t="str">
        <f>HYPERLINK("https://twitter.com/VegasBiLL","@VegasBiLL")</f>
        <v>@VegasBiLL</v>
      </c>
      <c r="C3726" s="21" t="s">
        <v>4013</v>
      </c>
      <c r="D3726" s="22" t="s">
        <v>9515</v>
      </c>
      <c r="E3726" s="23" t="str">
        <f>HYPERLINK("https://buffer.com","Buffer")</f>
        <v>Buffer</v>
      </c>
      <c r="F3726" s="19">
        <v>39307.991226851853</v>
      </c>
      <c r="G3726" s="17" t="s">
        <v>13000</v>
      </c>
      <c r="H3726" s="35" t="s">
        <v>4015</v>
      </c>
      <c r="I3726" s="25" t="s">
        <v>4016</v>
      </c>
    </row>
    <row r="3727" spans="1:9" s="33" customFormat="1" ht="60">
      <c r="A3727" s="4">
        <v>43563.545844907407</v>
      </c>
      <c r="B3727" s="5" t="str">
        <f>HYPERLINK("https://twitter.com/VegasBiLL","@VegasBiLL")</f>
        <v>@VegasBiLL</v>
      </c>
      <c r="C3727" s="6" t="s">
        <v>4013</v>
      </c>
      <c r="D3727" s="7" t="s">
        <v>10232</v>
      </c>
      <c r="E3727" s="8" t="str">
        <f>HYPERLINK("https://buffer.com","Buffer")</f>
        <v>Buffer</v>
      </c>
      <c r="F3727" s="4">
        <v>39307.991226851853</v>
      </c>
      <c r="G3727" s="17" t="s">
        <v>13000</v>
      </c>
      <c r="H3727" s="35" t="s">
        <v>4015</v>
      </c>
      <c r="I3727" s="10" t="s">
        <v>4016</v>
      </c>
    </row>
    <row r="3728" spans="1:9" s="33" customFormat="1" ht="45">
      <c r="A3728" s="4">
        <v>43562.41878472222</v>
      </c>
      <c r="B3728" s="5" t="str">
        <f>HYPERLINK("https://twitter.com/VegasBiLL","@VegasBiLL")</f>
        <v>@VegasBiLL</v>
      </c>
      <c r="C3728" s="6" t="s">
        <v>4013</v>
      </c>
      <c r="D3728" s="7" t="s">
        <v>10682</v>
      </c>
      <c r="E3728" s="8" t="str">
        <f>HYPERLINK("https://buffer.com","Buffer")</f>
        <v>Buffer</v>
      </c>
      <c r="F3728" s="4">
        <v>39307.991226851853</v>
      </c>
      <c r="G3728" s="17" t="s">
        <v>13000</v>
      </c>
      <c r="H3728" s="35" t="s">
        <v>4015</v>
      </c>
      <c r="I3728" s="10" t="s">
        <v>4016</v>
      </c>
    </row>
    <row r="3729" spans="1:9" s="33" customFormat="1" ht="90">
      <c r="A3729" s="12">
        <v>43570.636817129634</v>
      </c>
      <c r="B3729" s="13" t="str">
        <f>HYPERLINK("https://twitter.com/VegasBiLL","@VegasBiLL")</f>
        <v>@VegasBiLL</v>
      </c>
      <c r="C3729" s="14" t="s">
        <v>4013</v>
      </c>
      <c r="D3729" s="15" t="s">
        <v>4014</v>
      </c>
      <c r="E3729" s="16" t="str">
        <f>HYPERLINK("https://buffer.com","Buffer")</f>
        <v>Buffer</v>
      </c>
      <c r="F3729" s="12">
        <v>39307.991226851853</v>
      </c>
      <c r="G3729" s="17" t="s">
        <v>13000</v>
      </c>
      <c r="H3729" s="35" t="s">
        <v>4015</v>
      </c>
      <c r="I3729" s="18" t="s">
        <v>4016</v>
      </c>
    </row>
    <row r="3730" spans="1:9" s="33" customFormat="1" ht="45">
      <c r="A3730" s="19">
        <v>43551.500231481477</v>
      </c>
      <c r="B3730" s="20" t="str">
        <f>HYPERLINK("https://twitter.com/LawyersTitleLV","@LawyersTitleLV")</f>
        <v>@LawyersTitleLV</v>
      </c>
      <c r="C3730" s="21" t="s">
        <v>7157</v>
      </c>
      <c r="D3730" s="22" t="s">
        <v>7158</v>
      </c>
      <c r="E3730" s="23" t="str">
        <f>HYPERLINK("http://www.facebook.com/twitter","Facebook")</f>
        <v>Facebook</v>
      </c>
      <c r="F3730" s="19">
        <v>41054.322384259256</v>
      </c>
      <c r="G3730" s="17" t="s">
        <v>13000</v>
      </c>
      <c r="H3730" s="35" t="s">
        <v>38</v>
      </c>
      <c r="I3730" s="25"/>
    </row>
    <row r="3731" spans="1:9" s="33" customFormat="1" ht="75">
      <c r="A3731" s="19">
        <v>43551.37537037037</v>
      </c>
      <c r="B3731" s="20" t="str">
        <f>HYPERLINK("https://twitter.com/EHSlasvegas","@EHSlasvegas")</f>
        <v>@EHSlasvegas</v>
      </c>
      <c r="C3731" s="21" t="s">
        <v>36</v>
      </c>
      <c r="D3731" s="22" t="s">
        <v>37</v>
      </c>
      <c r="E3731" s="23" t="str">
        <f>HYPERLINK("https://buffer.com","Buffer")</f>
        <v>Buffer</v>
      </c>
      <c r="F3731" s="19">
        <v>43413.788715277777</v>
      </c>
      <c r="G3731" s="17" t="s">
        <v>13000</v>
      </c>
      <c r="H3731" s="35" t="s">
        <v>38</v>
      </c>
      <c r="I3731" s="25" t="s">
        <v>2570</v>
      </c>
    </row>
    <row r="3732" spans="1:9" s="33" customFormat="1" ht="75">
      <c r="A3732" s="19">
        <v>43550.375324074077</v>
      </c>
      <c r="B3732" s="20" t="str">
        <f>HYPERLINK("https://twitter.com/EHSlasvegas","@EHSlasvegas")</f>
        <v>@EHSlasvegas</v>
      </c>
      <c r="C3732" s="21" t="s">
        <v>36</v>
      </c>
      <c r="D3732" s="22" t="s">
        <v>37</v>
      </c>
      <c r="E3732" s="23" t="str">
        <f>HYPERLINK("https://buffer.com","Buffer")</f>
        <v>Buffer</v>
      </c>
      <c r="F3732" s="19">
        <v>43413.788715277777</v>
      </c>
      <c r="G3732" s="17" t="s">
        <v>13000</v>
      </c>
      <c r="H3732" s="35" t="s">
        <v>38</v>
      </c>
      <c r="I3732" s="25" t="s">
        <v>2570</v>
      </c>
    </row>
    <row r="3733" spans="1:9" s="33" customFormat="1" ht="75">
      <c r="A3733" s="19">
        <v>43549.3753125</v>
      </c>
      <c r="B3733" s="20" t="str">
        <f>HYPERLINK("https://twitter.com/EHSlasvegas","@EHSlasvegas")</f>
        <v>@EHSlasvegas</v>
      </c>
      <c r="C3733" s="21" t="s">
        <v>36</v>
      </c>
      <c r="D3733" s="22" t="s">
        <v>37</v>
      </c>
      <c r="E3733" s="23" t="str">
        <f>HYPERLINK("https://buffer.com","Buffer")</f>
        <v>Buffer</v>
      </c>
      <c r="F3733" s="19">
        <v>43413.788715277777</v>
      </c>
      <c r="G3733" s="17" t="s">
        <v>13000</v>
      </c>
      <c r="H3733" s="35" t="s">
        <v>38</v>
      </c>
      <c r="I3733" s="25" t="s">
        <v>2570</v>
      </c>
    </row>
    <row r="3734" spans="1:9" s="33" customFormat="1" ht="75">
      <c r="A3734" s="19">
        <v>43547.416944444441</v>
      </c>
      <c r="B3734" s="20" t="str">
        <f>HYPERLINK("https://twitter.com/EHSlasvegas","@EHSlasvegas")</f>
        <v>@EHSlasvegas</v>
      </c>
      <c r="C3734" s="21" t="s">
        <v>36</v>
      </c>
      <c r="D3734" s="22" t="s">
        <v>37</v>
      </c>
      <c r="E3734" s="23" t="str">
        <f>HYPERLINK("https://buffer.com","Buffer")</f>
        <v>Buffer</v>
      </c>
      <c r="F3734" s="19">
        <v>43413.788715277777</v>
      </c>
      <c r="G3734" s="17" t="s">
        <v>13000</v>
      </c>
      <c r="H3734" s="35" t="s">
        <v>38</v>
      </c>
      <c r="I3734" s="25" t="s">
        <v>2570</v>
      </c>
    </row>
    <row r="3735" spans="1:9" s="33" customFormat="1" ht="60">
      <c r="A3735" s="19">
        <v>43546.678703703699</v>
      </c>
      <c r="B3735" s="20" t="str">
        <f>HYPERLINK("https://twitter.com/LaLaMermaid","@LaLaMermaid")</f>
        <v>@LaLaMermaid</v>
      </c>
      <c r="C3735" s="21" t="s">
        <v>8757</v>
      </c>
      <c r="D3735" s="22" t="s">
        <v>8758</v>
      </c>
      <c r="E3735" s="23" t="str">
        <f>HYPERLINK("http://twitter.com/download/iphone","Twitter for iPhone")</f>
        <v>Twitter for iPhone</v>
      </c>
      <c r="F3735" s="19">
        <v>40014.407372685186</v>
      </c>
      <c r="G3735" s="17" t="s">
        <v>13000</v>
      </c>
      <c r="H3735" s="35" t="s">
        <v>38</v>
      </c>
      <c r="I3735" s="25" t="s">
        <v>8759</v>
      </c>
    </row>
    <row r="3736" spans="1:9" s="33" customFormat="1" ht="75">
      <c r="A3736" s="19">
        <v>43546.375416666662</v>
      </c>
      <c r="B3736" s="20" t="str">
        <f t="shared" ref="B3736:B3744" si="154">HYPERLINK("https://twitter.com/EHSlasvegas","@EHSlasvegas")</f>
        <v>@EHSlasvegas</v>
      </c>
      <c r="C3736" s="21" t="s">
        <v>36</v>
      </c>
      <c r="D3736" s="22" t="s">
        <v>37</v>
      </c>
      <c r="E3736" s="23" t="str">
        <f t="shared" ref="E3736:E3744" si="155">HYPERLINK("https://buffer.com","Buffer")</f>
        <v>Buffer</v>
      </c>
      <c r="F3736" s="19">
        <v>43413.788715277777</v>
      </c>
      <c r="G3736" s="17" t="s">
        <v>13000</v>
      </c>
      <c r="H3736" s="35" t="s">
        <v>38</v>
      </c>
      <c r="I3736" s="25" t="s">
        <v>2570</v>
      </c>
    </row>
    <row r="3737" spans="1:9" s="33" customFormat="1" ht="120">
      <c r="A3737" s="19">
        <v>43545.465983796297</v>
      </c>
      <c r="B3737" s="20" t="str">
        <f t="shared" si="154"/>
        <v>@EHSlasvegas</v>
      </c>
      <c r="C3737" s="21" t="s">
        <v>36</v>
      </c>
      <c r="D3737" s="22" t="s">
        <v>9125</v>
      </c>
      <c r="E3737" s="23" t="str">
        <f t="shared" si="155"/>
        <v>Buffer</v>
      </c>
      <c r="F3737" s="19">
        <v>43413.788715277777</v>
      </c>
      <c r="G3737" s="17" t="s">
        <v>13000</v>
      </c>
      <c r="H3737" s="35" t="s">
        <v>38</v>
      </c>
      <c r="I3737" s="25" t="s">
        <v>2570</v>
      </c>
    </row>
    <row r="3738" spans="1:9" s="33" customFormat="1" ht="75">
      <c r="A3738" s="19">
        <v>43545.375057870369</v>
      </c>
      <c r="B3738" s="20" t="str">
        <f t="shared" si="154"/>
        <v>@EHSlasvegas</v>
      </c>
      <c r="C3738" s="21" t="s">
        <v>36</v>
      </c>
      <c r="D3738" s="22" t="s">
        <v>37</v>
      </c>
      <c r="E3738" s="23" t="str">
        <f t="shared" si="155"/>
        <v>Buffer</v>
      </c>
      <c r="F3738" s="19">
        <v>43413.788715277777</v>
      </c>
      <c r="G3738" s="17" t="s">
        <v>13000</v>
      </c>
      <c r="H3738" s="35" t="s">
        <v>38</v>
      </c>
      <c r="I3738" s="25" t="s">
        <v>2570</v>
      </c>
    </row>
    <row r="3739" spans="1:9" s="33" customFormat="1" ht="75">
      <c r="A3739" s="19">
        <v>43544.375185185185</v>
      </c>
      <c r="B3739" s="20" t="str">
        <f t="shared" si="154"/>
        <v>@EHSlasvegas</v>
      </c>
      <c r="C3739" s="21" t="s">
        <v>36</v>
      </c>
      <c r="D3739" s="22" t="s">
        <v>37</v>
      </c>
      <c r="E3739" s="23" t="str">
        <f t="shared" si="155"/>
        <v>Buffer</v>
      </c>
      <c r="F3739" s="19">
        <v>43413.788715277777</v>
      </c>
      <c r="G3739" s="17" t="s">
        <v>13000</v>
      </c>
      <c r="H3739" s="35" t="s">
        <v>38</v>
      </c>
      <c r="I3739" s="25" t="s">
        <v>2570</v>
      </c>
    </row>
    <row r="3740" spans="1:9" s="33" customFormat="1" ht="75">
      <c r="A3740" s="19">
        <v>43543.37537037037</v>
      </c>
      <c r="B3740" s="20" t="str">
        <f t="shared" si="154"/>
        <v>@EHSlasvegas</v>
      </c>
      <c r="C3740" s="21" t="s">
        <v>36</v>
      </c>
      <c r="D3740" s="22" t="s">
        <v>37</v>
      </c>
      <c r="E3740" s="23" t="str">
        <f t="shared" si="155"/>
        <v>Buffer</v>
      </c>
      <c r="F3740" s="19">
        <v>43413.788715277777</v>
      </c>
      <c r="G3740" s="17" t="s">
        <v>13000</v>
      </c>
      <c r="H3740" s="35" t="s">
        <v>38</v>
      </c>
      <c r="I3740" s="25" t="s">
        <v>2570</v>
      </c>
    </row>
    <row r="3741" spans="1:9" s="33" customFormat="1" ht="75">
      <c r="A3741" s="4">
        <v>43565.375717592593</v>
      </c>
      <c r="B3741" s="5" t="str">
        <f t="shared" si="154"/>
        <v>@EHSlasvegas</v>
      </c>
      <c r="C3741" s="6" t="s">
        <v>36</v>
      </c>
      <c r="D3741" s="7" t="s">
        <v>37</v>
      </c>
      <c r="E3741" s="8" t="str">
        <f t="shared" si="155"/>
        <v>Buffer</v>
      </c>
      <c r="F3741" s="4">
        <v>43413.788715277777</v>
      </c>
      <c r="G3741" s="17" t="s">
        <v>13000</v>
      </c>
      <c r="H3741" s="35" t="s">
        <v>38</v>
      </c>
      <c r="I3741" s="10" t="s">
        <v>2570</v>
      </c>
    </row>
    <row r="3742" spans="1:9" s="33" customFormat="1" ht="75">
      <c r="A3742" s="4">
        <v>43564.375185185185</v>
      </c>
      <c r="B3742" s="5" t="str">
        <f t="shared" si="154"/>
        <v>@EHSlasvegas</v>
      </c>
      <c r="C3742" s="6" t="s">
        <v>36</v>
      </c>
      <c r="D3742" s="7" t="s">
        <v>37</v>
      </c>
      <c r="E3742" s="8" t="str">
        <f t="shared" si="155"/>
        <v>Buffer</v>
      </c>
      <c r="F3742" s="4">
        <v>43413.788715277777</v>
      </c>
      <c r="G3742" s="17" t="s">
        <v>13000</v>
      </c>
      <c r="H3742" s="35" t="s">
        <v>38</v>
      </c>
      <c r="I3742" s="10" t="s">
        <v>2570</v>
      </c>
    </row>
    <row r="3743" spans="1:9" s="33" customFormat="1" ht="75">
      <c r="A3743" s="4">
        <v>43563.375196759254</v>
      </c>
      <c r="B3743" s="5" t="str">
        <f t="shared" si="154"/>
        <v>@EHSlasvegas</v>
      </c>
      <c r="C3743" s="6" t="s">
        <v>36</v>
      </c>
      <c r="D3743" s="7" t="s">
        <v>37</v>
      </c>
      <c r="E3743" s="8" t="str">
        <f t="shared" si="155"/>
        <v>Buffer</v>
      </c>
      <c r="F3743" s="4">
        <v>43413.788715277777</v>
      </c>
      <c r="G3743" s="17" t="s">
        <v>13000</v>
      </c>
      <c r="H3743" s="35" t="s">
        <v>38</v>
      </c>
      <c r="I3743" s="10" t="s">
        <v>2570</v>
      </c>
    </row>
    <row r="3744" spans="1:9" s="33" customFormat="1" ht="75">
      <c r="A3744" s="4">
        <v>43560.375185185185</v>
      </c>
      <c r="B3744" s="5" t="str">
        <f t="shared" si="154"/>
        <v>@EHSlasvegas</v>
      </c>
      <c r="C3744" s="6" t="s">
        <v>36</v>
      </c>
      <c r="D3744" s="7" t="s">
        <v>37</v>
      </c>
      <c r="E3744" s="8" t="str">
        <f t="shared" si="155"/>
        <v>Buffer</v>
      </c>
      <c r="F3744" s="4">
        <v>43413.788715277777</v>
      </c>
      <c r="G3744" s="17" t="s">
        <v>13000</v>
      </c>
      <c r="H3744" s="35" t="s">
        <v>38</v>
      </c>
      <c r="I3744" s="10" t="s">
        <v>2570</v>
      </c>
    </row>
    <row r="3745" spans="1:9" s="33" customFormat="1" ht="45">
      <c r="A3745" s="4">
        <v>43560.247789351852</v>
      </c>
      <c r="B3745" s="5" t="str">
        <f>HYPERLINK("https://twitter.com/Mix941","@Mix941")</f>
        <v>@Mix941</v>
      </c>
      <c r="C3745" s="6" t="s">
        <v>11537</v>
      </c>
      <c r="D3745" s="7" t="s">
        <v>11538</v>
      </c>
      <c r="E3745" s="8" t="str">
        <f>HYPERLINK("https://about.twitter.com/products/tweetdeck","TweetDeck")</f>
        <v>TweetDeck</v>
      </c>
      <c r="F3745" s="4">
        <v>39892.502974537041</v>
      </c>
      <c r="G3745" s="17" t="s">
        <v>13000</v>
      </c>
      <c r="H3745" s="35" t="s">
        <v>38</v>
      </c>
      <c r="I3745" s="10" t="s">
        <v>11539</v>
      </c>
    </row>
    <row r="3746" spans="1:9" s="33" customFormat="1" ht="75">
      <c r="A3746" s="4">
        <v>43559.375231481477</v>
      </c>
      <c r="B3746" s="5" t="str">
        <f t="shared" ref="B3746:B3752" si="156">HYPERLINK("https://twitter.com/EHSlasvegas","@EHSlasvegas")</f>
        <v>@EHSlasvegas</v>
      </c>
      <c r="C3746" s="6" t="s">
        <v>36</v>
      </c>
      <c r="D3746" s="7" t="s">
        <v>37</v>
      </c>
      <c r="E3746" s="8" t="str">
        <f t="shared" ref="E3746:E3752" si="157">HYPERLINK("https://buffer.com","Buffer")</f>
        <v>Buffer</v>
      </c>
      <c r="F3746" s="4">
        <v>43413.788715277777</v>
      </c>
      <c r="G3746" s="17" t="s">
        <v>13000</v>
      </c>
      <c r="H3746" s="35" t="s">
        <v>38</v>
      </c>
      <c r="I3746" s="10" t="s">
        <v>2570</v>
      </c>
    </row>
    <row r="3747" spans="1:9" s="33" customFormat="1" ht="75">
      <c r="A3747" s="4">
        <v>43558.375462962962</v>
      </c>
      <c r="B3747" s="5" t="str">
        <f t="shared" si="156"/>
        <v>@EHSlasvegas</v>
      </c>
      <c r="C3747" s="6" t="s">
        <v>36</v>
      </c>
      <c r="D3747" s="7" t="s">
        <v>37</v>
      </c>
      <c r="E3747" s="8" t="str">
        <f t="shared" si="157"/>
        <v>Buffer</v>
      </c>
      <c r="F3747" s="4">
        <v>43413.788715277777</v>
      </c>
      <c r="G3747" s="17" t="s">
        <v>13000</v>
      </c>
      <c r="H3747" s="35" t="s">
        <v>38</v>
      </c>
      <c r="I3747" s="10" t="s">
        <v>2570</v>
      </c>
    </row>
    <row r="3748" spans="1:9" s="33" customFormat="1" ht="75">
      <c r="A3748" s="4">
        <v>43557.375925925924</v>
      </c>
      <c r="B3748" s="5" t="str">
        <f t="shared" si="156"/>
        <v>@EHSlasvegas</v>
      </c>
      <c r="C3748" s="6" t="s">
        <v>36</v>
      </c>
      <c r="D3748" s="7" t="s">
        <v>37</v>
      </c>
      <c r="E3748" s="8" t="str">
        <f t="shared" si="157"/>
        <v>Buffer</v>
      </c>
      <c r="F3748" s="4">
        <v>43413.788715277777</v>
      </c>
      <c r="G3748" s="17" t="s">
        <v>13000</v>
      </c>
      <c r="H3748" s="35" t="s">
        <v>38</v>
      </c>
      <c r="I3748" s="10" t="s">
        <v>2570</v>
      </c>
    </row>
    <row r="3749" spans="1:9" s="33" customFormat="1" ht="75">
      <c r="A3749" s="12">
        <v>43580.833506944444</v>
      </c>
      <c r="B3749" s="13" t="str">
        <f t="shared" si="156"/>
        <v>@EHSlasvegas</v>
      </c>
      <c r="C3749" s="14" t="s">
        <v>36</v>
      </c>
      <c r="D3749" s="15" t="s">
        <v>37</v>
      </c>
      <c r="E3749" s="16" t="str">
        <f t="shared" si="157"/>
        <v>Buffer</v>
      </c>
      <c r="F3749" s="12">
        <v>43414.288715277777</v>
      </c>
      <c r="G3749" s="17" t="s">
        <v>13000</v>
      </c>
      <c r="H3749" s="35" t="s">
        <v>38</v>
      </c>
      <c r="I3749" s="18" t="s">
        <v>39</v>
      </c>
    </row>
    <row r="3750" spans="1:9" s="33" customFormat="1" ht="75">
      <c r="A3750" s="12">
        <v>43579.375613425931</v>
      </c>
      <c r="B3750" s="13" t="str">
        <f t="shared" si="156"/>
        <v>@EHSlasvegas</v>
      </c>
      <c r="C3750" s="14" t="s">
        <v>36</v>
      </c>
      <c r="D3750" s="15" t="s">
        <v>37</v>
      </c>
      <c r="E3750" s="16" t="str">
        <f t="shared" si="157"/>
        <v>Buffer</v>
      </c>
      <c r="F3750" s="12">
        <v>43413.788715277777</v>
      </c>
      <c r="G3750" s="17" t="s">
        <v>13000</v>
      </c>
      <c r="H3750" s="35" t="s">
        <v>38</v>
      </c>
      <c r="I3750" s="18" t="s">
        <v>39</v>
      </c>
    </row>
    <row r="3751" spans="1:9" s="33" customFormat="1" ht="75">
      <c r="A3751" s="12">
        <v>43578.375590277778</v>
      </c>
      <c r="B3751" s="13" t="str">
        <f t="shared" si="156"/>
        <v>@EHSlasvegas</v>
      </c>
      <c r="C3751" s="14" t="s">
        <v>36</v>
      </c>
      <c r="D3751" s="15" t="s">
        <v>37</v>
      </c>
      <c r="E3751" s="16" t="str">
        <f t="shared" si="157"/>
        <v>Buffer</v>
      </c>
      <c r="F3751" s="12">
        <v>43413.788715277777</v>
      </c>
      <c r="G3751" s="17" t="s">
        <v>13000</v>
      </c>
      <c r="H3751" s="35" t="s">
        <v>38</v>
      </c>
      <c r="I3751" s="18" t="s">
        <v>39</v>
      </c>
    </row>
    <row r="3752" spans="1:9" s="33" customFormat="1" ht="75">
      <c r="A3752" s="12">
        <v>43577.375196759254</v>
      </c>
      <c r="B3752" s="13" t="str">
        <f t="shared" si="156"/>
        <v>@EHSlasvegas</v>
      </c>
      <c r="C3752" s="14" t="s">
        <v>36</v>
      </c>
      <c r="D3752" s="15" t="s">
        <v>37</v>
      </c>
      <c r="E3752" s="16" t="str">
        <f t="shared" si="157"/>
        <v>Buffer</v>
      </c>
      <c r="F3752" s="12">
        <v>43413.788715277777</v>
      </c>
      <c r="G3752" s="17" t="s">
        <v>13000</v>
      </c>
      <c r="H3752" s="35" t="s">
        <v>38</v>
      </c>
      <c r="I3752" s="18" t="s">
        <v>39</v>
      </c>
    </row>
    <row r="3753" spans="1:9" s="33" customFormat="1" ht="60">
      <c r="A3753" s="12">
        <v>43576.980532407411</v>
      </c>
      <c r="B3753" s="13" t="str">
        <f>HYPERLINK("https://twitter.com/BJackz_URB","@BJackz_URB")</f>
        <v>@BJackz_URB</v>
      </c>
      <c r="C3753" s="14" t="s">
        <v>1788</v>
      </c>
      <c r="D3753" s="15" t="s">
        <v>1789</v>
      </c>
      <c r="E3753" s="16" t="str">
        <f>HYPERLINK("http://twitter.com/download/iphone","Twitter for iPhone")</f>
        <v>Twitter for iPhone</v>
      </c>
      <c r="F3753" s="12">
        <v>40897.518333333333</v>
      </c>
      <c r="G3753" s="17" t="s">
        <v>13000</v>
      </c>
      <c r="H3753" s="35" t="s">
        <v>38</v>
      </c>
      <c r="I3753" s="18" t="s">
        <v>1790</v>
      </c>
    </row>
    <row r="3754" spans="1:9" s="33" customFormat="1" ht="75">
      <c r="A3754" s="12">
        <v>43575.41706018518</v>
      </c>
      <c r="B3754" s="13" t="str">
        <f>HYPERLINK("https://twitter.com/EHSlasvegas","@EHSlasvegas")</f>
        <v>@EHSlasvegas</v>
      </c>
      <c r="C3754" s="14" t="s">
        <v>36</v>
      </c>
      <c r="D3754" s="15" t="s">
        <v>37</v>
      </c>
      <c r="E3754" s="16" t="str">
        <f>HYPERLINK("https://buffer.com","Buffer")</f>
        <v>Buffer</v>
      </c>
      <c r="F3754" s="12">
        <v>43413.788715277777</v>
      </c>
      <c r="G3754" s="17" t="s">
        <v>13000</v>
      </c>
      <c r="H3754" s="35" t="s">
        <v>38</v>
      </c>
      <c r="I3754" s="18" t="s">
        <v>39</v>
      </c>
    </row>
    <row r="3755" spans="1:9" s="33" customFormat="1" ht="30">
      <c r="A3755" s="12">
        <v>43575.340995370367</v>
      </c>
      <c r="B3755" s="13" t="str">
        <f>HYPERLINK("https://twitter.com/HospitalityTek","@HospitalityTek")</f>
        <v>@HospitalityTek</v>
      </c>
      <c r="C3755" s="14" t="s">
        <v>2275</v>
      </c>
      <c r="D3755" s="15" t="s">
        <v>2276</v>
      </c>
      <c r="E3755" s="16" t="str">
        <f>HYPERLINK("https://buffer.com","Buffer")</f>
        <v>Buffer</v>
      </c>
      <c r="F3755" s="12">
        <v>43005.534629629634</v>
      </c>
      <c r="G3755" s="17" t="s">
        <v>13000</v>
      </c>
      <c r="H3755" s="35" t="s">
        <v>38</v>
      </c>
      <c r="I3755" s="18" t="s">
        <v>2277</v>
      </c>
    </row>
    <row r="3756" spans="1:9" s="33" customFormat="1" ht="75">
      <c r="A3756" s="12">
        <v>43574.3753125</v>
      </c>
      <c r="B3756" s="13" t="str">
        <f>HYPERLINK("https://twitter.com/EHSlasvegas","@EHSlasvegas")</f>
        <v>@EHSlasvegas</v>
      </c>
      <c r="C3756" s="14" t="s">
        <v>36</v>
      </c>
      <c r="D3756" s="15" t="s">
        <v>37</v>
      </c>
      <c r="E3756" s="16" t="str">
        <f>HYPERLINK("https://buffer.com","Buffer")</f>
        <v>Buffer</v>
      </c>
      <c r="F3756" s="12">
        <v>43413.788715277777</v>
      </c>
      <c r="G3756" s="17" t="s">
        <v>13000</v>
      </c>
      <c r="H3756" s="35" t="s">
        <v>38</v>
      </c>
      <c r="I3756" s="18" t="s">
        <v>2570</v>
      </c>
    </row>
    <row r="3757" spans="1:9" s="33" customFormat="1" ht="60">
      <c r="A3757" s="12">
        <v>43574.348877314813</v>
      </c>
      <c r="B3757" s="13" t="str">
        <f>HYPERLINK("https://twitter.com/heidiology","@heidiology")</f>
        <v>@heidiology</v>
      </c>
      <c r="C3757" s="14" t="s">
        <v>2586</v>
      </c>
      <c r="D3757" s="15" t="s">
        <v>2587</v>
      </c>
      <c r="E3757" s="16" t="str">
        <f>HYPERLINK("http://twitter.com","Twitter Web Client")</f>
        <v>Twitter Web Client</v>
      </c>
      <c r="F3757" s="12">
        <v>39954.230891203704</v>
      </c>
      <c r="G3757" s="17" t="s">
        <v>13000</v>
      </c>
      <c r="H3757" s="35" t="s">
        <v>38</v>
      </c>
      <c r="I3757" s="18" t="s">
        <v>2588</v>
      </c>
    </row>
    <row r="3758" spans="1:9" s="33" customFormat="1" ht="30">
      <c r="A3758" s="12">
        <v>43573.389074074075</v>
      </c>
      <c r="B3758" s="13" t="str">
        <f>HYPERLINK("https://twitter.com/MorrisLawCenter","@MorrisLawCenter")</f>
        <v>@MorrisLawCenter</v>
      </c>
      <c r="C3758" s="14" t="s">
        <v>2902</v>
      </c>
      <c r="D3758" s="15" t="s">
        <v>2903</v>
      </c>
      <c r="E3758" s="16" t="str">
        <f>HYPERLINK("https://www.hootsuite.com","Hootsuite Inc.")</f>
        <v>Hootsuite Inc.</v>
      </c>
      <c r="F3758" s="12">
        <v>42411.724386574075</v>
      </c>
      <c r="G3758" s="17" t="s">
        <v>13000</v>
      </c>
      <c r="H3758" s="35" t="s">
        <v>38</v>
      </c>
      <c r="I3758" s="18" t="s">
        <v>2904</v>
      </c>
    </row>
    <row r="3759" spans="1:9" s="33" customFormat="1" ht="75">
      <c r="A3759" s="12">
        <v>43573.375277777777</v>
      </c>
      <c r="B3759" s="13" t="str">
        <f>HYPERLINK("https://twitter.com/EHSlasvegas","@EHSlasvegas")</f>
        <v>@EHSlasvegas</v>
      </c>
      <c r="C3759" s="14" t="s">
        <v>36</v>
      </c>
      <c r="D3759" s="15" t="s">
        <v>37</v>
      </c>
      <c r="E3759" s="16" t="str">
        <f>HYPERLINK("https://buffer.com","Buffer")</f>
        <v>Buffer</v>
      </c>
      <c r="F3759" s="12">
        <v>43413.788715277777</v>
      </c>
      <c r="G3759" s="17" t="s">
        <v>13000</v>
      </c>
      <c r="H3759" s="35" t="s">
        <v>38</v>
      </c>
      <c r="I3759" s="18" t="s">
        <v>2570</v>
      </c>
    </row>
    <row r="3760" spans="1:9" s="33" customFormat="1" ht="75">
      <c r="A3760" s="12">
        <v>43572.708333333328</v>
      </c>
      <c r="B3760" s="13" t="str">
        <f>HYPERLINK("https://twitter.com/HospitalityTek","@HospitalityTek")</f>
        <v>@HospitalityTek</v>
      </c>
      <c r="C3760" s="14" t="s">
        <v>2275</v>
      </c>
      <c r="D3760" s="15" t="s">
        <v>3114</v>
      </c>
      <c r="E3760" s="16" t="str">
        <f>HYPERLINK("http://www.linkedin.com/","LinkedIn")</f>
        <v>LinkedIn</v>
      </c>
      <c r="F3760" s="12">
        <v>43005.534629629634</v>
      </c>
      <c r="G3760" s="17" t="s">
        <v>13000</v>
      </c>
      <c r="H3760" s="35" t="s">
        <v>38</v>
      </c>
      <c r="I3760" s="18" t="s">
        <v>2277</v>
      </c>
    </row>
    <row r="3761" spans="1:9" s="33" customFormat="1" ht="75">
      <c r="A3761" s="12">
        <v>43572.375347222223</v>
      </c>
      <c r="B3761" s="13" t="str">
        <f>HYPERLINK("https://twitter.com/EHSlasvegas","@EHSlasvegas")</f>
        <v>@EHSlasvegas</v>
      </c>
      <c r="C3761" s="14" t="s">
        <v>36</v>
      </c>
      <c r="D3761" s="15" t="s">
        <v>37</v>
      </c>
      <c r="E3761" s="16" t="str">
        <f>HYPERLINK("https://buffer.com","Buffer")</f>
        <v>Buffer</v>
      </c>
      <c r="F3761" s="12">
        <v>43413.788715277777</v>
      </c>
      <c r="G3761" s="17" t="s">
        <v>13000</v>
      </c>
      <c r="H3761" s="35" t="s">
        <v>38</v>
      </c>
      <c r="I3761" s="18" t="s">
        <v>2570</v>
      </c>
    </row>
    <row r="3762" spans="1:9" s="33" customFormat="1" ht="45">
      <c r="A3762" s="12">
        <v>43571.814363425925</v>
      </c>
      <c r="B3762" s="13" t="str">
        <f>HYPERLINK("https://twitter.com/BethanyKhan","@BethanyKhan")</f>
        <v>@BethanyKhan</v>
      </c>
      <c r="C3762" s="14" t="s">
        <v>3541</v>
      </c>
      <c r="D3762" s="15" t="s">
        <v>3542</v>
      </c>
      <c r="E3762" s="16" t="str">
        <f>HYPERLINK("http://twitter.com/download/iphone","Twitter for iPhone")</f>
        <v>Twitter for iPhone</v>
      </c>
      <c r="F3762" s="12">
        <v>39842.933715277773</v>
      </c>
      <c r="G3762" s="17" t="s">
        <v>13000</v>
      </c>
      <c r="H3762" s="35" t="s">
        <v>38</v>
      </c>
      <c r="I3762" s="18" t="s">
        <v>3543</v>
      </c>
    </row>
    <row r="3763" spans="1:9" s="33" customFormat="1" ht="75">
      <c r="A3763" s="12">
        <v>43571.375474537039</v>
      </c>
      <c r="B3763" s="13" t="str">
        <f>HYPERLINK("https://twitter.com/EHSlasvegas","@EHSlasvegas")</f>
        <v>@EHSlasvegas</v>
      </c>
      <c r="C3763" s="14" t="s">
        <v>36</v>
      </c>
      <c r="D3763" s="15" t="s">
        <v>37</v>
      </c>
      <c r="E3763" s="16" t="str">
        <f>HYPERLINK("https://buffer.com","Buffer")</f>
        <v>Buffer</v>
      </c>
      <c r="F3763" s="12">
        <v>43413.788715277777</v>
      </c>
      <c r="G3763" s="17" t="s">
        <v>13000</v>
      </c>
      <c r="H3763" s="35" t="s">
        <v>38</v>
      </c>
      <c r="I3763" s="18" t="s">
        <v>2570</v>
      </c>
    </row>
    <row r="3764" spans="1:9" s="33" customFormat="1" ht="75">
      <c r="A3764" s="12">
        <v>43570.375462962962</v>
      </c>
      <c r="B3764" s="13" t="str">
        <f>HYPERLINK("https://twitter.com/EHSlasvegas","@EHSlasvegas")</f>
        <v>@EHSlasvegas</v>
      </c>
      <c r="C3764" s="14" t="s">
        <v>36</v>
      </c>
      <c r="D3764" s="15" t="s">
        <v>37</v>
      </c>
      <c r="E3764" s="16" t="str">
        <f>HYPERLINK("https://buffer.com","Buffer")</f>
        <v>Buffer</v>
      </c>
      <c r="F3764" s="12">
        <v>43413.788715277777</v>
      </c>
      <c r="G3764" s="17" t="s">
        <v>13000</v>
      </c>
      <c r="H3764" s="35" t="s">
        <v>38</v>
      </c>
      <c r="I3764" s="18" t="s">
        <v>2570</v>
      </c>
    </row>
    <row r="3765" spans="1:9" s="33" customFormat="1" ht="75">
      <c r="A3765" s="12">
        <v>43570.278749999998</v>
      </c>
      <c r="B3765" s="13" t="str">
        <f>HYPERLINK("https://twitter.com/HospitalityTek","@HospitalityTek")</f>
        <v>@HospitalityTek</v>
      </c>
      <c r="C3765" s="14" t="s">
        <v>2275</v>
      </c>
      <c r="D3765" s="15" t="s">
        <v>4265</v>
      </c>
      <c r="E3765" s="16" t="str">
        <f>HYPERLINK("http://www.linkedin.com/","LinkedIn")</f>
        <v>LinkedIn</v>
      </c>
      <c r="F3765" s="12">
        <v>43005.534629629634</v>
      </c>
      <c r="G3765" s="17" t="s">
        <v>13000</v>
      </c>
      <c r="H3765" s="35" t="s">
        <v>38</v>
      </c>
      <c r="I3765" s="18" t="s">
        <v>2277</v>
      </c>
    </row>
    <row r="3766" spans="1:9" s="33" customFormat="1" ht="75">
      <c r="A3766" s="12">
        <v>43568.416851851856</v>
      </c>
      <c r="B3766" s="13" t="str">
        <f>HYPERLINK("https://twitter.com/EHSlasvegas","@EHSlasvegas")</f>
        <v>@EHSlasvegas</v>
      </c>
      <c r="C3766" s="14" t="s">
        <v>36</v>
      </c>
      <c r="D3766" s="15" t="s">
        <v>37</v>
      </c>
      <c r="E3766" s="16" t="str">
        <f>HYPERLINK("https://buffer.com","Buffer")</f>
        <v>Buffer</v>
      </c>
      <c r="F3766" s="12">
        <v>43413.788715277777</v>
      </c>
      <c r="G3766" s="17" t="s">
        <v>13000</v>
      </c>
      <c r="H3766" s="35" t="s">
        <v>38</v>
      </c>
      <c r="I3766" s="18" t="s">
        <v>2570</v>
      </c>
    </row>
    <row r="3767" spans="1:9" s="33" customFormat="1" ht="60">
      <c r="A3767" s="12">
        <v>43567.908182870371</v>
      </c>
      <c r="B3767" s="13" t="str">
        <f>HYPERLINK("https://twitter.com/toddprincetv","@toddprincetv")</f>
        <v>@toddprincetv</v>
      </c>
      <c r="C3767" s="14" t="s">
        <v>4919</v>
      </c>
      <c r="D3767" s="15" t="s">
        <v>4920</v>
      </c>
      <c r="E3767" s="16" t="str">
        <f>HYPERLINK("http://twitter.com/download/iphone","Twitter for iPhone")</f>
        <v>Twitter for iPhone</v>
      </c>
      <c r="F3767" s="12">
        <v>42719.550092592588</v>
      </c>
      <c r="G3767" s="17" t="s">
        <v>13000</v>
      </c>
      <c r="H3767" s="35" t="s">
        <v>38</v>
      </c>
      <c r="I3767" s="18" t="s">
        <v>4921</v>
      </c>
    </row>
    <row r="3768" spans="1:9" s="33" customFormat="1" ht="30">
      <c r="A3768" s="12">
        <v>43567.713101851856</v>
      </c>
      <c r="B3768" s="13" t="str">
        <f>HYPERLINK("https://twitter.com/HospitalityTek","@HospitalityTek")</f>
        <v>@HospitalityTek</v>
      </c>
      <c r="C3768" s="14" t="s">
        <v>2275</v>
      </c>
      <c r="D3768" s="15" t="s">
        <v>4986</v>
      </c>
      <c r="E3768" s="16" t="str">
        <f>HYPERLINK("http://twitter.com","Twitter Web Client")</f>
        <v>Twitter Web Client</v>
      </c>
      <c r="F3768" s="12">
        <v>43005.534629629634</v>
      </c>
      <c r="G3768" s="17" t="s">
        <v>13000</v>
      </c>
      <c r="H3768" s="35" t="s">
        <v>38</v>
      </c>
      <c r="I3768" s="18" t="s">
        <v>2277</v>
      </c>
    </row>
    <row r="3769" spans="1:9" s="33" customFormat="1" ht="75">
      <c r="A3769" s="12">
        <v>43567.375405092593</v>
      </c>
      <c r="B3769" s="13" t="str">
        <f>HYPERLINK("https://twitter.com/EHSlasvegas","@EHSlasvegas")</f>
        <v>@EHSlasvegas</v>
      </c>
      <c r="C3769" s="14" t="s">
        <v>36</v>
      </c>
      <c r="D3769" s="15" t="s">
        <v>37</v>
      </c>
      <c r="E3769" s="16" t="str">
        <f>HYPERLINK("https://buffer.com","Buffer")</f>
        <v>Buffer</v>
      </c>
      <c r="F3769" s="12">
        <v>43413.788715277777</v>
      </c>
      <c r="G3769" s="17" t="s">
        <v>13000</v>
      </c>
      <c r="H3769" s="35" t="s">
        <v>38</v>
      </c>
      <c r="I3769" s="18" t="s">
        <v>2570</v>
      </c>
    </row>
    <row r="3770" spans="1:9" s="33" customFormat="1" ht="90">
      <c r="A3770" s="12">
        <v>43566.486435185187</v>
      </c>
      <c r="B3770" s="13" t="str">
        <f>HYPERLINK("https://twitter.com/brodyradio","@brodyradio")</f>
        <v>@brodyradio</v>
      </c>
      <c r="C3770" s="14" t="s">
        <v>5491</v>
      </c>
      <c r="D3770" s="15" t="s">
        <v>5492</v>
      </c>
      <c r="E3770" s="16" t="str">
        <f>HYPERLINK("http://twitter.com/download/iphone","Twitter for iPhone")</f>
        <v>Twitter for iPhone</v>
      </c>
      <c r="F3770" s="12">
        <v>39877.470682870371</v>
      </c>
      <c r="G3770" s="17" t="s">
        <v>13000</v>
      </c>
      <c r="H3770" s="35" t="s">
        <v>38</v>
      </c>
      <c r="I3770" s="18" t="s">
        <v>5493</v>
      </c>
    </row>
    <row r="3771" spans="1:9" s="33" customFormat="1" ht="75">
      <c r="A3771" s="12">
        <v>43566.375428240739</v>
      </c>
      <c r="B3771" s="13" t="str">
        <f>HYPERLINK("https://twitter.com/EHSlasvegas","@EHSlasvegas")</f>
        <v>@EHSlasvegas</v>
      </c>
      <c r="C3771" s="14" t="s">
        <v>36</v>
      </c>
      <c r="D3771" s="15" t="s">
        <v>37</v>
      </c>
      <c r="E3771" s="16" t="str">
        <f>HYPERLINK("https://buffer.com","Buffer")</f>
        <v>Buffer</v>
      </c>
      <c r="F3771" s="12">
        <v>43413.788715277777</v>
      </c>
      <c r="G3771" s="17" t="s">
        <v>13000</v>
      </c>
      <c r="H3771" s="35" t="s">
        <v>38</v>
      </c>
      <c r="I3771" s="18" t="s">
        <v>2570</v>
      </c>
    </row>
    <row r="3772" spans="1:9" s="33" customFormat="1" ht="45">
      <c r="A3772" s="4">
        <v>43560.247731481482</v>
      </c>
      <c r="B3772" s="5" t="str">
        <f>HYPERLINK("https://twitter.com/MercedesInTheAM","@MercedesInTheAM")</f>
        <v>@MercedesInTheAM</v>
      </c>
      <c r="C3772" s="6" t="s">
        <v>11540</v>
      </c>
      <c r="D3772" s="7" t="s">
        <v>11538</v>
      </c>
      <c r="E3772" s="8" t="str">
        <f t="shared" ref="E3772:E3784" si="158">HYPERLINK("https://about.twitter.com/products/tweetdeck","TweetDeck")</f>
        <v>TweetDeck</v>
      </c>
      <c r="F3772" s="4">
        <v>39884.38071759259</v>
      </c>
      <c r="G3772" s="17" t="s">
        <v>13000</v>
      </c>
      <c r="H3772" s="35" t="s">
        <v>11541</v>
      </c>
      <c r="I3772" s="10" t="s">
        <v>11542</v>
      </c>
    </row>
    <row r="3773" spans="1:9" s="33" customFormat="1" ht="60">
      <c r="A3773" s="4">
        <v>43565.554861111115</v>
      </c>
      <c r="B3773" s="5" t="str">
        <f>HYPERLINK("https://twitter.com/swrhodesranchnv","@swrhodesranchnv")</f>
        <v>@swrhodesranchnv</v>
      </c>
      <c r="C3773" s="6" t="s">
        <v>6027</v>
      </c>
      <c r="D3773" s="7" t="s">
        <v>6028</v>
      </c>
      <c r="E3773" s="8" t="str">
        <f t="shared" si="158"/>
        <v>TweetDeck</v>
      </c>
      <c r="F3773" s="4">
        <v>40068.74255787037</v>
      </c>
      <c r="G3773" s="17" t="s">
        <v>13000</v>
      </c>
      <c r="H3773" s="35" t="s">
        <v>6029</v>
      </c>
      <c r="I3773" s="10" t="s">
        <v>6030</v>
      </c>
    </row>
    <row r="3774" spans="1:9" s="33" customFormat="1" ht="60">
      <c r="A3774" s="4">
        <v>43560.552777777775</v>
      </c>
      <c r="B3774" s="5" t="str">
        <f>HYPERLINK("https://twitter.com/swrhodesranchnv","@swrhodesranchnv")</f>
        <v>@swrhodesranchnv</v>
      </c>
      <c r="C3774" s="6" t="s">
        <v>6027</v>
      </c>
      <c r="D3774" s="7" t="s">
        <v>6125</v>
      </c>
      <c r="E3774" s="8" t="str">
        <f t="shared" si="158"/>
        <v>TweetDeck</v>
      </c>
      <c r="F3774" s="4">
        <v>40068.74255787037</v>
      </c>
      <c r="G3774" s="17" t="s">
        <v>13000</v>
      </c>
      <c r="H3774" s="35" t="s">
        <v>6029</v>
      </c>
      <c r="I3774" s="10" t="s">
        <v>6030</v>
      </c>
    </row>
    <row r="3775" spans="1:9" s="33" customFormat="1" ht="75">
      <c r="A3775" s="12">
        <v>43570.588888888888</v>
      </c>
      <c r="B3775" s="13" t="str">
        <f>HYPERLINK("https://twitter.com/SWsahara","@SWsahara")</f>
        <v>@SWsahara</v>
      </c>
      <c r="C3775" s="14" t="s">
        <v>4034</v>
      </c>
      <c r="D3775" s="15" t="s">
        <v>4035</v>
      </c>
      <c r="E3775" s="16" t="str">
        <f t="shared" si="158"/>
        <v>TweetDeck</v>
      </c>
      <c r="F3775" s="12">
        <v>40053.723113425927</v>
      </c>
      <c r="G3775" s="17" t="s">
        <v>13000</v>
      </c>
      <c r="H3775" s="35" t="s">
        <v>4036</v>
      </c>
      <c r="I3775" s="18" t="s">
        <v>4037</v>
      </c>
    </row>
    <row r="3776" spans="1:9" s="33" customFormat="1" ht="45">
      <c r="A3776" s="4">
        <v>43560.622916666667</v>
      </c>
      <c r="B3776" s="5" t="str">
        <f>HYPERLINK("https://twitter.com/swflamingoroad","@swflamingoroad")</f>
        <v>@swflamingoroad</v>
      </c>
      <c r="C3776" s="6" t="s">
        <v>11245</v>
      </c>
      <c r="D3776" s="7" t="s">
        <v>11246</v>
      </c>
      <c r="E3776" s="8" t="str">
        <f t="shared" si="158"/>
        <v>TweetDeck</v>
      </c>
      <c r="F3776" s="4">
        <v>40069.471180555556</v>
      </c>
      <c r="G3776" s="17" t="s">
        <v>13000</v>
      </c>
      <c r="H3776" s="35" t="s">
        <v>11247</v>
      </c>
      <c r="I3776" s="10" t="s">
        <v>11248</v>
      </c>
    </row>
    <row r="3777" spans="1:9" s="33" customFormat="1" ht="60">
      <c r="A3777" s="12">
        <v>43570.568749999999</v>
      </c>
      <c r="B3777" s="13" t="str">
        <f>HYPERLINK("https://twitter.com/sweasternave","@sweasternave")</f>
        <v>@sweasternave</v>
      </c>
      <c r="C3777" s="14" t="s">
        <v>4068</v>
      </c>
      <c r="D3777" s="15" t="s">
        <v>4069</v>
      </c>
      <c r="E3777" s="16" t="str">
        <f t="shared" si="158"/>
        <v>TweetDeck</v>
      </c>
      <c r="F3777" s="12">
        <v>40069.464050925926</v>
      </c>
      <c r="G3777" s="17" t="s">
        <v>13000</v>
      </c>
      <c r="H3777" s="35" t="s">
        <v>4070</v>
      </c>
      <c r="I3777" s="18" t="s">
        <v>4071</v>
      </c>
    </row>
    <row r="3778" spans="1:9" s="33" customFormat="1" ht="45">
      <c r="A3778" s="12">
        <v>43566.567361111112</v>
      </c>
      <c r="B3778" s="13" t="str">
        <f>HYPERLINK("https://twitter.com/sweasternave","@sweasternave")</f>
        <v>@sweasternave</v>
      </c>
      <c r="C3778" s="14" t="s">
        <v>4068</v>
      </c>
      <c r="D3778" s="15" t="s">
        <v>5439</v>
      </c>
      <c r="E3778" s="16" t="str">
        <f t="shared" si="158"/>
        <v>TweetDeck</v>
      </c>
      <c r="F3778" s="12">
        <v>40069.464050925926</v>
      </c>
      <c r="G3778" s="17" t="s">
        <v>13000</v>
      </c>
      <c r="H3778" s="35" t="s">
        <v>4070</v>
      </c>
      <c r="I3778" s="18" t="s">
        <v>4071</v>
      </c>
    </row>
    <row r="3779" spans="1:9" s="33" customFormat="1" ht="45">
      <c r="A3779" s="4">
        <v>43565.552777777775</v>
      </c>
      <c r="B3779" s="5" t="str">
        <f>HYPERLINK("https://twitter.com/swbuffalodrnv","@swbuffalodrnv")</f>
        <v>@swbuffalodrnv</v>
      </c>
      <c r="C3779" s="6" t="s">
        <v>4078</v>
      </c>
      <c r="D3779" s="7" t="s">
        <v>6031</v>
      </c>
      <c r="E3779" s="8" t="str">
        <f t="shared" si="158"/>
        <v>TweetDeck</v>
      </c>
      <c r="F3779" s="4">
        <v>40068.773275462961</v>
      </c>
      <c r="G3779" s="17" t="s">
        <v>13000</v>
      </c>
      <c r="H3779" s="35" t="s">
        <v>4080</v>
      </c>
      <c r="I3779" s="10" t="s">
        <v>4081</v>
      </c>
    </row>
    <row r="3780" spans="1:9" s="33" customFormat="1" ht="45">
      <c r="A3780" s="12">
        <v>43570.554166666669</v>
      </c>
      <c r="B3780" s="13" t="str">
        <f>HYPERLINK("https://twitter.com/swbuffalodrnv","@swbuffalodrnv")</f>
        <v>@swbuffalodrnv</v>
      </c>
      <c r="C3780" s="14" t="s">
        <v>4078</v>
      </c>
      <c r="D3780" s="15" t="s">
        <v>4079</v>
      </c>
      <c r="E3780" s="16" t="str">
        <f t="shared" si="158"/>
        <v>TweetDeck</v>
      </c>
      <c r="F3780" s="12">
        <v>40068.773275462961</v>
      </c>
      <c r="G3780" s="17" t="s">
        <v>13000</v>
      </c>
      <c r="H3780" s="35" t="s">
        <v>4080</v>
      </c>
      <c r="I3780" s="18" t="s">
        <v>4081</v>
      </c>
    </row>
    <row r="3781" spans="1:9" s="33" customFormat="1" ht="60">
      <c r="A3781" s="19">
        <v>43551.634027777778</v>
      </c>
      <c r="B3781" s="20" t="str">
        <f>HYPERLINK("https://twitter.com/SWrussellroad","@SWrussellroad")</f>
        <v>@SWrussellroad</v>
      </c>
      <c r="C3781" s="21" t="s">
        <v>7078</v>
      </c>
      <c r="D3781" s="22" t="s">
        <v>7079</v>
      </c>
      <c r="E3781" s="23" t="str">
        <f t="shared" si="158"/>
        <v>TweetDeck</v>
      </c>
      <c r="F3781" s="19">
        <v>40053.718738425923</v>
      </c>
      <c r="G3781" s="17" t="s">
        <v>13000</v>
      </c>
      <c r="H3781" s="35" t="s">
        <v>7080</v>
      </c>
      <c r="I3781" s="25" t="s">
        <v>7081</v>
      </c>
    </row>
    <row r="3782" spans="1:9" s="33" customFormat="1" ht="75">
      <c r="A3782" s="19">
        <v>43549.633333333331</v>
      </c>
      <c r="B3782" s="20" t="str">
        <f>HYPERLINK("https://twitter.com/SWrussellroad","@SWrussellroad")</f>
        <v>@SWrussellroad</v>
      </c>
      <c r="C3782" s="21" t="s">
        <v>7078</v>
      </c>
      <c r="D3782" s="22" t="s">
        <v>7957</v>
      </c>
      <c r="E3782" s="23" t="str">
        <f t="shared" si="158"/>
        <v>TweetDeck</v>
      </c>
      <c r="F3782" s="19">
        <v>40053.718738425923</v>
      </c>
      <c r="G3782" s="17" t="s">
        <v>13000</v>
      </c>
      <c r="H3782" s="35" t="s">
        <v>7080</v>
      </c>
      <c r="I3782" s="25" t="s">
        <v>7081</v>
      </c>
    </row>
    <row r="3783" spans="1:9" s="33" customFormat="1" ht="45">
      <c r="A3783" s="4">
        <v>43565.594444444447</v>
      </c>
      <c r="B3783" s="5" t="str">
        <f>HYPERLINK("https://twitter.com/swcenthillsnv","@swcenthillsnv")</f>
        <v>@swcenthillsnv</v>
      </c>
      <c r="C3783" s="6" t="s">
        <v>5415</v>
      </c>
      <c r="D3783" s="7" t="s">
        <v>6010</v>
      </c>
      <c r="E3783" s="8" t="str">
        <f t="shared" si="158"/>
        <v>TweetDeck</v>
      </c>
      <c r="F3783" s="4">
        <v>40069.406701388885</v>
      </c>
      <c r="G3783" s="17" t="s">
        <v>13000</v>
      </c>
      <c r="H3783" s="35" t="s">
        <v>5417</v>
      </c>
      <c r="I3783" s="10" t="s">
        <v>5418</v>
      </c>
    </row>
    <row r="3784" spans="1:9" s="33" customFormat="1" ht="60">
      <c r="A3784" s="12">
        <v>43566.594444444447</v>
      </c>
      <c r="B3784" s="13" t="str">
        <f>HYPERLINK("https://twitter.com/swcenthillsnv","@swcenthillsnv")</f>
        <v>@swcenthillsnv</v>
      </c>
      <c r="C3784" s="14" t="s">
        <v>5415</v>
      </c>
      <c r="D3784" s="15" t="s">
        <v>5416</v>
      </c>
      <c r="E3784" s="16" t="str">
        <f t="shared" si="158"/>
        <v>TweetDeck</v>
      </c>
      <c r="F3784" s="12">
        <v>40069.406701388885</v>
      </c>
      <c r="G3784" s="17" t="s">
        <v>13000</v>
      </c>
      <c r="H3784" s="35" t="s">
        <v>5417</v>
      </c>
      <c r="I3784" s="18" t="s">
        <v>5418</v>
      </c>
    </row>
    <row r="3785" spans="1:9" s="33" customFormat="1" ht="30">
      <c r="A3785" s="12">
        <v>43568.536990740744</v>
      </c>
      <c r="B3785" s="13" t="str">
        <f>HYPERLINK("https://twitter.com/8Days2Amish","@8Days2Amish")</f>
        <v>@8Days2Amish</v>
      </c>
      <c r="C3785" s="14" t="s">
        <v>4711</v>
      </c>
      <c r="D3785" s="15" t="s">
        <v>4712</v>
      </c>
      <c r="E3785" s="16" t="str">
        <f>HYPERLINK("http://twitter.com","Twitter Web Client")</f>
        <v>Twitter Web Client</v>
      </c>
      <c r="F3785" s="12">
        <v>40186.344884259262</v>
      </c>
      <c r="G3785" s="24" t="s">
        <v>13000</v>
      </c>
      <c r="H3785" s="35" t="s">
        <v>4713</v>
      </c>
      <c r="I3785" s="18" t="s">
        <v>4714</v>
      </c>
    </row>
    <row r="3786" spans="1:9" s="33" customFormat="1" ht="45">
      <c r="A3786" s="12">
        <v>43566.657523148147</v>
      </c>
      <c r="B3786" s="13" t="str">
        <f>HYPERLINK("https://twitter.com/PaulyZinATL","@PaulyZinATL")</f>
        <v>@PaulyZinATL</v>
      </c>
      <c r="C3786" s="14" t="s">
        <v>5378</v>
      </c>
      <c r="D3786" s="15" t="s">
        <v>5379</v>
      </c>
      <c r="E3786" s="16" t="str">
        <f>HYPERLINK("http://instagram.com","Instagram")</f>
        <v>Instagram</v>
      </c>
      <c r="F3786" s="12">
        <v>40709.593043981484</v>
      </c>
      <c r="G3786" s="24" t="s">
        <v>13000</v>
      </c>
      <c r="H3786" s="35" t="s">
        <v>5380</v>
      </c>
      <c r="I3786" s="18" t="s">
        <v>5381</v>
      </c>
    </row>
    <row r="3787" spans="1:9" s="33" customFormat="1" ht="75">
      <c r="A3787" s="19">
        <v>43550.334756944445</v>
      </c>
      <c r="B3787" s="20" t="str">
        <f>HYPERLINK("https://twitter.com/betsydixon","@betsydixon")</f>
        <v>@betsydixon</v>
      </c>
      <c r="C3787" s="21" t="s">
        <v>7730</v>
      </c>
      <c r="D3787" s="22" t="s">
        <v>7638</v>
      </c>
      <c r="E3787" s="23" t="str">
        <f>HYPERLINK("https://buffer.com","Buffer")</f>
        <v>Buffer</v>
      </c>
      <c r="F3787" s="19">
        <v>40248.359907407408</v>
      </c>
      <c r="G3787" s="24" t="s">
        <v>13000</v>
      </c>
      <c r="H3787" s="35" t="s">
        <v>7731</v>
      </c>
      <c r="I3787" s="25" t="s">
        <v>7732</v>
      </c>
    </row>
    <row r="3788" spans="1:9" s="33" customFormat="1" ht="90">
      <c r="A3788" s="4">
        <v>43557.521284722221</v>
      </c>
      <c r="B3788" s="5" t="str">
        <f>HYPERLINK("https://twitter.com/PMITravel1","@PMITravel1")</f>
        <v>@PMITravel1</v>
      </c>
      <c r="C3788" s="6" t="s">
        <v>12484</v>
      </c>
      <c r="D3788" s="7" t="s">
        <v>12483</v>
      </c>
      <c r="E3788" s="8" t="str">
        <f>HYPERLINK("http://www.facebook.com/twitter","Facebook")</f>
        <v>Facebook</v>
      </c>
      <c r="F3788" s="4">
        <v>43214.469502314816</v>
      </c>
      <c r="G3788" s="9" t="s">
        <v>13000</v>
      </c>
      <c r="H3788" s="35" t="s">
        <v>12485</v>
      </c>
      <c r="I3788" s="10" t="s">
        <v>12486</v>
      </c>
    </row>
    <row r="3789" spans="1:9" s="33" customFormat="1" ht="45">
      <c r="A3789" s="19">
        <v>43543.437997685185</v>
      </c>
      <c r="B3789" s="20" t="str">
        <f>HYPERLINK("https://twitter.com/WildMissMyrtle","@WildMissMyrtle")</f>
        <v>@WildMissMyrtle</v>
      </c>
      <c r="C3789" s="21" t="s">
        <v>9801</v>
      </c>
      <c r="D3789" s="22" t="s">
        <v>9802</v>
      </c>
      <c r="E3789" s="23" t="str">
        <f>HYPERLINK("http://twitter.com/download/iphone","Twitter for iPhone")</f>
        <v>Twitter for iPhone</v>
      </c>
      <c r="F3789" s="19">
        <v>42934.507986111115</v>
      </c>
      <c r="G3789" s="17" t="s">
        <v>13000</v>
      </c>
      <c r="H3789" s="35" t="s">
        <v>9803</v>
      </c>
      <c r="I3789" s="25" t="s">
        <v>9804</v>
      </c>
    </row>
    <row r="3790" spans="1:9" s="33" customFormat="1" ht="45">
      <c r="A3790" s="19">
        <v>43543.430335648147</v>
      </c>
      <c r="B3790" s="20" t="str">
        <f>HYPERLINK("https://twitter.com/WildMissMyrtle","@WildMissMyrtle")</f>
        <v>@WildMissMyrtle</v>
      </c>
      <c r="C3790" s="21" t="s">
        <v>9801</v>
      </c>
      <c r="D3790" s="22" t="s">
        <v>9806</v>
      </c>
      <c r="E3790" s="23" t="str">
        <f>HYPERLINK("http://twitter.com/download/iphone","Twitter for iPhone")</f>
        <v>Twitter for iPhone</v>
      </c>
      <c r="F3790" s="19">
        <v>42934.507986111115</v>
      </c>
      <c r="G3790" s="17" t="s">
        <v>13000</v>
      </c>
      <c r="H3790" s="35" t="s">
        <v>9803</v>
      </c>
      <c r="I3790" s="25" t="s">
        <v>9804</v>
      </c>
    </row>
    <row r="3791" spans="1:9" s="33" customFormat="1" ht="60">
      <c r="A3791" s="19">
        <v>43544.438819444447</v>
      </c>
      <c r="B3791" s="20" t="str">
        <f>HYPERLINK("https://twitter.com/AYisAboutYou","@AYisAboutYou")</f>
        <v>@AYisAboutYou</v>
      </c>
      <c r="C3791" s="21" t="s">
        <v>9463</v>
      </c>
      <c r="D3791" s="22" t="s">
        <v>9464</v>
      </c>
      <c r="E3791" s="23" t="str">
        <f>HYPERLINK("https://www.hootsuite.com","Hootsuite Inc.")</f>
        <v>Hootsuite Inc.</v>
      </c>
      <c r="F3791" s="19">
        <v>40357.369953703703</v>
      </c>
      <c r="G3791" s="17" t="s">
        <v>13000</v>
      </c>
      <c r="H3791" s="35" t="s">
        <v>2831</v>
      </c>
      <c r="I3791" s="25" t="s">
        <v>9465</v>
      </c>
    </row>
    <row r="3792" spans="1:9" s="33" customFormat="1" ht="45">
      <c r="A3792" s="12">
        <v>43573.529976851853</v>
      </c>
      <c r="B3792" s="13" t="str">
        <f>HYPERLINK("https://twitter.com/molliebee71","@molliebee71")</f>
        <v>@molliebee71</v>
      </c>
      <c r="C3792" s="14" t="s">
        <v>2829</v>
      </c>
      <c r="D3792" s="15" t="s">
        <v>2830</v>
      </c>
      <c r="E3792" s="16" t="str">
        <f>HYPERLINK("http://instagram.com","Instagram")</f>
        <v>Instagram</v>
      </c>
      <c r="F3792" s="12">
        <v>40516.672743055555</v>
      </c>
      <c r="G3792" s="17" t="s">
        <v>13000</v>
      </c>
      <c r="H3792" s="35" t="s">
        <v>2831</v>
      </c>
      <c r="I3792" s="18" t="s">
        <v>2832</v>
      </c>
    </row>
    <row r="3793" spans="1:9" s="33" customFormat="1" ht="45">
      <c r="A3793" s="4">
        <v>43564.501134259262</v>
      </c>
      <c r="B3793" s="5" t="str">
        <f>HYPERLINK("https://twitter.com/WoodsCrossingMO","@WoodsCrossingMO")</f>
        <v>@WoodsCrossingMO</v>
      </c>
      <c r="C3793" s="6" t="s">
        <v>2555</v>
      </c>
      <c r="D3793" s="7" t="s">
        <v>6575</v>
      </c>
      <c r="E3793" s="8" t="str">
        <f>HYPERLINK("https://www.hootsuite.com","Hootsuite Inc.")</f>
        <v>Hootsuite Inc.</v>
      </c>
      <c r="F3793" s="4">
        <v>42284.749259259261</v>
      </c>
      <c r="G3793" s="17" t="s">
        <v>13000</v>
      </c>
      <c r="H3793" s="35" t="s">
        <v>2557</v>
      </c>
      <c r="I3793" s="10" t="s">
        <v>2558</v>
      </c>
    </row>
    <row r="3794" spans="1:9" s="33" customFormat="1" ht="45">
      <c r="A3794" s="4">
        <v>43560.542094907403</v>
      </c>
      <c r="B3794" s="5" t="str">
        <f>HYPERLINK("https://twitter.com/WoodsCrossingMO","@WoodsCrossingMO")</f>
        <v>@WoodsCrossingMO</v>
      </c>
      <c r="C3794" s="6" t="s">
        <v>2555</v>
      </c>
      <c r="D3794" s="7" t="s">
        <v>11306</v>
      </c>
      <c r="E3794" s="8" t="str">
        <f>HYPERLINK("https://www.hootsuite.com","Hootsuite Inc.")</f>
        <v>Hootsuite Inc.</v>
      </c>
      <c r="F3794" s="4">
        <v>42284.749259259261</v>
      </c>
      <c r="G3794" s="17" t="s">
        <v>13000</v>
      </c>
      <c r="H3794" s="35" t="s">
        <v>2557</v>
      </c>
      <c r="I3794" s="10" t="s">
        <v>2558</v>
      </c>
    </row>
    <row r="3795" spans="1:9" s="33" customFormat="1" ht="30">
      <c r="A3795" s="12">
        <v>43574.418217592596</v>
      </c>
      <c r="B3795" s="13" t="str">
        <f>HYPERLINK("https://twitter.com/WoodsCrossingMO","@WoodsCrossingMO")</f>
        <v>@WoodsCrossingMO</v>
      </c>
      <c r="C3795" s="14" t="s">
        <v>2555</v>
      </c>
      <c r="D3795" s="15" t="s">
        <v>2556</v>
      </c>
      <c r="E3795" s="16" t="str">
        <f>HYPERLINK("https://www.hootsuite.com","Hootsuite Inc.")</f>
        <v>Hootsuite Inc.</v>
      </c>
      <c r="F3795" s="12">
        <v>42284.749259259261</v>
      </c>
      <c r="G3795" s="17" t="s">
        <v>13000</v>
      </c>
      <c r="H3795" s="35" t="s">
        <v>2557</v>
      </c>
      <c r="I3795" s="18" t="s">
        <v>2558</v>
      </c>
    </row>
    <row r="3796" spans="1:9" s="33" customFormat="1" ht="30">
      <c r="A3796" s="12">
        <v>43567.418460648143</v>
      </c>
      <c r="B3796" s="13" t="str">
        <f>HYPERLINK("https://twitter.com/WoodsCrossingMO","@WoodsCrossingMO")</f>
        <v>@WoodsCrossingMO</v>
      </c>
      <c r="C3796" s="14" t="s">
        <v>2555</v>
      </c>
      <c r="D3796" s="15" t="s">
        <v>5112</v>
      </c>
      <c r="E3796" s="16" t="str">
        <f>HYPERLINK("https://www.hootsuite.com","Hootsuite Inc.")</f>
        <v>Hootsuite Inc.</v>
      </c>
      <c r="F3796" s="12">
        <v>42284.749259259261</v>
      </c>
      <c r="G3796" s="17" t="s">
        <v>13000</v>
      </c>
      <c r="H3796" s="35" t="s">
        <v>2557</v>
      </c>
      <c r="I3796" s="18" t="s">
        <v>2558</v>
      </c>
    </row>
    <row r="3797" spans="1:9" s="33" customFormat="1" ht="45">
      <c r="A3797" s="19">
        <v>43545.351018518515</v>
      </c>
      <c r="B3797" s="20" t="str">
        <f>HYPERLINK("https://twitter.com/voicemoto","@voicemoto")</f>
        <v>@voicemoto</v>
      </c>
      <c r="C3797" s="21" t="s">
        <v>9178</v>
      </c>
      <c r="D3797" s="22" t="s">
        <v>9179</v>
      </c>
      <c r="E3797" s="23" t="str">
        <f>HYPERLINK("https://ifttt.com","IFTTT")</f>
        <v>IFTTT</v>
      </c>
      <c r="F3797" s="19">
        <v>43320.369444444441</v>
      </c>
      <c r="G3797" s="17" t="s">
        <v>13000</v>
      </c>
      <c r="H3797" s="35" t="s">
        <v>1917</v>
      </c>
      <c r="I3797" s="25" t="s">
        <v>9180</v>
      </c>
    </row>
    <row r="3798" spans="1:9" s="33" customFormat="1" ht="60">
      <c r="A3798" s="4">
        <v>43563.386828703704</v>
      </c>
      <c r="B3798" s="5" t="str">
        <f>HYPERLINK("https://twitter.com/lbdailynews","@lbdailynews")</f>
        <v>@lbdailynews</v>
      </c>
      <c r="C3798" s="6" t="s">
        <v>10320</v>
      </c>
      <c r="D3798" s="7" t="s">
        <v>10321</v>
      </c>
      <c r="E3798" s="8" t="str">
        <f>HYPERLINK("https://buffer.com","Buffer")</f>
        <v>Buffer</v>
      </c>
      <c r="F3798" s="4">
        <v>42171.434606481482</v>
      </c>
      <c r="G3798" s="17" t="s">
        <v>13000</v>
      </c>
      <c r="H3798" s="35" t="s">
        <v>1917</v>
      </c>
      <c r="I3798" s="10" t="s">
        <v>10322</v>
      </c>
    </row>
    <row r="3799" spans="1:9" s="33" customFormat="1" ht="75">
      <c r="A3799" s="4">
        <v>43558.277627314819</v>
      </c>
      <c r="B3799" s="5" t="str">
        <f>HYPERLINK("https://twitter.com/KyleGeraghty24","@KyleGeraghty24")</f>
        <v>@KyleGeraghty24</v>
      </c>
      <c r="C3799" s="6" t="s">
        <v>12250</v>
      </c>
      <c r="D3799" s="7" t="s">
        <v>12251</v>
      </c>
      <c r="E3799" s="8" t="str">
        <f>HYPERLINK("http://instagram.com","Instagram")</f>
        <v>Instagram</v>
      </c>
      <c r="F3799" s="4">
        <v>40013.957719907405</v>
      </c>
      <c r="G3799" s="17" t="s">
        <v>13000</v>
      </c>
      <c r="H3799" s="35" t="s">
        <v>1917</v>
      </c>
      <c r="I3799" s="10" t="s">
        <v>12252</v>
      </c>
    </row>
    <row r="3800" spans="1:9" s="33" customFormat="1" ht="45">
      <c r="A3800" s="12">
        <v>43576.533483796295</v>
      </c>
      <c r="B3800" s="13" t="str">
        <f>HYPERLINK("https://twitter.com/trevorrappleye","@trevorrappleye")</f>
        <v>@trevorrappleye</v>
      </c>
      <c r="C3800" s="14" t="s">
        <v>1915</v>
      </c>
      <c r="D3800" s="15" t="s">
        <v>1916</v>
      </c>
      <c r="E3800" s="16" t="str">
        <f>HYPERLINK("http://twitter.com/download/iphone","Twitter for iPhone")</f>
        <v>Twitter for iPhone</v>
      </c>
      <c r="F3800" s="12">
        <v>39894.691157407404</v>
      </c>
      <c r="G3800" s="17" t="s">
        <v>13000</v>
      </c>
      <c r="H3800" s="35" t="s">
        <v>1917</v>
      </c>
      <c r="I3800" s="18" t="s">
        <v>1918</v>
      </c>
    </row>
    <row r="3801" spans="1:9" s="33" customFormat="1" ht="75">
      <c r="A3801" s="4">
        <v>43562.702175925922</v>
      </c>
      <c r="B3801" s="5" t="str">
        <f>HYPERLINK("https://twitter.com/11_alv","@11_alv")</f>
        <v>@11_alv</v>
      </c>
      <c r="C3801" s="6" t="s">
        <v>10608</v>
      </c>
      <c r="D3801" s="7" t="s">
        <v>10609</v>
      </c>
      <c r="E3801" s="8" t="str">
        <f>HYPERLINK("http://twitter.com/download/iphone","Twitter for iPhone")</f>
        <v>Twitter for iPhone</v>
      </c>
      <c r="F3801" s="4">
        <v>41318.92559027778</v>
      </c>
      <c r="G3801" s="17" t="s">
        <v>13000</v>
      </c>
      <c r="H3801" s="35" t="s">
        <v>10610</v>
      </c>
      <c r="I3801" s="10" t="s">
        <v>10611</v>
      </c>
    </row>
    <row r="3802" spans="1:9" s="33" customFormat="1" ht="30">
      <c r="A3802" s="19">
        <v>43549.36928240741</v>
      </c>
      <c r="B3802" s="20" t="str">
        <f>HYPERLINK("https://twitter.com/NationalHerald","@NationalHerald")</f>
        <v>@NationalHerald</v>
      </c>
      <c r="C3802" s="21" t="s">
        <v>8075</v>
      </c>
      <c r="D3802" s="22" t="s">
        <v>8076</v>
      </c>
      <c r="E3802" s="23" t="str">
        <f>HYPERLINK("http://twitter.com","Twitter Web Client")</f>
        <v>Twitter Web Client</v>
      </c>
      <c r="F3802" s="19">
        <v>40100.230995370366</v>
      </c>
      <c r="G3802" s="17" t="s">
        <v>13000</v>
      </c>
      <c r="H3802" s="35" t="s">
        <v>8077</v>
      </c>
      <c r="I3802" s="25" t="s">
        <v>8078</v>
      </c>
    </row>
    <row r="3803" spans="1:9" s="33" customFormat="1" ht="30">
      <c r="A3803" s="19">
        <v>43545.270601851851</v>
      </c>
      <c r="B3803" s="20" t="str">
        <f>HYPERLINK("https://twitter.com/NationalHerald","@NationalHerald")</f>
        <v>@NationalHerald</v>
      </c>
      <c r="C3803" s="21" t="s">
        <v>8075</v>
      </c>
      <c r="D3803" s="22" t="s">
        <v>9223</v>
      </c>
      <c r="E3803" s="23" t="str">
        <f>HYPERLINK("http://twitter.com","Twitter Web Client")</f>
        <v>Twitter Web Client</v>
      </c>
      <c r="F3803" s="19">
        <v>40100.230995370366</v>
      </c>
      <c r="G3803" s="17" t="s">
        <v>13000</v>
      </c>
      <c r="H3803" s="35" t="s">
        <v>8077</v>
      </c>
      <c r="I3803" s="25" t="s">
        <v>8078</v>
      </c>
    </row>
    <row r="3804" spans="1:9" s="33" customFormat="1" ht="30">
      <c r="A3804" s="12">
        <v>43579.333761574075</v>
      </c>
      <c r="B3804" s="13" t="str">
        <f>HYPERLINK("https://twitter.com/theradioguylive","@theradioguylive")</f>
        <v>@theradioguylive</v>
      </c>
      <c r="C3804" s="14" t="s">
        <v>760</v>
      </c>
      <c r="D3804" s="15" t="s">
        <v>761</v>
      </c>
      <c r="E3804" s="16" t="str">
        <f>HYPERLINK("http://www.facebook.com/twitter","Facebook")</f>
        <v>Facebook</v>
      </c>
      <c r="F3804" s="12">
        <v>42687.725937499999</v>
      </c>
      <c r="G3804" s="17" t="s">
        <v>13000</v>
      </c>
      <c r="H3804" s="35" t="s">
        <v>762</v>
      </c>
      <c r="I3804" s="18" t="s">
        <v>763</v>
      </c>
    </row>
    <row r="3805" spans="1:9" s="33" customFormat="1" ht="30">
      <c r="A3805" s="12">
        <v>43579.333391203705</v>
      </c>
      <c r="B3805" s="13" t="str">
        <f>HYPERLINK("https://twitter.com/theradioguylive","@theradioguylive")</f>
        <v>@theradioguylive</v>
      </c>
      <c r="C3805" s="14" t="s">
        <v>760</v>
      </c>
      <c r="D3805" s="15" t="s">
        <v>761</v>
      </c>
      <c r="E3805" s="16" t="str">
        <f>HYPERLINK("http://www.facebook.com/twitter","Facebook")</f>
        <v>Facebook</v>
      </c>
      <c r="F3805" s="12">
        <v>42687.725937499999</v>
      </c>
      <c r="G3805" s="17" t="s">
        <v>13000</v>
      </c>
      <c r="H3805" s="35" t="s">
        <v>762</v>
      </c>
      <c r="I3805" s="18" t="s">
        <v>763</v>
      </c>
    </row>
    <row r="3806" spans="1:9" s="33" customFormat="1" ht="45">
      <c r="A3806" s="12">
        <v>43579.854212962964</v>
      </c>
      <c r="B3806" s="13" t="str">
        <f>HYPERLINK("https://twitter.com/1061BLI","@1061BLI")</f>
        <v>@1061BLI</v>
      </c>
      <c r="C3806" s="14" t="s">
        <v>430</v>
      </c>
      <c r="D3806" s="15" t="s">
        <v>431</v>
      </c>
      <c r="E3806" s="16" t="str">
        <f>HYPERLINK("http://www.socialnewsdesk.com","SocialNewsDesk")</f>
        <v>SocialNewsDesk</v>
      </c>
      <c r="F3806" s="12">
        <v>39867.383009259262</v>
      </c>
      <c r="G3806" s="17" t="s">
        <v>13000</v>
      </c>
      <c r="H3806" s="35" t="s">
        <v>432</v>
      </c>
      <c r="I3806" s="18" t="s">
        <v>433</v>
      </c>
    </row>
    <row r="3807" spans="1:9" s="33" customFormat="1" ht="45">
      <c r="A3807" s="4">
        <v>43557.280092592591</v>
      </c>
      <c r="B3807" s="5" t="str">
        <f>HYPERLINK("https://twitter.com/DiabeticCyborgg","@DiabeticCyborgg")</f>
        <v>@DiabeticCyborgg</v>
      </c>
      <c r="C3807" s="6" t="s">
        <v>12595</v>
      </c>
      <c r="D3807" s="7" t="s">
        <v>12596</v>
      </c>
      <c r="E3807" s="8" t="str">
        <f>HYPERLINK("http://twitter.com","Twitter Web Client")</f>
        <v>Twitter Web Client</v>
      </c>
      <c r="F3807" s="4">
        <v>39533.578611111108</v>
      </c>
      <c r="G3807" s="9" t="s">
        <v>13000</v>
      </c>
      <c r="H3807" s="35" t="s">
        <v>12597</v>
      </c>
      <c r="I3807" s="10" t="s">
        <v>12598</v>
      </c>
    </row>
    <row r="3808" spans="1:9" s="33" customFormat="1" ht="105">
      <c r="A3808" s="19">
        <v>43551.403067129635</v>
      </c>
      <c r="B3808" s="20" t="str">
        <f>HYPERLINK("https://twitter.com/Keri_Mellott","@Keri_Mellott")</f>
        <v>@Keri_Mellott</v>
      </c>
      <c r="C3808" s="21" t="s">
        <v>7229</v>
      </c>
      <c r="D3808" s="22" t="s">
        <v>7230</v>
      </c>
      <c r="E3808" s="23" t="str">
        <f>HYPERLINK("http://twitter.com/download/android","Twitter for Android")</f>
        <v>Twitter for Android</v>
      </c>
      <c r="F3808" s="19">
        <v>39825.404722222222</v>
      </c>
      <c r="G3808" s="24" t="s">
        <v>13000</v>
      </c>
      <c r="H3808" s="35" t="s">
        <v>928</v>
      </c>
      <c r="I3808" s="25" t="s">
        <v>7231</v>
      </c>
    </row>
    <row r="3809" spans="1:9" s="33" customFormat="1" ht="30">
      <c r="A3809" s="19">
        <v>43551.379201388889</v>
      </c>
      <c r="B3809" s="20" t="str">
        <f>HYPERLINK("https://twitter.com/GetPaidForUrPad","@GetPaidForUrPad")</f>
        <v>@GetPaidForUrPad</v>
      </c>
      <c r="C3809" s="21" t="s">
        <v>926</v>
      </c>
      <c r="D3809" s="22" t="s">
        <v>7263</v>
      </c>
      <c r="E3809" s="23" t="str">
        <f>HYPERLINK("https://pippa.io","Pippa Podcasts")</f>
        <v>Pippa Podcasts</v>
      </c>
      <c r="F3809" s="19">
        <v>41763.639884259261</v>
      </c>
      <c r="G3809" s="24" t="s">
        <v>13000</v>
      </c>
      <c r="H3809" s="35" t="s">
        <v>928</v>
      </c>
      <c r="I3809" s="25" t="s">
        <v>929</v>
      </c>
    </row>
    <row r="3810" spans="1:9" s="33" customFormat="1" ht="75">
      <c r="A3810" s="19">
        <v>43550.339791666665</v>
      </c>
      <c r="B3810" s="20" t="str">
        <f>HYPERLINK("https://twitter.com/SheDevilTrainer","@SheDevilTrainer")</f>
        <v>@SheDevilTrainer</v>
      </c>
      <c r="C3810" s="21" t="s">
        <v>7715</v>
      </c>
      <c r="D3810" s="22" t="s">
        <v>7716</v>
      </c>
      <c r="E3810" s="23" t="str">
        <f>HYPERLINK("http://instagram.com","Instagram")</f>
        <v>Instagram</v>
      </c>
      <c r="F3810" s="19">
        <v>40604.404756944445</v>
      </c>
      <c r="G3810" s="24" t="s">
        <v>13000</v>
      </c>
      <c r="H3810" s="35" t="s">
        <v>928</v>
      </c>
      <c r="I3810" s="25" t="s">
        <v>7717</v>
      </c>
    </row>
    <row r="3811" spans="1:9" s="33" customFormat="1" ht="30">
      <c r="A3811" s="19">
        <v>43544.333831018521</v>
      </c>
      <c r="B3811" s="20" t="str">
        <f>HYPERLINK("https://twitter.com/GetPaidForUrPad","@GetPaidForUrPad")</f>
        <v>@GetPaidForUrPad</v>
      </c>
      <c r="C3811" s="21" t="s">
        <v>926</v>
      </c>
      <c r="D3811" s="22" t="s">
        <v>9517</v>
      </c>
      <c r="E3811" s="23" t="str">
        <f>HYPERLINK("https://pippa.io","Pippa Podcasts")</f>
        <v>Pippa Podcasts</v>
      </c>
      <c r="F3811" s="19">
        <v>41763.639884259261</v>
      </c>
      <c r="G3811" s="24" t="s">
        <v>13000</v>
      </c>
      <c r="H3811" s="35" t="s">
        <v>928</v>
      </c>
      <c r="I3811" s="25" t="s">
        <v>929</v>
      </c>
    </row>
    <row r="3812" spans="1:9" s="33" customFormat="1" ht="30">
      <c r="A3812" s="4">
        <v>43565.306064814809</v>
      </c>
      <c r="B3812" s="5" t="str">
        <f>HYPERLINK("https://twitter.com/GetPaidForUrPad","@GetPaidForUrPad")</f>
        <v>@GetPaidForUrPad</v>
      </c>
      <c r="C3812" s="6" t="s">
        <v>926</v>
      </c>
      <c r="D3812" s="7" t="s">
        <v>6185</v>
      </c>
      <c r="E3812" s="8" t="str">
        <f>HYPERLINK("https://pippa.io","Pippa Podcasts")</f>
        <v>Pippa Podcasts</v>
      </c>
      <c r="F3812" s="4">
        <v>41763.639884259261</v>
      </c>
      <c r="G3812" s="24" t="s">
        <v>13000</v>
      </c>
      <c r="H3812" s="35" t="s">
        <v>928</v>
      </c>
      <c r="I3812" s="10" t="s">
        <v>929</v>
      </c>
    </row>
    <row r="3813" spans="1:9" s="33" customFormat="1" ht="45">
      <c r="A3813" s="4">
        <v>43563.763854166667</v>
      </c>
      <c r="B3813" s="5" t="str">
        <f>HYPERLINK("https://twitter.com/TomCraigLA","@TomCraigLA")</f>
        <v>@TomCraigLA</v>
      </c>
      <c r="C3813" s="6" t="s">
        <v>6890</v>
      </c>
      <c r="D3813" s="7" t="s">
        <v>6891</v>
      </c>
      <c r="E3813" s="8" t="str">
        <f>HYPERLINK("http://twitter.com","Twitter Web Client")</f>
        <v>Twitter Web Client</v>
      </c>
      <c r="F3813" s="4">
        <v>40653.11377314815</v>
      </c>
      <c r="G3813" s="24" t="s">
        <v>13000</v>
      </c>
      <c r="H3813" s="35" t="s">
        <v>928</v>
      </c>
      <c r="I3813" s="10" t="s">
        <v>6892</v>
      </c>
    </row>
    <row r="3814" spans="1:9" s="33" customFormat="1" ht="45">
      <c r="A3814" s="4">
        <v>43563.578819444447</v>
      </c>
      <c r="B3814" s="5" t="str">
        <f>HYPERLINK("https://twitter.com/techeblog","@techeblog")</f>
        <v>@techeblog</v>
      </c>
      <c r="C3814" s="6" t="s">
        <v>10218</v>
      </c>
      <c r="D3814" s="7" t="s">
        <v>10219</v>
      </c>
      <c r="E3814" s="8" t="str">
        <f>HYPERLINK("http://twitter.com","Twitter Web Client")</f>
        <v>Twitter Web Client</v>
      </c>
      <c r="F3814" s="4">
        <v>39840.355787037035</v>
      </c>
      <c r="G3814" s="24" t="s">
        <v>13000</v>
      </c>
      <c r="H3814" s="35" t="s">
        <v>928</v>
      </c>
      <c r="I3814" s="10" t="s">
        <v>10220</v>
      </c>
    </row>
    <row r="3815" spans="1:9" s="33" customFormat="1" ht="60">
      <c r="A3815" s="4">
        <v>43560.441076388888</v>
      </c>
      <c r="B3815" s="5" t="str">
        <f>HYPERLINK("https://twitter.com/leinfelder27","@leinfelder27")</f>
        <v>@leinfelder27</v>
      </c>
      <c r="C3815" s="6" t="s">
        <v>11372</v>
      </c>
      <c r="D3815" s="7" t="s">
        <v>11373</v>
      </c>
      <c r="E3815" s="8" t="str">
        <f>HYPERLINK("http://twitter.com","Twitter Web Client")</f>
        <v>Twitter Web Client</v>
      </c>
      <c r="F3815" s="4">
        <v>40181.108287037037</v>
      </c>
      <c r="G3815" s="24" t="s">
        <v>13000</v>
      </c>
      <c r="H3815" s="35" t="s">
        <v>928</v>
      </c>
      <c r="I3815" s="10" t="s">
        <v>11374</v>
      </c>
    </row>
    <row r="3816" spans="1:9" s="33" customFormat="1" ht="30">
      <c r="A3816" s="4">
        <v>43559.130740740744</v>
      </c>
      <c r="B3816" s="5" t="str">
        <f>HYPERLINK("https://twitter.com/GetPaidForUrPad","@GetPaidForUrPad")</f>
        <v>@GetPaidForUrPad</v>
      </c>
      <c r="C3816" s="6" t="s">
        <v>926</v>
      </c>
      <c r="D3816" s="7" t="s">
        <v>11936</v>
      </c>
      <c r="E3816" s="8" t="str">
        <f>HYPERLINK("https://pippa.io","Pippa Podcasts")</f>
        <v>Pippa Podcasts</v>
      </c>
      <c r="F3816" s="4">
        <v>41763.639884259261</v>
      </c>
      <c r="G3816" s="24" t="s">
        <v>13000</v>
      </c>
      <c r="H3816" s="35" t="s">
        <v>928</v>
      </c>
      <c r="I3816" s="10" t="s">
        <v>929</v>
      </c>
    </row>
    <row r="3817" spans="1:9" s="33" customFormat="1" ht="45">
      <c r="A3817" s="4">
        <v>43558.381284722222</v>
      </c>
      <c r="B3817" s="5" t="str">
        <f>HYPERLINK("https://twitter.com/loridennisinc","@loridennisinc")</f>
        <v>@loridennisinc</v>
      </c>
      <c r="C3817" s="6" t="s">
        <v>12217</v>
      </c>
      <c r="D3817" s="7" t="s">
        <v>12218</v>
      </c>
      <c r="E3817" s="8" t="str">
        <f>HYPERLINK("https://buffer.com","Buffer")</f>
        <v>Buffer</v>
      </c>
      <c r="F3817" s="4">
        <v>40118.384722222225</v>
      </c>
      <c r="G3817" s="24" t="s">
        <v>13000</v>
      </c>
      <c r="H3817" s="35" t="s">
        <v>928</v>
      </c>
      <c r="I3817" s="10" t="s">
        <v>12219</v>
      </c>
    </row>
    <row r="3818" spans="1:9" s="33" customFormat="1" ht="90">
      <c r="A3818" s="4">
        <v>43557.393773148149</v>
      </c>
      <c r="B3818" s="5" t="str">
        <f>HYPERLINK("https://twitter.com/1ChicRetreat","@1ChicRetreat")</f>
        <v>@1ChicRetreat</v>
      </c>
      <c r="C3818" s="6" t="s">
        <v>4215</v>
      </c>
      <c r="D3818" s="7" t="s">
        <v>12530</v>
      </c>
      <c r="E3818" s="8" t="str">
        <f>HYPERLINK("https://buffer.com","Buffer")</f>
        <v>Buffer</v>
      </c>
      <c r="F3818" s="4">
        <v>41663.498263888891</v>
      </c>
      <c r="G3818" s="24" t="s">
        <v>13000</v>
      </c>
      <c r="H3818" s="35" t="s">
        <v>928</v>
      </c>
      <c r="I3818" s="10" t="s">
        <v>4217</v>
      </c>
    </row>
    <row r="3819" spans="1:9" s="33" customFormat="1" ht="30">
      <c r="A3819" s="12">
        <v>43579.102696759262</v>
      </c>
      <c r="B3819" s="13" t="str">
        <f>HYPERLINK("https://twitter.com/GetPaidForUrPad","@GetPaidForUrPad")</f>
        <v>@GetPaidForUrPad</v>
      </c>
      <c r="C3819" s="14" t="s">
        <v>926</v>
      </c>
      <c r="D3819" s="15" t="s">
        <v>927</v>
      </c>
      <c r="E3819" s="16" t="str">
        <f>HYPERLINK("https://pippa.io","Pippa Podcasts")</f>
        <v>Pippa Podcasts</v>
      </c>
      <c r="F3819" s="12">
        <v>41763.639884259261</v>
      </c>
      <c r="G3819" s="24" t="s">
        <v>13000</v>
      </c>
      <c r="H3819" s="35" t="s">
        <v>928</v>
      </c>
      <c r="I3819" s="18" t="s">
        <v>929</v>
      </c>
    </row>
    <row r="3820" spans="1:9" s="33" customFormat="1" ht="60">
      <c r="A3820" s="12">
        <v>43572.988946759258</v>
      </c>
      <c r="B3820" s="13" t="str">
        <f>HYPERLINK("https://twitter.com/MattCarey","@MattCarey")</f>
        <v>@MattCarey</v>
      </c>
      <c r="C3820" s="14" t="s">
        <v>3035</v>
      </c>
      <c r="D3820" s="15" t="s">
        <v>3036</v>
      </c>
      <c r="E3820" s="16" t="str">
        <f>HYPERLINK("http://twitter.com","Twitter Web Client")</f>
        <v>Twitter Web Client</v>
      </c>
      <c r="F3820" s="12">
        <v>39772.458993055552</v>
      </c>
      <c r="G3820" s="24" t="s">
        <v>13000</v>
      </c>
      <c r="H3820" s="35" t="s">
        <v>928</v>
      </c>
      <c r="I3820" s="18" t="s">
        <v>3037</v>
      </c>
    </row>
    <row r="3821" spans="1:9" s="33" customFormat="1" ht="45">
      <c r="A3821" s="12">
        <v>43572.295624999999</v>
      </c>
      <c r="B3821" s="13" t="str">
        <f>HYPERLINK("https://twitter.com/GetPaidForUrPad","@GetPaidForUrPad")</f>
        <v>@GetPaidForUrPad</v>
      </c>
      <c r="C3821" s="14" t="s">
        <v>926</v>
      </c>
      <c r="D3821" s="15" t="s">
        <v>3348</v>
      </c>
      <c r="E3821" s="16" t="str">
        <f>HYPERLINK("https://pippa.io","Pippa Podcasts")</f>
        <v>Pippa Podcasts</v>
      </c>
      <c r="F3821" s="12">
        <v>41763.639884259261</v>
      </c>
      <c r="G3821" s="24" t="s">
        <v>13000</v>
      </c>
      <c r="H3821" s="35" t="s">
        <v>928</v>
      </c>
      <c r="I3821" s="18" t="s">
        <v>929</v>
      </c>
    </row>
    <row r="3822" spans="1:9" s="33" customFormat="1" ht="90">
      <c r="A3822" s="12">
        <v>43571.668402777781</v>
      </c>
      <c r="B3822" s="13" t="str">
        <f>HYPERLINK("https://twitter.com/ms_msmarshas","@ms_msmarshas")</f>
        <v>@ms_msmarshas</v>
      </c>
      <c r="C3822" s="14" t="s">
        <v>3597</v>
      </c>
      <c r="D3822" s="15" t="s">
        <v>3598</v>
      </c>
      <c r="E3822" s="16" t="str">
        <f>HYPERLINK("http://twitter.com/#!/download/ipad","Twitter for iPad")</f>
        <v>Twitter for iPad</v>
      </c>
      <c r="F3822" s="12">
        <v>40563.671203703707</v>
      </c>
      <c r="G3822" s="24" t="s">
        <v>13000</v>
      </c>
      <c r="H3822" s="35" t="s">
        <v>928</v>
      </c>
      <c r="I3822" s="27" t="s">
        <v>3599</v>
      </c>
    </row>
    <row r="3823" spans="1:9" s="33" customFormat="1" ht="45">
      <c r="A3823" s="12">
        <v>43570.343240740738</v>
      </c>
      <c r="B3823" s="13" t="str">
        <f>HYPERLINK("https://twitter.com/1ChicRetreat","@1ChicRetreat")</f>
        <v>@1ChicRetreat</v>
      </c>
      <c r="C3823" s="14" t="s">
        <v>4215</v>
      </c>
      <c r="D3823" s="15" t="s">
        <v>4216</v>
      </c>
      <c r="E3823" s="16" t="str">
        <f>HYPERLINK("https://buffer.com","Buffer")</f>
        <v>Buffer</v>
      </c>
      <c r="F3823" s="12">
        <v>41663.498263888891</v>
      </c>
      <c r="G3823" s="24" t="s">
        <v>13000</v>
      </c>
      <c r="H3823" s="35" t="s">
        <v>928</v>
      </c>
      <c r="I3823" s="18" t="s">
        <v>4217</v>
      </c>
    </row>
    <row r="3824" spans="1:9" s="33" customFormat="1" ht="75">
      <c r="A3824" s="12">
        <v>43566.759189814809</v>
      </c>
      <c r="B3824" s="13" t="str">
        <f>HYPERLINK("https://twitter.com/Josemd","@Josemd")</f>
        <v>@Josemd</v>
      </c>
      <c r="C3824" s="14" t="s">
        <v>5347</v>
      </c>
      <c r="D3824" s="15" t="s">
        <v>5348</v>
      </c>
      <c r="E3824" s="16" t="str">
        <f>HYPERLINK("http://twitter.com/download/iphone","Twitter for iPhone")</f>
        <v>Twitter for iPhone</v>
      </c>
      <c r="F3824" s="12">
        <v>39683.805543981478</v>
      </c>
      <c r="G3824" s="24" t="s">
        <v>13000</v>
      </c>
      <c r="H3824" s="35" t="s">
        <v>928</v>
      </c>
      <c r="I3824" s="18" t="s">
        <v>5349</v>
      </c>
    </row>
    <row r="3825" spans="1:9" s="33" customFormat="1" ht="30">
      <c r="A3825" s="19">
        <v>43542.610231481478</v>
      </c>
      <c r="B3825" s="20" t="str">
        <f>HYPERLINK("https://twitter.com/rajanshandil","@rajanshandil")</f>
        <v>@rajanshandil</v>
      </c>
      <c r="C3825" s="21" t="s">
        <v>6367</v>
      </c>
      <c r="D3825" s="22" t="s">
        <v>10075</v>
      </c>
      <c r="E3825" s="23" t="str">
        <f>HYPERLINK("http://twitter.com","Twitter Web Client")</f>
        <v>Twitter Web Client</v>
      </c>
      <c r="F3825" s="19">
        <v>39667.660219907411</v>
      </c>
      <c r="G3825" s="24" t="s">
        <v>13000</v>
      </c>
      <c r="H3825" s="35" t="s">
        <v>6369</v>
      </c>
      <c r="I3825" s="25" t="s">
        <v>6370</v>
      </c>
    </row>
    <row r="3826" spans="1:9" s="33" customFormat="1" ht="60">
      <c r="A3826" s="4">
        <v>43564.964629629627</v>
      </c>
      <c r="B3826" s="5" t="str">
        <f>HYPERLINK("https://twitter.com/rajanshandil","@rajanshandil")</f>
        <v>@rajanshandil</v>
      </c>
      <c r="C3826" s="6" t="s">
        <v>6367</v>
      </c>
      <c r="D3826" s="7" t="s">
        <v>6368</v>
      </c>
      <c r="E3826" s="8" t="str">
        <f>HYPERLINK("http://twitter.com","Twitter Web Client")</f>
        <v>Twitter Web Client</v>
      </c>
      <c r="F3826" s="4">
        <v>39667.660219907411</v>
      </c>
      <c r="G3826" s="24" t="s">
        <v>13000</v>
      </c>
      <c r="H3826" s="35" t="s">
        <v>6369</v>
      </c>
      <c r="I3826" s="10" t="s">
        <v>6370</v>
      </c>
    </row>
    <row r="3827" spans="1:9" s="33" customFormat="1" ht="45">
      <c r="A3827" s="4">
        <v>43556.980451388888</v>
      </c>
      <c r="B3827" s="5" t="str">
        <f>HYPERLINK("https://twitter.com/HarNadh","@HarNadh")</f>
        <v>@HarNadh</v>
      </c>
      <c r="C3827" s="6" t="s">
        <v>12685</v>
      </c>
      <c r="D3827" s="7" t="s">
        <v>12686</v>
      </c>
      <c r="E3827" s="8" t="str">
        <f>HYPERLINK("http://www.facebook.com/twitter","Facebook")</f>
        <v>Facebook</v>
      </c>
      <c r="F3827" s="4">
        <v>39839.711956018517</v>
      </c>
      <c r="G3827" s="24" t="s">
        <v>13000</v>
      </c>
      <c r="H3827" s="35" t="s">
        <v>12687</v>
      </c>
      <c r="I3827" s="10" t="s">
        <v>12688</v>
      </c>
    </row>
    <row r="3828" spans="1:9" s="33" customFormat="1" ht="90">
      <c r="A3828" s="19">
        <v>43551.588969907403</v>
      </c>
      <c r="B3828" s="20" t="str">
        <f>HYPERLINK("https://twitter.com/KWabst","@KWabst")</f>
        <v>@KWabst</v>
      </c>
      <c r="C3828" s="21" t="s">
        <v>7097</v>
      </c>
      <c r="D3828" s="22" t="s">
        <v>7098</v>
      </c>
      <c r="E3828" s="23" t="str">
        <f>HYPERLINK("http://www.scoop.it","Scoop.it")</f>
        <v>Scoop.it</v>
      </c>
      <c r="F3828" s="19">
        <v>40314.878750000003</v>
      </c>
      <c r="G3828" s="24" t="s">
        <v>13000</v>
      </c>
      <c r="H3828" s="35" t="s">
        <v>1029</v>
      </c>
      <c r="I3828" s="25" t="s">
        <v>7099</v>
      </c>
    </row>
    <row r="3829" spans="1:9" s="33" customFormat="1" ht="120">
      <c r="A3829" s="19">
        <v>43551.419016203705</v>
      </c>
      <c r="B3829" s="20" t="str">
        <f>HYPERLINK("https://twitter.com/JillJLaine","@JillJLaine")</f>
        <v>@JillJLaine</v>
      </c>
      <c r="C3829" s="21" t="s">
        <v>1309</v>
      </c>
      <c r="D3829" s="22" t="s">
        <v>7208</v>
      </c>
      <c r="E3829" s="23" t="str">
        <f>HYPERLINK("http://twitter.com/download/iphone","Twitter for iPhone")</f>
        <v>Twitter for iPhone</v>
      </c>
      <c r="F3829" s="19">
        <v>39840.599317129629</v>
      </c>
      <c r="G3829" s="24" t="s">
        <v>13000</v>
      </c>
      <c r="H3829" s="35" t="s">
        <v>1029</v>
      </c>
      <c r="I3829" s="25" t="s">
        <v>1312</v>
      </c>
    </row>
    <row r="3830" spans="1:9" s="33" customFormat="1" ht="120">
      <c r="A3830" s="19">
        <v>43551.409710648149</v>
      </c>
      <c r="B3830" s="20" t="str">
        <f>HYPERLINK("https://twitter.com/JillJLaine","@JillJLaine")</f>
        <v>@JillJLaine</v>
      </c>
      <c r="C3830" s="21" t="s">
        <v>1309</v>
      </c>
      <c r="D3830" s="22" t="s">
        <v>7223</v>
      </c>
      <c r="E3830" s="23" t="str">
        <f>HYPERLINK("http://twitter.com","Twitter Web Client")</f>
        <v>Twitter Web Client</v>
      </c>
      <c r="F3830" s="19">
        <v>39840.599317129629</v>
      </c>
      <c r="G3830" s="24" t="s">
        <v>13000</v>
      </c>
      <c r="H3830" s="35" t="s">
        <v>1029</v>
      </c>
      <c r="I3830" s="25" t="s">
        <v>1312</v>
      </c>
    </row>
    <row r="3831" spans="1:9" s="33" customFormat="1" ht="105">
      <c r="A3831" s="19">
        <v>43550.259131944447</v>
      </c>
      <c r="B3831" s="20" t="str">
        <f>HYPERLINK("https://twitter.com/waitmarinawho","@waitmarinawho")</f>
        <v>@waitmarinawho</v>
      </c>
      <c r="C3831" s="21" t="s">
        <v>7760</v>
      </c>
      <c r="D3831" s="22" t="s">
        <v>7761</v>
      </c>
      <c r="E3831" s="23" t="str">
        <f>HYPERLINK("http://twitter.com/download/iphone","Twitter for iPhone")</f>
        <v>Twitter for iPhone</v>
      </c>
      <c r="F3831" s="19">
        <v>40114.228750000002</v>
      </c>
      <c r="G3831" s="24" t="s">
        <v>13000</v>
      </c>
      <c r="H3831" s="35" t="s">
        <v>1029</v>
      </c>
      <c r="I3831" s="25" t="s">
        <v>7762</v>
      </c>
    </row>
    <row r="3832" spans="1:9" s="33" customFormat="1" ht="60">
      <c r="A3832" s="19">
        <v>43549.598703703705</v>
      </c>
      <c r="B3832" s="20" t="str">
        <f>HYPERLINK("https://twitter.com/drumralexander","@drumralexander")</f>
        <v>@drumralexander</v>
      </c>
      <c r="C3832" s="21" t="s">
        <v>7968</v>
      </c>
      <c r="D3832" s="22" t="s">
        <v>7969</v>
      </c>
      <c r="E3832" s="23" t="str">
        <f>HYPERLINK("http://instagram.com","Instagram")</f>
        <v>Instagram</v>
      </c>
      <c r="F3832" s="19">
        <v>40479.956469907411</v>
      </c>
      <c r="G3832" s="24" t="s">
        <v>13000</v>
      </c>
      <c r="H3832" s="35" t="s">
        <v>1029</v>
      </c>
      <c r="I3832" s="25" t="s">
        <v>7970</v>
      </c>
    </row>
    <row r="3833" spans="1:9" s="33" customFormat="1" ht="120">
      <c r="A3833" s="19">
        <v>43549.40221064815</v>
      </c>
      <c r="B3833" s="20" t="str">
        <f>HYPERLINK("https://twitter.com/JillJLaine","@JillJLaine")</f>
        <v>@JillJLaine</v>
      </c>
      <c r="C3833" s="21" t="s">
        <v>1309</v>
      </c>
      <c r="D3833" s="22" t="s">
        <v>8060</v>
      </c>
      <c r="E3833" s="23" t="str">
        <f>HYPERLINK("http://twitter.com","Twitter Web Client")</f>
        <v>Twitter Web Client</v>
      </c>
      <c r="F3833" s="19">
        <v>39840.599317129629</v>
      </c>
      <c r="G3833" s="24" t="s">
        <v>13000</v>
      </c>
      <c r="H3833" s="35" t="s">
        <v>1029</v>
      </c>
      <c r="I3833" s="25" t="s">
        <v>1312</v>
      </c>
    </row>
    <row r="3834" spans="1:9" s="33" customFormat="1" ht="75">
      <c r="A3834" s="19">
        <v>43549.252824074079</v>
      </c>
      <c r="B3834" s="20" t="str">
        <f>HYPERLINK("https://twitter.com/passport_plates","@passport_plates")</f>
        <v>@passport_plates</v>
      </c>
      <c r="C3834" s="21" t="s">
        <v>1524</v>
      </c>
      <c r="D3834" s="22" t="s">
        <v>1525</v>
      </c>
      <c r="E3834" s="23" t="str">
        <f>HYPERLINK("http://twitter.com","Twitter Web Client")</f>
        <v>Twitter Web Client</v>
      </c>
      <c r="F3834" s="19">
        <v>40054.733136574076</v>
      </c>
      <c r="G3834" s="24" t="s">
        <v>13000</v>
      </c>
      <c r="H3834" s="35" t="s">
        <v>1029</v>
      </c>
      <c r="I3834" s="25" t="s">
        <v>1526</v>
      </c>
    </row>
    <row r="3835" spans="1:9" s="33" customFormat="1" ht="105">
      <c r="A3835" s="19">
        <v>43548.736504629633</v>
      </c>
      <c r="B3835" s="20" t="str">
        <f>HYPERLINK("https://twitter.com/CalGenius","@CalGenius")</f>
        <v>@CalGenius</v>
      </c>
      <c r="C3835" s="21" t="s">
        <v>8229</v>
      </c>
      <c r="D3835" s="22" t="s">
        <v>8230</v>
      </c>
      <c r="E3835" s="23" t="str">
        <f>HYPERLINK("https://mobile.twitter.com","Twitter Web App")</f>
        <v>Twitter Web App</v>
      </c>
      <c r="F3835" s="19">
        <v>41941.479780092595</v>
      </c>
      <c r="G3835" s="24" t="s">
        <v>13000</v>
      </c>
      <c r="H3835" s="35" t="s">
        <v>1029</v>
      </c>
      <c r="I3835" s="25" t="s">
        <v>8231</v>
      </c>
    </row>
    <row r="3836" spans="1:9" s="33" customFormat="1" ht="45">
      <c r="A3836" s="19">
        <v>43548.719143518523</v>
      </c>
      <c r="B3836" s="20" t="str">
        <f>HYPERLINK("https://twitter.com/k_muscarella","@k_muscarella")</f>
        <v>@k_muscarella</v>
      </c>
      <c r="C3836" s="21" t="s">
        <v>1302</v>
      </c>
      <c r="D3836" s="22" t="s">
        <v>8234</v>
      </c>
      <c r="E3836" s="23" t="str">
        <f>HYPERLINK("http://twitter.com/download/iphone","Twitter for iPhone")</f>
        <v>Twitter for iPhone</v>
      </c>
      <c r="F3836" s="19">
        <v>40559.532453703701</v>
      </c>
      <c r="G3836" s="24" t="s">
        <v>13000</v>
      </c>
      <c r="H3836" s="35" t="s">
        <v>1029</v>
      </c>
      <c r="I3836" s="25" t="s">
        <v>1304</v>
      </c>
    </row>
    <row r="3837" spans="1:9" s="33" customFormat="1" ht="60">
      <c r="A3837" s="19">
        <v>43548.010648148149</v>
      </c>
      <c r="B3837" s="20" t="str">
        <f>HYPERLINK("https://twitter.com/AskAlicia","@AskAlicia")</f>
        <v>@AskAlicia</v>
      </c>
      <c r="C3837" s="21" t="s">
        <v>2073</v>
      </c>
      <c r="D3837" s="22" t="s">
        <v>8433</v>
      </c>
      <c r="E3837" s="23" t="str">
        <f>HYPERLINK("https://ifttt.com","IFTTT")</f>
        <v>IFTTT</v>
      </c>
      <c r="F3837" s="19">
        <v>40150.956562499996</v>
      </c>
      <c r="G3837" s="24" t="s">
        <v>13000</v>
      </c>
      <c r="H3837" s="35" t="s">
        <v>1029</v>
      </c>
      <c r="I3837" s="25" t="s">
        <v>2075</v>
      </c>
    </row>
    <row r="3838" spans="1:9" s="33" customFormat="1" ht="45">
      <c r="A3838" s="19">
        <v>43547.544016203705</v>
      </c>
      <c r="B3838" s="20" t="str">
        <f>HYPERLINK("https://twitter.com/SurfnSunshine","@SurfnSunshine")</f>
        <v>@SurfnSunshine</v>
      </c>
      <c r="C3838" s="21" t="s">
        <v>2161</v>
      </c>
      <c r="D3838" s="22" t="s">
        <v>2162</v>
      </c>
      <c r="E3838" s="23" t="str">
        <f>HYPERLINK("https://coschedule.com","CoSchedule")</f>
        <v>CoSchedule</v>
      </c>
      <c r="F3838" s="19">
        <v>40917.109328703707</v>
      </c>
      <c r="G3838" s="24" t="s">
        <v>13000</v>
      </c>
      <c r="H3838" s="35" t="s">
        <v>1029</v>
      </c>
      <c r="I3838" s="25" t="s">
        <v>2163</v>
      </c>
    </row>
    <row r="3839" spans="1:9" s="33" customFormat="1" ht="75">
      <c r="A3839" s="19">
        <v>43546.051423611112</v>
      </c>
      <c r="B3839" s="20" t="str">
        <f>HYPERLINK("https://twitter.com/passport_plates","@passport_plates")</f>
        <v>@passport_plates</v>
      </c>
      <c r="C3839" s="21" t="s">
        <v>1524</v>
      </c>
      <c r="D3839" s="22" t="s">
        <v>1525</v>
      </c>
      <c r="E3839" s="23" t="str">
        <f>HYPERLINK("http://twitter.com","Twitter Web Client")</f>
        <v>Twitter Web Client</v>
      </c>
      <c r="F3839" s="19">
        <v>40054.733136574076</v>
      </c>
      <c r="G3839" s="24" t="s">
        <v>13000</v>
      </c>
      <c r="H3839" s="35" t="s">
        <v>1029</v>
      </c>
      <c r="I3839" s="25" t="s">
        <v>1526</v>
      </c>
    </row>
    <row r="3840" spans="1:9" s="33" customFormat="1" ht="120">
      <c r="A3840" s="19">
        <v>43545.344467592593</v>
      </c>
      <c r="B3840" s="20" t="str">
        <f>HYPERLINK("https://twitter.com/JillJLaine","@JillJLaine")</f>
        <v>@JillJLaine</v>
      </c>
      <c r="C3840" s="21" t="s">
        <v>1309</v>
      </c>
      <c r="D3840" s="22" t="s">
        <v>9186</v>
      </c>
      <c r="E3840" s="23" t="str">
        <f>HYPERLINK("http://twitter.com","Twitter Web Client")</f>
        <v>Twitter Web Client</v>
      </c>
      <c r="F3840" s="19">
        <v>39840.599317129629</v>
      </c>
      <c r="G3840" s="24" t="s">
        <v>13000</v>
      </c>
      <c r="H3840" s="35" t="s">
        <v>1029</v>
      </c>
      <c r="I3840" s="25" t="s">
        <v>1312</v>
      </c>
    </row>
    <row r="3841" spans="1:9" s="33" customFormat="1" ht="30">
      <c r="A3841" s="19">
        <v>43544.295138888891</v>
      </c>
      <c r="B3841" s="20" t="str">
        <f>HYPERLINK("https://twitter.com/JournyNow","@JournyNow")</f>
        <v>@JournyNow</v>
      </c>
      <c r="C3841" s="21" t="s">
        <v>1919</v>
      </c>
      <c r="D3841" s="22" t="s">
        <v>9545</v>
      </c>
      <c r="E3841" s="23" t="str">
        <f>HYPERLINK("https://about.twitter.com/products/tweetdeck","TweetDeck")</f>
        <v>TweetDeck</v>
      </c>
      <c r="F3841" s="19">
        <v>42863.606840277775</v>
      </c>
      <c r="G3841" s="24" t="s">
        <v>13000</v>
      </c>
      <c r="H3841" s="35" t="s">
        <v>1029</v>
      </c>
      <c r="I3841" s="25" t="s">
        <v>1921</v>
      </c>
    </row>
    <row r="3842" spans="1:9" s="33" customFormat="1" ht="45">
      <c r="A3842" s="19">
        <v>43542.543298611112</v>
      </c>
      <c r="B3842" s="20" t="str">
        <f>HYPERLINK("https://twitter.com/rania_olayan","@rania_olayan")</f>
        <v>@rania_olayan</v>
      </c>
      <c r="C3842" s="21" t="s">
        <v>10113</v>
      </c>
      <c r="D3842" s="22" t="s">
        <v>10114</v>
      </c>
      <c r="E3842" s="23" t="str">
        <f>HYPERLINK("http://twitter.com/download/android","Twitter for Android")</f>
        <v>Twitter for Android</v>
      </c>
      <c r="F3842" s="19">
        <v>43036.521990740745</v>
      </c>
      <c r="G3842" s="24" t="s">
        <v>13000</v>
      </c>
      <c r="H3842" s="35" t="s">
        <v>1029</v>
      </c>
      <c r="I3842" s="25" t="s">
        <v>10115</v>
      </c>
    </row>
    <row r="3843" spans="1:9" s="33" customFormat="1" ht="75">
      <c r="A3843" s="4">
        <v>43565.78597222222</v>
      </c>
      <c r="B3843" s="5" t="str">
        <f>HYPERLINK("https://twitter.com/ManoelaWunder","@ManoelaWunder")</f>
        <v>@ManoelaWunder</v>
      </c>
      <c r="C3843" s="6" t="s">
        <v>5903</v>
      </c>
      <c r="D3843" s="7" t="s">
        <v>5904</v>
      </c>
      <c r="E3843" s="8" t="str">
        <f>HYPERLINK("http://instagram.com","Instagram")</f>
        <v>Instagram</v>
      </c>
      <c r="F3843" s="4">
        <v>39920.74927083333</v>
      </c>
      <c r="G3843" s="24" t="s">
        <v>13000</v>
      </c>
      <c r="H3843" s="35" t="s">
        <v>1029</v>
      </c>
      <c r="I3843" s="10" t="s">
        <v>5905</v>
      </c>
    </row>
    <row r="3844" spans="1:9" s="33" customFormat="1" ht="90">
      <c r="A3844" s="4">
        <v>43564.435578703706</v>
      </c>
      <c r="B3844" s="5" t="str">
        <f>HYPERLINK("https://twitter.com/inn_vacation","@inn_vacation")</f>
        <v>@inn_vacation</v>
      </c>
      <c r="C3844" s="6" t="s">
        <v>3249</v>
      </c>
      <c r="D3844" s="7" t="s">
        <v>6614</v>
      </c>
      <c r="E3844" s="8" t="str">
        <f>HYPERLINK("http://twitter.com","Twitter Web Client")</f>
        <v>Twitter Web Client</v>
      </c>
      <c r="F3844" s="4">
        <v>43553.587094907409</v>
      </c>
      <c r="G3844" s="24" t="s">
        <v>13000</v>
      </c>
      <c r="H3844" s="35" t="s">
        <v>1029</v>
      </c>
      <c r="I3844" s="10" t="s">
        <v>3251</v>
      </c>
    </row>
    <row r="3845" spans="1:9" s="33" customFormat="1" ht="60">
      <c r="A3845" s="4">
        <v>43563.685150462959</v>
      </c>
      <c r="B3845" s="5" t="str">
        <f>HYPERLINK("https://twitter.com/inn_vacation","@inn_vacation")</f>
        <v>@inn_vacation</v>
      </c>
      <c r="C3845" s="6" t="s">
        <v>3249</v>
      </c>
      <c r="D3845" s="7" t="s">
        <v>6920</v>
      </c>
      <c r="E3845" s="8" t="str">
        <f>HYPERLINK("http://twitter.com","Twitter Web Client")</f>
        <v>Twitter Web Client</v>
      </c>
      <c r="F3845" s="4">
        <v>43553.587094907409</v>
      </c>
      <c r="G3845" s="24" t="s">
        <v>13000</v>
      </c>
      <c r="H3845" s="35" t="s">
        <v>1029</v>
      </c>
      <c r="I3845" s="10" t="s">
        <v>3251</v>
      </c>
    </row>
    <row r="3846" spans="1:9" s="33" customFormat="1" ht="105">
      <c r="A3846" s="4">
        <v>43563.47934027778</v>
      </c>
      <c r="B3846" s="5" t="str">
        <f>HYPERLINK("https://twitter.com/QuikFavor","@QuikFavor")</f>
        <v>@QuikFavor</v>
      </c>
      <c r="C3846" s="6" t="s">
        <v>10269</v>
      </c>
      <c r="D3846" s="7" t="s">
        <v>10270</v>
      </c>
      <c r="E3846" s="8" t="str">
        <f>HYPERLINK("http://twitter.com/download/iphone","Twitter for iPhone")</f>
        <v>Twitter for iPhone</v>
      </c>
      <c r="F3846" s="4">
        <v>43021.420497685191</v>
      </c>
      <c r="G3846" s="24" t="s">
        <v>13000</v>
      </c>
      <c r="H3846" s="35" t="s">
        <v>1029</v>
      </c>
      <c r="I3846" s="10" t="s">
        <v>10271</v>
      </c>
    </row>
    <row r="3847" spans="1:9" s="33" customFormat="1" ht="60">
      <c r="A3847" s="4">
        <v>43563.416238425925</v>
      </c>
      <c r="B3847" s="5" t="str">
        <f>HYPERLINK("https://twitter.com/Seat2Asuite","@Seat2Asuite")</f>
        <v>@Seat2Asuite</v>
      </c>
      <c r="C3847" s="6" t="s">
        <v>10294</v>
      </c>
      <c r="D3847" s="7" t="s">
        <v>10295</v>
      </c>
      <c r="E3847" s="8" t="str">
        <f>HYPERLINK("http://twitter.com/download/iphone","Twitter for iPhone")</f>
        <v>Twitter for iPhone</v>
      </c>
      <c r="F3847" s="4">
        <v>42259.655821759261</v>
      </c>
      <c r="G3847" s="24" t="s">
        <v>13000</v>
      </c>
      <c r="H3847" s="35" t="s">
        <v>1029</v>
      </c>
      <c r="I3847" s="10" t="s">
        <v>10296</v>
      </c>
    </row>
    <row r="3848" spans="1:9" s="33" customFormat="1" ht="30">
      <c r="A3848" s="4">
        <v>43562.460416666669</v>
      </c>
      <c r="B3848" s="5" t="str">
        <f>HYPERLINK("https://twitter.com/JournyNow","@JournyNow")</f>
        <v>@JournyNow</v>
      </c>
      <c r="C3848" s="6" t="s">
        <v>1919</v>
      </c>
      <c r="D3848" s="7" t="s">
        <v>10676</v>
      </c>
      <c r="E3848" s="8" t="str">
        <f>HYPERLINK("https://about.twitter.com/products/tweetdeck","TweetDeck")</f>
        <v>TweetDeck</v>
      </c>
      <c r="F3848" s="4">
        <v>42863.606840277775</v>
      </c>
      <c r="G3848" s="24" t="s">
        <v>13000</v>
      </c>
      <c r="H3848" s="35" t="s">
        <v>1029</v>
      </c>
      <c r="I3848" s="10" t="s">
        <v>1921</v>
      </c>
    </row>
    <row r="3849" spans="1:9" s="33" customFormat="1" ht="60">
      <c r="A3849" s="4">
        <v>43562.011180555557</v>
      </c>
      <c r="B3849" s="5" t="str">
        <f>HYPERLINK("https://twitter.com/AskAlicia","@AskAlicia")</f>
        <v>@AskAlicia</v>
      </c>
      <c r="C3849" s="6" t="s">
        <v>2073</v>
      </c>
      <c r="D3849" s="7" t="s">
        <v>2074</v>
      </c>
      <c r="E3849" s="8" t="str">
        <f>HYPERLINK("https://ifttt.com","IFTTT")</f>
        <v>IFTTT</v>
      </c>
      <c r="F3849" s="4">
        <v>40150.956562499996</v>
      </c>
      <c r="G3849" s="24" t="s">
        <v>13000</v>
      </c>
      <c r="H3849" s="35" t="s">
        <v>1029</v>
      </c>
      <c r="I3849" s="10" t="s">
        <v>2075</v>
      </c>
    </row>
    <row r="3850" spans="1:9" s="33" customFormat="1" ht="120">
      <c r="A3850" s="4">
        <v>43561.827569444446</v>
      </c>
      <c r="B3850" s="5" t="str">
        <f>HYPERLINK("https://twitter.com/gallatingroup","@gallatingroup")</f>
        <v>@gallatingroup</v>
      </c>
      <c r="C3850" s="6" t="s">
        <v>10819</v>
      </c>
      <c r="D3850" s="7" t="s">
        <v>10820</v>
      </c>
      <c r="E3850" s="8" t="str">
        <f>HYPERLINK("http://twitter.com","Twitter Web Client")</f>
        <v>Twitter Web Client</v>
      </c>
      <c r="F3850" s="4">
        <v>41165.497708333336</v>
      </c>
      <c r="G3850" s="24" t="s">
        <v>13000</v>
      </c>
      <c r="H3850" s="35" t="s">
        <v>1029</v>
      </c>
      <c r="I3850" s="10" t="s">
        <v>10821</v>
      </c>
    </row>
    <row r="3851" spans="1:9" s="33" customFormat="1" ht="45">
      <c r="A3851" s="4">
        <v>43561.549270833333</v>
      </c>
      <c r="B3851" s="5" t="str">
        <f>HYPERLINK("https://twitter.com/SurfnSunshine","@SurfnSunshine")</f>
        <v>@SurfnSunshine</v>
      </c>
      <c r="C3851" s="6" t="s">
        <v>2161</v>
      </c>
      <c r="D3851" s="7" t="s">
        <v>2162</v>
      </c>
      <c r="E3851" s="8" t="str">
        <f>HYPERLINK("https://coschedule.com","CoSchedule")</f>
        <v>CoSchedule</v>
      </c>
      <c r="F3851" s="4">
        <v>40917.109328703707</v>
      </c>
      <c r="G3851" s="24" t="s">
        <v>13000</v>
      </c>
      <c r="H3851" s="35" t="s">
        <v>1029</v>
      </c>
      <c r="I3851" s="10" t="s">
        <v>2163</v>
      </c>
    </row>
    <row r="3852" spans="1:9" s="33" customFormat="1" ht="75">
      <c r="A3852" s="4">
        <v>43560.61546296296</v>
      </c>
      <c r="B3852" s="5" t="str">
        <f>HYPERLINK("https://twitter.com/AllisonMFogarty","@AllisonMFogarty")</f>
        <v>@AllisonMFogarty</v>
      </c>
      <c r="C3852" s="6" t="s">
        <v>11251</v>
      </c>
      <c r="D3852" s="7" t="s">
        <v>11252</v>
      </c>
      <c r="E3852" s="8" t="str">
        <f>HYPERLINK("http://twitter.com/download/iphone","Twitter for iPhone")</f>
        <v>Twitter for iPhone</v>
      </c>
      <c r="F3852" s="4">
        <v>40824.445439814815</v>
      </c>
      <c r="G3852" s="24" t="s">
        <v>13000</v>
      </c>
      <c r="H3852" s="35" t="s">
        <v>1029</v>
      </c>
      <c r="I3852" s="10" t="s">
        <v>11253</v>
      </c>
    </row>
    <row r="3853" spans="1:9" s="33" customFormat="1" ht="30">
      <c r="A3853" s="4">
        <v>43560.542453703703</v>
      </c>
      <c r="B3853" s="5" t="str">
        <f>HYPERLINK("https://twitter.com/laundryla","@laundryla")</f>
        <v>@laundryla</v>
      </c>
      <c r="C3853" s="6" t="s">
        <v>11303</v>
      </c>
      <c r="D3853" s="7" t="s">
        <v>11304</v>
      </c>
      <c r="E3853" s="8" t="str">
        <f>HYPERLINK("https://www.hootsuite.com","Hootsuite Inc.")</f>
        <v>Hootsuite Inc.</v>
      </c>
      <c r="F3853" s="4">
        <v>41022.647638888891</v>
      </c>
      <c r="G3853" s="24" t="s">
        <v>13000</v>
      </c>
      <c r="H3853" s="35" t="s">
        <v>1029</v>
      </c>
      <c r="I3853" s="10" t="s">
        <v>11305</v>
      </c>
    </row>
    <row r="3854" spans="1:9" s="33" customFormat="1" ht="75">
      <c r="A3854" s="4">
        <v>43560.161319444444</v>
      </c>
      <c r="B3854" s="5" t="str">
        <f>HYPERLINK("https://twitter.com/brianpatmcg","@brianpatmcg")</f>
        <v>@brianpatmcg</v>
      </c>
      <c r="C3854" s="6" t="s">
        <v>11584</v>
      </c>
      <c r="D3854" s="7" t="s">
        <v>11585</v>
      </c>
      <c r="E3854" s="8" t="str">
        <f>HYPERLINK("http://twitter.com/download/iphone","Twitter for iPhone")</f>
        <v>Twitter for iPhone</v>
      </c>
      <c r="F3854" s="4">
        <v>39952.712835648148</v>
      </c>
      <c r="G3854" s="24" t="s">
        <v>13000</v>
      </c>
      <c r="H3854" s="35" t="s">
        <v>11586</v>
      </c>
      <c r="I3854" s="10" t="s">
        <v>11587</v>
      </c>
    </row>
    <row r="3855" spans="1:9" s="33" customFormat="1" ht="105">
      <c r="A3855" s="4">
        <v>43559.786365740743</v>
      </c>
      <c r="B3855" s="5" t="str">
        <f>HYPERLINK("https://twitter.com/LuckyNewbVlogs","@LuckyNewbVlogs")</f>
        <v>@LuckyNewbVlogs</v>
      </c>
      <c r="C3855" s="6" t="s">
        <v>11695</v>
      </c>
      <c r="D3855" s="7" t="s">
        <v>11696</v>
      </c>
      <c r="E3855" s="8" t="str">
        <f>HYPERLINK("http://twitter.com/download/iphone","Twitter for iPhone")</f>
        <v>Twitter for iPhone</v>
      </c>
      <c r="F3855" s="4">
        <v>42998.802199074074</v>
      </c>
      <c r="G3855" s="24" t="s">
        <v>13000</v>
      </c>
      <c r="H3855" s="35" t="s">
        <v>1029</v>
      </c>
      <c r="I3855" s="10" t="s">
        <v>11697</v>
      </c>
    </row>
    <row r="3856" spans="1:9" s="33" customFormat="1" ht="45">
      <c r="A3856" s="4">
        <v>43558.696087962962</v>
      </c>
      <c r="B3856" s="5" t="str">
        <f>HYPERLINK("https://twitter.com/inn_vacation","@inn_vacation")</f>
        <v>@inn_vacation</v>
      </c>
      <c r="C3856" s="6" t="s">
        <v>3249</v>
      </c>
      <c r="D3856" s="7" t="s">
        <v>12073</v>
      </c>
      <c r="E3856" s="8" t="str">
        <f t="shared" ref="E3856:E3861" si="159">HYPERLINK("http://twitter.com","Twitter Web Client")</f>
        <v>Twitter Web Client</v>
      </c>
      <c r="F3856" s="4">
        <v>43553.587094907409</v>
      </c>
      <c r="G3856" s="24" t="s">
        <v>13000</v>
      </c>
      <c r="H3856" s="35" t="s">
        <v>1029</v>
      </c>
      <c r="I3856" s="10" t="s">
        <v>3251</v>
      </c>
    </row>
    <row r="3857" spans="1:9" s="33" customFormat="1" ht="105">
      <c r="A3857" s="4">
        <v>43558.508703703701</v>
      </c>
      <c r="B3857" s="5" t="str">
        <f>HYPERLINK("https://twitter.com/inn_vacation","@inn_vacation")</f>
        <v>@inn_vacation</v>
      </c>
      <c r="C3857" s="6" t="s">
        <v>3249</v>
      </c>
      <c r="D3857" s="7" t="s">
        <v>12154</v>
      </c>
      <c r="E3857" s="8" t="str">
        <f t="shared" si="159"/>
        <v>Twitter Web Client</v>
      </c>
      <c r="F3857" s="4">
        <v>43553.587094907409</v>
      </c>
      <c r="G3857" s="24" t="s">
        <v>13000</v>
      </c>
      <c r="H3857" s="35" t="s">
        <v>1029</v>
      </c>
      <c r="I3857" s="10" t="s">
        <v>3251</v>
      </c>
    </row>
    <row r="3858" spans="1:9" s="33" customFormat="1" ht="60">
      <c r="A3858" s="4">
        <v>43557.632384259261</v>
      </c>
      <c r="B3858" s="5" t="str">
        <f>HYPERLINK("https://twitter.com/inn_vacation","@inn_vacation")</f>
        <v>@inn_vacation</v>
      </c>
      <c r="C3858" s="6" t="s">
        <v>3249</v>
      </c>
      <c r="D3858" s="7" t="s">
        <v>12434</v>
      </c>
      <c r="E3858" s="8" t="str">
        <f t="shared" si="159"/>
        <v>Twitter Web Client</v>
      </c>
      <c r="F3858" s="4">
        <v>43553.587094907409</v>
      </c>
      <c r="G3858" s="24" t="s">
        <v>13000</v>
      </c>
      <c r="H3858" s="35" t="s">
        <v>1029</v>
      </c>
      <c r="I3858" s="10" t="s">
        <v>3251</v>
      </c>
    </row>
    <row r="3859" spans="1:9" s="33" customFormat="1" ht="75">
      <c r="A3859" s="4">
        <v>43556.675023148149</v>
      </c>
      <c r="B3859" s="5" t="str">
        <f>HYPERLINK("https://twitter.com/inn_vacation","@inn_vacation")</f>
        <v>@inn_vacation</v>
      </c>
      <c r="C3859" s="6" t="s">
        <v>3249</v>
      </c>
      <c r="D3859" s="7" t="s">
        <v>12778</v>
      </c>
      <c r="E3859" s="8" t="str">
        <f t="shared" si="159"/>
        <v>Twitter Web Client</v>
      </c>
      <c r="F3859" s="4">
        <v>43553.587094907409</v>
      </c>
      <c r="G3859" s="24" t="s">
        <v>13000</v>
      </c>
      <c r="H3859" s="35" t="s">
        <v>1029</v>
      </c>
      <c r="I3859" s="10" t="s">
        <v>3251</v>
      </c>
    </row>
    <row r="3860" spans="1:9" s="33" customFormat="1" ht="45">
      <c r="A3860" s="12">
        <v>43578.793900462959</v>
      </c>
      <c r="B3860" s="13" t="str">
        <f>HYPERLINK("https://twitter.com/JetsonLes","@JetsonLes")</f>
        <v>@JetsonLes</v>
      </c>
      <c r="C3860" s="14" t="s">
        <v>1027</v>
      </c>
      <c r="D3860" s="15" t="s">
        <v>1028</v>
      </c>
      <c r="E3860" s="16" t="str">
        <f t="shared" si="159"/>
        <v>Twitter Web Client</v>
      </c>
      <c r="F3860" s="12">
        <v>43235.612523148149</v>
      </c>
      <c r="G3860" s="24" t="s">
        <v>13000</v>
      </c>
      <c r="H3860" s="35" t="s">
        <v>1029</v>
      </c>
      <c r="I3860" s="18" t="s">
        <v>1030</v>
      </c>
    </row>
    <row r="3861" spans="1:9" s="33" customFormat="1" ht="75">
      <c r="A3861" s="12">
        <v>43578.5003125</v>
      </c>
      <c r="B3861" s="13" t="str">
        <f>HYPERLINK("https://twitter.com/relsilver","@relsilver")</f>
        <v>@relsilver</v>
      </c>
      <c r="C3861" s="14" t="s">
        <v>1175</v>
      </c>
      <c r="D3861" s="15" t="s">
        <v>1176</v>
      </c>
      <c r="E3861" s="16" t="str">
        <f t="shared" si="159"/>
        <v>Twitter Web Client</v>
      </c>
      <c r="F3861" s="12">
        <v>42138.431493055556</v>
      </c>
      <c r="G3861" s="24" t="s">
        <v>13000</v>
      </c>
      <c r="H3861" s="35" t="s">
        <v>1029</v>
      </c>
      <c r="I3861" s="18" t="s">
        <v>1177</v>
      </c>
    </row>
    <row r="3862" spans="1:9" s="33" customFormat="1" ht="30">
      <c r="A3862" s="12">
        <v>43578.44767361111</v>
      </c>
      <c r="B3862" s="13" t="str">
        <f>HYPERLINK("https://twitter.com/ripplecoinbase","@ripplecoinbase")</f>
        <v>@ripplecoinbase</v>
      </c>
      <c r="C3862" s="14" t="s">
        <v>1193</v>
      </c>
      <c r="D3862" s="15" t="s">
        <v>1194</v>
      </c>
      <c r="E3862" s="16" t="str">
        <f>HYPERLINK("http://twitter.com/download/iphone","Twitter for iPhone")</f>
        <v>Twitter for iPhone</v>
      </c>
      <c r="F3862" s="12">
        <v>43088.540138888886</v>
      </c>
      <c r="G3862" s="24" t="s">
        <v>13000</v>
      </c>
      <c r="H3862" s="35" t="s">
        <v>1029</v>
      </c>
      <c r="I3862" s="18" t="s">
        <v>1195</v>
      </c>
    </row>
    <row r="3863" spans="1:9" s="33" customFormat="1" ht="45">
      <c r="A3863" s="12">
        <v>43578.383773148147</v>
      </c>
      <c r="B3863" s="13" t="str">
        <f>HYPERLINK("https://twitter.com/johnybo33215668","@johnybo33215668")</f>
        <v>@johnybo33215668</v>
      </c>
      <c r="C3863" s="14" t="s">
        <v>1243</v>
      </c>
      <c r="D3863" s="15" t="s">
        <v>1164</v>
      </c>
      <c r="E3863" s="16" t="str">
        <f>HYPERLINK("http://twitter.com","Twitter Web Client")</f>
        <v>Twitter Web Client</v>
      </c>
      <c r="F3863" s="12">
        <v>43562.522962962961</v>
      </c>
      <c r="G3863" s="24" t="s">
        <v>13000</v>
      </c>
      <c r="H3863" s="35" t="s">
        <v>1029</v>
      </c>
      <c r="I3863" s="18" t="s">
        <v>1244</v>
      </c>
    </row>
    <row r="3864" spans="1:9" s="33" customFormat="1" ht="45">
      <c r="A3864" s="12">
        <v>43578.317523148144</v>
      </c>
      <c r="B3864" s="13" t="str">
        <f>HYPERLINK("https://twitter.com/k_muscarella","@k_muscarella")</f>
        <v>@k_muscarella</v>
      </c>
      <c r="C3864" s="14" t="s">
        <v>1302</v>
      </c>
      <c r="D3864" s="15" t="s">
        <v>1303</v>
      </c>
      <c r="E3864" s="16" t="str">
        <f>HYPERLINK("http://twitter.com/download/iphone","Twitter for iPhone")</f>
        <v>Twitter for iPhone</v>
      </c>
      <c r="F3864" s="12">
        <v>40559.532453703701</v>
      </c>
      <c r="G3864" s="24" t="s">
        <v>13000</v>
      </c>
      <c r="H3864" s="35" t="s">
        <v>1029</v>
      </c>
      <c r="I3864" s="18" t="s">
        <v>1304</v>
      </c>
    </row>
    <row r="3865" spans="1:9" s="33" customFormat="1" ht="105">
      <c r="A3865" s="12">
        <v>43578.265347222223</v>
      </c>
      <c r="B3865" s="13" t="str">
        <f>HYPERLINK("https://twitter.com/billhao","@billhao")</f>
        <v>@billhao</v>
      </c>
      <c r="C3865" s="14" t="s">
        <v>1336</v>
      </c>
      <c r="D3865" s="15" t="s">
        <v>1337</v>
      </c>
      <c r="E3865" s="16" t="str">
        <f>HYPERLINK("http://twitter.com","Twitter Web Client")</f>
        <v>Twitter Web Client</v>
      </c>
      <c r="F3865" s="12">
        <v>39867.938888888893</v>
      </c>
      <c r="G3865" s="24" t="s">
        <v>13000</v>
      </c>
      <c r="H3865" s="35" t="s">
        <v>1029</v>
      </c>
      <c r="I3865" s="18" t="s">
        <v>1338</v>
      </c>
    </row>
    <row r="3866" spans="1:9" s="33" customFormat="1" ht="75">
      <c r="A3866" s="12">
        <v>43577.683437500003</v>
      </c>
      <c r="B3866" s="13" t="str">
        <f>HYPERLINK("https://twitter.com/passport_plates","@passport_plates")</f>
        <v>@passport_plates</v>
      </c>
      <c r="C3866" s="14" t="s">
        <v>1524</v>
      </c>
      <c r="D3866" s="15" t="s">
        <v>1525</v>
      </c>
      <c r="E3866" s="16" t="str">
        <f>HYPERLINK("http://twitter.com","Twitter Web Client")</f>
        <v>Twitter Web Client</v>
      </c>
      <c r="F3866" s="12">
        <v>40054.733136574076</v>
      </c>
      <c r="G3866" s="24" t="s">
        <v>13000</v>
      </c>
      <c r="H3866" s="35" t="s">
        <v>1029</v>
      </c>
      <c r="I3866" s="18" t="s">
        <v>1526</v>
      </c>
    </row>
    <row r="3867" spans="1:9" s="33" customFormat="1" ht="30">
      <c r="A3867" s="12">
        <v>43576.530555555553</v>
      </c>
      <c r="B3867" s="13" t="str">
        <f>HYPERLINK("https://twitter.com/JournyNow","@JournyNow")</f>
        <v>@JournyNow</v>
      </c>
      <c r="C3867" s="14" t="s">
        <v>1919</v>
      </c>
      <c r="D3867" s="15" t="s">
        <v>1920</v>
      </c>
      <c r="E3867" s="16" t="str">
        <f>HYPERLINK("https://about.twitter.com/products/tweetdeck","TweetDeck")</f>
        <v>TweetDeck</v>
      </c>
      <c r="F3867" s="12">
        <v>42863.606840277775</v>
      </c>
      <c r="G3867" s="24" t="s">
        <v>13000</v>
      </c>
      <c r="H3867" s="35" t="s">
        <v>1029</v>
      </c>
      <c r="I3867" s="18" t="s">
        <v>1921</v>
      </c>
    </row>
    <row r="3868" spans="1:9" s="33" customFormat="1" ht="60">
      <c r="A3868" s="12">
        <v>43576.010833333334</v>
      </c>
      <c r="B3868" s="13" t="str">
        <f>HYPERLINK("https://twitter.com/AskAlicia","@AskAlicia")</f>
        <v>@AskAlicia</v>
      </c>
      <c r="C3868" s="14" t="s">
        <v>2073</v>
      </c>
      <c r="D3868" s="15" t="s">
        <v>2074</v>
      </c>
      <c r="E3868" s="16" t="str">
        <f>HYPERLINK("https://ifttt.com","IFTTT")</f>
        <v>IFTTT</v>
      </c>
      <c r="F3868" s="12">
        <v>40150.956562499996</v>
      </c>
      <c r="G3868" s="24" t="s">
        <v>13000</v>
      </c>
      <c r="H3868" s="35" t="s">
        <v>1029</v>
      </c>
      <c r="I3868" s="18" t="s">
        <v>2075</v>
      </c>
    </row>
    <row r="3869" spans="1:9" s="33" customFormat="1" ht="60">
      <c r="A3869" s="12">
        <v>43575.654861111107</v>
      </c>
      <c r="B3869" s="13" t="str">
        <f>HYPERLINK("https://twitter.com/jmdenouden","@jmdenouden")</f>
        <v>@jmdenouden</v>
      </c>
      <c r="C3869" s="14" t="s">
        <v>2149</v>
      </c>
      <c r="D3869" s="15" t="s">
        <v>2150</v>
      </c>
      <c r="E3869" s="16" t="str">
        <f>HYPERLINK("https://buffer.com","Buffer")</f>
        <v>Buffer</v>
      </c>
      <c r="F3869" s="12">
        <v>39905.134930555556</v>
      </c>
      <c r="G3869" s="24" t="s">
        <v>13000</v>
      </c>
      <c r="H3869" s="35" t="s">
        <v>1029</v>
      </c>
      <c r="I3869" s="18" t="s">
        <v>2151</v>
      </c>
    </row>
    <row r="3870" spans="1:9" s="33" customFormat="1" ht="45">
      <c r="A3870" s="12">
        <v>43575.591087962966</v>
      </c>
      <c r="B3870" s="13" t="str">
        <f>HYPERLINK("https://twitter.com/SurfnSunshine","@SurfnSunshine")</f>
        <v>@SurfnSunshine</v>
      </c>
      <c r="C3870" s="14" t="s">
        <v>2161</v>
      </c>
      <c r="D3870" s="15" t="s">
        <v>2162</v>
      </c>
      <c r="E3870" s="16" t="str">
        <f>HYPERLINK("https://coschedule.com","CoSchedule")</f>
        <v>CoSchedule</v>
      </c>
      <c r="F3870" s="12">
        <v>40917.109328703707</v>
      </c>
      <c r="G3870" s="24" t="s">
        <v>13000</v>
      </c>
      <c r="H3870" s="35" t="s">
        <v>1029</v>
      </c>
      <c r="I3870" s="18" t="s">
        <v>2163</v>
      </c>
    </row>
    <row r="3871" spans="1:9" s="33" customFormat="1" ht="45">
      <c r="A3871" s="12">
        <v>43575.282430555555</v>
      </c>
      <c r="B3871" s="13" t="str">
        <f>HYPERLINK("https://twitter.com/k_muscarella","@k_muscarella")</f>
        <v>@k_muscarella</v>
      </c>
      <c r="C3871" s="14" t="s">
        <v>1302</v>
      </c>
      <c r="D3871" s="15" t="s">
        <v>2313</v>
      </c>
      <c r="E3871" s="16" t="str">
        <f>HYPERLINK("http://twitter.com/download/iphone","Twitter for iPhone")</f>
        <v>Twitter for iPhone</v>
      </c>
      <c r="F3871" s="12">
        <v>40559.532453703701</v>
      </c>
      <c r="G3871" s="24" t="s">
        <v>13000</v>
      </c>
      <c r="H3871" s="35" t="s">
        <v>1029</v>
      </c>
      <c r="I3871" s="18" t="s">
        <v>1304</v>
      </c>
    </row>
    <row r="3872" spans="1:9" s="33" customFormat="1" ht="45">
      <c r="A3872" s="12">
        <v>43573.62226851852</v>
      </c>
      <c r="B3872" s="13" t="str">
        <f>HYPERLINK("https://twitter.com/spinkendall","@spinkendall")</f>
        <v>@spinkendall</v>
      </c>
      <c r="C3872" s="14" t="s">
        <v>2805</v>
      </c>
      <c r="D3872" s="15" t="s">
        <v>2806</v>
      </c>
      <c r="E3872" s="16" t="str">
        <f>HYPERLINK("http://twitter.com","Twitter Web Client")</f>
        <v>Twitter Web Client</v>
      </c>
      <c r="F3872" s="12">
        <v>39393.717824074076</v>
      </c>
      <c r="G3872" s="24" t="s">
        <v>13000</v>
      </c>
      <c r="H3872" s="35" t="s">
        <v>1029</v>
      </c>
      <c r="I3872" s="18" t="s">
        <v>2807</v>
      </c>
    </row>
    <row r="3873" spans="1:9" s="33" customFormat="1" ht="45">
      <c r="A3873" s="12">
        <v>43573.571562500001</v>
      </c>
      <c r="B3873" s="13" t="str">
        <f>HYPERLINK("https://twitter.com/YogaArmy","@YogaArmy")</f>
        <v>@YogaArmy</v>
      </c>
      <c r="C3873" s="14" t="s">
        <v>2815</v>
      </c>
      <c r="D3873" s="15" t="s">
        <v>2816</v>
      </c>
      <c r="E3873" s="16" t="str">
        <f>HYPERLINK("https://dlvrit.com/","dlvr.it")</f>
        <v>dlvr.it</v>
      </c>
      <c r="F3873" s="12">
        <v>39884.938449074078</v>
      </c>
      <c r="G3873" s="24" t="s">
        <v>13000</v>
      </c>
      <c r="H3873" s="35" t="s">
        <v>1029</v>
      </c>
      <c r="I3873" s="18" t="s">
        <v>2817</v>
      </c>
    </row>
    <row r="3874" spans="1:9" s="33" customFormat="1" ht="45">
      <c r="A3874" s="12">
        <v>43573.382789351846</v>
      </c>
      <c r="B3874" s="13" t="str">
        <f>HYPERLINK("https://twitter.com/JDYogi","@JDYogi")</f>
        <v>@JDYogi</v>
      </c>
      <c r="C3874" s="14" t="s">
        <v>2906</v>
      </c>
      <c r="D3874" s="15" t="s">
        <v>2907</v>
      </c>
      <c r="E3874" s="16" t="str">
        <f>HYPERLINK("http://twitter.com/download/iphone","Twitter for iPhone")</f>
        <v>Twitter for iPhone</v>
      </c>
      <c r="F3874" s="12">
        <v>40828.71402777778</v>
      </c>
      <c r="G3874" s="24" t="s">
        <v>13000</v>
      </c>
      <c r="H3874" s="35" t="s">
        <v>1029</v>
      </c>
      <c r="I3874" s="18" t="s">
        <v>2908</v>
      </c>
    </row>
    <row r="3875" spans="1:9" s="33" customFormat="1" ht="105">
      <c r="A3875" s="12">
        <v>43572.434062500004</v>
      </c>
      <c r="B3875" s="13" t="str">
        <f>HYPERLINK("https://twitter.com/inn_vacation","@inn_vacation")</f>
        <v>@inn_vacation</v>
      </c>
      <c r="C3875" s="14" t="s">
        <v>3249</v>
      </c>
      <c r="D3875" s="15" t="s">
        <v>3250</v>
      </c>
      <c r="E3875" s="16" t="str">
        <f>HYPERLINK("http://twitter.com","Twitter Web Client")</f>
        <v>Twitter Web Client</v>
      </c>
      <c r="F3875" s="12">
        <v>43553.587094907409</v>
      </c>
      <c r="G3875" s="24" t="s">
        <v>13000</v>
      </c>
      <c r="H3875" s="35" t="s">
        <v>1029</v>
      </c>
      <c r="I3875" s="18" t="s">
        <v>3251</v>
      </c>
    </row>
    <row r="3876" spans="1:9" s="33" customFormat="1" ht="105">
      <c r="A3876" s="12">
        <v>43571.464374999996</v>
      </c>
      <c r="B3876" s="13" t="str">
        <f>HYPERLINK("https://twitter.com/HeartFuse","@HeartFuse")</f>
        <v>@HeartFuse</v>
      </c>
      <c r="C3876" s="14" t="s">
        <v>3667</v>
      </c>
      <c r="D3876" s="15" t="s">
        <v>3668</v>
      </c>
      <c r="E3876" s="16" t="str">
        <f>HYPERLINK("https://about.twitter.com/products/tweetdeck","TweetDeck")</f>
        <v>TweetDeck</v>
      </c>
      <c r="F3876" s="12">
        <v>40545.652002314819</v>
      </c>
      <c r="G3876" s="24" t="s">
        <v>13000</v>
      </c>
      <c r="H3876" s="35" t="s">
        <v>1029</v>
      </c>
      <c r="I3876" s="18" t="s">
        <v>3669</v>
      </c>
    </row>
    <row r="3877" spans="1:9" s="33" customFormat="1" ht="45">
      <c r="A3877" s="12">
        <v>43571.384560185186</v>
      </c>
      <c r="B3877" s="13" t="str">
        <f>HYPERLINK("https://twitter.com/youngdumbcrypto","@youngdumbcrypto")</f>
        <v>@youngdumbcrypto</v>
      </c>
      <c r="C3877" s="14" t="s">
        <v>3696</v>
      </c>
      <c r="D3877" s="15" t="s">
        <v>3697</v>
      </c>
      <c r="E3877" s="16" t="str">
        <f>HYPERLINK("https://panel.socialpilot.co/","SocialPilot.co")</f>
        <v>SocialPilot.co</v>
      </c>
      <c r="F3877" s="12">
        <v>43127.524594907409</v>
      </c>
      <c r="G3877" s="24" t="s">
        <v>13000</v>
      </c>
      <c r="H3877" s="35" t="s">
        <v>1029</v>
      </c>
      <c r="I3877" s="18" t="s">
        <v>3698</v>
      </c>
    </row>
    <row r="3878" spans="1:9" s="33" customFormat="1" ht="30">
      <c r="A3878" s="12">
        <v>43570.830324074079</v>
      </c>
      <c r="B3878" s="13" t="str">
        <f>HYPERLINK("https://twitter.com/k_muscarella","@k_muscarella")</f>
        <v>@k_muscarella</v>
      </c>
      <c r="C3878" s="14" t="s">
        <v>1302</v>
      </c>
      <c r="D3878" s="15" t="s">
        <v>3971</v>
      </c>
      <c r="E3878" s="16" t="str">
        <f>HYPERLINK("http://twitter.com/download/iphone","Twitter for iPhone")</f>
        <v>Twitter for iPhone</v>
      </c>
      <c r="F3878" s="12">
        <v>40559.532453703701</v>
      </c>
      <c r="G3878" s="24" t="s">
        <v>13000</v>
      </c>
      <c r="H3878" s="35" t="s">
        <v>1029</v>
      </c>
      <c r="I3878" s="18" t="s">
        <v>1304</v>
      </c>
    </row>
    <row r="3879" spans="1:9" s="33" customFormat="1" ht="60">
      <c r="A3879" s="12">
        <v>43570.67869212963</v>
      </c>
      <c r="B3879" s="13" t="str">
        <f>HYPERLINK("https://twitter.com/inn_vacation","@inn_vacation")</f>
        <v>@inn_vacation</v>
      </c>
      <c r="C3879" s="14" t="s">
        <v>3249</v>
      </c>
      <c r="D3879" s="15" t="s">
        <v>4002</v>
      </c>
      <c r="E3879" s="16" t="str">
        <f>HYPERLINK("http://twitter.com","Twitter Web Client")</f>
        <v>Twitter Web Client</v>
      </c>
      <c r="F3879" s="12">
        <v>43553.587094907409</v>
      </c>
      <c r="G3879" s="24" t="s">
        <v>13000</v>
      </c>
      <c r="H3879" s="35" t="s">
        <v>1029</v>
      </c>
      <c r="I3879" s="18" t="s">
        <v>3251</v>
      </c>
    </row>
    <row r="3880" spans="1:9" s="33" customFormat="1" ht="45">
      <c r="A3880" s="12">
        <v>43569.744039351848</v>
      </c>
      <c r="B3880" s="13" t="str">
        <f>HYPERLINK("https://twitter.com/k_muscarella","@k_muscarella")</f>
        <v>@k_muscarella</v>
      </c>
      <c r="C3880" s="14" t="s">
        <v>1302</v>
      </c>
      <c r="D3880" s="15" t="s">
        <v>4417</v>
      </c>
      <c r="E3880" s="16" t="str">
        <f>HYPERLINK("http://twitter.com/download/iphone","Twitter for iPhone")</f>
        <v>Twitter for iPhone</v>
      </c>
      <c r="F3880" s="12">
        <v>40559.532453703701</v>
      </c>
      <c r="G3880" s="24" t="s">
        <v>13000</v>
      </c>
      <c r="H3880" s="35" t="s">
        <v>1029</v>
      </c>
      <c r="I3880" s="18" t="s">
        <v>1304</v>
      </c>
    </row>
    <row r="3881" spans="1:9" s="33" customFormat="1" ht="75">
      <c r="A3881" s="12">
        <v>43569.729062500002</v>
      </c>
      <c r="B3881" s="13" t="str">
        <f>HYPERLINK("https://twitter.com/TessVillatuya","@TessVillatuya")</f>
        <v>@TessVillatuya</v>
      </c>
      <c r="C3881" s="14" t="s">
        <v>4423</v>
      </c>
      <c r="D3881" s="15" t="s">
        <v>4424</v>
      </c>
      <c r="E3881" s="16" t="str">
        <f>HYPERLINK("http://instagram.com","Instagram")</f>
        <v>Instagram</v>
      </c>
      <c r="F3881" s="12">
        <v>40910.882418981484</v>
      </c>
      <c r="G3881" s="24" t="s">
        <v>13000</v>
      </c>
      <c r="H3881" s="35" t="s">
        <v>1029</v>
      </c>
      <c r="I3881" s="18" t="s">
        <v>4425</v>
      </c>
    </row>
    <row r="3882" spans="1:9" s="33" customFormat="1" ht="60">
      <c r="A3882" s="12">
        <v>43569.010613425926</v>
      </c>
      <c r="B3882" s="13" t="str">
        <f>HYPERLINK("https://twitter.com/AskAlicia","@AskAlicia")</f>
        <v>@AskAlicia</v>
      </c>
      <c r="C3882" s="14" t="s">
        <v>2073</v>
      </c>
      <c r="D3882" s="15" t="s">
        <v>2074</v>
      </c>
      <c r="E3882" s="16" t="str">
        <f>HYPERLINK("https://ifttt.com","IFTTT")</f>
        <v>IFTTT</v>
      </c>
      <c r="F3882" s="12">
        <v>40150.956562499996</v>
      </c>
      <c r="G3882" s="24" t="s">
        <v>13000</v>
      </c>
      <c r="H3882" s="35" t="s">
        <v>1029</v>
      </c>
      <c r="I3882" s="18" t="s">
        <v>2075</v>
      </c>
    </row>
    <row r="3883" spans="1:9" s="33" customFormat="1" ht="30">
      <c r="A3883" s="12">
        <v>43568.563298611116</v>
      </c>
      <c r="B3883" s="13" t="str">
        <f>HYPERLINK("https://twitter.com/browneyedmorena","@browneyedmorena")</f>
        <v>@browneyedmorena</v>
      </c>
      <c r="C3883" s="14" t="s">
        <v>4700</v>
      </c>
      <c r="D3883" s="15" t="s">
        <v>4701</v>
      </c>
      <c r="E3883" s="16" t="str">
        <f>HYPERLINK("http://twitter.com/download/android","Twitter for Android")</f>
        <v>Twitter for Android</v>
      </c>
      <c r="F3883" s="12">
        <v>40795.875590277778</v>
      </c>
      <c r="G3883" s="24" t="s">
        <v>13000</v>
      </c>
      <c r="H3883" s="35" t="s">
        <v>1029</v>
      </c>
      <c r="I3883" s="18" t="s">
        <v>4702</v>
      </c>
    </row>
    <row r="3884" spans="1:9" s="33" customFormat="1" ht="30">
      <c r="A3884" s="12">
        <v>43568.334027777775</v>
      </c>
      <c r="B3884" s="13" t="str">
        <f>HYPERLINK("https://twitter.com/JournyNow","@JournyNow")</f>
        <v>@JournyNow</v>
      </c>
      <c r="C3884" s="14" t="s">
        <v>1919</v>
      </c>
      <c r="D3884" s="15" t="s">
        <v>4802</v>
      </c>
      <c r="E3884" s="16" t="str">
        <f>HYPERLINK("https://about.twitter.com/products/tweetdeck","TweetDeck")</f>
        <v>TweetDeck</v>
      </c>
      <c r="F3884" s="12">
        <v>42863.606840277775</v>
      </c>
      <c r="G3884" s="24" t="s">
        <v>13000</v>
      </c>
      <c r="H3884" s="35" t="s">
        <v>1029</v>
      </c>
      <c r="I3884" s="18" t="s">
        <v>1921</v>
      </c>
    </row>
    <row r="3885" spans="1:9" s="33" customFormat="1" ht="105">
      <c r="A3885" s="12">
        <v>43567.808310185181</v>
      </c>
      <c r="B3885" s="13" t="str">
        <f>HYPERLINK("https://twitter.com/AahRelax","@AahRelax")</f>
        <v>@AahRelax</v>
      </c>
      <c r="C3885" s="14" t="s">
        <v>4944</v>
      </c>
      <c r="D3885" s="15" t="s">
        <v>4945</v>
      </c>
      <c r="E3885" s="16" t="str">
        <f>HYPERLINK("http://twitter.com/download/iphone","Twitter for iPhone")</f>
        <v>Twitter for iPhone</v>
      </c>
      <c r="F3885" s="12">
        <v>42398.634606481486</v>
      </c>
      <c r="G3885" s="24" t="s">
        <v>13000</v>
      </c>
      <c r="H3885" s="35" t="s">
        <v>1029</v>
      </c>
      <c r="I3885" s="18" t="s">
        <v>4946</v>
      </c>
    </row>
    <row r="3886" spans="1:9" s="33" customFormat="1" ht="30">
      <c r="A3886" s="12">
        <v>43567.174479166672</v>
      </c>
      <c r="B3886" s="13" t="str">
        <f>HYPERLINK("https://twitter.com/aaj6177","@aaj6177")</f>
        <v>@aaj6177</v>
      </c>
      <c r="C3886" s="14" t="s">
        <v>5217</v>
      </c>
      <c r="D3886" s="15" t="s">
        <v>5218</v>
      </c>
      <c r="E3886" s="16" t="str">
        <f>HYPERLINK("http://instagram.com","Instagram")</f>
        <v>Instagram</v>
      </c>
      <c r="F3886" s="12">
        <v>41935.652499999997</v>
      </c>
      <c r="G3886" s="24" t="s">
        <v>13000</v>
      </c>
      <c r="H3886" s="35" t="s">
        <v>1029</v>
      </c>
      <c r="I3886" s="18" t="s">
        <v>5219</v>
      </c>
    </row>
    <row r="3887" spans="1:9" s="33" customFormat="1" ht="165">
      <c r="A3887" s="12">
        <v>43566.550347222219</v>
      </c>
      <c r="B3887" s="13" t="str">
        <f>HYPERLINK("https://twitter.com/imnwill","@imnwill")</f>
        <v>@imnwill</v>
      </c>
      <c r="C3887" s="14" t="s">
        <v>5450</v>
      </c>
      <c r="D3887" s="15" t="s">
        <v>5451</v>
      </c>
      <c r="E3887" s="16" t="str">
        <f>HYPERLINK("http://twitter.com/download/iphone","Twitter for iPhone")</f>
        <v>Twitter for iPhone</v>
      </c>
      <c r="F3887" s="12">
        <v>42362.154224537036</v>
      </c>
      <c r="G3887" s="24" t="s">
        <v>13000</v>
      </c>
      <c r="H3887" s="35" t="s">
        <v>1029</v>
      </c>
      <c r="I3887" s="18" t="s">
        <v>5452</v>
      </c>
    </row>
    <row r="3888" spans="1:9" s="33" customFormat="1" ht="30">
      <c r="A3888" s="19">
        <v>43543.851782407408</v>
      </c>
      <c r="B3888" s="20" t="str">
        <f>HYPERLINK("https://twitter.com/rhallockk","@rhallockk")</f>
        <v>@rhallockk</v>
      </c>
      <c r="C3888" s="21" t="s">
        <v>9667</v>
      </c>
      <c r="D3888" s="22" t="s">
        <v>9668</v>
      </c>
      <c r="E3888" s="23" t="str">
        <f>HYPERLINK("http://twitter.com/download/iphone","Twitter for iPhone")</f>
        <v>Twitter for iPhone</v>
      </c>
      <c r="F3888" s="19">
        <v>42183.921909722223</v>
      </c>
      <c r="G3888" s="24" t="s">
        <v>13000</v>
      </c>
      <c r="H3888" s="35" t="s">
        <v>9669</v>
      </c>
      <c r="I3888" s="25" t="s">
        <v>9670</v>
      </c>
    </row>
    <row r="3889" spans="1:9" s="33" customFormat="1" ht="45">
      <c r="A3889" s="12">
        <v>43577.558078703703</v>
      </c>
      <c r="B3889" s="13" t="str">
        <f>HYPERLINK("https://twitter.com/pcsathy","@pcsathy")</f>
        <v>@pcsathy</v>
      </c>
      <c r="C3889" s="14" t="s">
        <v>1579</v>
      </c>
      <c r="D3889" s="15" t="s">
        <v>1580</v>
      </c>
      <c r="E3889" s="16" t="str">
        <f>HYPERLINK("http://twitter.com","Twitter Web Client")</f>
        <v>Twitter Web Client</v>
      </c>
      <c r="F3889" s="12">
        <v>39583.397199074076</v>
      </c>
      <c r="G3889" s="24" t="s">
        <v>13000</v>
      </c>
      <c r="H3889" s="35" t="s">
        <v>1581</v>
      </c>
      <c r="I3889" s="18" t="s">
        <v>1582</v>
      </c>
    </row>
    <row r="3890" spans="1:9" s="33" customFormat="1" ht="120">
      <c r="A3890" s="4">
        <v>43565.300520833334</v>
      </c>
      <c r="B3890" s="5" t="str">
        <f t="shared" ref="B3890:B3899" si="160">HYPERLINK("https://twitter.com/JillJLaine","@JillJLaine")</f>
        <v>@JillJLaine</v>
      </c>
      <c r="C3890" s="6" t="s">
        <v>1309</v>
      </c>
      <c r="D3890" s="7" t="s">
        <v>6192</v>
      </c>
      <c r="E3890" s="8" t="str">
        <f>HYPERLINK("http://twitter.com","Twitter Web Client")</f>
        <v>Twitter Web Client</v>
      </c>
      <c r="F3890" s="4">
        <v>39840.599317129629</v>
      </c>
      <c r="G3890" s="24" t="s">
        <v>13000</v>
      </c>
      <c r="H3890" s="35" t="s">
        <v>1311</v>
      </c>
      <c r="I3890" s="10" t="s">
        <v>1312</v>
      </c>
    </row>
    <row r="3891" spans="1:9" s="33" customFormat="1" ht="105">
      <c r="A3891" s="4">
        <v>43560.569780092592</v>
      </c>
      <c r="B3891" s="5" t="str">
        <f t="shared" si="160"/>
        <v>@JillJLaine</v>
      </c>
      <c r="C3891" s="6" t="s">
        <v>1309</v>
      </c>
      <c r="D3891" s="7" t="s">
        <v>11277</v>
      </c>
      <c r="E3891" s="8" t="str">
        <f>HYPERLINK("http://twitter.com/download/iphone","Twitter for iPhone")</f>
        <v>Twitter for iPhone</v>
      </c>
      <c r="F3891" s="4">
        <v>39840.599317129629</v>
      </c>
      <c r="G3891" s="24" t="s">
        <v>13000</v>
      </c>
      <c r="H3891" s="35" t="s">
        <v>1311</v>
      </c>
      <c r="I3891" s="10" t="s">
        <v>1312</v>
      </c>
    </row>
    <row r="3892" spans="1:9" s="33" customFormat="1" ht="120">
      <c r="A3892" s="12">
        <v>43578.295451388884</v>
      </c>
      <c r="B3892" s="13" t="str">
        <f t="shared" si="160"/>
        <v>@JillJLaine</v>
      </c>
      <c r="C3892" s="14" t="s">
        <v>1309</v>
      </c>
      <c r="D3892" s="15" t="s">
        <v>1310</v>
      </c>
      <c r="E3892" s="16" t="str">
        <f>HYPERLINK("http://twitter.com","Twitter Web Client")</f>
        <v>Twitter Web Client</v>
      </c>
      <c r="F3892" s="12">
        <v>39840.599317129629</v>
      </c>
      <c r="G3892" s="24" t="s">
        <v>13000</v>
      </c>
      <c r="H3892" s="35" t="s">
        <v>1311</v>
      </c>
      <c r="I3892" s="18" t="s">
        <v>1312</v>
      </c>
    </row>
    <row r="3893" spans="1:9" s="33" customFormat="1" ht="105">
      <c r="A3893" s="12">
        <v>43577.276041666672</v>
      </c>
      <c r="B3893" s="13" t="str">
        <f t="shared" si="160"/>
        <v>@JillJLaine</v>
      </c>
      <c r="C3893" s="14" t="s">
        <v>1309</v>
      </c>
      <c r="D3893" s="15" t="s">
        <v>1684</v>
      </c>
      <c r="E3893" s="16" t="str">
        <f>HYPERLINK("http://twitter.com","Twitter Web Client")</f>
        <v>Twitter Web Client</v>
      </c>
      <c r="F3893" s="12">
        <v>39840.599317129629</v>
      </c>
      <c r="G3893" s="24" t="s">
        <v>13000</v>
      </c>
      <c r="H3893" s="35" t="s">
        <v>1311</v>
      </c>
      <c r="I3893" s="18" t="s">
        <v>1312</v>
      </c>
    </row>
    <row r="3894" spans="1:9" s="33" customFormat="1" ht="105">
      <c r="A3894" s="12">
        <v>43574.562430555554</v>
      </c>
      <c r="B3894" s="13" t="str">
        <f t="shared" si="160"/>
        <v>@JillJLaine</v>
      </c>
      <c r="C3894" s="14" t="s">
        <v>1309</v>
      </c>
      <c r="D3894" s="15" t="s">
        <v>2509</v>
      </c>
      <c r="E3894" s="16" t="str">
        <f>HYPERLINK("http://twitter.com/download/iphone","Twitter for iPhone")</f>
        <v>Twitter for iPhone</v>
      </c>
      <c r="F3894" s="12">
        <v>39840.599317129629</v>
      </c>
      <c r="G3894" s="24" t="s">
        <v>13000</v>
      </c>
      <c r="H3894" s="35" t="s">
        <v>1311</v>
      </c>
      <c r="I3894" s="18" t="s">
        <v>1312</v>
      </c>
    </row>
    <row r="3895" spans="1:9" s="33" customFormat="1" ht="120">
      <c r="A3895" s="12">
        <v>43573.33592592593</v>
      </c>
      <c r="B3895" s="13" t="str">
        <f t="shared" si="160"/>
        <v>@JillJLaine</v>
      </c>
      <c r="C3895" s="14" t="s">
        <v>1309</v>
      </c>
      <c r="D3895" s="15" t="s">
        <v>1310</v>
      </c>
      <c r="E3895" s="16" t="str">
        <f>HYPERLINK("http://twitter.com","Twitter Web Client")</f>
        <v>Twitter Web Client</v>
      </c>
      <c r="F3895" s="12">
        <v>39840.599317129629</v>
      </c>
      <c r="G3895" s="24" t="s">
        <v>13000</v>
      </c>
      <c r="H3895" s="35" t="s">
        <v>1311</v>
      </c>
      <c r="I3895" s="18" t="s">
        <v>1312</v>
      </c>
    </row>
    <row r="3896" spans="1:9" s="33" customFormat="1" ht="105">
      <c r="A3896" s="12">
        <v>43573.327222222222</v>
      </c>
      <c r="B3896" s="13" t="str">
        <f t="shared" si="160"/>
        <v>@JillJLaine</v>
      </c>
      <c r="C3896" s="14" t="s">
        <v>1309</v>
      </c>
      <c r="D3896" s="15" t="s">
        <v>2928</v>
      </c>
      <c r="E3896" s="16" t="str">
        <f>HYPERLINK("http://twitter.com","Twitter Web Client")</f>
        <v>Twitter Web Client</v>
      </c>
      <c r="F3896" s="12">
        <v>39840.599317129629</v>
      </c>
      <c r="G3896" s="24" t="s">
        <v>13000</v>
      </c>
      <c r="H3896" s="35" t="s">
        <v>1311</v>
      </c>
      <c r="I3896" s="18" t="s">
        <v>1312</v>
      </c>
    </row>
    <row r="3897" spans="1:9" s="33" customFormat="1" ht="120">
      <c r="A3897" s="12">
        <v>43572.276736111111</v>
      </c>
      <c r="B3897" s="13" t="str">
        <f t="shared" si="160"/>
        <v>@JillJLaine</v>
      </c>
      <c r="C3897" s="14" t="s">
        <v>1309</v>
      </c>
      <c r="D3897" s="15" t="s">
        <v>3354</v>
      </c>
      <c r="E3897" s="16" t="str">
        <f>HYPERLINK("http://twitter.com","Twitter Web Client")</f>
        <v>Twitter Web Client</v>
      </c>
      <c r="F3897" s="12">
        <v>39840.599317129629</v>
      </c>
      <c r="G3897" s="24" t="s">
        <v>13000</v>
      </c>
      <c r="H3897" s="35" t="s">
        <v>1311</v>
      </c>
      <c r="I3897" s="18" t="s">
        <v>1312</v>
      </c>
    </row>
    <row r="3898" spans="1:9" s="33" customFormat="1" ht="120">
      <c r="A3898" s="12">
        <v>43566.27961805556</v>
      </c>
      <c r="B3898" s="13" t="str">
        <f t="shared" si="160"/>
        <v>@JillJLaine</v>
      </c>
      <c r="C3898" s="14" t="s">
        <v>1309</v>
      </c>
      <c r="D3898" s="15" t="s">
        <v>5689</v>
      </c>
      <c r="E3898" s="16" t="str">
        <f>HYPERLINK("http://twitter.com","Twitter Web Client")</f>
        <v>Twitter Web Client</v>
      </c>
      <c r="F3898" s="12">
        <v>39840.599317129629</v>
      </c>
      <c r="G3898" s="24" t="s">
        <v>13000</v>
      </c>
      <c r="H3898" s="35" t="s">
        <v>1311</v>
      </c>
      <c r="I3898" s="18" t="s">
        <v>1312</v>
      </c>
    </row>
    <row r="3899" spans="1:9" s="33" customFormat="1" ht="105">
      <c r="A3899" s="12">
        <v>43566.268506944441</v>
      </c>
      <c r="B3899" s="13" t="str">
        <f t="shared" si="160"/>
        <v>@JillJLaine</v>
      </c>
      <c r="C3899" s="14" t="s">
        <v>1309</v>
      </c>
      <c r="D3899" s="15" t="s">
        <v>5699</v>
      </c>
      <c r="E3899" s="16" t="str">
        <f>HYPERLINK("http://twitter.com","Twitter Web Client")</f>
        <v>Twitter Web Client</v>
      </c>
      <c r="F3899" s="12">
        <v>39840.599317129629</v>
      </c>
      <c r="G3899" s="24" t="s">
        <v>13000</v>
      </c>
      <c r="H3899" s="35" t="s">
        <v>1311</v>
      </c>
      <c r="I3899" s="18" t="s">
        <v>1312</v>
      </c>
    </row>
    <row r="3900" spans="1:9" s="33" customFormat="1" ht="90">
      <c r="A3900" s="4">
        <v>43563.661793981482</v>
      </c>
      <c r="B3900" s="5" t="str">
        <f>HYPERLINK("https://twitter.com/fashionxaminer","@fashionxaminer")</f>
        <v>@fashionxaminer</v>
      </c>
      <c r="C3900" s="6" t="s">
        <v>6922</v>
      </c>
      <c r="D3900" s="7" t="s">
        <v>6923</v>
      </c>
      <c r="E3900" s="8" t="str">
        <f>HYPERLINK("https://ifttt.com","IFTTT")</f>
        <v>IFTTT</v>
      </c>
      <c r="F3900" s="4">
        <v>39896.762337962966</v>
      </c>
      <c r="G3900" s="17" t="s">
        <v>13000</v>
      </c>
      <c r="H3900" s="35" t="s">
        <v>6924</v>
      </c>
      <c r="I3900" s="10" t="s">
        <v>6925</v>
      </c>
    </row>
    <row r="3901" spans="1:9" s="33" customFormat="1" ht="90">
      <c r="A3901" s="4">
        <v>43558.569652777776</v>
      </c>
      <c r="B3901" s="5" t="str">
        <f>HYPERLINK("https://twitter.com/JenVanAlstyne","@JenVanAlstyne")</f>
        <v>@JenVanAlstyne</v>
      </c>
      <c r="C3901" s="6" t="s">
        <v>12128</v>
      </c>
      <c r="D3901" s="7" t="s">
        <v>12129</v>
      </c>
      <c r="E3901" s="8" t="str">
        <f>HYPERLINK("http://twitter.com/download/android","Twitter for Android")</f>
        <v>Twitter for Android</v>
      </c>
      <c r="F3901" s="4">
        <v>43156.739965277782</v>
      </c>
      <c r="G3901" s="17" t="s">
        <v>13000</v>
      </c>
      <c r="H3901" s="35" t="s">
        <v>12130</v>
      </c>
      <c r="I3901" s="10" t="s">
        <v>12131</v>
      </c>
    </row>
    <row r="3902" spans="1:9" s="33" customFormat="1" ht="75">
      <c r="A3902" s="19">
        <v>43550.795590277776</v>
      </c>
      <c r="B3902" s="20" t="str">
        <f>HYPERLINK("https://twitter.com/MThomps4","@MThomps4")</f>
        <v>@MThomps4</v>
      </c>
      <c r="C3902" s="21" t="s">
        <v>7500</v>
      </c>
      <c r="D3902" s="22" t="s">
        <v>7501</v>
      </c>
      <c r="E3902" s="23" t="str">
        <f>HYPERLINK("http://twitter.com/download/iphone","Twitter for iPhone")</f>
        <v>Twitter for iPhone</v>
      </c>
      <c r="F3902" s="19">
        <v>41375.440787037034</v>
      </c>
      <c r="G3902" s="17" t="s">
        <v>13000</v>
      </c>
      <c r="H3902" s="35" t="s">
        <v>554</v>
      </c>
      <c r="I3902" s="25" t="s">
        <v>7502</v>
      </c>
    </row>
    <row r="3903" spans="1:9" s="33" customFormat="1" ht="60">
      <c r="A3903" s="4">
        <v>43563.19930555555</v>
      </c>
      <c r="B3903" s="5" t="str">
        <f>HYPERLINK("https://twitter.com/REIAKY","@REIAKY")</f>
        <v>@REIAKY</v>
      </c>
      <c r="C3903" s="6" t="s">
        <v>10435</v>
      </c>
      <c r="D3903" s="7" t="s">
        <v>502</v>
      </c>
      <c r="E3903" s="8" t="str">
        <f>HYPERLINK("https://buffer.com","Buffer")</f>
        <v>Buffer</v>
      </c>
      <c r="F3903" s="4">
        <v>42579.625694444447</v>
      </c>
      <c r="G3903" s="17" t="s">
        <v>13000</v>
      </c>
      <c r="H3903" s="35" t="s">
        <v>554</v>
      </c>
      <c r="I3903" s="10" t="s">
        <v>10436</v>
      </c>
    </row>
    <row r="3904" spans="1:9" s="33" customFormat="1" ht="60">
      <c r="A3904" s="4">
        <v>43560.266377314816</v>
      </c>
      <c r="B3904" s="5" t="str">
        <f>HYPERLINK("https://twitter.com/TheRealStar","@TheRealStar")</f>
        <v>@TheRealStar</v>
      </c>
      <c r="C3904" s="6" t="s">
        <v>11518</v>
      </c>
      <c r="D3904" s="7" t="s">
        <v>11519</v>
      </c>
      <c r="E3904" s="8" t="str">
        <f>HYPERLINK("http://instagram.com","Instagram")</f>
        <v>Instagram</v>
      </c>
      <c r="F3904" s="4">
        <v>39857.299618055556</v>
      </c>
      <c r="G3904" s="17" t="s">
        <v>13000</v>
      </c>
      <c r="H3904" s="35" t="s">
        <v>554</v>
      </c>
      <c r="I3904" s="10" t="s">
        <v>11520</v>
      </c>
    </row>
    <row r="3905" spans="1:9" s="33" customFormat="1" ht="105">
      <c r="A3905" s="4">
        <v>43558.793171296296</v>
      </c>
      <c r="B3905" s="5" t="str">
        <f>HYPERLINK("https://twitter.com/ashfordkey502","@ashfordkey502")</f>
        <v>@ashfordkey502</v>
      </c>
      <c r="C3905" s="6" t="s">
        <v>12036</v>
      </c>
      <c r="D3905" s="7" t="s">
        <v>12037</v>
      </c>
      <c r="E3905" s="8" t="str">
        <f>HYPERLINK("http://twitter.com/download/iphone","Twitter for iPhone")</f>
        <v>Twitter for iPhone</v>
      </c>
      <c r="F3905" s="4">
        <v>42955.801354166666</v>
      </c>
      <c r="G3905" s="17" t="s">
        <v>13000</v>
      </c>
      <c r="H3905" s="35" t="s">
        <v>554</v>
      </c>
      <c r="I3905" s="10" t="s">
        <v>12038</v>
      </c>
    </row>
    <row r="3906" spans="1:9" s="33" customFormat="1" ht="105">
      <c r="A3906" s="4">
        <v>43558.783043981486</v>
      </c>
      <c r="B3906" s="5" t="str">
        <f>HYPERLINK("https://twitter.com/ashfordkey502","@ashfordkey502")</f>
        <v>@ashfordkey502</v>
      </c>
      <c r="C3906" s="6" t="s">
        <v>12036</v>
      </c>
      <c r="D3906" s="7" t="s">
        <v>12039</v>
      </c>
      <c r="E3906" s="8" t="str">
        <f>HYPERLINK("http://twitter.com/download/iphone","Twitter for iPhone")</f>
        <v>Twitter for iPhone</v>
      </c>
      <c r="F3906" s="4">
        <v>42955.801354166666</v>
      </c>
      <c r="G3906" s="17" t="s">
        <v>13000</v>
      </c>
      <c r="H3906" s="35" t="s">
        <v>554</v>
      </c>
      <c r="I3906" s="10" t="s">
        <v>12038</v>
      </c>
    </row>
    <row r="3907" spans="1:9" s="33" customFormat="1" ht="45">
      <c r="A3907" s="12">
        <v>43579.600462962961</v>
      </c>
      <c r="B3907" s="13" t="str">
        <f>HYPERLINK("https://twitter.com/cobrown","@cobrown")</f>
        <v>@cobrown</v>
      </c>
      <c r="C3907" s="14" t="s">
        <v>552</v>
      </c>
      <c r="D3907" s="15" t="s">
        <v>553</v>
      </c>
      <c r="E3907" s="16" t="str">
        <f>HYPERLINK("https://about.twitter.com/products/tweetdeck","TweetDeck")</f>
        <v>TweetDeck</v>
      </c>
      <c r="F3907" s="12">
        <v>39819.385138888887</v>
      </c>
      <c r="G3907" s="17" t="s">
        <v>13000</v>
      </c>
      <c r="H3907" s="35" t="s">
        <v>554</v>
      </c>
      <c r="I3907" s="18" t="s">
        <v>555</v>
      </c>
    </row>
    <row r="3908" spans="1:9" s="33" customFormat="1" ht="75">
      <c r="A3908" s="12">
        <v>43569.763888888891</v>
      </c>
      <c r="B3908" s="13" t="str">
        <f>HYPERLINK("https://twitter.com/Michael4Biz","@Michael4Biz")</f>
        <v>@Michael4Biz</v>
      </c>
      <c r="C3908" s="14" t="s">
        <v>4413</v>
      </c>
      <c r="D3908" s="15" t="s">
        <v>4414</v>
      </c>
      <c r="E3908" s="16" t="str">
        <f>HYPERLINK("http://twitter.com","Twitter Web Client")</f>
        <v>Twitter Web Client</v>
      </c>
      <c r="F3908" s="12">
        <v>41148.383483796293</v>
      </c>
      <c r="G3908" s="17" t="s">
        <v>13000</v>
      </c>
      <c r="H3908" s="35" t="s">
        <v>554</v>
      </c>
      <c r="I3908" s="18" t="s">
        <v>4415</v>
      </c>
    </row>
    <row r="3909" spans="1:9" s="33" customFormat="1" ht="75">
      <c r="A3909" s="12">
        <v>43575.401273148149</v>
      </c>
      <c r="B3909" s="13" t="str">
        <f>HYPERLINK("https://twitter.com/EH44","@EH44")</f>
        <v>@EH44</v>
      </c>
      <c r="C3909" s="14" t="s">
        <v>2236</v>
      </c>
      <c r="D3909" s="15" t="s">
        <v>2237</v>
      </c>
      <c r="E3909" s="16" t="str">
        <f>HYPERLINK("http://instagram.com","Instagram")</f>
        <v>Instagram</v>
      </c>
      <c r="F3909" s="12">
        <v>39856.32372685185</v>
      </c>
      <c r="G3909" s="17" t="s">
        <v>13000</v>
      </c>
      <c r="H3909" s="35" t="s">
        <v>2238</v>
      </c>
      <c r="I3909" s="18" t="s">
        <v>2239</v>
      </c>
    </row>
    <row r="3910" spans="1:9" s="33" customFormat="1" ht="75">
      <c r="A3910" s="4">
        <v>43560.53875</v>
      </c>
      <c r="B3910" s="5" t="str">
        <f>HYPERLINK("https://twitter.com/klinecj","@klinecj")</f>
        <v>@klinecj</v>
      </c>
      <c r="C3910" s="6" t="s">
        <v>11316</v>
      </c>
      <c r="D3910" s="7" t="s">
        <v>11317</v>
      </c>
      <c r="E3910" s="8" t="str">
        <f>HYPERLINK("http://twitter.com/download/iphone","Twitter for iPhone")</f>
        <v>Twitter for iPhone</v>
      </c>
      <c r="F3910" s="4">
        <v>41012.521782407406</v>
      </c>
      <c r="G3910" s="17" t="s">
        <v>13000</v>
      </c>
      <c r="H3910" s="35" t="s">
        <v>11318</v>
      </c>
      <c r="I3910" s="10" t="s">
        <v>11319</v>
      </c>
    </row>
    <row r="3911" spans="1:9" s="33" customFormat="1" ht="45">
      <c r="A3911" s="12">
        <v>43574.310011574074</v>
      </c>
      <c r="B3911" s="13" t="str">
        <f>HYPERLINK("https://twitter.com/WIAgLeader","@WIAgLeader")</f>
        <v>@WIAgLeader</v>
      </c>
      <c r="C3911" s="14" t="s">
        <v>2606</v>
      </c>
      <c r="D3911" s="15" t="s">
        <v>2607</v>
      </c>
      <c r="E3911" s="16" t="str">
        <f>HYPERLINK("http://instagram.com","Instagram")</f>
        <v>Instagram</v>
      </c>
      <c r="F3911" s="12">
        <v>40716.798634259263</v>
      </c>
      <c r="G3911" s="17" t="s">
        <v>13000</v>
      </c>
      <c r="H3911" s="35" t="s">
        <v>2608</v>
      </c>
      <c r="I3911" s="18" t="s">
        <v>2609</v>
      </c>
    </row>
    <row r="3912" spans="1:9" s="33" customFormat="1" ht="45">
      <c r="A3912" s="12">
        <v>43579.762499999997</v>
      </c>
      <c r="B3912" s="13" t="str">
        <f>HYPERLINK("https://twitter.com/aheartforafrica","@aheartforafrica")</f>
        <v>@aheartforafrica</v>
      </c>
      <c r="C3912" s="14" t="s">
        <v>460</v>
      </c>
      <c r="D3912" s="15" t="s">
        <v>461</v>
      </c>
      <c r="E3912" s="16" t="str">
        <f>HYPERLINK("https://buffer.com","Buffer")</f>
        <v>Buffer</v>
      </c>
      <c r="F3912" s="12">
        <v>41387.368298611109</v>
      </c>
      <c r="G3912" s="17" t="s">
        <v>13000</v>
      </c>
      <c r="H3912" s="35" t="s">
        <v>462</v>
      </c>
      <c r="I3912" s="18" t="s">
        <v>463</v>
      </c>
    </row>
    <row r="3913" spans="1:9" s="33" customFormat="1" ht="105">
      <c r="A3913" s="4">
        <v>43560.312592592592</v>
      </c>
      <c r="B3913" s="5" t="str">
        <f>HYPERLINK("https://twitter.com/EddiePitch","@EddiePitch")</f>
        <v>@EddiePitch</v>
      </c>
      <c r="C3913" s="6" t="s">
        <v>11458</v>
      </c>
      <c r="D3913" s="7" t="s">
        <v>11459</v>
      </c>
      <c r="E3913" s="8" t="str">
        <f>HYPERLINK("http://twitter.com/download/iphone","Twitter for iPhone")</f>
        <v>Twitter for iPhone</v>
      </c>
      <c r="F3913" s="4">
        <v>41712.746689814812</v>
      </c>
      <c r="G3913" s="9" t="s">
        <v>13000</v>
      </c>
      <c r="H3913" s="35" t="s">
        <v>11460</v>
      </c>
      <c r="I3913" s="10" t="s">
        <v>11461</v>
      </c>
    </row>
    <row r="3914" spans="1:9" s="33" customFormat="1" ht="75">
      <c r="A3914" s="4">
        <v>43561.679965277777</v>
      </c>
      <c r="B3914" s="5" t="str">
        <f>HYPERLINK("https://twitter.com/FrancisDMillet","@FrancisDMillet")</f>
        <v>@FrancisDMillet</v>
      </c>
      <c r="C3914" s="6" t="s">
        <v>10870</v>
      </c>
      <c r="D3914" s="7" t="s">
        <v>10871</v>
      </c>
      <c r="E3914" s="8" t="str">
        <f>HYPERLINK("http://twitter.com/#!/download/ipad","Twitter for iPad")</f>
        <v>Twitter for iPad</v>
      </c>
      <c r="F3914" s="4">
        <v>40801.222442129627</v>
      </c>
      <c r="G3914" s="9" t="s">
        <v>13000</v>
      </c>
      <c r="H3914" s="35" t="s">
        <v>10872</v>
      </c>
      <c r="I3914" s="10" t="s">
        <v>10873</v>
      </c>
    </row>
    <row r="3915" spans="1:9" s="33" customFormat="1" ht="105">
      <c r="A3915" s="19">
        <v>43546.428865740745</v>
      </c>
      <c r="B3915" s="20" t="str">
        <f>HYPERLINK("https://twitter.com/iBootLegBeckyy","@iBootLegBeckyy")</f>
        <v>@iBootLegBeckyy</v>
      </c>
      <c r="C3915" s="21" t="s">
        <v>8861</v>
      </c>
      <c r="D3915" s="22" t="s">
        <v>8862</v>
      </c>
      <c r="E3915" s="23" t="str">
        <f>HYPERLINK("http://twitter.com/download/iphone","Twitter for iPhone")</f>
        <v>Twitter for iPhone</v>
      </c>
      <c r="F3915" s="19">
        <v>40224.085046296299</v>
      </c>
      <c r="G3915" s="24" t="s">
        <v>13000</v>
      </c>
      <c r="H3915" s="35" t="s">
        <v>8863</v>
      </c>
      <c r="I3915" s="25" t="s">
        <v>8864</v>
      </c>
    </row>
    <row r="3916" spans="1:9" s="33" customFormat="1" ht="90">
      <c r="A3916" s="12">
        <v>43577.8203125</v>
      </c>
      <c r="B3916" s="13" t="str">
        <f>HYPERLINK("https://twitter.com/rebeccadactyl","@rebeccadactyl")</f>
        <v>@rebeccadactyl</v>
      </c>
      <c r="C3916" s="14" t="s">
        <v>1489</v>
      </c>
      <c r="D3916" s="15" t="s">
        <v>1490</v>
      </c>
      <c r="E3916" s="16" t="str">
        <f>HYPERLINK("http://twitter.com/#!/download/ipad","Twitter for iPad")</f>
        <v>Twitter for iPad</v>
      </c>
      <c r="F3916" s="12">
        <v>41033.799178240741</v>
      </c>
      <c r="G3916" s="9" t="s">
        <v>13000</v>
      </c>
      <c r="H3916" s="35" t="s">
        <v>1491</v>
      </c>
      <c r="I3916" s="18" t="s">
        <v>1492</v>
      </c>
    </row>
    <row r="3917" spans="1:9" s="33" customFormat="1" ht="75">
      <c r="A3917" s="4">
        <v>43559.3752662037</v>
      </c>
      <c r="B3917" s="5" t="str">
        <f>HYPERLINK("https://twitter.com/evolution_foto","@evolution_foto")</f>
        <v>@evolution_foto</v>
      </c>
      <c r="C3917" s="6" t="s">
        <v>11870</v>
      </c>
      <c r="D3917" s="7" t="s">
        <v>11871</v>
      </c>
      <c r="E3917" s="8" t="str">
        <f>HYPERLINK("https://www.socialreport.com","SocialReport.com")</f>
        <v>SocialReport.com</v>
      </c>
      <c r="F3917" s="4">
        <v>43362.844594907408</v>
      </c>
      <c r="G3917" s="9" t="s">
        <v>13000</v>
      </c>
      <c r="H3917" s="35" t="s">
        <v>11872</v>
      </c>
      <c r="I3917" s="10" t="s">
        <v>11873</v>
      </c>
    </row>
    <row r="3918" spans="1:9" s="33" customFormat="1" ht="60">
      <c r="A3918" s="4">
        <v>43558.514745370368</v>
      </c>
      <c r="B3918" s="5" t="str">
        <f>HYPERLINK("https://twitter.com/kayweena","@kayweena")</f>
        <v>@kayweena</v>
      </c>
      <c r="C3918" s="6" t="s">
        <v>12146</v>
      </c>
      <c r="D3918" s="7" t="s">
        <v>12147</v>
      </c>
      <c r="E3918" s="8" t="str">
        <f>HYPERLINK("http://twitter.com/download/iphone","Twitter for iPhone")</f>
        <v>Twitter for iPhone</v>
      </c>
      <c r="F3918" s="4">
        <v>40492.927777777775</v>
      </c>
      <c r="G3918" s="9" t="s">
        <v>13000</v>
      </c>
      <c r="H3918" s="35" t="s">
        <v>11872</v>
      </c>
      <c r="I3918" s="10" t="s">
        <v>12148</v>
      </c>
    </row>
    <row r="3919" spans="1:9" s="33" customFormat="1" ht="90">
      <c r="A3919" s="12">
        <v>43579.929849537039</v>
      </c>
      <c r="B3919" s="13" t="str">
        <f>HYPERLINK("https://twitter.com/COSkiChairs","@COSkiChairs")</f>
        <v>@COSkiChairs</v>
      </c>
      <c r="C3919" s="14" t="s">
        <v>390</v>
      </c>
      <c r="D3919" s="15" t="s">
        <v>391</v>
      </c>
      <c r="E3919" s="16" t="str">
        <f>HYPERLINK("https://ifttt.com","IFTTT")</f>
        <v>IFTTT</v>
      </c>
      <c r="F3919" s="12">
        <v>41510.603576388887</v>
      </c>
      <c r="G3919" s="17" t="s">
        <v>13000</v>
      </c>
      <c r="H3919" s="35" t="s">
        <v>392</v>
      </c>
      <c r="I3919" s="18" t="s">
        <v>393</v>
      </c>
    </row>
    <row r="3920" spans="1:9" s="33" customFormat="1" ht="90">
      <c r="A3920" s="4">
        <v>43565.657453703709</v>
      </c>
      <c r="B3920" s="5" t="str">
        <f>HYPERLINK("https://twitter.com/LeftTravel","@LeftTravel")</f>
        <v>@LeftTravel</v>
      </c>
      <c r="C3920" s="6" t="s">
        <v>5961</v>
      </c>
      <c r="D3920" s="7" t="s">
        <v>5962</v>
      </c>
      <c r="E3920" s="8" t="str">
        <f>HYPERLINK("http://twitter.com","Twitter Web Client")</f>
        <v>Twitter Web Client</v>
      </c>
      <c r="F3920" s="4">
        <v>43151.499548611115</v>
      </c>
      <c r="G3920" s="17" t="s">
        <v>13000</v>
      </c>
      <c r="H3920" s="35" t="s">
        <v>5963</v>
      </c>
      <c r="I3920" s="10" t="s">
        <v>5964</v>
      </c>
    </row>
    <row r="3921" spans="1:9" s="33" customFormat="1" ht="45">
      <c r="A3921" s="4">
        <v>43563.459687499999</v>
      </c>
      <c r="B3921" s="5" t="str">
        <f>HYPERLINK("https://twitter.com/themayas","@themayas")</f>
        <v>@themayas</v>
      </c>
      <c r="C3921" s="6" t="s">
        <v>10276</v>
      </c>
      <c r="D3921" s="7" t="s">
        <v>10277</v>
      </c>
      <c r="E3921" s="8" t="str">
        <f>HYPERLINK("http://instagram.com","Instagram")</f>
        <v>Instagram</v>
      </c>
      <c r="F3921" s="4">
        <v>39847.499699074076</v>
      </c>
      <c r="G3921" s="9" t="s">
        <v>13000</v>
      </c>
      <c r="H3921" s="35" t="s">
        <v>10278</v>
      </c>
      <c r="I3921" s="10" t="s">
        <v>10279</v>
      </c>
    </row>
    <row r="3922" spans="1:9" s="33" customFormat="1" ht="90">
      <c r="A3922" s="12">
        <v>43573.492303240739</v>
      </c>
      <c r="B3922" s="13" t="str">
        <f>HYPERLINK("https://twitter.com/Hello_Society","@Hello_Society")</f>
        <v>@Hello_Society</v>
      </c>
      <c r="C3922" s="14" t="s">
        <v>2838</v>
      </c>
      <c r="D3922" s="15" t="s">
        <v>2839</v>
      </c>
      <c r="E3922" s="16" t="str">
        <f>HYPERLINK("https://ifttt.com","IFTTT")</f>
        <v>IFTTT</v>
      </c>
      <c r="F3922" s="12">
        <v>41121.462627314817</v>
      </c>
      <c r="G3922" s="17" t="s">
        <v>13000</v>
      </c>
      <c r="H3922" s="35" t="s">
        <v>2840</v>
      </c>
      <c r="I3922" s="18" t="s">
        <v>2841</v>
      </c>
    </row>
    <row r="3923" spans="1:9" s="33" customFormat="1" ht="45">
      <c r="A3923" s="12">
        <v>43575.250949074078</v>
      </c>
      <c r="B3923" s="13" t="str">
        <f>HYPERLINK("https://twitter.com/DewshiLaw","@DewshiLaw")</f>
        <v>@DewshiLaw</v>
      </c>
      <c r="C3923" s="14" t="s">
        <v>2324</v>
      </c>
      <c r="D3923" s="15" t="s">
        <v>2325</v>
      </c>
      <c r="E3923" s="16" t="str">
        <f>HYPERLINK("https://www.hootsuite.com","Hootsuite Inc.")</f>
        <v>Hootsuite Inc.</v>
      </c>
      <c r="F3923" s="12">
        <v>43479.361331018517</v>
      </c>
      <c r="G3923" s="17" t="s">
        <v>13000</v>
      </c>
      <c r="H3923" s="35" t="s">
        <v>2326</v>
      </c>
      <c r="I3923" s="18" t="s">
        <v>2327</v>
      </c>
    </row>
    <row r="3924" spans="1:9" s="33" customFormat="1" ht="180">
      <c r="A3924" s="19">
        <v>43547.512685185182</v>
      </c>
      <c r="B3924" s="20" t="str">
        <f>HYPERLINK("https://twitter.com/DBerndt7","@DBerndt7")</f>
        <v>@DBerndt7</v>
      </c>
      <c r="C3924" s="21" t="s">
        <v>8520</v>
      </c>
      <c r="D3924" s="22" t="s">
        <v>8521</v>
      </c>
      <c r="E3924" s="23" t="str">
        <f>HYPERLINK("http://twitter.com","Twitter Web Client")</f>
        <v>Twitter Web Client</v>
      </c>
      <c r="F3924" s="19">
        <v>42013.602476851855</v>
      </c>
      <c r="G3924" s="17" t="s">
        <v>13000</v>
      </c>
      <c r="H3924" s="35" t="s">
        <v>472</v>
      </c>
      <c r="I3924" s="25" t="s">
        <v>8522</v>
      </c>
    </row>
    <row r="3925" spans="1:9" s="33" customFormat="1" ht="90">
      <c r="A3925" s="12">
        <v>43579.7503125</v>
      </c>
      <c r="B3925" s="13" t="str">
        <f>HYPERLINK("https://twitter.com/GeekQuestioner","@GeekQuestioner")</f>
        <v>@GeekQuestioner</v>
      </c>
      <c r="C3925" s="14" t="s">
        <v>470</v>
      </c>
      <c r="D3925" s="15" t="s">
        <v>471</v>
      </c>
      <c r="E3925" s="16" t="str">
        <f>HYPERLINK("https://www.hootsuite.com","Hootsuite Inc.")</f>
        <v>Hootsuite Inc.</v>
      </c>
      <c r="F3925" s="12">
        <v>41797.443831018521</v>
      </c>
      <c r="G3925" s="17" t="s">
        <v>13000</v>
      </c>
      <c r="H3925" s="35" t="s">
        <v>472</v>
      </c>
      <c r="I3925" s="18" t="s">
        <v>473</v>
      </c>
    </row>
    <row r="3926" spans="1:9" s="33" customFormat="1" ht="90">
      <c r="A3926" s="19">
        <v>43546.507974537039</v>
      </c>
      <c r="B3926" s="20" t="str">
        <f>HYPERLINK("https://twitter.com/HueloPointBnB","@HueloPointBnB")</f>
        <v>@HueloPointBnB</v>
      </c>
      <c r="C3926" s="21" t="s">
        <v>8818</v>
      </c>
      <c r="D3926" s="22" t="s">
        <v>8819</v>
      </c>
      <c r="E3926" s="23" t="str">
        <f>HYPERLINK("http://instagram.com","Instagram")</f>
        <v>Instagram</v>
      </c>
      <c r="F3926" s="19">
        <v>40120.341805555552</v>
      </c>
      <c r="G3926" s="17" t="s">
        <v>13000</v>
      </c>
      <c r="H3926" s="35" t="s">
        <v>8820</v>
      </c>
      <c r="I3926" s="25" t="s">
        <v>8821</v>
      </c>
    </row>
    <row r="3927" spans="1:9" s="33" customFormat="1" ht="75">
      <c r="A3927" s="12">
        <v>43576.826018518521</v>
      </c>
      <c r="B3927" s="13" t="str">
        <f>HYPERLINK("https://twitter.com/DominicGBrown","@DominicGBrown")</f>
        <v>@DominicGBrown</v>
      </c>
      <c r="C3927" s="14" t="s">
        <v>1817</v>
      </c>
      <c r="D3927" s="15" t="s">
        <v>1818</v>
      </c>
      <c r="E3927" s="16" t="str">
        <f>HYPERLINK("http://twitter.com/download/android","Twitter for Android")</f>
        <v>Twitter for Android</v>
      </c>
      <c r="F3927" s="12">
        <v>40919.775914351849</v>
      </c>
      <c r="G3927" s="17" t="s">
        <v>13000</v>
      </c>
      <c r="H3927" s="35" t="s">
        <v>1819</v>
      </c>
      <c r="I3927" s="18" t="s">
        <v>1820</v>
      </c>
    </row>
    <row r="3928" spans="1:9" s="33" customFormat="1" ht="30">
      <c r="A3928" s="4">
        <v>43564.250856481478</v>
      </c>
      <c r="B3928" s="5" t="str">
        <f>HYPERLINK("https://twitter.com/gregcollier","@gregcollier")</f>
        <v>@gregcollier</v>
      </c>
      <c r="C3928" s="6" t="s">
        <v>6714</v>
      </c>
      <c r="D3928" s="7" t="s">
        <v>6715</v>
      </c>
      <c r="E3928" s="8" t="str">
        <f>HYPERLINK("http://twitter.com","Twitter Web Client")</f>
        <v>Twitter Web Client</v>
      </c>
      <c r="F3928" s="4">
        <v>39821.486018518517</v>
      </c>
      <c r="G3928" s="17" t="s">
        <v>13000</v>
      </c>
      <c r="H3928" s="35" t="s">
        <v>6716</v>
      </c>
      <c r="I3928" s="10" t="s">
        <v>6717</v>
      </c>
    </row>
    <row r="3929" spans="1:9" s="33" customFormat="1" ht="30">
      <c r="A3929" s="19">
        <v>43551.701678240745</v>
      </c>
      <c r="B3929" s="20" t="str">
        <f>HYPERLINK("https://twitter.com/chakazula","@chakazula")</f>
        <v>@chakazula</v>
      </c>
      <c r="C3929" s="21" t="s">
        <v>7030</v>
      </c>
      <c r="D3929" s="22" t="s">
        <v>7031</v>
      </c>
      <c r="E3929" s="23" t="str">
        <f>HYPERLINK("http://twitter.com/download/android","Twitter for Android")</f>
        <v>Twitter for Android</v>
      </c>
      <c r="F3929" s="19">
        <v>39916.096562500003</v>
      </c>
      <c r="G3929" s="24" t="s">
        <v>13000</v>
      </c>
      <c r="H3929" s="35" t="s">
        <v>7032</v>
      </c>
      <c r="I3929" s="25" t="s">
        <v>7033</v>
      </c>
    </row>
    <row r="3930" spans="1:9" s="33" customFormat="1" ht="75">
      <c r="A3930" s="12">
        <v>43577.026874999996</v>
      </c>
      <c r="B3930" s="13" t="str">
        <f>HYPERLINK("https://twitter.com/Splaktar","@Splaktar")</f>
        <v>@Splaktar</v>
      </c>
      <c r="C3930" s="14" t="s">
        <v>1774</v>
      </c>
      <c r="D3930" s="15" t="s">
        <v>1775</v>
      </c>
      <c r="E3930" s="16" t="str">
        <f>HYPERLINK("http://twitter.com/download/android","Twitter for Android")</f>
        <v>Twitter for Android</v>
      </c>
      <c r="F3930" s="12">
        <v>41101.485023148147</v>
      </c>
      <c r="G3930" s="17" t="s">
        <v>13000</v>
      </c>
      <c r="H3930" s="35" t="s">
        <v>1776</v>
      </c>
      <c r="I3930" s="18" t="s">
        <v>1777</v>
      </c>
    </row>
    <row r="3931" spans="1:9" s="33" customFormat="1" ht="90">
      <c r="A3931" s="12">
        <v>43568.032337962963</v>
      </c>
      <c r="B3931" s="13" t="str">
        <f>HYPERLINK("https://twitter.com/Splaktar","@Splaktar")</f>
        <v>@Splaktar</v>
      </c>
      <c r="C3931" s="14" t="s">
        <v>1774</v>
      </c>
      <c r="D3931" s="15" t="s">
        <v>4895</v>
      </c>
      <c r="E3931" s="16" t="str">
        <f>HYPERLINK("http://twitter.com/download/android","Twitter for Android")</f>
        <v>Twitter for Android</v>
      </c>
      <c r="F3931" s="12">
        <v>41101.485023148147</v>
      </c>
      <c r="G3931" s="17" t="s">
        <v>13000</v>
      </c>
      <c r="H3931" s="35" t="s">
        <v>1776</v>
      </c>
      <c r="I3931" s="18" t="s">
        <v>1777</v>
      </c>
    </row>
    <row r="3932" spans="1:9" s="33" customFormat="1" ht="75">
      <c r="A3932" s="12">
        <v>43570.456099537041</v>
      </c>
      <c r="B3932" s="13" t="str">
        <f>HYPERLINK("https://twitter.com/JohnFrazierJr","@JohnFrazierJr")</f>
        <v>@JohnFrazierJr</v>
      </c>
      <c r="C3932" s="14" t="s">
        <v>4137</v>
      </c>
      <c r="D3932" s="15" t="s">
        <v>4138</v>
      </c>
      <c r="E3932" s="16" t="str">
        <f>HYPERLINK("https://mobile.twitter.com","Twitter Web App")</f>
        <v>Twitter Web App</v>
      </c>
      <c r="F3932" s="12">
        <v>40760.64943287037</v>
      </c>
      <c r="G3932" s="17" t="s">
        <v>13000</v>
      </c>
      <c r="H3932" s="35" t="s">
        <v>4139</v>
      </c>
      <c r="I3932" s="18" t="s">
        <v>4140</v>
      </c>
    </row>
    <row r="3933" spans="1:9" s="33" customFormat="1" ht="90">
      <c r="A3933" s="19">
        <v>43544.541874999995</v>
      </c>
      <c r="B3933" s="20" t="str">
        <f>HYPERLINK("https://twitter.com/happyhandsclean","@happyhandsclean")</f>
        <v>@happyhandsclean</v>
      </c>
      <c r="C3933" s="21" t="s">
        <v>9421</v>
      </c>
      <c r="D3933" s="22" t="s">
        <v>9422</v>
      </c>
      <c r="E3933" s="23" t="str">
        <f>HYPERLINK("https://www.hootsuite.com","Hootsuite Inc.")</f>
        <v>Hootsuite Inc.</v>
      </c>
      <c r="F3933" s="19">
        <v>43439.53634259259</v>
      </c>
      <c r="G3933" s="24" t="s">
        <v>13000</v>
      </c>
      <c r="H3933" s="35" t="s">
        <v>9423</v>
      </c>
      <c r="I3933" s="25" t="s">
        <v>9424</v>
      </c>
    </row>
    <row r="3934" spans="1:9" s="33" customFormat="1" ht="45">
      <c r="A3934" s="19">
        <v>43547.579444444447</v>
      </c>
      <c r="B3934" s="20" t="str">
        <f>HYPERLINK("https://twitter.com/ajamitrano","@ajamitrano")</f>
        <v>@ajamitrano</v>
      </c>
      <c r="C3934" s="21" t="s">
        <v>8501</v>
      </c>
      <c r="D3934" s="22" t="s">
        <v>8502</v>
      </c>
      <c r="E3934" s="23" t="str">
        <f>HYPERLINK("https://www.circlepix.com/","Circlepix")</f>
        <v>Circlepix</v>
      </c>
      <c r="F3934" s="19">
        <v>39898.773726851854</v>
      </c>
      <c r="G3934" s="24" t="s">
        <v>13000</v>
      </c>
      <c r="H3934" s="35" t="s">
        <v>8503</v>
      </c>
      <c r="I3934" s="25" t="s">
        <v>8504</v>
      </c>
    </row>
    <row r="3935" spans="1:9" s="33" customFormat="1" ht="75">
      <c r="A3935" s="19">
        <v>43543.594039351854</v>
      </c>
      <c r="B3935" s="20" t="str">
        <f>HYPERLINK("https://twitter.com/1JeffDumas","@1JeffDumas")</f>
        <v>@1JeffDumas</v>
      </c>
      <c r="C3935" s="21" t="s">
        <v>5374</v>
      </c>
      <c r="D3935" s="22" t="s">
        <v>9744</v>
      </c>
      <c r="E3935" s="23" t="str">
        <f>HYPERLINK("http://instagram.com","Instagram")</f>
        <v>Instagram</v>
      </c>
      <c r="F3935" s="19">
        <v>39960.385682870372</v>
      </c>
      <c r="G3935" s="24" t="s">
        <v>13000</v>
      </c>
      <c r="H3935" s="35" t="s">
        <v>4029</v>
      </c>
      <c r="I3935" s="25" t="s">
        <v>5376</v>
      </c>
    </row>
    <row r="3936" spans="1:9" s="33" customFormat="1" ht="60">
      <c r="A3936" s="12">
        <v>43570.6</v>
      </c>
      <c r="B3936" s="13" t="str">
        <f>HYPERLINK("https://twitter.com/SWEastMesa","@SWEastMesa")</f>
        <v>@SWEastMesa</v>
      </c>
      <c r="C3936" s="14" t="s">
        <v>4027</v>
      </c>
      <c r="D3936" s="15" t="s">
        <v>4028</v>
      </c>
      <c r="E3936" s="16" t="str">
        <f>HYPERLINK("https://about.twitter.com/products/tweetdeck","TweetDeck")</f>
        <v>TweetDeck</v>
      </c>
      <c r="F3936" s="12">
        <v>43455.516527777778</v>
      </c>
      <c r="G3936" s="24" t="s">
        <v>13000</v>
      </c>
      <c r="H3936" s="35" t="s">
        <v>4029</v>
      </c>
      <c r="I3936" s="18" t="s">
        <v>4030</v>
      </c>
    </row>
    <row r="3937" spans="1:9" s="33" customFormat="1" ht="30">
      <c r="A3937" s="12">
        <v>43566.675451388888</v>
      </c>
      <c r="B3937" s="13" t="str">
        <f>HYPERLINK("https://twitter.com/1JeffDumas","@1JeffDumas")</f>
        <v>@1JeffDumas</v>
      </c>
      <c r="C3937" s="14" t="s">
        <v>5374</v>
      </c>
      <c r="D3937" s="15" t="s">
        <v>5375</v>
      </c>
      <c r="E3937" s="16" t="str">
        <f>HYPERLINK("http://www.facebook.com/twitter","Facebook")</f>
        <v>Facebook</v>
      </c>
      <c r="F3937" s="12">
        <v>39960.385682870372</v>
      </c>
      <c r="G3937" s="24" t="s">
        <v>13000</v>
      </c>
      <c r="H3937" s="35" t="s">
        <v>4029</v>
      </c>
      <c r="I3937" s="18" t="s">
        <v>5376</v>
      </c>
    </row>
    <row r="3938" spans="1:9" s="33" customFormat="1" ht="75">
      <c r="A3938" s="12">
        <v>43566.597928240742</v>
      </c>
      <c r="B3938" s="13" t="str">
        <f>HYPERLINK("https://twitter.com/SWEastMesa","@SWEastMesa")</f>
        <v>@SWEastMesa</v>
      </c>
      <c r="C3938" s="14" t="s">
        <v>4027</v>
      </c>
      <c r="D3938" s="15" t="s">
        <v>5414</v>
      </c>
      <c r="E3938" s="16" t="str">
        <f>HYPERLINK("https://about.twitter.com/products/tweetdeck","TweetDeck")</f>
        <v>TweetDeck</v>
      </c>
      <c r="F3938" s="12">
        <v>43455.516527777778</v>
      </c>
      <c r="G3938" s="24" t="s">
        <v>13000</v>
      </c>
      <c r="H3938" s="35" t="s">
        <v>4029</v>
      </c>
      <c r="I3938" s="18" t="s">
        <v>4030</v>
      </c>
    </row>
    <row r="3939" spans="1:9" s="33" customFormat="1" ht="60">
      <c r="A3939" s="19">
        <v>43551.253553240742</v>
      </c>
      <c r="B3939" s="20" t="str">
        <f>HYPERLINK("https://twitter.com/EstrellaGustavo","@EstrellaGustavo")</f>
        <v>@EstrellaGustavo</v>
      </c>
      <c r="C3939" s="21" t="s">
        <v>7377</v>
      </c>
      <c r="D3939" s="22" t="s">
        <v>7378</v>
      </c>
      <c r="E3939" s="23" t="str">
        <f>HYPERLINK("https://buffer.com","Buffer")</f>
        <v>Buffer</v>
      </c>
      <c r="F3939" s="19">
        <v>40657.398912037039</v>
      </c>
      <c r="G3939" s="24" t="s">
        <v>13000</v>
      </c>
      <c r="H3939" s="35" t="s">
        <v>7379</v>
      </c>
      <c r="I3939" s="25" t="s">
        <v>7380</v>
      </c>
    </row>
    <row r="3940" spans="1:9" s="33" customFormat="1" ht="90">
      <c r="A3940" s="19">
        <v>43543.398368055554</v>
      </c>
      <c r="B3940" s="20" t="str">
        <f>HYPERLINK("https://twitter.com/elesconditeZih","@elesconditeZih")</f>
        <v>@elesconditeZih</v>
      </c>
      <c r="C3940" s="21" t="s">
        <v>9824</v>
      </c>
      <c r="D3940" s="22" t="s">
        <v>9825</v>
      </c>
      <c r="E3940" s="23" t="str">
        <f>HYPERLINK("http://twitter.com","Twitter Web Client")</f>
        <v>Twitter Web Client</v>
      </c>
      <c r="F3940" s="19">
        <v>43457.383425925931</v>
      </c>
      <c r="G3940" s="17" t="s">
        <v>13000</v>
      </c>
      <c r="H3940" s="35" t="s">
        <v>5084</v>
      </c>
      <c r="I3940" s="25"/>
    </row>
    <row r="3941" spans="1:9" s="33" customFormat="1" ht="60">
      <c r="A3941" s="19">
        <v>43542.500810185185</v>
      </c>
      <c r="B3941" s="20" t="str">
        <f>HYPERLINK("https://twitter.com/elesconditeZih","@elesconditeZih")</f>
        <v>@elesconditeZih</v>
      </c>
      <c r="C3941" s="21" t="s">
        <v>9824</v>
      </c>
      <c r="D3941" s="22" t="s">
        <v>10133</v>
      </c>
      <c r="E3941" s="23" t="str">
        <f>HYPERLINK("https://mobile.twitter.com","Twitter Web App")</f>
        <v>Twitter Web App</v>
      </c>
      <c r="F3941" s="19">
        <v>43457.383425925931</v>
      </c>
      <c r="G3941" s="17" t="s">
        <v>13000</v>
      </c>
      <c r="H3941" s="35" t="s">
        <v>5084</v>
      </c>
      <c r="I3941" s="25"/>
    </row>
    <row r="3942" spans="1:9" s="33" customFormat="1" ht="90">
      <c r="A3942" s="4">
        <v>43559.633229166662</v>
      </c>
      <c r="B3942" s="5" t="str">
        <f>HYPERLINK("https://twitter.com/MommyandKhitak1","@MommyandKhitak1")</f>
        <v>@MommyandKhitak1</v>
      </c>
      <c r="C3942" s="6" t="s">
        <v>11726</v>
      </c>
      <c r="D3942" s="7" t="s">
        <v>11727</v>
      </c>
      <c r="E3942" s="8" t="str">
        <f>HYPERLINK("https://mobile.twitter.com","Twitter Web App")</f>
        <v>Twitter Web App</v>
      </c>
      <c r="F3942" s="4">
        <v>43543.814942129626</v>
      </c>
      <c r="G3942" s="17" t="s">
        <v>13000</v>
      </c>
      <c r="H3942" s="35" t="s">
        <v>5084</v>
      </c>
      <c r="I3942" s="10" t="s">
        <v>11728</v>
      </c>
    </row>
    <row r="3943" spans="1:9" s="33" customFormat="1" ht="30">
      <c r="A3943" s="12">
        <v>43567.49790509259</v>
      </c>
      <c r="B3943" s="13" t="str">
        <f>HYPERLINK("https://twitter.com/yatayoye","@yatayoye")</f>
        <v>@yatayoye</v>
      </c>
      <c r="C3943" s="14" t="s">
        <v>5082</v>
      </c>
      <c r="D3943" s="15" t="s">
        <v>5083</v>
      </c>
      <c r="E3943" s="16" t="str">
        <f>HYPERLINK("http://twitter.com/download/iphone","Twitter for iPhone")</f>
        <v>Twitter for iPhone</v>
      </c>
      <c r="F3943" s="12">
        <v>40290.377384259264</v>
      </c>
      <c r="G3943" s="17" t="s">
        <v>13000</v>
      </c>
      <c r="H3943" s="35" t="s">
        <v>5084</v>
      </c>
      <c r="I3943" s="18" t="s">
        <v>5085</v>
      </c>
    </row>
    <row r="3944" spans="1:9" s="33" customFormat="1" ht="30">
      <c r="A3944" s="12">
        <v>43567.493287037039</v>
      </c>
      <c r="B3944" s="13" t="str">
        <f>HYPERLINK("https://twitter.com/yatayoye","@yatayoye")</f>
        <v>@yatayoye</v>
      </c>
      <c r="C3944" s="14" t="s">
        <v>5082</v>
      </c>
      <c r="D3944" s="15" t="s">
        <v>5083</v>
      </c>
      <c r="E3944" s="16" t="str">
        <f>HYPERLINK("http://twitter.com/download/iphone","Twitter for iPhone")</f>
        <v>Twitter for iPhone</v>
      </c>
      <c r="F3944" s="12">
        <v>40290.377384259264</v>
      </c>
      <c r="G3944" s="17" t="s">
        <v>13000</v>
      </c>
      <c r="H3944" s="35" t="s">
        <v>5084</v>
      </c>
      <c r="I3944" s="18" t="s">
        <v>5085</v>
      </c>
    </row>
    <row r="3945" spans="1:9" s="33" customFormat="1" ht="45">
      <c r="A3945" s="12">
        <v>43565.34211805556</v>
      </c>
      <c r="B3945" s="13" t="str">
        <f>HYPERLINK("https://twitter.com/LeavingHolland","@LeavingHolland")</f>
        <v>@LeavingHolland</v>
      </c>
      <c r="C3945" s="14" t="s">
        <v>6156</v>
      </c>
      <c r="D3945" s="15" t="s">
        <v>6157</v>
      </c>
      <c r="E3945" s="16" t="str">
        <f>HYPERLINK("http://twitter.com","Twitter Web Client")</f>
        <v>Twitter Web Client</v>
      </c>
      <c r="F3945" s="12">
        <v>41920.136817129627</v>
      </c>
      <c r="G3945" s="17" t="s">
        <v>13000</v>
      </c>
      <c r="H3945" s="35" t="s">
        <v>5084</v>
      </c>
      <c r="I3945" s="18" t="s">
        <v>6158</v>
      </c>
    </row>
    <row r="3946" spans="1:9" s="33" customFormat="1" ht="15">
      <c r="A3946" s="12">
        <v>43570.45103009259</v>
      </c>
      <c r="B3946" s="13" t="str">
        <f>HYPERLINK("https://twitter.com/koobos","@koobos")</f>
        <v>@koobos</v>
      </c>
      <c r="C3946" s="14" t="s">
        <v>4143</v>
      </c>
      <c r="D3946" s="15" t="s">
        <v>4144</v>
      </c>
      <c r="E3946" s="16" t="str">
        <f>HYPERLINK("http://twitter.com/download/iphone","Twitter for iPhone")</f>
        <v>Twitter for iPhone</v>
      </c>
      <c r="F3946" s="12">
        <v>40197.794791666667</v>
      </c>
      <c r="G3946" s="17" t="s">
        <v>13000</v>
      </c>
      <c r="H3946" s="35" t="s">
        <v>4145</v>
      </c>
      <c r="I3946" s="18" t="s">
        <v>4146</v>
      </c>
    </row>
    <row r="3947" spans="1:9" s="33" customFormat="1" ht="75">
      <c r="A3947" s="4">
        <v>43557.827106481476</v>
      </c>
      <c r="B3947" s="5" t="str">
        <f>HYPERLINK("https://twitter.com/gomangomexico","@gomangomexico")</f>
        <v>@gomangomexico</v>
      </c>
      <c r="C3947" s="6" t="s">
        <v>12383</v>
      </c>
      <c r="D3947" s="7" t="s">
        <v>12384</v>
      </c>
      <c r="E3947" s="8" t="str">
        <f>HYPERLINK("https://ifttt.com","IFTTT")</f>
        <v>IFTTT</v>
      </c>
      <c r="F3947" s="4">
        <v>41403.98474537037</v>
      </c>
      <c r="G3947" s="17" t="s">
        <v>13000</v>
      </c>
      <c r="H3947" s="35" t="s">
        <v>12385</v>
      </c>
      <c r="I3947" s="10" t="s">
        <v>12386</v>
      </c>
    </row>
    <row r="3948" spans="1:9" s="33" customFormat="1" ht="90">
      <c r="A3948" s="4">
        <v>43560.364895833336</v>
      </c>
      <c r="B3948" s="5" t="str">
        <f>HYPERLINK("https://twitter.com/Sleeping_Dahlia","@Sleeping_Dahlia")</f>
        <v>@Sleeping_Dahlia</v>
      </c>
      <c r="C3948" s="6" t="s">
        <v>11420</v>
      </c>
      <c r="D3948" s="7" t="s">
        <v>11421</v>
      </c>
      <c r="E3948" s="8" t="str">
        <f>HYPERLINK("http://twitter.com/download/iphone","Twitter for iPhone")</f>
        <v>Twitter for iPhone</v>
      </c>
      <c r="F3948" s="4">
        <v>40608.037141203706</v>
      </c>
      <c r="G3948" s="17" t="s">
        <v>13000</v>
      </c>
      <c r="H3948" s="35" t="s">
        <v>11422</v>
      </c>
      <c r="I3948" s="10" t="s">
        <v>11423</v>
      </c>
    </row>
    <row r="3949" spans="1:9" s="33" customFormat="1" ht="45">
      <c r="A3949" s="4">
        <v>43557.535555555558</v>
      </c>
      <c r="B3949" s="5" t="str">
        <f>HYPERLINK("https://twitter.com/doubledutydaddy","@doubledutydaddy")</f>
        <v>@doubledutydaddy</v>
      </c>
      <c r="C3949" s="6" t="s">
        <v>12476</v>
      </c>
      <c r="D3949" s="7" t="s">
        <v>12477</v>
      </c>
      <c r="E3949" s="8" t="str">
        <f>HYPERLINK("http://twitter.com/download/iphone","Twitter for iPhone")</f>
        <v>Twitter for iPhone</v>
      </c>
      <c r="F3949" s="4">
        <v>39945.599768518521</v>
      </c>
      <c r="G3949" s="17" t="s">
        <v>13000</v>
      </c>
      <c r="H3949" s="35" t="s">
        <v>12478</v>
      </c>
      <c r="I3949" s="10" t="s">
        <v>12479</v>
      </c>
    </row>
    <row r="3950" spans="1:9" s="33" customFormat="1" ht="75">
      <c r="A3950" s="12">
        <v>43578.377129629633</v>
      </c>
      <c r="B3950" s="13" t="str">
        <f>HYPERLINK("https://twitter.com/RosaOliveros18","@RosaOliveros18")</f>
        <v>@RosaOliveros18</v>
      </c>
      <c r="C3950" s="14" t="s">
        <v>1259</v>
      </c>
      <c r="D3950" s="15" t="s">
        <v>996</v>
      </c>
      <c r="E3950" s="16" t="str">
        <f>HYPERLINK("http://twitter.com","Twitter Web Client")</f>
        <v>Twitter Web Client</v>
      </c>
      <c r="F3950" s="12">
        <v>43571.390069444446</v>
      </c>
      <c r="G3950" s="17" t="s">
        <v>13000</v>
      </c>
      <c r="H3950" s="35" t="s">
        <v>1260</v>
      </c>
      <c r="I3950" s="18" t="s">
        <v>1261</v>
      </c>
    </row>
    <row r="3951" spans="1:9" s="33" customFormat="1" ht="90">
      <c r="A3951" s="12">
        <v>43571.544131944444</v>
      </c>
      <c r="B3951" s="13" t="str">
        <f>HYPERLINK("https://twitter.com/ayprentals","@ayprentals")</f>
        <v>@ayprentals</v>
      </c>
      <c r="C3951" s="14" t="s">
        <v>3637</v>
      </c>
      <c r="D3951" s="15" t="s">
        <v>3638</v>
      </c>
      <c r="E3951" s="16" t="str">
        <f>HYPERLINK("http://www.facebook.com/twitter","Facebook")</f>
        <v>Facebook</v>
      </c>
      <c r="F3951" s="12">
        <v>39937.977152777778</v>
      </c>
      <c r="G3951" s="17" t="s">
        <v>13000</v>
      </c>
      <c r="H3951" s="35" t="s">
        <v>3639</v>
      </c>
      <c r="I3951" s="18" t="s">
        <v>3640</v>
      </c>
    </row>
    <row r="3952" spans="1:9" s="33" customFormat="1" ht="60">
      <c r="A3952" s="19">
        <v>43550.140439814815</v>
      </c>
      <c r="B3952" s="20" t="str">
        <f>HYPERLINK("https://twitter.com/theErikaBarry","@theErikaBarry")</f>
        <v>@theErikaBarry</v>
      </c>
      <c r="C3952" s="21" t="s">
        <v>4696</v>
      </c>
      <c r="D3952" s="22" t="s">
        <v>4697</v>
      </c>
      <c r="E3952" s="23" t="str">
        <f>HYPERLINK("https://buffer.com","Buffer")</f>
        <v>Buffer</v>
      </c>
      <c r="F3952" s="19">
        <v>43129.76798611111</v>
      </c>
      <c r="G3952" s="17" t="s">
        <v>13000</v>
      </c>
      <c r="H3952" s="35" t="s">
        <v>4698</v>
      </c>
      <c r="I3952" s="25" t="s">
        <v>4699</v>
      </c>
    </row>
    <row r="3953" spans="1:9" s="33" customFormat="1" ht="60">
      <c r="A3953" s="19">
        <v>43542.460451388892</v>
      </c>
      <c r="B3953" s="20" t="str">
        <f>HYPERLINK("https://twitter.com/theErikaBarry","@theErikaBarry")</f>
        <v>@theErikaBarry</v>
      </c>
      <c r="C3953" s="21" t="s">
        <v>4696</v>
      </c>
      <c r="D3953" s="22" t="s">
        <v>4697</v>
      </c>
      <c r="E3953" s="23" t="str">
        <f>HYPERLINK("https://buffer.com","Buffer")</f>
        <v>Buffer</v>
      </c>
      <c r="F3953" s="19">
        <v>43129.76798611111</v>
      </c>
      <c r="G3953" s="17" t="s">
        <v>13000</v>
      </c>
      <c r="H3953" s="35" t="s">
        <v>4698</v>
      </c>
      <c r="I3953" s="25" t="s">
        <v>4699</v>
      </c>
    </row>
    <row r="3954" spans="1:9" s="33" customFormat="1" ht="60">
      <c r="A3954" s="4">
        <v>43559.26563657407</v>
      </c>
      <c r="B3954" s="5" t="str">
        <f>HYPERLINK("https://twitter.com/theErikaBarry","@theErikaBarry")</f>
        <v>@theErikaBarry</v>
      </c>
      <c r="C3954" s="6" t="s">
        <v>4696</v>
      </c>
      <c r="D3954" s="7" t="s">
        <v>4697</v>
      </c>
      <c r="E3954" s="8" t="str">
        <f>HYPERLINK("https://buffer.com","Buffer")</f>
        <v>Buffer</v>
      </c>
      <c r="F3954" s="4">
        <v>43129.76798611111</v>
      </c>
      <c r="G3954" s="17" t="s">
        <v>13000</v>
      </c>
      <c r="H3954" s="35" t="s">
        <v>4698</v>
      </c>
      <c r="I3954" s="10" t="s">
        <v>4699</v>
      </c>
    </row>
    <row r="3955" spans="1:9" s="33" customFormat="1" ht="60">
      <c r="A3955" s="12">
        <v>43568.563819444447</v>
      </c>
      <c r="B3955" s="13" t="str">
        <f>HYPERLINK("https://twitter.com/theErikaBarry","@theErikaBarry")</f>
        <v>@theErikaBarry</v>
      </c>
      <c r="C3955" s="14" t="s">
        <v>4696</v>
      </c>
      <c r="D3955" s="15" t="s">
        <v>4697</v>
      </c>
      <c r="E3955" s="16" t="str">
        <f>HYPERLINK("https://buffer.com","Buffer")</f>
        <v>Buffer</v>
      </c>
      <c r="F3955" s="12">
        <v>43129.76798611111</v>
      </c>
      <c r="G3955" s="17" t="s">
        <v>13000</v>
      </c>
      <c r="H3955" s="35" t="s">
        <v>4698</v>
      </c>
      <c r="I3955" s="18" t="s">
        <v>4699</v>
      </c>
    </row>
    <row r="3956" spans="1:9" s="33" customFormat="1" ht="45">
      <c r="A3956" s="12">
        <v>43571.716539351852</v>
      </c>
      <c r="B3956" s="13" t="str">
        <f>HYPERLINK("https://twitter.com/iWiinks","@iWiinks")</f>
        <v>@iWiinks</v>
      </c>
      <c r="C3956" s="14" t="s">
        <v>3576</v>
      </c>
      <c r="D3956" s="15" t="s">
        <v>3577</v>
      </c>
      <c r="E3956" s="16" t="str">
        <f>HYPERLINK("http://twitter.com/download/iphone","Twitter for iPhone")</f>
        <v>Twitter for iPhone</v>
      </c>
      <c r="F3956" s="12">
        <v>40100.408715277779</v>
      </c>
      <c r="G3956" s="17" t="s">
        <v>13000</v>
      </c>
      <c r="H3956" s="35" t="s">
        <v>3578</v>
      </c>
      <c r="I3956" s="18" t="s">
        <v>3579</v>
      </c>
    </row>
    <row r="3957" spans="1:9" s="33" customFormat="1" ht="75">
      <c r="A3957" s="19">
        <v>43543.642337962963</v>
      </c>
      <c r="B3957" s="20" t="str">
        <f>HYPERLINK("https://twitter.com/Chris_Ferreyra","@Chris_Ferreyra")</f>
        <v>@Chris_Ferreyra</v>
      </c>
      <c r="C3957" s="21" t="s">
        <v>9715</v>
      </c>
      <c r="D3957" s="22" t="s">
        <v>9716</v>
      </c>
      <c r="E3957" s="23" t="str">
        <f>HYPERLINK("http://instagram.com","Instagram")</f>
        <v>Instagram</v>
      </c>
      <c r="F3957" s="19">
        <v>40686.632673611108</v>
      </c>
      <c r="G3957" s="17" t="s">
        <v>13000</v>
      </c>
      <c r="H3957" s="35" t="s">
        <v>5622</v>
      </c>
      <c r="I3957" s="25" t="s">
        <v>9717</v>
      </c>
    </row>
    <row r="3958" spans="1:9" s="33" customFormat="1" ht="120">
      <c r="A3958" s="4">
        <v>43562.75571759259</v>
      </c>
      <c r="B3958" s="5" t="str">
        <f>HYPERLINK("https://twitter.com/SiliconBeachHub","@SiliconBeachHub")</f>
        <v>@SiliconBeachHub</v>
      </c>
      <c r="C3958" s="6" t="s">
        <v>10599</v>
      </c>
      <c r="D3958" s="7" t="s">
        <v>10600</v>
      </c>
      <c r="E3958" s="8" t="str">
        <f>HYPERLINK("http://twitter.com/download/iphone","Twitter for iPhone")</f>
        <v>Twitter for iPhone</v>
      </c>
      <c r="F3958" s="4">
        <v>41727.693657407406</v>
      </c>
      <c r="G3958" s="17" t="s">
        <v>13000</v>
      </c>
      <c r="H3958" s="35" t="s">
        <v>5622</v>
      </c>
      <c r="I3958" s="10" t="s">
        <v>10601</v>
      </c>
    </row>
    <row r="3959" spans="1:9" s="33" customFormat="1" ht="45">
      <c r="A3959" s="4">
        <v>43561.544629629629</v>
      </c>
      <c r="B3959" s="5" t="str">
        <f>HYPERLINK("https://twitter.com/AdrianaNBC","@AdrianaNBC")</f>
        <v>@AdrianaNBC</v>
      </c>
      <c r="C3959" s="6" t="s">
        <v>10936</v>
      </c>
      <c r="D3959" s="7" t="s">
        <v>10937</v>
      </c>
      <c r="E3959" s="8" t="str">
        <f>HYPERLINK("http://www.facebook.com/twitter","Facebook")</f>
        <v>Facebook</v>
      </c>
      <c r="F3959" s="4">
        <v>39843.745740740742</v>
      </c>
      <c r="G3959" s="17" t="s">
        <v>13000</v>
      </c>
      <c r="H3959" s="35" t="s">
        <v>5622</v>
      </c>
      <c r="I3959" s="10" t="s">
        <v>10938</v>
      </c>
    </row>
    <row r="3960" spans="1:9" s="33" customFormat="1" ht="75">
      <c r="A3960" s="4">
        <v>43559.376215277778</v>
      </c>
      <c r="B3960" s="5" t="str">
        <f>HYPERLINK("https://twitter.com/ana_analytics_","@ana_analytics_")</f>
        <v>@ana_analytics_</v>
      </c>
      <c r="C3960" s="6" t="s">
        <v>11865</v>
      </c>
      <c r="D3960" s="7" t="s">
        <v>11866</v>
      </c>
      <c r="E3960" s="8" t="str">
        <f>HYPERLINK("http://twitter.com","Twitter Web Client")</f>
        <v>Twitter Web Client</v>
      </c>
      <c r="F3960" s="4">
        <v>42338.396956018521</v>
      </c>
      <c r="G3960" s="17" t="s">
        <v>13000</v>
      </c>
      <c r="H3960" s="35" t="s">
        <v>5622</v>
      </c>
      <c r="I3960" s="10" t="s">
        <v>11867</v>
      </c>
    </row>
    <row r="3961" spans="1:9" s="33" customFormat="1" ht="75">
      <c r="A3961" s="12">
        <v>43576.828819444447</v>
      </c>
      <c r="B3961" s="13" t="str">
        <f>HYPERLINK("https://twitter.com/HouseitProd","@HouseitProd")</f>
        <v>@HouseitProd</v>
      </c>
      <c r="C3961" s="14" t="s">
        <v>1813</v>
      </c>
      <c r="D3961" s="15" t="s">
        <v>1814</v>
      </c>
      <c r="E3961" s="16" t="str">
        <f>HYPERLINK("http://instagram.com","Instagram")</f>
        <v>Instagram</v>
      </c>
      <c r="F3961" s="12">
        <v>40887.602581018517</v>
      </c>
      <c r="G3961" s="17" t="s">
        <v>13000</v>
      </c>
      <c r="H3961" s="35" t="s">
        <v>1815</v>
      </c>
      <c r="I3961" s="18" t="s">
        <v>1816</v>
      </c>
    </row>
    <row r="3962" spans="1:9" s="33" customFormat="1" ht="45">
      <c r="A3962" s="12">
        <v>43566.360115740739</v>
      </c>
      <c r="B3962" s="13" t="str">
        <f>HYPERLINK("https://twitter.com/bretfasz","@bretfasz")</f>
        <v>@bretfasz</v>
      </c>
      <c r="C3962" s="14" t="s">
        <v>5620</v>
      </c>
      <c r="D3962" s="15" t="s">
        <v>5621</v>
      </c>
      <c r="E3962" s="16" t="str">
        <f>HYPERLINK("http://twitter.com","Twitter Web Client")</f>
        <v>Twitter Web Client</v>
      </c>
      <c r="F3962" s="12">
        <v>39873.859664351854</v>
      </c>
      <c r="G3962" s="17" t="s">
        <v>13000</v>
      </c>
      <c r="H3962" s="35" t="s">
        <v>5622</v>
      </c>
      <c r="I3962" s="18" t="s">
        <v>5623</v>
      </c>
    </row>
    <row r="3963" spans="1:9" s="33" customFormat="1" ht="120">
      <c r="A3963" s="12">
        <v>43566.345648148148</v>
      </c>
      <c r="B3963" s="13" t="str">
        <f>HYPERLINK("https://twitter.com/305ALAINN","@305ALAINN")</f>
        <v>@305ALAINN</v>
      </c>
      <c r="C3963" s="14" t="s">
        <v>5639</v>
      </c>
      <c r="D3963" s="15" t="s">
        <v>5640</v>
      </c>
      <c r="E3963" s="16" t="str">
        <f>HYPERLINK("http://twitter.com","Twitter Web Client")</f>
        <v>Twitter Web Client</v>
      </c>
      <c r="F3963" s="12">
        <v>43517.526678240742</v>
      </c>
      <c r="G3963" s="17" t="s">
        <v>13000</v>
      </c>
      <c r="H3963" s="35" t="s">
        <v>5622</v>
      </c>
      <c r="I3963" s="18" t="s">
        <v>5641</v>
      </c>
    </row>
    <row r="3964" spans="1:9" s="33" customFormat="1" ht="75">
      <c r="A3964" s="4">
        <v>43560.288414351853</v>
      </c>
      <c r="B3964" s="5" t="str">
        <f>HYPERLINK("https://twitter.com/erniepuig","@erniepuig")</f>
        <v>@erniepuig</v>
      </c>
      <c r="C3964" s="6" t="s">
        <v>11503</v>
      </c>
      <c r="D3964" s="7" t="s">
        <v>11504</v>
      </c>
      <c r="E3964" s="8" t="str">
        <f>HYPERLINK("https://capzool.com","Capzool")</f>
        <v>Capzool</v>
      </c>
      <c r="F3964" s="4">
        <v>39888.26829861111</v>
      </c>
      <c r="G3964" s="17" t="s">
        <v>13000</v>
      </c>
      <c r="H3964" s="35" t="s">
        <v>11505</v>
      </c>
      <c r="I3964" s="10" t="s">
        <v>11506</v>
      </c>
    </row>
    <row r="3965" spans="1:9" s="33" customFormat="1" ht="45">
      <c r="A3965" s="12">
        <v>43572.625231481477</v>
      </c>
      <c r="B3965" s="13" t="str">
        <f>HYPERLINK("https://twitter.com/RealtorLPonce","@RealtorLPonce")</f>
        <v>@RealtorLPonce</v>
      </c>
      <c r="C3965" s="14" t="s">
        <v>3132</v>
      </c>
      <c r="D3965" s="15" t="s">
        <v>3133</v>
      </c>
      <c r="E3965" s="16" t="str">
        <f>HYPERLINK("https://www.circlepix.com/","Circlepix")</f>
        <v>Circlepix</v>
      </c>
      <c r="F3965" s="12">
        <v>41057.688125000001</v>
      </c>
      <c r="G3965" s="17" t="s">
        <v>13000</v>
      </c>
      <c r="H3965" s="35" t="s">
        <v>3134</v>
      </c>
      <c r="I3965" s="18" t="s">
        <v>3135</v>
      </c>
    </row>
    <row r="3966" spans="1:9" s="33" customFormat="1" ht="45">
      <c r="A3966" s="12">
        <v>43578.363888888889</v>
      </c>
      <c r="B3966" s="13" t="str">
        <f>HYPERLINK("https://twitter.com/WIOD","@WIOD")</f>
        <v>@WIOD</v>
      </c>
      <c r="C3966" s="14" t="s">
        <v>1264</v>
      </c>
      <c r="D3966" s="15" t="s">
        <v>1265</v>
      </c>
      <c r="E3966" s="16" t="str">
        <f>HYPERLINK("https://about.twitter.com/products/tweetdeck","TweetDeck")</f>
        <v>TweetDeck</v>
      </c>
      <c r="F3966" s="12">
        <v>39827.640231481484</v>
      </c>
      <c r="G3966" s="17" t="s">
        <v>13000</v>
      </c>
      <c r="H3966" s="35" t="s">
        <v>1266</v>
      </c>
      <c r="I3966" s="18" t="s">
        <v>1267</v>
      </c>
    </row>
    <row r="3967" spans="1:9" s="33" customFormat="1" ht="75">
      <c r="A3967" s="12">
        <v>43573.708726851852</v>
      </c>
      <c r="B3967" s="13" t="str">
        <f>HYPERLINK("https://twitter.com/SEENthemagazine","@SEENthemagazine")</f>
        <v>@SEENthemagazine</v>
      </c>
      <c r="C3967" s="14" t="s">
        <v>2763</v>
      </c>
      <c r="D3967" s="15" t="s">
        <v>2764</v>
      </c>
      <c r="E3967" s="16" t="str">
        <f>HYPERLINK("https://www.hootsuite.com","Hootsuite Inc.")</f>
        <v>Hootsuite Inc.</v>
      </c>
      <c r="F3967" s="12">
        <v>41820.556979166664</v>
      </c>
      <c r="G3967" s="24" t="s">
        <v>13000</v>
      </c>
      <c r="H3967" s="35" t="s">
        <v>2765</v>
      </c>
      <c r="I3967" s="18" t="s">
        <v>2766</v>
      </c>
    </row>
    <row r="3968" spans="1:9" s="33" customFormat="1" ht="75">
      <c r="A3968" s="12">
        <v>43572.804803240739</v>
      </c>
      <c r="B3968" s="13" t="str">
        <f>HYPERLINK("https://twitter.com/EricaHMSU","@EricaHMSU")</f>
        <v>@EricaHMSU</v>
      </c>
      <c r="C3968" s="14" t="s">
        <v>3085</v>
      </c>
      <c r="D3968" s="15" t="s">
        <v>3086</v>
      </c>
      <c r="E3968" s="16" t="str">
        <f>HYPERLINK("http://twitter.com","Twitter Web Client")</f>
        <v>Twitter Web Client</v>
      </c>
      <c r="F3968" s="12">
        <v>43060.373148148152</v>
      </c>
      <c r="G3968" s="24" t="s">
        <v>13000</v>
      </c>
      <c r="H3968" s="35" t="s">
        <v>2765</v>
      </c>
      <c r="I3968" s="18" t="s">
        <v>3087</v>
      </c>
    </row>
    <row r="3969" spans="1:9" s="33" customFormat="1" ht="45">
      <c r="A3969" s="19">
        <v>43544.467581018514</v>
      </c>
      <c r="B3969" s="20" t="str">
        <f>HYPERLINK("https://twitter.com/GloriaMarcus","@GloriaMarcus")</f>
        <v>@GloriaMarcus</v>
      </c>
      <c r="C3969" s="21" t="s">
        <v>9448</v>
      </c>
      <c r="D3969" s="22" t="s">
        <v>9449</v>
      </c>
      <c r="E3969" s="23" t="str">
        <f>HYPERLINK("https://www.circlepix.com/","Circlepix")</f>
        <v>Circlepix</v>
      </c>
      <c r="F3969" s="19">
        <v>40178.537812499999</v>
      </c>
      <c r="G3969" s="24" t="s">
        <v>13000</v>
      </c>
      <c r="H3969" s="35" t="s">
        <v>9450</v>
      </c>
      <c r="I3969" s="25" t="s">
        <v>9451</v>
      </c>
    </row>
    <row r="3970" spans="1:9" s="33" customFormat="1" ht="75">
      <c r="A3970" s="12">
        <v>43566.514502314814</v>
      </c>
      <c r="B3970" s="13" t="str">
        <f>HYPERLINK("https://twitter.com/erikk292mke","@erikk292mke")</f>
        <v>@erikk292mke</v>
      </c>
      <c r="C3970" s="14" t="s">
        <v>5464</v>
      </c>
      <c r="D3970" s="15" t="s">
        <v>5465</v>
      </c>
      <c r="E3970" s="16" t="str">
        <f>HYPERLINK("http://twitter.com/download/android","Twitter for Android")</f>
        <v>Twitter for Android</v>
      </c>
      <c r="F3970" s="12">
        <v>41203.582754629628</v>
      </c>
      <c r="G3970" s="17" t="s">
        <v>13000</v>
      </c>
      <c r="H3970" s="35" t="s">
        <v>5466</v>
      </c>
      <c r="I3970" s="18" t="s">
        <v>5467</v>
      </c>
    </row>
    <row r="3971" spans="1:9" s="33" customFormat="1" ht="45">
      <c r="A3971" s="19">
        <v>43548.388472222221</v>
      </c>
      <c r="B3971" s="20" t="str">
        <f>HYPERLINK("https://twitter.com/JrScalez","@JrScalez")</f>
        <v>@JrScalez</v>
      </c>
      <c r="C3971" s="21" t="s">
        <v>8334</v>
      </c>
      <c r="D3971" s="22" t="s">
        <v>8335</v>
      </c>
      <c r="E3971" s="23" t="str">
        <f>HYPERLINK("http://instagram.com","Instagram")</f>
        <v>Instagram</v>
      </c>
      <c r="F3971" s="19">
        <v>39883.423148148147</v>
      </c>
      <c r="G3971" s="17" t="s">
        <v>13000</v>
      </c>
      <c r="H3971" s="35" t="s">
        <v>8336</v>
      </c>
      <c r="I3971" s="25" t="s">
        <v>8337</v>
      </c>
    </row>
    <row r="3972" spans="1:9" s="33" customFormat="1" ht="105">
      <c r="A3972" s="19">
        <v>43548.640729166669</v>
      </c>
      <c r="B3972" s="20" t="str">
        <f>HYPERLINK("https://twitter.com/JacqRice","@JacqRice")</f>
        <v>@JacqRice</v>
      </c>
      <c r="C3972" s="21" t="s">
        <v>8260</v>
      </c>
      <c r="D3972" s="22" t="s">
        <v>8261</v>
      </c>
      <c r="E3972" s="23" t="str">
        <f>HYPERLINK("http://twitter.com","Twitter Web Client")</f>
        <v>Twitter Web Client</v>
      </c>
      <c r="F3972" s="19">
        <v>42117.877615740741</v>
      </c>
      <c r="G3972" s="17" t="s">
        <v>13000</v>
      </c>
      <c r="H3972" s="35" t="s">
        <v>6885</v>
      </c>
      <c r="I3972" s="25" t="s">
        <v>8262</v>
      </c>
    </row>
    <row r="3973" spans="1:9" s="33" customFormat="1" ht="60">
      <c r="A3973" s="4">
        <v>43563.77444444444</v>
      </c>
      <c r="B3973" s="5" t="str">
        <f>HYPERLINK("https://twitter.com/pumaprincessmal","@pumaprincessmal")</f>
        <v>@pumaprincessmal</v>
      </c>
      <c r="C3973" s="6" t="s">
        <v>6883</v>
      </c>
      <c r="D3973" s="7" t="s">
        <v>6884</v>
      </c>
      <c r="E3973" s="8" t="str">
        <f t="shared" ref="E3973:E3978" si="161">HYPERLINK("http://twitter.com/download/iphone","Twitter for iPhone")</f>
        <v>Twitter for iPhone</v>
      </c>
      <c r="F3973" s="4">
        <v>40467.414143518516</v>
      </c>
      <c r="G3973" s="17" t="s">
        <v>13000</v>
      </c>
      <c r="H3973" s="35" t="s">
        <v>6885</v>
      </c>
      <c r="I3973" s="10"/>
    </row>
    <row r="3974" spans="1:9" s="33" customFormat="1" ht="60">
      <c r="A3974" s="19">
        <v>43551.412893518514</v>
      </c>
      <c r="B3974" s="20" t="str">
        <f>HYPERLINK("https://twitter.com/latticeworkwlth","@latticeworkwlth")</f>
        <v>@latticeworkwlth</v>
      </c>
      <c r="C3974" s="21" t="s">
        <v>7217</v>
      </c>
      <c r="D3974" s="22" t="s">
        <v>7218</v>
      </c>
      <c r="E3974" s="23" t="str">
        <f t="shared" si="161"/>
        <v>Twitter for iPhone</v>
      </c>
      <c r="F3974" s="19">
        <v>41467.520115740743</v>
      </c>
      <c r="G3974" s="17" t="s">
        <v>13000</v>
      </c>
      <c r="H3974" s="35" t="s">
        <v>6917</v>
      </c>
      <c r="I3974" s="25" t="s">
        <v>7219</v>
      </c>
    </row>
    <row r="3975" spans="1:9" s="33" customFormat="1" ht="45">
      <c r="A3975" s="4">
        <v>43563.702615740738</v>
      </c>
      <c r="B3975" s="5" t="str">
        <f>HYPERLINK("https://twitter.com/NelsonThought","@NelsonThought")</f>
        <v>@NelsonThought</v>
      </c>
      <c r="C3975" s="6" t="s">
        <v>6915</v>
      </c>
      <c r="D3975" s="7" t="s">
        <v>6916</v>
      </c>
      <c r="E3975" s="8" t="str">
        <f t="shared" si="161"/>
        <v>Twitter for iPhone</v>
      </c>
      <c r="F3975" s="4">
        <v>40706.417731481481</v>
      </c>
      <c r="G3975" s="17" t="s">
        <v>13000</v>
      </c>
      <c r="H3975" s="35" t="s">
        <v>6917</v>
      </c>
      <c r="I3975" s="10" t="s">
        <v>6918</v>
      </c>
    </row>
    <row r="3976" spans="1:9" s="33" customFormat="1" ht="60">
      <c r="A3976" s="4">
        <v>43557.617256944446</v>
      </c>
      <c r="B3976" s="5" t="str">
        <f>HYPERLINK("https://twitter.com/latticeworkwlth","@latticeworkwlth")</f>
        <v>@latticeworkwlth</v>
      </c>
      <c r="C3976" s="6" t="s">
        <v>7217</v>
      </c>
      <c r="D3976" s="7" t="s">
        <v>12441</v>
      </c>
      <c r="E3976" s="8" t="str">
        <f t="shared" si="161"/>
        <v>Twitter for iPhone</v>
      </c>
      <c r="F3976" s="4">
        <v>41467.520115740743</v>
      </c>
      <c r="G3976" s="17" t="s">
        <v>13000</v>
      </c>
      <c r="H3976" s="35" t="s">
        <v>6917</v>
      </c>
      <c r="I3976" s="10" t="s">
        <v>7219</v>
      </c>
    </row>
    <row r="3977" spans="1:9" s="33" customFormat="1" ht="60">
      <c r="A3977" s="4">
        <v>43557.409652777773</v>
      </c>
      <c r="B3977" s="5" t="str">
        <f>HYPERLINK("https://twitter.com/NelsonThought","@NelsonThought")</f>
        <v>@NelsonThought</v>
      </c>
      <c r="C3977" s="6" t="s">
        <v>6915</v>
      </c>
      <c r="D3977" s="7" t="s">
        <v>12522</v>
      </c>
      <c r="E3977" s="8" t="str">
        <f t="shared" si="161"/>
        <v>Twitter for iPhone</v>
      </c>
      <c r="F3977" s="4">
        <v>40706.417731481481</v>
      </c>
      <c r="G3977" s="17" t="s">
        <v>13000</v>
      </c>
      <c r="H3977" s="35" t="s">
        <v>6917</v>
      </c>
      <c r="I3977" s="10" t="s">
        <v>6918</v>
      </c>
    </row>
    <row r="3978" spans="1:9" s="33" customFormat="1" ht="45">
      <c r="A3978" s="19">
        <v>43549.893657407403</v>
      </c>
      <c r="B3978" s="20" t="str">
        <f>HYPERLINK("https://twitter.com/jefflin","@jefflin")</f>
        <v>@jefflin</v>
      </c>
      <c r="C3978" s="21" t="s">
        <v>7881</v>
      </c>
      <c r="D3978" s="22" t="s">
        <v>7882</v>
      </c>
      <c r="E3978" s="23" t="str">
        <f t="shared" si="161"/>
        <v>Twitter for iPhone</v>
      </c>
      <c r="F3978" s="19">
        <v>39274.554351851853</v>
      </c>
      <c r="G3978" s="17" t="s">
        <v>13000</v>
      </c>
      <c r="H3978" s="35" t="s">
        <v>7883</v>
      </c>
      <c r="I3978" s="25" t="s">
        <v>7884</v>
      </c>
    </row>
    <row r="3979" spans="1:9" s="33" customFormat="1" ht="60">
      <c r="A3979" s="19">
        <v>43551.833726851852</v>
      </c>
      <c r="B3979" s="20" t="str">
        <f t="shared" ref="B3979:B3987" si="162">HYPERLINK("https://twitter.com/LightAndTimeArt","@LightAndTimeArt")</f>
        <v>@LightAndTimeArt</v>
      </c>
      <c r="C3979" s="21" t="s">
        <v>435</v>
      </c>
      <c r="D3979" s="22" t="s">
        <v>6987</v>
      </c>
      <c r="E3979" s="23" t="str">
        <f t="shared" ref="E3979:E3987" si="163">HYPERLINK("https://ifttt.com","IFTTT")</f>
        <v>IFTTT</v>
      </c>
      <c r="F3979" s="19">
        <v>41787.481631944444</v>
      </c>
      <c r="G3979" s="17" t="s">
        <v>13000</v>
      </c>
      <c r="H3979" s="35" t="s">
        <v>437</v>
      </c>
      <c r="I3979" s="25" t="s">
        <v>438</v>
      </c>
    </row>
    <row r="3980" spans="1:9" s="33" customFormat="1" ht="60">
      <c r="A3980" s="19">
        <v>43550.833483796298</v>
      </c>
      <c r="B3980" s="20" t="str">
        <f t="shared" si="162"/>
        <v>@LightAndTimeArt</v>
      </c>
      <c r="C3980" s="21" t="s">
        <v>435</v>
      </c>
      <c r="D3980" s="22" t="s">
        <v>7491</v>
      </c>
      <c r="E3980" s="23" t="str">
        <f t="shared" si="163"/>
        <v>IFTTT</v>
      </c>
      <c r="F3980" s="19">
        <v>41787.481631944444</v>
      </c>
      <c r="G3980" s="17" t="s">
        <v>13000</v>
      </c>
      <c r="H3980" s="35" t="s">
        <v>437</v>
      </c>
      <c r="I3980" s="25" t="s">
        <v>438</v>
      </c>
    </row>
    <row r="3981" spans="1:9" s="33" customFormat="1" ht="60">
      <c r="A3981" s="19">
        <v>43549.833622685182</v>
      </c>
      <c r="B3981" s="20" t="str">
        <f t="shared" si="162"/>
        <v>@LightAndTimeArt</v>
      </c>
      <c r="C3981" s="21" t="s">
        <v>435</v>
      </c>
      <c r="D3981" s="22" t="s">
        <v>7907</v>
      </c>
      <c r="E3981" s="23" t="str">
        <f t="shared" si="163"/>
        <v>IFTTT</v>
      </c>
      <c r="F3981" s="19">
        <v>41787.481631944444</v>
      </c>
      <c r="G3981" s="17" t="s">
        <v>13000</v>
      </c>
      <c r="H3981" s="35" t="s">
        <v>437</v>
      </c>
      <c r="I3981" s="25" t="s">
        <v>438</v>
      </c>
    </row>
    <row r="3982" spans="1:9" s="33" customFormat="1" ht="60">
      <c r="A3982" s="19">
        <v>43548.833483796298</v>
      </c>
      <c r="B3982" s="20" t="str">
        <f t="shared" si="162"/>
        <v>@LightAndTimeArt</v>
      </c>
      <c r="C3982" s="21" t="s">
        <v>435</v>
      </c>
      <c r="D3982" s="22" t="s">
        <v>8215</v>
      </c>
      <c r="E3982" s="23" t="str">
        <f t="shared" si="163"/>
        <v>IFTTT</v>
      </c>
      <c r="F3982" s="19">
        <v>41787.481631944444</v>
      </c>
      <c r="G3982" s="17" t="s">
        <v>13000</v>
      </c>
      <c r="H3982" s="35" t="s">
        <v>437</v>
      </c>
      <c r="I3982" s="25" t="s">
        <v>438</v>
      </c>
    </row>
    <row r="3983" spans="1:9" s="33" customFormat="1" ht="60">
      <c r="A3983" s="19">
        <v>43547.833958333329</v>
      </c>
      <c r="B3983" s="20" t="str">
        <f t="shared" si="162"/>
        <v>@LightAndTimeArt</v>
      </c>
      <c r="C3983" s="21" t="s">
        <v>435</v>
      </c>
      <c r="D3983" s="22" t="s">
        <v>8467</v>
      </c>
      <c r="E3983" s="23" t="str">
        <f t="shared" si="163"/>
        <v>IFTTT</v>
      </c>
      <c r="F3983" s="19">
        <v>41787.481631944444</v>
      </c>
      <c r="G3983" s="17" t="s">
        <v>13000</v>
      </c>
      <c r="H3983" s="35" t="s">
        <v>437</v>
      </c>
      <c r="I3983" s="25" t="s">
        <v>438</v>
      </c>
    </row>
    <row r="3984" spans="1:9" s="33" customFormat="1" ht="60">
      <c r="A3984" s="19">
        <v>43546.834108796298</v>
      </c>
      <c r="B3984" s="20" t="str">
        <f t="shared" si="162"/>
        <v>@LightAndTimeArt</v>
      </c>
      <c r="C3984" s="21" t="s">
        <v>435</v>
      </c>
      <c r="D3984" s="22" t="s">
        <v>8718</v>
      </c>
      <c r="E3984" s="23" t="str">
        <f t="shared" si="163"/>
        <v>IFTTT</v>
      </c>
      <c r="F3984" s="19">
        <v>41787.481631944444</v>
      </c>
      <c r="G3984" s="17" t="s">
        <v>13000</v>
      </c>
      <c r="H3984" s="35" t="s">
        <v>437</v>
      </c>
      <c r="I3984" s="25" t="s">
        <v>438</v>
      </c>
    </row>
    <row r="3985" spans="1:9" s="33" customFormat="1" ht="60">
      <c r="A3985" s="19">
        <v>43545.833553240736</v>
      </c>
      <c r="B3985" s="20" t="str">
        <f t="shared" si="162"/>
        <v>@LightAndTimeArt</v>
      </c>
      <c r="C3985" s="21" t="s">
        <v>435</v>
      </c>
      <c r="D3985" s="22" t="s">
        <v>9030</v>
      </c>
      <c r="E3985" s="23" t="str">
        <f t="shared" si="163"/>
        <v>IFTTT</v>
      </c>
      <c r="F3985" s="19">
        <v>41787.481631944444</v>
      </c>
      <c r="G3985" s="17" t="s">
        <v>13000</v>
      </c>
      <c r="H3985" s="35" t="s">
        <v>437</v>
      </c>
      <c r="I3985" s="25" t="s">
        <v>438</v>
      </c>
    </row>
    <row r="3986" spans="1:9" s="33" customFormat="1" ht="60">
      <c r="A3986" s="19">
        <v>43544.833587962959</v>
      </c>
      <c r="B3986" s="20" t="str">
        <f t="shared" si="162"/>
        <v>@LightAndTimeArt</v>
      </c>
      <c r="C3986" s="21" t="s">
        <v>435</v>
      </c>
      <c r="D3986" s="22" t="s">
        <v>9321</v>
      </c>
      <c r="E3986" s="23" t="str">
        <f t="shared" si="163"/>
        <v>IFTTT</v>
      </c>
      <c r="F3986" s="19">
        <v>41787.481631944444</v>
      </c>
      <c r="G3986" s="17" t="s">
        <v>13000</v>
      </c>
      <c r="H3986" s="35" t="s">
        <v>437</v>
      </c>
      <c r="I3986" s="25" t="s">
        <v>438</v>
      </c>
    </row>
    <row r="3987" spans="1:9" s="33" customFormat="1" ht="60">
      <c r="A3987" s="19">
        <v>43543.833599537036</v>
      </c>
      <c r="B3987" s="20" t="str">
        <f t="shared" si="162"/>
        <v>@LightAndTimeArt</v>
      </c>
      <c r="C3987" s="21" t="s">
        <v>435</v>
      </c>
      <c r="D3987" s="22" t="s">
        <v>9675</v>
      </c>
      <c r="E3987" s="23" t="str">
        <f t="shared" si="163"/>
        <v>IFTTT</v>
      </c>
      <c r="F3987" s="19">
        <v>41787.481631944444</v>
      </c>
      <c r="G3987" s="17" t="s">
        <v>13000</v>
      </c>
      <c r="H3987" s="35" t="s">
        <v>437</v>
      </c>
      <c r="I3987" s="25" t="s">
        <v>438</v>
      </c>
    </row>
    <row r="3988" spans="1:9" s="33" customFormat="1" ht="30">
      <c r="A3988" s="19">
        <v>43543.705034722225</v>
      </c>
      <c r="B3988" s="20" t="str">
        <f>HYPERLINK("https://twitter.com/KatePurdy","@KatePurdy")</f>
        <v>@KatePurdy</v>
      </c>
      <c r="C3988" s="21" t="s">
        <v>9699</v>
      </c>
      <c r="D3988" s="22" t="s">
        <v>9700</v>
      </c>
      <c r="E3988" s="23" t="str">
        <f>HYPERLINK("http://twitter.com","Twitter Web Client")</f>
        <v>Twitter Web Client</v>
      </c>
      <c r="F3988" s="19">
        <v>39577.251099537039</v>
      </c>
      <c r="G3988" s="17" t="s">
        <v>13000</v>
      </c>
      <c r="H3988" s="35" t="s">
        <v>437</v>
      </c>
      <c r="I3988" s="25" t="s">
        <v>9701</v>
      </c>
    </row>
    <row r="3989" spans="1:9" s="33" customFormat="1" ht="60">
      <c r="A3989" s="19">
        <v>43542.833449074074</v>
      </c>
      <c r="B3989" s="20" t="str">
        <f>HYPERLINK("https://twitter.com/LightAndTimeArt","@LightAndTimeArt")</f>
        <v>@LightAndTimeArt</v>
      </c>
      <c r="C3989" s="21" t="s">
        <v>435</v>
      </c>
      <c r="D3989" s="22" t="s">
        <v>10007</v>
      </c>
      <c r="E3989" s="23" t="str">
        <f>HYPERLINK("https://ifttt.com","IFTTT")</f>
        <v>IFTTT</v>
      </c>
      <c r="F3989" s="19">
        <v>41787.481631944444</v>
      </c>
      <c r="G3989" s="17" t="s">
        <v>13000</v>
      </c>
      <c r="H3989" s="35" t="s">
        <v>437</v>
      </c>
      <c r="I3989" s="25" t="s">
        <v>438</v>
      </c>
    </row>
    <row r="3990" spans="1:9" s="33" customFormat="1" ht="60">
      <c r="A3990" s="4">
        <v>43565.833495370374</v>
      </c>
      <c r="B3990" s="5" t="str">
        <f>HYPERLINK("https://twitter.com/LightAndTimeArt","@LightAndTimeArt")</f>
        <v>@LightAndTimeArt</v>
      </c>
      <c r="C3990" s="6" t="s">
        <v>435</v>
      </c>
      <c r="D3990" s="7" t="s">
        <v>5883</v>
      </c>
      <c r="E3990" s="8" t="str">
        <f>HYPERLINK("https://ifttt.com","IFTTT")</f>
        <v>IFTTT</v>
      </c>
      <c r="F3990" s="4">
        <v>41787.481631944444</v>
      </c>
      <c r="G3990" s="17" t="s">
        <v>13000</v>
      </c>
      <c r="H3990" s="35" t="s">
        <v>437</v>
      </c>
      <c r="I3990" s="10" t="s">
        <v>438</v>
      </c>
    </row>
    <row r="3991" spans="1:9" s="33" customFormat="1" ht="60">
      <c r="A3991" s="4">
        <v>43564.833726851852</v>
      </c>
      <c r="B3991" s="5" t="str">
        <f>HYPERLINK("https://twitter.com/LightAndTimeArt","@LightAndTimeArt")</f>
        <v>@LightAndTimeArt</v>
      </c>
      <c r="C3991" s="6" t="s">
        <v>435</v>
      </c>
      <c r="D3991" s="7" t="s">
        <v>6399</v>
      </c>
      <c r="E3991" s="8" t="str">
        <f>HYPERLINK("https://ifttt.com","IFTTT")</f>
        <v>IFTTT</v>
      </c>
      <c r="F3991" s="4">
        <v>41787.481631944444</v>
      </c>
      <c r="G3991" s="17" t="s">
        <v>13000</v>
      </c>
      <c r="H3991" s="35" t="s">
        <v>437</v>
      </c>
      <c r="I3991" s="10" t="s">
        <v>438</v>
      </c>
    </row>
    <row r="3992" spans="1:9" s="33" customFormat="1" ht="60">
      <c r="A3992" s="4">
        <v>43563.833530092597</v>
      </c>
      <c r="B3992" s="5" t="str">
        <f>HYPERLINK("https://twitter.com/LightAndTimeArt","@LightAndTimeArt")</f>
        <v>@LightAndTimeArt</v>
      </c>
      <c r="C3992" s="6" t="s">
        <v>435</v>
      </c>
      <c r="D3992" s="7" t="s">
        <v>6868</v>
      </c>
      <c r="E3992" s="8" t="str">
        <f>HYPERLINK("https://ifttt.com","IFTTT")</f>
        <v>IFTTT</v>
      </c>
      <c r="F3992" s="4">
        <v>41787.481631944444</v>
      </c>
      <c r="G3992" s="17" t="s">
        <v>13000</v>
      </c>
      <c r="H3992" s="35" t="s">
        <v>437</v>
      </c>
      <c r="I3992" s="10" t="s">
        <v>438</v>
      </c>
    </row>
    <row r="3993" spans="1:9" s="33" customFormat="1" ht="135">
      <c r="A3993" s="4">
        <v>43563.362743055557</v>
      </c>
      <c r="B3993" s="5" t="str">
        <f>HYPERLINK("https://twitter.com/MPLS_Getaway","@MPLS_Getaway")</f>
        <v>@MPLS_Getaway</v>
      </c>
      <c r="C3993" s="6" t="s">
        <v>10332</v>
      </c>
      <c r="D3993" s="7" t="s">
        <v>10333</v>
      </c>
      <c r="E3993" s="8" t="str">
        <f>HYPERLINK("http://twitter.com/download/iphone","Twitter for iPhone")</f>
        <v>Twitter for iPhone</v>
      </c>
      <c r="F3993" s="4">
        <v>43554.6090162037</v>
      </c>
      <c r="G3993" s="17" t="s">
        <v>13000</v>
      </c>
      <c r="H3993" s="35" t="s">
        <v>437</v>
      </c>
      <c r="I3993" s="10" t="s">
        <v>10334</v>
      </c>
    </row>
    <row r="3994" spans="1:9" s="33" customFormat="1" ht="60">
      <c r="A3994" s="4">
        <v>43562.833726851852</v>
      </c>
      <c r="B3994" s="5" t="str">
        <f t="shared" ref="B3994:B4014" si="164">HYPERLINK("https://twitter.com/LightAndTimeArt","@LightAndTimeArt")</f>
        <v>@LightAndTimeArt</v>
      </c>
      <c r="C3994" s="6" t="s">
        <v>435</v>
      </c>
      <c r="D3994" s="7" t="s">
        <v>10568</v>
      </c>
      <c r="E3994" s="8" t="str">
        <f t="shared" ref="E3994:E4014" si="165">HYPERLINK("https://ifttt.com","IFTTT")</f>
        <v>IFTTT</v>
      </c>
      <c r="F3994" s="4">
        <v>41787.481631944444</v>
      </c>
      <c r="G3994" s="17" t="s">
        <v>13000</v>
      </c>
      <c r="H3994" s="35" t="s">
        <v>437</v>
      </c>
      <c r="I3994" s="10" t="s">
        <v>438</v>
      </c>
    </row>
    <row r="3995" spans="1:9" s="33" customFormat="1" ht="60">
      <c r="A3995" s="4">
        <v>43561.833969907406</v>
      </c>
      <c r="B3995" s="5" t="str">
        <f t="shared" si="164"/>
        <v>@LightAndTimeArt</v>
      </c>
      <c r="C3995" s="6" t="s">
        <v>435</v>
      </c>
      <c r="D3995" s="7" t="s">
        <v>10814</v>
      </c>
      <c r="E3995" s="8" t="str">
        <f t="shared" si="165"/>
        <v>IFTTT</v>
      </c>
      <c r="F3995" s="4">
        <v>41787.481631944444</v>
      </c>
      <c r="G3995" s="17" t="s">
        <v>13000</v>
      </c>
      <c r="H3995" s="35" t="s">
        <v>437</v>
      </c>
      <c r="I3995" s="10" t="s">
        <v>438</v>
      </c>
    </row>
    <row r="3996" spans="1:9" s="33" customFormat="1" ht="60">
      <c r="A3996" s="4">
        <v>43560.833645833336</v>
      </c>
      <c r="B3996" s="5" t="str">
        <f t="shared" si="164"/>
        <v>@LightAndTimeArt</v>
      </c>
      <c r="C3996" s="6" t="s">
        <v>435</v>
      </c>
      <c r="D3996" s="7" t="s">
        <v>11149</v>
      </c>
      <c r="E3996" s="8" t="str">
        <f t="shared" si="165"/>
        <v>IFTTT</v>
      </c>
      <c r="F3996" s="4">
        <v>41787.481631944444</v>
      </c>
      <c r="G3996" s="17" t="s">
        <v>13000</v>
      </c>
      <c r="H3996" s="35" t="s">
        <v>437</v>
      </c>
      <c r="I3996" s="10" t="s">
        <v>438</v>
      </c>
    </row>
    <row r="3997" spans="1:9" s="33" customFormat="1" ht="60">
      <c r="A3997" s="4">
        <v>43559.834560185191</v>
      </c>
      <c r="B3997" s="5" t="str">
        <f t="shared" si="164"/>
        <v>@LightAndTimeArt</v>
      </c>
      <c r="C3997" s="6" t="s">
        <v>435</v>
      </c>
      <c r="D3997" s="7" t="s">
        <v>11678</v>
      </c>
      <c r="E3997" s="8" t="str">
        <f t="shared" si="165"/>
        <v>IFTTT</v>
      </c>
      <c r="F3997" s="4">
        <v>41787.481631944444</v>
      </c>
      <c r="G3997" s="17" t="s">
        <v>13000</v>
      </c>
      <c r="H3997" s="35" t="s">
        <v>437</v>
      </c>
      <c r="I3997" s="10" t="s">
        <v>438</v>
      </c>
    </row>
    <row r="3998" spans="1:9" s="33" customFormat="1" ht="60">
      <c r="A3998" s="4">
        <v>43558.833587962959</v>
      </c>
      <c r="B3998" s="5" t="str">
        <f t="shared" si="164"/>
        <v>@LightAndTimeArt</v>
      </c>
      <c r="C3998" s="6" t="s">
        <v>435</v>
      </c>
      <c r="D3998" s="7" t="s">
        <v>12030</v>
      </c>
      <c r="E3998" s="8" t="str">
        <f t="shared" si="165"/>
        <v>IFTTT</v>
      </c>
      <c r="F3998" s="4">
        <v>41787.481631944444</v>
      </c>
      <c r="G3998" s="17" t="s">
        <v>13000</v>
      </c>
      <c r="H3998" s="35" t="s">
        <v>437</v>
      </c>
      <c r="I3998" s="10" t="s">
        <v>438</v>
      </c>
    </row>
    <row r="3999" spans="1:9" s="33" customFormat="1" ht="60">
      <c r="A3999" s="4">
        <v>43557.833449074074</v>
      </c>
      <c r="B3999" s="5" t="str">
        <f t="shared" si="164"/>
        <v>@LightAndTimeArt</v>
      </c>
      <c r="C3999" s="6" t="s">
        <v>435</v>
      </c>
      <c r="D3999" s="7" t="s">
        <v>12381</v>
      </c>
      <c r="E3999" s="8" t="str">
        <f t="shared" si="165"/>
        <v>IFTTT</v>
      </c>
      <c r="F3999" s="4">
        <v>41787.481631944444</v>
      </c>
      <c r="G3999" s="17" t="s">
        <v>13000</v>
      </c>
      <c r="H3999" s="35" t="s">
        <v>437</v>
      </c>
      <c r="I3999" s="10" t="s">
        <v>438</v>
      </c>
    </row>
    <row r="4000" spans="1:9" s="33" customFormat="1" ht="60">
      <c r="A4000" s="4">
        <v>43556.833680555559</v>
      </c>
      <c r="B4000" s="5" t="str">
        <f t="shared" si="164"/>
        <v>@LightAndTimeArt</v>
      </c>
      <c r="C4000" s="6" t="s">
        <v>435</v>
      </c>
      <c r="D4000" s="7" t="s">
        <v>12730</v>
      </c>
      <c r="E4000" s="8" t="str">
        <f t="shared" si="165"/>
        <v>IFTTT</v>
      </c>
      <c r="F4000" s="4">
        <v>41787.481631944444</v>
      </c>
      <c r="G4000" s="17" t="s">
        <v>13000</v>
      </c>
      <c r="H4000" s="35" t="s">
        <v>437</v>
      </c>
      <c r="I4000" s="10" t="s">
        <v>438</v>
      </c>
    </row>
    <row r="4001" spans="1:9" s="33" customFormat="1" ht="60">
      <c r="A4001" s="12">
        <v>43579.834444444445</v>
      </c>
      <c r="B4001" s="13" t="str">
        <f t="shared" si="164"/>
        <v>@LightAndTimeArt</v>
      </c>
      <c r="C4001" s="14" t="s">
        <v>435</v>
      </c>
      <c r="D4001" s="15" t="s">
        <v>436</v>
      </c>
      <c r="E4001" s="16" t="str">
        <f t="shared" si="165"/>
        <v>IFTTT</v>
      </c>
      <c r="F4001" s="12">
        <v>41787.481631944444</v>
      </c>
      <c r="G4001" s="17" t="s">
        <v>13000</v>
      </c>
      <c r="H4001" s="35" t="s">
        <v>437</v>
      </c>
      <c r="I4001" s="18" t="s">
        <v>438</v>
      </c>
    </row>
    <row r="4002" spans="1:9" s="33" customFormat="1" ht="60">
      <c r="A4002" s="12">
        <v>43578.833657407406</v>
      </c>
      <c r="B4002" s="13" t="str">
        <f t="shared" si="164"/>
        <v>@LightAndTimeArt</v>
      </c>
      <c r="C4002" s="14" t="s">
        <v>435</v>
      </c>
      <c r="D4002" s="15" t="s">
        <v>1022</v>
      </c>
      <c r="E4002" s="16" t="str">
        <f t="shared" si="165"/>
        <v>IFTTT</v>
      </c>
      <c r="F4002" s="12">
        <v>41787.481631944444</v>
      </c>
      <c r="G4002" s="17" t="s">
        <v>13000</v>
      </c>
      <c r="H4002" s="35" t="s">
        <v>437</v>
      </c>
      <c r="I4002" s="18" t="s">
        <v>438</v>
      </c>
    </row>
    <row r="4003" spans="1:9" s="33" customFormat="1" ht="60">
      <c r="A4003" s="12">
        <v>43577.833715277782</v>
      </c>
      <c r="B4003" s="13" t="str">
        <f t="shared" si="164"/>
        <v>@LightAndTimeArt</v>
      </c>
      <c r="C4003" s="14" t="s">
        <v>435</v>
      </c>
      <c r="D4003" s="15" t="s">
        <v>1488</v>
      </c>
      <c r="E4003" s="16" t="str">
        <f t="shared" si="165"/>
        <v>IFTTT</v>
      </c>
      <c r="F4003" s="12">
        <v>41787.481631944444</v>
      </c>
      <c r="G4003" s="17" t="s">
        <v>13000</v>
      </c>
      <c r="H4003" s="35" t="s">
        <v>437</v>
      </c>
      <c r="I4003" s="18" t="s">
        <v>438</v>
      </c>
    </row>
    <row r="4004" spans="1:9" s="33" customFormat="1" ht="60">
      <c r="A4004" s="12">
        <v>43576.834027777775</v>
      </c>
      <c r="B4004" s="13" t="str">
        <f t="shared" si="164"/>
        <v>@LightAndTimeArt</v>
      </c>
      <c r="C4004" s="14" t="s">
        <v>435</v>
      </c>
      <c r="D4004" s="15" t="s">
        <v>1812</v>
      </c>
      <c r="E4004" s="16" t="str">
        <f t="shared" si="165"/>
        <v>IFTTT</v>
      </c>
      <c r="F4004" s="12">
        <v>41787.481631944444</v>
      </c>
      <c r="G4004" s="17" t="s">
        <v>13000</v>
      </c>
      <c r="H4004" s="35" t="s">
        <v>437</v>
      </c>
      <c r="I4004" s="18" t="s">
        <v>438</v>
      </c>
    </row>
    <row r="4005" spans="1:9" s="33" customFormat="1" ht="60">
      <c r="A4005" s="12">
        <v>43575.833819444444</v>
      </c>
      <c r="B4005" s="13" t="str">
        <f t="shared" si="164"/>
        <v>@LightAndTimeArt</v>
      </c>
      <c r="C4005" s="14" t="s">
        <v>435</v>
      </c>
      <c r="D4005" s="15" t="s">
        <v>2111</v>
      </c>
      <c r="E4005" s="16" t="str">
        <f t="shared" si="165"/>
        <v>IFTTT</v>
      </c>
      <c r="F4005" s="12">
        <v>41787.481631944444</v>
      </c>
      <c r="G4005" s="17" t="s">
        <v>13000</v>
      </c>
      <c r="H4005" s="35" t="s">
        <v>437</v>
      </c>
      <c r="I4005" s="18" t="s">
        <v>438</v>
      </c>
    </row>
    <row r="4006" spans="1:9" s="33" customFormat="1" ht="60">
      <c r="A4006" s="12">
        <v>43574.834328703699</v>
      </c>
      <c r="B4006" s="13" t="str">
        <f t="shared" si="164"/>
        <v>@LightAndTimeArt</v>
      </c>
      <c r="C4006" s="14" t="s">
        <v>435</v>
      </c>
      <c r="D4006" s="15" t="s">
        <v>2421</v>
      </c>
      <c r="E4006" s="16" t="str">
        <f t="shared" si="165"/>
        <v>IFTTT</v>
      </c>
      <c r="F4006" s="12">
        <v>41787.481631944444</v>
      </c>
      <c r="G4006" s="17" t="s">
        <v>13000</v>
      </c>
      <c r="H4006" s="35" t="s">
        <v>437</v>
      </c>
      <c r="I4006" s="18" t="s">
        <v>438</v>
      </c>
    </row>
    <row r="4007" spans="1:9" s="33" customFormat="1" ht="60">
      <c r="A4007" s="12">
        <v>43573.834328703699</v>
      </c>
      <c r="B4007" s="13" t="str">
        <f t="shared" si="164"/>
        <v>@LightAndTimeArt</v>
      </c>
      <c r="C4007" s="14" t="s">
        <v>435</v>
      </c>
      <c r="D4007" s="15" t="s">
        <v>2722</v>
      </c>
      <c r="E4007" s="16" t="str">
        <f t="shared" si="165"/>
        <v>IFTTT</v>
      </c>
      <c r="F4007" s="12">
        <v>41787.481631944444</v>
      </c>
      <c r="G4007" s="17" t="s">
        <v>13000</v>
      </c>
      <c r="H4007" s="35" t="s">
        <v>437</v>
      </c>
      <c r="I4007" s="18" t="s">
        <v>438</v>
      </c>
    </row>
    <row r="4008" spans="1:9" s="33" customFormat="1" ht="60">
      <c r="A4008" s="12">
        <v>43572.833553240736</v>
      </c>
      <c r="B4008" s="13" t="str">
        <f t="shared" si="164"/>
        <v>@LightAndTimeArt</v>
      </c>
      <c r="C4008" s="14" t="s">
        <v>435</v>
      </c>
      <c r="D4008" s="15" t="s">
        <v>3078</v>
      </c>
      <c r="E4008" s="16" t="str">
        <f t="shared" si="165"/>
        <v>IFTTT</v>
      </c>
      <c r="F4008" s="12">
        <v>41787.481631944444</v>
      </c>
      <c r="G4008" s="17" t="s">
        <v>13000</v>
      </c>
      <c r="H4008" s="35" t="s">
        <v>437</v>
      </c>
      <c r="I4008" s="18" t="s">
        <v>438</v>
      </c>
    </row>
    <row r="4009" spans="1:9" s="33" customFormat="1" ht="60">
      <c r="A4009" s="12">
        <v>43571.833622685182</v>
      </c>
      <c r="B4009" s="13" t="str">
        <f t="shared" si="164"/>
        <v>@LightAndTimeArt</v>
      </c>
      <c r="C4009" s="14" t="s">
        <v>435</v>
      </c>
      <c r="D4009" s="15" t="s">
        <v>3533</v>
      </c>
      <c r="E4009" s="16" t="str">
        <f t="shared" si="165"/>
        <v>IFTTT</v>
      </c>
      <c r="F4009" s="12">
        <v>41787.481631944444</v>
      </c>
      <c r="G4009" s="17" t="s">
        <v>13000</v>
      </c>
      <c r="H4009" s="35" t="s">
        <v>437</v>
      </c>
      <c r="I4009" s="18" t="s">
        <v>438</v>
      </c>
    </row>
    <row r="4010" spans="1:9" s="33" customFormat="1" ht="60">
      <c r="A4010" s="12">
        <v>43570.83421296296</v>
      </c>
      <c r="B4010" s="13" t="str">
        <f t="shared" si="164"/>
        <v>@LightAndTimeArt</v>
      </c>
      <c r="C4010" s="14" t="s">
        <v>435</v>
      </c>
      <c r="D4010" s="15" t="s">
        <v>3969</v>
      </c>
      <c r="E4010" s="16" t="str">
        <f t="shared" si="165"/>
        <v>IFTTT</v>
      </c>
      <c r="F4010" s="12">
        <v>41787.481631944444</v>
      </c>
      <c r="G4010" s="17" t="s">
        <v>13000</v>
      </c>
      <c r="H4010" s="35" t="s">
        <v>437</v>
      </c>
      <c r="I4010" s="18" t="s">
        <v>438</v>
      </c>
    </row>
    <row r="4011" spans="1:9" s="33" customFormat="1" ht="60">
      <c r="A4011" s="12">
        <v>43569.834282407406</v>
      </c>
      <c r="B4011" s="13" t="str">
        <f t="shared" si="164"/>
        <v>@LightAndTimeArt</v>
      </c>
      <c r="C4011" s="14" t="s">
        <v>435</v>
      </c>
      <c r="D4011" s="15" t="s">
        <v>4392</v>
      </c>
      <c r="E4011" s="16" t="str">
        <f t="shared" si="165"/>
        <v>IFTTT</v>
      </c>
      <c r="F4011" s="12">
        <v>41787.481631944444</v>
      </c>
      <c r="G4011" s="17" t="s">
        <v>13000</v>
      </c>
      <c r="H4011" s="35" t="s">
        <v>437</v>
      </c>
      <c r="I4011" s="18" t="s">
        <v>438</v>
      </c>
    </row>
    <row r="4012" spans="1:9" s="33" customFormat="1" ht="60">
      <c r="A4012" s="12">
        <v>43568.83430555556</v>
      </c>
      <c r="B4012" s="13" t="str">
        <f t="shared" si="164"/>
        <v>@LightAndTimeArt</v>
      </c>
      <c r="C4012" s="14" t="s">
        <v>435</v>
      </c>
      <c r="D4012" s="15" t="s">
        <v>4652</v>
      </c>
      <c r="E4012" s="16" t="str">
        <f t="shared" si="165"/>
        <v>IFTTT</v>
      </c>
      <c r="F4012" s="12">
        <v>41787.481631944444</v>
      </c>
      <c r="G4012" s="17" t="s">
        <v>13000</v>
      </c>
      <c r="H4012" s="35" t="s">
        <v>437</v>
      </c>
      <c r="I4012" s="18" t="s">
        <v>438</v>
      </c>
    </row>
    <row r="4013" spans="1:9" s="33" customFormat="1" ht="60">
      <c r="A4013" s="12">
        <v>43567.834155092598</v>
      </c>
      <c r="B4013" s="13" t="str">
        <f t="shared" si="164"/>
        <v>@LightAndTimeArt</v>
      </c>
      <c r="C4013" s="14" t="s">
        <v>435</v>
      </c>
      <c r="D4013" s="15" t="s">
        <v>4943</v>
      </c>
      <c r="E4013" s="16" t="str">
        <f t="shared" si="165"/>
        <v>IFTTT</v>
      </c>
      <c r="F4013" s="12">
        <v>41787.481631944444</v>
      </c>
      <c r="G4013" s="17" t="s">
        <v>13000</v>
      </c>
      <c r="H4013" s="35" t="s">
        <v>437</v>
      </c>
      <c r="I4013" s="18" t="s">
        <v>438</v>
      </c>
    </row>
    <row r="4014" spans="1:9" s="33" customFormat="1" ht="60">
      <c r="A4014" s="12">
        <v>43566.834201388891</v>
      </c>
      <c r="B4014" s="13" t="str">
        <f t="shared" si="164"/>
        <v>@LightAndTimeArt</v>
      </c>
      <c r="C4014" s="14" t="s">
        <v>435</v>
      </c>
      <c r="D4014" s="15" t="s">
        <v>5329</v>
      </c>
      <c r="E4014" s="16" t="str">
        <f t="shared" si="165"/>
        <v>IFTTT</v>
      </c>
      <c r="F4014" s="12">
        <v>41787.481631944444</v>
      </c>
      <c r="G4014" s="17" t="s">
        <v>13000</v>
      </c>
      <c r="H4014" s="35" t="s">
        <v>437</v>
      </c>
      <c r="I4014" s="18" t="s">
        <v>438</v>
      </c>
    </row>
    <row r="4015" spans="1:9" s="33" customFormat="1" ht="45">
      <c r="A4015" s="12">
        <v>43566.588912037041</v>
      </c>
      <c r="B4015" s="13" t="str">
        <f>HYPERLINK("https://twitter.com/YoungAdultMoney","@YoungAdultMoney")</f>
        <v>@YoungAdultMoney</v>
      </c>
      <c r="C4015" s="14" t="s">
        <v>5419</v>
      </c>
      <c r="D4015" s="15" t="s">
        <v>5420</v>
      </c>
      <c r="E4015" s="16" t="str">
        <f>HYPERLINK("https://buffer.com","Buffer")</f>
        <v>Buffer</v>
      </c>
      <c r="F4015" s="12">
        <v>41076.544965277775</v>
      </c>
      <c r="G4015" s="17" t="s">
        <v>13000</v>
      </c>
      <c r="H4015" s="35" t="s">
        <v>437</v>
      </c>
      <c r="I4015" s="18" t="s">
        <v>5421</v>
      </c>
    </row>
    <row r="4016" spans="1:9" s="33" customFormat="1" ht="60">
      <c r="A4016" s="4">
        <v>43558.338900462964</v>
      </c>
      <c r="B4016" s="5" t="str">
        <f>HYPERLINK("https://twitter.com/CCandWanderlust","@CCandWanderlust")</f>
        <v>@CCandWanderlust</v>
      </c>
      <c r="C4016" s="6" t="s">
        <v>3631</v>
      </c>
      <c r="D4016" s="7" t="s">
        <v>12226</v>
      </c>
      <c r="E4016" s="8" t="str">
        <f>HYPERLINK("https://buffer.com","Buffer")</f>
        <v>Buffer</v>
      </c>
      <c r="F4016" s="4">
        <v>39881.544930555552</v>
      </c>
      <c r="G4016" s="17" t="s">
        <v>13000</v>
      </c>
      <c r="H4016" s="35" t="s">
        <v>3633</v>
      </c>
      <c r="I4016" s="10" t="s">
        <v>3634</v>
      </c>
    </row>
    <row r="4017" spans="1:9" s="33" customFormat="1" ht="60">
      <c r="A4017" s="12">
        <v>43571.574317129634</v>
      </c>
      <c r="B4017" s="13" t="str">
        <f>HYPERLINK("https://twitter.com/CCandWanderlust","@CCandWanderlust")</f>
        <v>@CCandWanderlust</v>
      </c>
      <c r="C4017" s="14" t="s">
        <v>3631</v>
      </c>
      <c r="D4017" s="15" t="s">
        <v>3632</v>
      </c>
      <c r="E4017" s="16" t="str">
        <f>HYPERLINK("https://buffer.com","Buffer")</f>
        <v>Buffer</v>
      </c>
      <c r="F4017" s="12">
        <v>39881.544930555552</v>
      </c>
      <c r="G4017" s="17" t="s">
        <v>13000</v>
      </c>
      <c r="H4017" s="35" t="s">
        <v>3633</v>
      </c>
      <c r="I4017" s="18" t="s">
        <v>3634</v>
      </c>
    </row>
    <row r="4018" spans="1:9" s="33" customFormat="1" ht="45">
      <c r="A4018" s="12">
        <v>43572.186122685191</v>
      </c>
      <c r="B4018" s="13" t="str">
        <f>HYPERLINK("https://twitter.com/BenjaminHCCarr","@BenjaminHCCarr")</f>
        <v>@BenjaminHCCarr</v>
      </c>
      <c r="C4018" s="14" t="s">
        <v>3386</v>
      </c>
      <c r="D4018" s="15" t="s">
        <v>3387</v>
      </c>
      <c r="E4018" s="16" t="str">
        <f>HYPERLINK("https://buffer.com","Buffer")</f>
        <v>Buffer</v>
      </c>
      <c r="F4018" s="12">
        <v>40627.399976851855</v>
      </c>
      <c r="G4018" s="17" t="s">
        <v>13000</v>
      </c>
      <c r="H4018" s="35" t="s">
        <v>3388</v>
      </c>
      <c r="I4018" s="18" t="s">
        <v>3389</v>
      </c>
    </row>
    <row r="4019" spans="1:9" s="33" customFormat="1" ht="45">
      <c r="A4019" s="12">
        <v>43571.833472222221</v>
      </c>
      <c r="B4019" s="13" t="str">
        <f>HYPERLINK("https://twitter.com/HappeKris","@HappeKris")</f>
        <v>@HappeKris</v>
      </c>
      <c r="C4019" s="14" t="s">
        <v>3534</v>
      </c>
      <c r="D4019" s="15" t="s">
        <v>3535</v>
      </c>
      <c r="E4019" s="16" t="str">
        <f>HYPERLINK("http://twitter.com/download/iphone","Twitter for iPhone")</f>
        <v>Twitter for iPhone</v>
      </c>
      <c r="F4019" s="12">
        <v>40731.826377314814</v>
      </c>
      <c r="G4019" s="17" t="s">
        <v>13000</v>
      </c>
      <c r="H4019" s="35" t="s">
        <v>3388</v>
      </c>
      <c r="I4019" s="18" t="s">
        <v>3536</v>
      </c>
    </row>
    <row r="4020" spans="1:9" s="33" customFormat="1" ht="120">
      <c r="A4020" s="19">
        <v>43549.691053240742</v>
      </c>
      <c r="B4020" s="20" t="str">
        <f>HYPERLINK("https://twitter.com/aqua_holk","@aqua_holk")</f>
        <v>@aqua_holk</v>
      </c>
      <c r="C4020" s="21" t="s">
        <v>1885</v>
      </c>
      <c r="D4020" s="22" t="s">
        <v>7945</v>
      </c>
      <c r="E4020" s="23" t="str">
        <f>HYPERLINK("http://twitter.com","Twitter Web Client")</f>
        <v>Twitter Web Client</v>
      </c>
      <c r="F4020" s="19">
        <v>42823.056111111116</v>
      </c>
      <c r="G4020" s="17" t="s">
        <v>13000</v>
      </c>
      <c r="H4020" s="35" t="s">
        <v>1887</v>
      </c>
      <c r="I4020" s="25" t="s">
        <v>1888</v>
      </c>
    </row>
    <row r="4021" spans="1:9" s="33" customFormat="1" ht="120">
      <c r="A4021" s="12">
        <v>43576.639374999999</v>
      </c>
      <c r="B4021" s="13" t="str">
        <f>HYPERLINK("https://twitter.com/aqua_holk","@aqua_holk")</f>
        <v>@aqua_holk</v>
      </c>
      <c r="C4021" s="14" t="s">
        <v>1885</v>
      </c>
      <c r="D4021" s="15" t="s">
        <v>1886</v>
      </c>
      <c r="E4021" s="16" t="str">
        <f>HYPERLINK("http://twitter.com","Twitter Web Client")</f>
        <v>Twitter Web Client</v>
      </c>
      <c r="F4021" s="12">
        <v>42823.056111111116</v>
      </c>
      <c r="G4021" s="17" t="s">
        <v>13000</v>
      </c>
      <c r="H4021" s="35" t="s">
        <v>1887</v>
      </c>
      <c r="I4021" s="18" t="s">
        <v>1888</v>
      </c>
    </row>
    <row r="4022" spans="1:9" s="33" customFormat="1" ht="90">
      <c r="A4022" s="12">
        <v>43576.389467592591</v>
      </c>
      <c r="B4022" s="13" t="str">
        <f>HYPERLINK("https://twitter.com/SupermanB8","@SupermanB8")</f>
        <v>@SupermanB8</v>
      </c>
      <c r="C4022" s="14" t="s">
        <v>1967</v>
      </c>
      <c r="D4022" s="15" t="s">
        <v>1968</v>
      </c>
      <c r="E4022" s="16" t="str">
        <f>HYPERLINK("http://twitter.com/download/iphone","Twitter for iPhone")</f>
        <v>Twitter for iPhone</v>
      </c>
      <c r="F4022" s="12">
        <v>40845.302650462967</v>
      </c>
      <c r="G4022" s="17" t="s">
        <v>13000</v>
      </c>
      <c r="H4022" s="35" t="s">
        <v>1969</v>
      </c>
      <c r="I4022" s="18" t="s">
        <v>1970</v>
      </c>
    </row>
    <row r="4023" spans="1:9" s="33" customFormat="1" ht="75">
      <c r="A4023" s="19">
        <v>43551.66715277778</v>
      </c>
      <c r="B4023" s="20" t="str">
        <f>HYPERLINK("https://twitter.com/AriseWorkfrHome","@AriseWorkfrHome")</f>
        <v>@AriseWorkfrHome</v>
      </c>
      <c r="C4023" s="21" t="s">
        <v>2774</v>
      </c>
      <c r="D4023" s="22" t="s">
        <v>7058</v>
      </c>
      <c r="E4023" s="23" t="str">
        <f>HYPERLINK("https://www.hootsuite.com","Hootsuite Inc.")</f>
        <v>Hootsuite Inc.</v>
      </c>
      <c r="F4023" s="19">
        <v>39938.33153935185</v>
      </c>
      <c r="G4023" s="17" t="s">
        <v>13000</v>
      </c>
      <c r="H4023" s="35" t="s">
        <v>2776</v>
      </c>
      <c r="I4023" s="25" t="s">
        <v>2777</v>
      </c>
    </row>
    <row r="4024" spans="1:9" s="33" customFormat="1" ht="75">
      <c r="A4024" s="19">
        <v>43543.667025462964</v>
      </c>
      <c r="B4024" s="20" t="str">
        <f>HYPERLINK("https://twitter.com/AriseWorkfrHome","@AriseWorkfrHome")</f>
        <v>@AriseWorkfrHome</v>
      </c>
      <c r="C4024" s="21" t="s">
        <v>2774</v>
      </c>
      <c r="D4024" s="22" t="s">
        <v>9502</v>
      </c>
      <c r="E4024" s="23" t="str">
        <f>HYPERLINK("https://www.hootsuite.com","Hootsuite Inc.")</f>
        <v>Hootsuite Inc.</v>
      </c>
      <c r="F4024" s="19">
        <v>39938.33153935185</v>
      </c>
      <c r="G4024" s="17" t="s">
        <v>13000</v>
      </c>
      <c r="H4024" s="35" t="s">
        <v>2776</v>
      </c>
      <c r="I4024" s="25" t="s">
        <v>2777</v>
      </c>
    </row>
    <row r="4025" spans="1:9" s="33" customFormat="1" ht="75">
      <c r="A4025" s="4">
        <v>43560.667071759264</v>
      </c>
      <c r="B4025" s="5" t="str">
        <f>HYPERLINK("https://twitter.com/AriseWorkfrHome","@AriseWorkfrHome")</f>
        <v>@AriseWorkfrHome</v>
      </c>
      <c r="C4025" s="6" t="s">
        <v>2774</v>
      </c>
      <c r="D4025" s="7" t="s">
        <v>11231</v>
      </c>
      <c r="E4025" s="8" t="str">
        <f>HYPERLINK("https://www.hootsuite.com","Hootsuite Inc.")</f>
        <v>Hootsuite Inc.</v>
      </c>
      <c r="F4025" s="4">
        <v>39938.33153935185</v>
      </c>
      <c r="G4025" s="17" t="s">
        <v>13000</v>
      </c>
      <c r="H4025" s="35" t="s">
        <v>2776</v>
      </c>
      <c r="I4025" s="10" t="s">
        <v>2777</v>
      </c>
    </row>
    <row r="4026" spans="1:9" s="33" customFormat="1" ht="75">
      <c r="A4026" s="12">
        <v>43573.667164351849</v>
      </c>
      <c r="B4026" s="13" t="str">
        <f>HYPERLINK("https://twitter.com/AriseWorkfrHome","@AriseWorkfrHome")</f>
        <v>@AriseWorkfrHome</v>
      </c>
      <c r="C4026" s="14" t="s">
        <v>2774</v>
      </c>
      <c r="D4026" s="15" t="s">
        <v>2775</v>
      </c>
      <c r="E4026" s="16" t="str">
        <f>HYPERLINK("https://www.hootsuite.com","Hootsuite Inc.")</f>
        <v>Hootsuite Inc.</v>
      </c>
      <c r="F4026" s="12">
        <v>39938.33153935185</v>
      </c>
      <c r="G4026" s="17" t="s">
        <v>13000</v>
      </c>
      <c r="H4026" s="35" t="s">
        <v>2776</v>
      </c>
      <c r="I4026" s="18" t="s">
        <v>2777</v>
      </c>
    </row>
    <row r="4027" spans="1:9" s="33" customFormat="1" ht="60">
      <c r="A4027" s="4">
        <v>43559.944398148145</v>
      </c>
      <c r="B4027" s="5" t="str">
        <f>HYPERLINK("https://twitter.com/EBooyah","@EBooyah")</f>
        <v>@EBooyah</v>
      </c>
      <c r="C4027" s="6" t="s">
        <v>11652</v>
      </c>
      <c r="D4027" s="7" t="s">
        <v>11653</v>
      </c>
      <c r="E4027" s="8" t="str">
        <f>HYPERLINK("http://twitter.com/download/iphone","Twitter for iPhone")</f>
        <v>Twitter for iPhone</v>
      </c>
      <c r="F4027" s="4">
        <v>39848.834189814814</v>
      </c>
      <c r="G4027" s="24" t="s">
        <v>13000</v>
      </c>
      <c r="H4027" s="35" t="s">
        <v>11654</v>
      </c>
      <c r="I4027" s="10" t="s">
        <v>11655</v>
      </c>
    </row>
    <row r="4028" spans="1:9" s="33" customFormat="1" ht="60">
      <c r="A4028" s="12">
        <v>43573.37222222222</v>
      </c>
      <c r="B4028" s="13" t="str">
        <f>HYPERLINK("https://twitter.com/SWmissionviejo","@SWmissionviejo")</f>
        <v>@SWmissionviejo</v>
      </c>
      <c r="C4028" s="14" t="s">
        <v>2849</v>
      </c>
      <c r="D4028" s="15" t="s">
        <v>2911</v>
      </c>
      <c r="E4028" s="16" t="str">
        <f>HYPERLINK("https://about.twitter.com/products/tweetdeck","TweetDeck")</f>
        <v>TweetDeck</v>
      </c>
      <c r="F4028" s="12">
        <v>40043.461516203708</v>
      </c>
      <c r="G4028" s="24" t="s">
        <v>13000</v>
      </c>
      <c r="H4028" s="35" t="s">
        <v>2912</v>
      </c>
      <c r="I4028" s="18" t="s">
        <v>2913</v>
      </c>
    </row>
    <row r="4029" spans="1:9" s="33" customFormat="1" ht="60">
      <c r="A4029" s="12">
        <v>43572.37222222222</v>
      </c>
      <c r="B4029" s="13" t="str">
        <f>HYPERLINK("https://twitter.com/SWmissionviejo","@SWmissionviejo")</f>
        <v>@SWmissionviejo</v>
      </c>
      <c r="C4029" s="14" t="s">
        <v>2849</v>
      </c>
      <c r="D4029" s="15" t="s">
        <v>3291</v>
      </c>
      <c r="E4029" s="16" t="str">
        <f>HYPERLINK("https://about.twitter.com/products/tweetdeck","TweetDeck")</f>
        <v>TweetDeck</v>
      </c>
      <c r="F4029" s="12">
        <v>40043.461516203708</v>
      </c>
      <c r="G4029" s="24" t="s">
        <v>13000</v>
      </c>
      <c r="H4029" s="35" t="s">
        <v>2912</v>
      </c>
      <c r="I4029" s="18" t="s">
        <v>2913</v>
      </c>
    </row>
    <row r="4030" spans="1:9" s="33" customFormat="1" ht="105">
      <c r="A4030" s="19">
        <v>43547.918344907404</v>
      </c>
      <c r="B4030" s="20" t="str">
        <f>HYPERLINK("https://twitter.com/SkipPhotog","@SkipPhotog")</f>
        <v>@SkipPhotog</v>
      </c>
      <c r="C4030" s="21" t="s">
        <v>8434</v>
      </c>
      <c r="D4030" s="22" t="s">
        <v>8435</v>
      </c>
      <c r="E4030" s="23" t="str">
        <f>HYPERLINK("http://twitter.com/download/iphone","Twitter for iPhone")</f>
        <v>Twitter for iPhone</v>
      </c>
      <c r="F4030" s="19">
        <v>40958.729722222226</v>
      </c>
      <c r="G4030" s="17" t="s">
        <v>13000</v>
      </c>
      <c r="H4030" s="35" t="s">
        <v>8436</v>
      </c>
      <c r="I4030" s="25" t="s">
        <v>8437</v>
      </c>
    </row>
    <row r="4031" spans="1:9" s="33" customFormat="1" ht="30">
      <c r="A4031" s="12">
        <v>43572.398009259261</v>
      </c>
      <c r="B4031" s="13" t="str">
        <f>HYPERLINK("https://twitter.com/G967radio","@G967radio")</f>
        <v>@G967radio</v>
      </c>
      <c r="C4031" s="14" t="s">
        <v>3270</v>
      </c>
      <c r="D4031" s="15" t="s">
        <v>3271</v>
      </c>
      <c r="E4031" s="16" t="str">
        <f>HYPERLINK("http://www.facebook.com/twitter","Facebook")</f>
        <v>Facebook</v>
      </c>
      <c r="F4031" s="12">
        <v>42414.499537037038</v>
      </c>
      <c r="G4031" s="17" t="s">
        <v>13000</v>
      </c>
      <c r="H4031" s="35" t="s">
        <v>3272</v>
      </c>
      <c r="I4031" s="18"/>
    </row>
    <row r="4032" spans="1:9" s="33" customFormat="1" ht="90">
      <c r="A4032" s="4">
        <v>43563.042025462964</v>
      </c>
      <c r="B4032" s="5" t="str">
        <f t="shared" ref="B4032:B4037" si="166">HYPERLINK("https://twitter.com/splendidhosts","@splendidhosts")</f>
        <v>@splendidhosts</v>
      </c>
      <c r="C4032" s="6" t="s">
        <v>5557</v>
      </c>
      <c r="D4032" s="7" t="s">
        <v>10491</v>
      </c>
      <c r="E4032" s="8" t="str">
        <f t="shared" ref="E4032:E4037" si="167">HYPERLINK("https://www.hootsuite.com","Hootsuite Inc.")</f>
        <v>Hootsuite Inc.</v>
      </c>
      <c r="F4032" s="4">
        <v>43456.792384259257</v>
      </c>
      <c r="G4032" s="17" t="s">
        <v>13000</v>
      </c>
      <c r="H4032" s="35" t="s">
        <v>1633</v>
      </c>
      <c r="I4032" s="10"/>
    </row>
    <row r="4033" spans="1:9" s="33" customFormat="1" ht="90">
      <c r="A4033" s="4">
        <v>43561.791944444441</v>
      </c>
      <c r="B4033" s="5" t="str">
        <f t="shared" si="166"/>
        <v>@splendidhosts</v>
      </c>
      <c r="C4033" s="6" t="s">
        <v>5557</v>
      </c>
      <c r="D4033" s="7" t="s">
        <v>10833</v>
      </c>
      <c r="E4033" s="8" t="str">
        <f t="shared" si="167"/>
        <v>Hootsuite Inc.</v>
      </c>
      <c r="F4033" s="4">
        <v>43456.792384259257</v>
      </c>
      <c r="G4033" s="17" t="s">
        <v>13000</v>
      </c>
      <c r="H4033" s="35" t="s">
        <v>1633</v>
      </c>
      <c r="I4033" s="10"/>
    </row>
    <row r="4034" spans="1:9" s="33" customFormat="1" ht="75">
      <c r="A4034" s="4">
        <v>43560.292615740742</v>
      </c>
      <c r="B4034" s="5" t="str">
        <f t="shared" si="166"/>
        <v>@splendidhosts</v>
      </c>
      <c r="C4034" s="6" t="s">
        <v>5557</v>
      </c>
      <c r="D4034" s="7" t="s">
        <v>11493</v>
      </c>
      <c r="E4034" s="8" t="str">
        <f t="shared" si="167"/>
        <v>Hootsuite Inc.</v>
      </c>
      <c r="F4034" s="4">
        <v>43456.792384259257</v>
      </c>
      <c r="G4034" s="17" t="s">
        <v>13000</v>
      </c>
      <c r="H4034" s="35" t="s">
        <v>1633</v>
      </c>
      <c r="I4034" s="10"/>
    </row>
    <row r="4035" spans="1:9" s="33" customFormat="1" ht="105">
      <c r="A4035" s="4">
        <v>43557.933182870373</v>
      </c>
      <c r="B4035" s="5" t="str">
        <f t="shared" si="166"/>
        <v>@splendidhosts</v>
      </c>
      <c r="C4035" s="6" t="s">
        <v>5557</v>
      </c>
      <c r="D4035" s="7" t="s">
        <v>12361</v>
      </c>
      <c r="E4035" s="8" t="str">
        <f t="shared" si="167"/>
        <v>Hootsuite Inc.</v>
      </c>
      <c r="F4035" s="4">
        <v>43456.792384259257</v>
      </c>
      <c r="G4035" s="17" t="s">
        <v>13000</v>
      </c>
      <c r="H4035" s="35" t="s">
        <v>1633</v>
      </c>
      <c r="I4035" s="10"/>
    </row>
    <row r="4036" spans="1:9" s="33" customFormat="1" ht="90">
      <c r="A4036" s="4">
        <v>43557.292731481481</v>
      </c>
      <c r="B4036" s="5" t="str">
        <f t="shared" si="166"/>
        <v>@splendidhosts</v>
      </c>
      <c r="C4036" s="6" t="s">
        <v>5557</v>
      </c>
      <c r="D4036" s="7" t="s">
        <v>12580</v>
      </c>
      <c r="E4036" s="8" t="str">
        <f t="shared" si="167"/>
        <v>Hootsuite Inc.</v>
      </c>
      <c r="F4036" s="4">
        <v>43456.792384259257</v>
      </c>
      <c r="G4036" s="17" t="s">
        <v>13000</v>
      </c>
      <c r="H4036" s="35" t="s">
        <v>1633</v>
      </c>
      <c r="I4036" s="10"/>
    </row>
    <row r="4037" spans="1:9" s="33" customFormat="1" ht="105">
      <c r="A4037" s="4">
        <v>43557.042245370365</v>
      </c>
      <c r="B4037" s="5" t="str">
        <f t="shared" si="166"/>
        <v>@splendidhosts</v>
      </c>
      <c r="C4037" s="6" t="s">
        <v>5557</v>
      </c>
      <c r="D4037" s="7" t="s">
        <v>12672</v>
      </c>
      <c r="E4037" s="8" t="str">
        <f t="shared" si="167"/>
        <v>Hootsuite Inc.</v>
      </c>
      <c r="F4037" s="4">
        <v>43456.792384259257</v>
      </c>
      <c r="G4037" s="17" t="s">
        <v>13000</v>
      </c>
      <c r="H4037" s="35" t="s">
        <v>1633</v>
      </c>
      <c r="I4037" s="10"/>
    </row>
    <row r="4038" spans="1:9" s="33" customFormat="1" ht="90">
      <c r="A4038" s="12">
        <v>43577.458275462966</v>
      </c>
      <c r="B4038" s="13" t="str">
        <f>HYPERLINK("https://twitter.com/calen26","@calen26")</f>
        <v>@calen26</v>
      </c>
      <c r="C4038" s="14" t="s">
        <v>1631</v>
      </c>
      <c r="D4038" s="15" t="s">
        <v>1632</v>
      </c>
      <c r="E4038" s="16" t="str">
        <f>HYPERLINK("http://twitter.com/download/iphone","Twitter for iPhone")</f>
        <v>Twitter for iPhone</v>
      </c>
      <c r="F4038" s="12">
        <v>41106.395416666666</v>
      </c>
      <c r="G4038" s="17" t="s">
        <v>13000</v>
      </c>
      <c r="H4038" s="35" t="s">
        <v>1633</v>
      </c>
      <c r="I4038" s="18" t="s">
        <v>1634</v>
      </c>
    </row>
    <row r="4039" spans="1:9" s="33" customFormat="1" ht="60">
      <c r="A4039" s="12">
        <v>43566.403877314813</v>
      </c>
      <c r="B4039" s="13" t="str">
        <f>HYPERLINK("https://twitter.com/splendidhosts","@splendidhosts")</f>
        <v>@splendidhosts</v>
      </c>
      <c r="C4039" s="14" t="s">
        <v>5557</v>
      </c>
      <c r="D4039" s="15" t="s">
        <v>5558</v>
      </c>
      <c r="E4039" s="16" t="str">
        <f>HYPERLINK("http://twitter.com/download/android","Twitter for Android")</f>
        <v>Twitter for Android</v>
      </c>
      <c r="F4039" s="12">
        <v>43456.792384259257</v>
      </c>
      <c r="G4039" s="17" t="s">
        <v>13000</v>
      </c>
      <c r="H4039" s="35" t="s">
        <v>1633</v>
      </c>
      <c r="I4039" s="18"/>
    </row>
    <row r="4040" spans="1:9" s="33" customFormat="1" ht="60">
      <c r="A4040" s="19">
        <v>43543.812523148154</v>
      </c>
      <c r="B4040" s="20" t="str">
        <f>HYPERLINK("https://twitter.com/kanablelindsey","@kanablelindsey")</f>
        <v>@kanablelindsey</v>
      </c>
      <c r="C4040" s="21" t="s">
        <v>9677</v>
      </c>
      <c r="D4040" s="22" t="s">
        <v>9678</v>
      </c>
      <c r="E4040" s="23" t="str">
        <f>HYPERLINK("http://instagram.com","Instagram")</f>
        <v>Instagram</v>
      </c>
      <c r="F4040" s="19">
        <v>40064.541377314818</v>
      </c>
      <c r="G4040" s="17" t="s">
        <v>13000</v>
      </c>
      <c r="H4040" s="35" t="s">
        <v>9679</v>
      </c>
      <c r="I4040" s="25" t="s">
        <v>9680</v>
      </c>
    </row>
    <row r="4041" spans="1:9" s="33" customFormat="1" ht="75">
      <c r="A4041" s="4">
        <v>43563.615046296298</v>
      </c>
      <c r="B4041" s="5" t="str">
        <f>HYPERLINK("https://twitter.com/ThePuntFactory","@ThePuntFactory")</f>
        <v>@ThePuntFactory</v>
      </c>
      <c r="C4041" s="6" t="s">
        <v>6942</v>
      </c>
      <c r="D4041" s="7" t="s">
        <v>6943</v>
      </c>
      <c r="E4041" s="8" t="str">
        <f>HYPERLINK("http://twitter.com/download/iphone","Twitter for iPhone")</f>
        <v>Twitter for iPhone</v>
      </c>
      <c r="F4041" s="4">
        <v>41402.238344907411</v>
      </c>
      <c r="G4041" s="17" t="s">
        <v>13000</v>
      </c>
      <c r="H4041" s="35" t="s">
        <v>6944</v>
      </c>
      <c r="I4041" s="10" t="s">
        <v>6945</v>
      </c>
    </row>
    <row r="4042" spans="1:9" s="33" customFormat="1" ht="75">
      <c r="A4042" s="12">
        <v>43577.464328703703</v>
      </c>
      <c r="B4042" s="13" t="str">
        <f>HYPERLINK("https://twitter.com/AGHQHospitality","@AGHQHospitality")</f>
        <v>@AGHQHospitality</v>
      </c>
      <c r="C4042" s="14" t="s">
        <v>1620</v>
      </c>
      <c r="D4042" s="15" t="s">
        <v>1621</v>
      </c>
      <c r="E4042" s="16" t="str">
        <f>HYPERLINK("http://instagram.com","Instagram")</f>
        <v>Instagram</v>
      </c>
      <c r="F4042" s="12">
        <v>43575.472002314811</v>
      </c>
      <c r="G4042" s="17" t="s">
        <v>13000</v>
      </c>
      <c r="H4042" s="35" t="s">
        <v>1622</v>
      </c>
      <c r="I4042" s="18" t="s">
        <v>1623</v>
      </c>
    </row>
    <row r="4043" spans="1:9" s="33" customFormat="1" ht="45">
      <c r="A4043" s="12">
        <v>43566.352372685185</v>
      </c>
      <c r="B4043" s="13" t="str">
        <f>HYPERLINK("https://twitter.com/agreenwaldHQ","@agreenwaldHQ")</f>
        <v>@agreenwaldHQ</v>
      </c>
      <c r="C4043" s="14" t="s">
        <v>5628</v>
      </c>
      <c r="D4043" s="15" t="s">
        <v>5629</v>
      </c>
      <c r="E4043" s="16" t="str">
        <f>HYPERLINK("http://twitter.com","Twitter Web Client")</f>
        <v>Twitter Web Client</v>
      </c>
      <c r="F4043" s="12">
        <v>41309.394131944442</v>
      </c>
      <c r="G4043" s="17" t="s">
        <v>13000</v>
      </c>
      <c r="H4043" s="35" t="s">
        <v>1622</v>
      </c>
      <c r="I4043" s="18" t="s">
        <v>5630</v>
      </c>
    </row>
    <row r="4044" spans="1:9" s="33" customFormat="1" ht="105">
      <c r="A4044" s="12">
        <v>43566.225347222222</v>
      </c>
      <c r="B4044" s="13" t="str">
        <f>HYPERLINK("https://twitter.com/likeahurricane8","@likeahurricane8")</f>
        <v>@likeahurricane8</v>
      </c>
      <c r="C4044" s="14" t="s">
        <v>5717</v>
      </c>
      <c r="D4044" s="15" t="s">
        <v>5718</v>
      </c>
      <c r="E4044" s="16" t="str">
        <f>HYPERLINK("http://twitter.com/download/android","Twitter for Android")</f>
        <v>Twitter for Android</v>
      </c>
      <c r="F4044" s="12">
        <v>39454.325578703705</v>
      </c>
      <c r="G4044" s="17" t="s">
        <v>13000</v>
      </c>
      <c r="H4044" s="35" t="s">
        <v>5719</v>
      </c>
      <c r="I4044" s="18" t="s">
        <v>5720</v>
      </c>
    </row>
    <row r="4045" spans="1:9" s="33" customFormat="1" ht="30">
      <c r="A4045" s="19">
        <v>43551.423611111109</v>
      </c>
      <c r="B4045" s="20" t="str">
        <f>HYPERLINK("https://twitter.com/brunocyr","@brunocyr")</f>
        <v>@brunocyr</v>
      </c>
      <c r="C4045" s="21" t="s">
        <v>7205</v>
      </c>
      <c r="D4045" s="22" t="s">
        <v>7206</v>
      </c>
      <c r="E4045" s="23" t="str">
        <f>HYPERLINK("http://twitter.com/download/iphone","Twitter for iPhone")</f>
        <v>Twitter for iPhone</v>
      </c>
      <c r="F4045" s="19">
        <v>39793.648576388892</v>
      </c>
      <c r="G4045" s="24" t="s">
        <v>13000</v>
      </c>
      <c r="H4045" s="35" t="s">
        <v>5127</v>
      </c>
      <c r="I4045" s="25" t="s">
        <v>7207</v>
      </c>
    </row>
    <row r="4046" spans="1:9" s="33" customFormat="1" ht="45">
      <c r="A4046" s="19">
        <v>43546.339131944449</v>
      </c>
      <c r="B4046" s="20" t="str">
        <f>HYPERLINK("https://twitter.com/CBCRadioNoon","@CBCRadioNoon")</f>
        <v>@CBCRadioNoon</v>
      </c>
      <c r="C4046" s="21" t="s">
        <v>8903</v>
      </c>
      <c r="D4046" s="22" t="s">
        <v>8904</v>
      </c>
      <c r="E4046" s="23" t="str">
        <f>HYPERLINK("https://about.twitter.com/products/tweetdeck","TweetDeck")</f>
        <v>TweetDeck</v>
      </c>
      <c r="F4046" s="19">
        <v>40574.393842592595</v>
      </c>
      <c r="G4046" s="24" t="s">
        <v>13000</v>
      </c>
      <c r="H4046" s="35" t="s">
        <v>5127</v>
      </c>
      <c r="I4046" s="25" t="s">
        <v>8905</v>
      </c>
    </row>
    <row r="4047" spans="1:9" s="33" customFormat="1" ht="45">
      <c r="A4047" s="12">
        <v>43567.391574074078</v>
      </c>
      <c r="B4047" s="13" t="str">
        <f>HYPERLINK("https://twitter.com/chrisarsenault","@chrisarsenault")</f>
        <v>@chrisarsenault</v>
      </c>
      <c r="C4047" s="14" t="s">
        <v>5125</v>
      </c>
      <c r="D4047" s="15" t="s">
        <v>5126</v>
      </c>
      <c r="E4047" s="16" t="str">
        <f>HYPERLINK("http://twitter.com","Twitter Web Client")</f>
        <v>Twitter Web Client</v>
      </c>
      <c r="F4047" s="12">
        <v>39765.735474537039</v>
      </c>
      <c r="G4047" s="24" t="s">
        <v>13000</v>
      </c>
      <c r="H4047" s="35" t="s">
        <v>5127</v>
      </c>
      <c r="I4047" s="18" t="s">
        <v>5128</v>
      </c>
    </row>
    <row r="4048" spans="1:9" s="33" customFormat="1" ht="30">
      <c r="A4048" s="19">
        <v>43545.828449074077</v>
      </c>
      <c r="B4048" s="20" t="str">
        <f>HYPERLINK("https://twitter.com/andrequerry","@andrequerry")</f>
        <v>@andrequerry</v>
      </c>
      <c r="C4048" s="21" t="s">
        <v>9031</v>
      </c>
      <c r="D4048" s="22" t="s">
        <v>9032</v>
      </c>
      <c r="E4048" s="23" t="str">
        <f>HYPERLINK("http://twitter.com","Twitter Web Client")</f>
        <v>Twitter Web Client</v>
      </c>
      <c r="F4048" s="19">
        <v>40419.621770833335</v>
      </c>
      <c r="G4048" s="24" t="s">
        <v>13000</v>
      </c>
      <c r="H4048" s="35" t="s">
        <v>9033</v>
      </c>
      <c r="I4048" s="25"/>
    </row>
    <row r="4049" spans="1:9" s="33" customFormat="1" ht="150">
      <c r="A4049" s="4">
        <v>43558.753483796296</v>
      </c>
      <c r="B4049" s="5" t="str">
        <f>HYPERLINK("https://twitter.com/clustertogether","@clustertogether")</f>
        <v>@clustertogether</v>
      </c>
      <c r="C4049" s="6" t="s">
        <v>12048</v>
      </c>
      <c r="D4049" s="7" t="s">
        <v>12049</v>
      </c>
      <c r="E4049" s="8" t="str">
        <f>HYPERLINK("http://twitter.com","Twitter Web Client")</f>
        <v>Twitter Web Client</v>
      </c>
      <c r="F4049" s="4">
        <v>41441.588055555556</v>
      </c>
      <c r="G4049" s="24" t="s">
        <v>13000</v>
      </c>
      <c r="H4049" s="35" t="s">
        <v>12050</v>
      </c>
      <c r="I4049" s="10" t="s">
        <v>12051</v>
      </c>
    </row>
    <row r="4050" spans="1:9" s="33" customFormat="1" ht="75">
      <c r="A4050" s="19">
        <v>43551.514178240745</v>
      </c>
      <c r="B4050" s="20" t="str">
        <f>HYPERLINK("https://twitter.com/mangelsays","@mangelsays")</f>
        <v>@mangelsays</v>
      </c>
      <c r="C4050" s="21" t="s">
        <v>7141</v>
      </c>
      <c r="D4050" s="22" t="s">
        <v>7142</v>
      </c>
      <c r="E4050" s="23" t="str">
        <f>HYPERLINK("http://twitter.com/download/iphone","Twitter for iPhone")</f>
        <v>Twitter for iPhone</v>
      </c>
      <c r="F4050" s="19">
        <v>42377.307395833333</v>
      </c>
      <c r="G4050" s="24" t="s">
        <v>13000</v>
      </c>
      <c r="H4050" s="35" t="s">
        <v>211</v>
      </c>
      <c r="I4050" s="25" t="s">
        <v>7143</v>
      </c>
    </row>
    <row r="4051" spans="1:9" s="33" customFormat="1" ht="45">
      <c r="A4051" s="19">
        <v>43549.463055555556</v>
      </c>
      <c r="B4051" s="20" t="str">
        <f>HYPERLINK("https://twitter.com/h_k_pik","@h_k_pik")</f>
        <v>@h_k_pik</v>
      </c>
      <c r="C4051" s="21" t="s">
        <v>8020</v>
      </c>
      <c r="D4051" s="22" t="s">
        <v>8021</v>
      </c>
      <c r="E4051" s="23" t="str">
        <f>HYPERLINK("http://twitter.com/download/android","Twitter for Android")</f>
        <v>Twitter for Android</v>
      </c>
      <c r="F4051" s="19">
        <v>41205.650231481479</v>
      </c>
      <c r="G4051" s="24" t="s">
        <v>13000</v>
      </c>
      <c r="H4051" s="35" t="s">
        <v>211</v>
      </c>
      <c r="I4051" s="25" t="s">
        <v>8022</v>
      </c>
    </row>
    <row r="4052" spans="1:9" s="33" customFormat="1" ht="60">
      <c r="A4052" s="4">
        <v>43563.260833333334</v>
      </c>
      <c r="B4052" s="5" t="str">
        <f>HYPERLINK("https://twitter.com/MontrealREGroup","@MontrealREGroup")</f>
        <v>@MontrealREGroup</v>
      </c>
      <c r="C4052" s="6" t="s">
        <v>3761</v>
      </c>
      <c r="D4052" s="7" t="s">
        <v>10419</v>
      </c>
      <c r="E4052" s="8" t="str">
        <f>HYPERLINK("https://missinglettr.com","Missinglettr")</f>
        <v>Missinglettr</v>
      </c>
      <c r="F4052" s="4">
        <v>39890.479247685187</v>
      </c>
      <c r="G4052" s="24" t="s">
        <v>13000</v>
      </c>
      <c r="H4052" s="35" t="s">
        <v>211</v>
      </c>
      <c r="I4052" s="10" t="s">
        <v>3763</v>
      </c>
    </row>
    <row r="4053" spans="1:9" s="33" customFormat="1" ht="45">
      <c r="A4053" s="4">
        <v>43560.444502314815</v>
      </c>
      <c r="B4053" s="5" t="str">
        <f>HYPERLINK("https://twitter.com/DailyHiveMTL","@DailyHiveMTL")</f>
        <v>@DailyHiveMTL</v>
      </c>
      <c r="C4053" s="6" t="s">
        <v>11362</v>
      </c>
      <c r="D4053" s="7" t="s">
        <v>11363</v>
      </c>
      <c r="E4053" s="8" t="str">
        <f>HYPERLINK("https://www.hootsuite.com","Hootsuite Inc.")</f>
        <v>Hootsuite Inc.</v>
      </c>
      <c r="F4053" s="4">
        <v>42226.394016203703</v>
      </c>
      <c r="G4053" s="24" t="s">
        <v>13000</v>
      </c>
      <c r="H4053" s="35" t="s">
        <v>211</v>
      </c>
      <c r="I4053" s="10" t="s">
        <v>11364</v>
      </c>
    </row>
    <row r="4054" spans="1:9" s="33" customFormat="1" ht="60">
      <c r="A4054" s="4">
        <v>43560.260798611111</v>
      </c>
      <c r="B4054" s="5" t="str">
        <f>HYPERLINK("https://twitter.com/MontrealREGroup","@MontrealREGroup")</f>
        <v>@MontrealREGroup</v>
      </c>
      <c r="C4054" s="6" t="s">
        <v>3761</v>
      </c>
      <c r="D4054" s="7" t="s">
        <v>11525</v>
      </c>
      <c r="E4054" s="8" t="str">
        <f>HYPERLINK("https://missinglettr.com","Missinglettr")</f>
        <v>Missinglettr</v>
      </c>
      <c r="F4054" s="4">
        <v>39890.479247685187</v>
      </c>
      <c r="G4054" s="24" t="s">
        <v>13000</v>
      </c>
      <c r="H4054" s="35" t="s">
        <v>211</v>
      </c>
      <c r="I4054" s="10" t="s">
        <v>3763</v>
      </c>
    </row>
    <row r="4055" spans="1:9" s="33" customFormat="1" ht="45">
      <c r="A4055" s="4">
        <v>43559.260798611111</v>
      </c>
      <c r="B4055" s="5" t="str">
        <f>HYPERLINK("https://twitter.com/MontrealREGroup","@MontrealREGroup")</f>
        <v>@MontrealREGroup</v>
      </c>
      <c r="C4055" s="6" t="s">
        <v>3761</v>
      </c>
      <c r="D4055" s="7" t="s">
        <v>11899</v>
      </c>
      <c r="E4055" s="8" t="str">
        <f>HYPERLINK("https://missinglettr.com","Missinglettr")</f>
        <v>Missinglettr</v>
      </c>
      <c r="F4055" s="4">
        <v>39890.479247685187</v>
      </c>
      <c r="G4055" s="24" t="s">
        <v>13000</v>
      </c>
      <c r="H4055" s="35" t="s">
        <v>211</v>
      </c>
      <c r="I4055" s="10" t="s">
        <v>3763</v>
      </c>
    </row>
    <row r="4056" spans="1:9" s="33" customFormat="1" ht="45">
      <c r="A4056" s="4">
        <v>43558.595601851848</v>
      </c>
      <c r="B4056" s="5" t="str">
        <f>HYPERLINK("https://twitter.com/hskarmalkar","@hskarmalkar")</f>
        <v>@hskarmalkar</v>
      </c>
      <c r="C4056" s="6" t="s">
        <v>12114</v>
      </c>
      <c r="D4056" s="7" t="s">
        <v>12115</v>
      </c>
      <c r="E4056" s="8" t="str">
        <f>HYPERLINK("http://twitter.com","Twitter Web Client")</f>
        <v>Twitter Web Client</v>
      </c>
      <c r="F4056" s="4">
        <v>41659.052847222221</v>
      </c>
      <c r="G4056" s="24" t="s">
        <v>13000</v>
      </c>
      <c r="H4056" s="35" t="s">
        <v>211</v>
      </c>
      <c r="I4056" s="10" t="s">
        <v>12116</v>
      </c>
    </row>
    <row r="4057" spans="1:9" s="33" customFormat="1" ht="45">
      <c r="A4057" s="12">
        <v>43580.616076388891</v>
      </c>
      <c r="B4057" s="13" t="str">
        <f>HYPERLINK("https://twitter.com/ST_Bourlingueur","@ST_Bourlingueur")</f>
        <v>@ST_Bourlingueur</v>
      </c>
      <c r="C4057" s="14" t="s">
        <v>209</v>
      </c>
      <c r="D4057" s="15" t="s">
        <v>210</v>
      </c>
      <c r="E4057" s="16" t="str">
        <f>HYPERLINK("http://twitter.com/download/android","Twitter for Android")</f>
        <v>Twitter for Android</v>
      </c>
      <c r="F4057" s="12">
        <v>41725.748703703706</v>
      </c>
      <c r="G4057" s="24" t="s">
        <v>13000</v>
      </c>
      <c r="H4057" s="35" t="s">
        <v>211</v>
      </c>
      <c r="I4057" s="18" t="s">
        <v>212</v>
      </c>
    </row>
    <row r="4058" spans="1:9" s="33" customFormat="1" ht="75">
      <c r="A4058" s="12">
        <v>43578.32335648148</v>
      </c>
      <c r="B4058" s="13" t="str">
        <f>HYPERLINK("https://twitter.com/MyAngelHost","@MyAngelHost")</f>
        <v>@MyAngelHost</v>
      </c>
      <c r="C4058" s="14" t="s">
        <v>1292</v>
      </c>
      <c r="D4058" s="15" t="s">
        <v>1293</v>
      </c>
      <c r="E4058" s="16" t="str">
        <f>HYPERLINK("https://www.hootsuite.com","Hootsuite Inc.")</f>
        <v>Hootsuite Inc.</v>
      </c>
      <c r="F4058" s="12">
        <v>43430.42292824074</v>
      </c>
      <c r="G4058" s="24" t="s">
        <v>13000</v>
      </c>
      <c r="H4058" s="35" t="s">
        <v>211</v>
      </c>
      <c r="I4058" s="18" t="s">
        <v>1294</v>
      </c>
    </row>
    <row r="4059" spans="1:9" s="33" customFormat="1" ht="105">
      <c r="A4059" s="12">
        <v>43573.444537037038</v>
      </c>
      <c r="B4059" s="13" t="str">
        <f>HYPERLINK("https://twitter.com/MyAngelHost","@MyAngelHost")</f>
        <v>@MyAngelHost</v>
      </c>
      <c r="C4059" s="14" t="s">
        <v>1292</v>
      </c>
      <c r="D4059" s="15" t="s">
        <v>2861</v>
      </c>
      <c r="E4059" s="16" t="str">
        <f>HYPERLINK("https://www.hootsuite.com","Hootsuite Inc.")</f>
        <v>Hootsuite Inc.</v>
      </c>
      <c r="F4059" s="12">
        <v>43430.42292824074</v>
      </c>
      <c r="G4059" s="24" t="s">
        <v>13000</v>
      </c>
      <c r="H4059" s="35" t="s">
        <v>211</v>
      </c>
      <c r="I4059" s="18" t="s">
        <v>1294</v>
      </c>
    </row>
    <row r="4060" spans="1:9" s="33" customFormat="1" ht="45">
      <c r="A4060" s="12">
        <v>43573.249120370368</v>
      </c>
      <c r="B4060" s="13" t="str">
        <f>HYPERLINK("https://twitter.com/iLookYoucom","@iLookYoucom")</f>
        <v>@iLookYoucom</v>
      </c>
      <c r="C4060" s="14" t="s">
        <v>2957</v>
      </c>
      <c r="D4060" s="15" t="s">
        <v>2958</v>
      </c>
      <c r="E4060" s="16" t="str">
        <f>HYPERLINK("http://twitter.com","Twitter Web Client")</f>
        <v>Twitter Web Client</v>
      </c>
      <c r="F4060" s="12">
        <v>41162.201504629629</v>
      </c>
      <c r="G4060" s="24" t="s">
        <v>13000</v>
      </c>
      <c r="H4060" s="35" t="s">
        <v>211</v>
      </c>
      <c r="I4060" s="18" t="s">
        <v>2959</v>
      </c>
    </row>
    <row r="4061" spans="1:9" s="33" customFormat="1" ht="105">
      <c r="A4061" s="12">
        <v>43571.325624999998</v>
      </c>
      <c r="B4061" s="13" t="str">
        <f>HYPERLINK("https://twitter.com/MyAngelHost","@MyAngelHost")</f>
        <v>@MyAngelHost</v>
      </c>
      <c r="C4061" s="14" t="s">
        <v>1292</v>
      </c>
      <c r="D4061" s="15" t="s">
        <v>3731</v>
      </c>
      <c r="E4061" s="16" t="str">
        <f>HYPERLINK("https://www.hootsuite.com","Hootsuite Inc.")</f>
        <v>Hootsuite Inc.</v>
      </c>
      <c r="F4061" s="12">
        <v>43430.42292824074</v>
      </c>
      <c r="G4061" s="24" t="s">
        <v>13000</v>
      </c>
      <c r="H4061" s="35" t="s">
        <v>211</v>
      </c>
      <c r="I4061" s="18" t="s">
        <v>1294</v>
      </c>
    </row>
    <row r="4062" spans="1:9" s="33" customFormat="1" ht="45">
      <c r="A4062" s="12">
        <v>43571.26934027778</v>
      </c>
      <c r="B4062" s="13" t="str">
        <f>HYPERLINK("https://twitter.com/MontrealREGroup","@MontrealREGroup")</f>
        <v>@MontrealREGroup</v>
      </c>
      <c r="C4062" s="14" t="s">
        <v>3761</v>
      </c>
      <c r="D4062" s="15" t="s">
        <v>3762</v>
      </c>
      <c r="E4062" s="16" t="str">
        <f>HYPERLINK("https://missinglettr.com","Missinglettr")</f>
        <v>Missinglettr</v>
      </c>
      <c r="F4062" s="12">
        <v>39890.479247685187</v>
      </c>
      <c r="G4062" s="24" t="s">
        <v>13000</v>
      </c>
      <c r="H4062" s="35" t="s">
        <v>211</v>
      </c>
      <c r="I4062" s="18" t="s">
        <v>3763</v>
      </c>
    </row>
    <row r="4063" spans="1:9" s="33" customFormat="1" ht="60">
      <c r="A4063" s="12">
        <v>43566.308009259257</v>
      </c>
      <c r="B4063" s="13" t="str">
        <f>HYPERLINK("https://twitter.com/MyAngelHost","@MyAngelHost")</f>
        <v>@MyAngelHost</v>
      </c>
      <c r="C4063" s="14" t="s">
        <v>1292</v>
      </c>
      <c r="D4063" s="15" t="s">
        <v>5668</v>
      </c>
      <c r="E4063" s="16" t="str">
        <f>HYPERLINK("http://twitter.com","Twitter Web Client")</f>
        <v>Twitter Web Client</v>
      </c>
      <c r="F4063" s="12">
        <v>43430.42292824074</v>
      </c>
      <c r="G4063" s="24" t="s">
        <v>13000</v>
      </c>
      <c r="H4063" s="35" t="s">
        <v>211</v>
      </c>
      <c r="I4063" s="18" t="s">
        <v>1294</v>
      </c>
    </row>
    <row r="4064" spans="1:9" s="33" customFormat="1" ht="45">
      <c r="A4064" s="19">
        <v>43544.29206018518</v>
      </c>
      <c r="B4064" s="20" t="str">
        <f>HYPERLINK("https://twitter.com/JanRavensbergen","@JanRavensbergen")</f>
        <v>@JanRavensbergen</v>
      </c>
      <c r="C4064" s="21" t="s">
        <v>9547</v>
      </c>
      <c r="D4064" s="22" t="s">
        <v>9548</v>
      </c>
      <c r="E4064" s="23" t="str">
        <f>HYPERLINK("http://twitter.com/#!/download/ipad","Twitter for iPad")</f>
        <v>Twitter for iPad</v>
      </c>
      <c r="F4064" s="19">
        <v>40668.68440972222</v>
      </c>
      <c r="G4064" s="24" t="s">
        <v>13000</v>
      </c>
      <c r="H4064" s="35" t="s">
        <v>9549</v>
      </c>
      <c r="I4064" s="25" t="s">
        <v>9550</v>
      </c>
    </row>
    <row r="4065" spans="1:9" s="33" customFormat="1" ht="60">
      <c r="A4065" s="12">
        <v>43578.709328703699</v>
      </c>
      <c r="B4065" s="13" t="str">
        <f>HYPERLINK("https://twitter.com/samfaiss","@samfaiss")</f>
        <v>@samfaiss</v>
      </c>
      <c r="C4065" s="14" t="s">
        <v>1082</v>
      </c>
      <c r="D4065" s="15" t="s">
        <v>1083</v>
      </c>
      <c r="E4065" s="16" t="str">
        <f>HYPERLINK("http://twitter.com/download/iphone","Twitter for iPhone")</f>
        <v>Twitter for iPhone</v>
      </c>
      <c r="F4065" s="12">
        <v>39996.585775462961</v>
      </c>
      <c r="G4065" s="24" t="s">
        <v>13000</v>
      </c>
      <c r="H4065" s="35" t="s">
        <v>1084</v>
      </c>
      <c r="I4065" s="18" t="s">
        <v>1085</v>
      </c>
    </row>
    <row r="4066" spans="1:9" s="33" customFormat="1" ht="75">
      <c r="A4066" s="12">
        <v>43574.674166666664</v>
      </c>
      <c r="B4066" s="13" t="str">
        <f>HYPERLINK("https://twitter.com/JackedOnLife","@JackedOnLife")</f>
        <v>@JackedOnLife</v>
      </c>
      <c r="C4066" s="14" t="s">
        <v>2483</v>
      </c>
      <c r="D4066" s="15" t="s">
        <v>2484</v>
      </c>
      <c r="E4066" s="16" t="str">
        <f>HYPERLINK("http://instagram.com","Instagram")</f>
        <v>Instagram</v>
      </c>
      <c r="F4066" s="12">
        <v>40639.644421296296</v>
      </c>
      <c r="G4066" s="24" t="s">
        <v>13000</v>
      </c>
      <c r="H4066" s="35" t="s">
        <v>2485</v>
      </c>
      <c r="I4066" s="18" t="s">
        <v>2486</v>
      </c>
    </row>
    <row r="4067" spans="1:9" s="33" customFormat="1" ht="105">
      <c r="A4067" s="12">
        <v>43574.664641203708</v>
      </c>
      <c r="B4067" s="13" t="str">
        <f>HYPERLINK("https://twitter.com/JackedOnLife","@JackedOnLife")</f>
        <v>@JackedOnLife</v>
      </c>
      <c r="C4067" s="14" t="s">
        <v>2483</v>
      </c>
      <c r="D4067" s="15" t="s">
        <v>2487</v>
      </c>
      <c r="E4067" s="16" t="str">
        <f>HYPERLINK("http://twitter.com","Twitter Web Client")</f>
        <v>Twitter Web Client</v>
      </c>
      <c r="F4067" s="12">
        <v>40639.644421296296</v>
      </c>
      <c r="G4067" s="24" t="s">
        <v>13000</v>
      </c>
      <c r="H4067" s="35" t="s">
        <v>2485</v>
      </c>
      <c r="I4067" s="18" t="s">
        <v>2486</v>
      </c>
    </row>
    <row r="4068" spans="1:9" s="33" customFormat="1" ht="45">
      <c r="A4068" s="12">
        <v>43567.340312500004</v>
      </c>
      <c r="B4068" s="13" t="str">
        <f>HYPERLINK("https://twitter.com/rebelbroker","@rebelbroker")</f>
        <v>@rebelbroker</v>
      </c>
      <c r="C4068" s="14" t="s">
        <v>5156</v>
      </c>
      <c r="D4068" s="15" t="s">
        <v>5157</v>
      </c>
      <c r="E4068" s="16" t="str">
        <f>HYPERLINK("https://buffer.com","Buffer")</f>
        <v>Buffer</v>
      </c>
      <c r="F4068" s="12">
        <v>39796.742326388892</v>
      </c>
      <c r="G4068" s="24" t="s">
        <v>13000</v>
      </c>
      <c r="H4068" s="35" t="s">
        <v>5158</v>
      </c>
      <c r="I4068" s="18" t="s">
        <v>5159</v>
      </c>
    </row>
    <row r="4069" spans="1:9" s="33" customFormat="1" ht="15">
      <c r="A4069" s="19">
        <v>43547.54179398148</v>
      </c>
      <c r="B4069" s="20" t="str">
        <f>HYPERLINK("https://twitter.com/Per_Ogi","@Per_Ogi")</f>
        <v>@Per_Ogi</v>
      </c>
      <c r="C4069" s="21" t="s">
        <v>8505</v>
      </c>
      <c r="D4069" s="22" t="s">
        <v>8506</v>
      </c>
      <c r="E4069" s="23" t="str">
        <f>HYPERLINK("https://ifttt.com","IFTTT")</f>
        <v>IFTTT</v>
      </c>
      <c r="F4069" s="19">
        <v>41935.353726851856</v>
      </c>
      <c r="G4069" s="24" t="s">
        <v>13000</v>
      </c>
      <c r="H4069" s="35" t="s">
        <v>8507</v>
      </c>
      <c r="I4069" s="25" t="s">
        <v>8508</v>
      </c>
    </row>
    <row r="4070" spans="1:9" s="33" customFormat="1" ht="75">
      <c r="A4070" s="4">
        <v>43560.220023148147</v>
      </c>
      <c r="B4070" s="5" t="str">
        <f>HYPERLINK("https://twitter.com/MyDigitalSafety","@MyDigitalSafety")</f>
        <v>@MyDigitalSafety</v>
      </c>
      <c r="C4070" s="6" t="s">
        <v>11559</v>
      </c>
      <c r="D4070" s="7" t="s">
        <v>11560</v>
      </c>
      <c r="E4070" s="8" t="str">
        <f>HYPERLINK("http://www.facebook.com/twitter","Facebook")</f>
        <v>Facebook</v>
      </c>
      <c r="F4070" s="4">
        <v>39932.680196759262</v>
      </c>
      <c r="G4070" s="9" t="s">
        <v>13000</v>
      </c>
      <c r="H4070" s="35" t="s">
        <v>11561</v>
      </c>
      <c r="I4070" s="10" t="s">
        <v>11562</v>
      </c>
    </row>
    <row r="4071" spans="1:9" s="33" customFormat="1" ht="105">
      <c r="A4071" s="4">
        <v>43562.860902777778</v>
      </c>
      <c r="B4071" s="5" t="str">
        <f>HYPERLINK("https://twitter.com/LaserDs","@LaserDs")</f>
        <v>@LaserDs</v>
      </c>
      <c r="C4071" s="6" t="s">
        <v>10559</v>
      </c>
      <c r="D4071" s="7" t="s">
        <v>10560</v>
      </c>
      <c r="E4071" s="8" t="str">
        <f>HYPERLINK("http://twitter.com/download/android","Twitter for Android")</f>
        <v>Twitter for Android</v>
      </c>
      <c r="F4071" s="4">
        <v>43547.681342592594</v>
      </c>
      <c r="G4071" s="17" t="s">
        <v>13000</v>
      </c>
      <c r="H4071" s="35" t="s">
        <v>10561</v>
      </c>
      <c r="I4071" s="10" t="s">
        <v>10562</v>
      </c>
    </row>
    <row r="4072" spans="1:9" s="33" customFormat="1" ht="75">
      <c r="A4072" s="19">
        <v>43547.187569444446</v>
      </c>
      <c r="B4072" s="20" t="str">
        <f t="shared" ref="B4072:B4077" si="168">HYPERLINK("https://twitter.com/Vacayo_Tech","@Vacayo_Tech")</f>
        <v>@Vacayo_Tech</v>
      </c>
      <c r="C4072" s="21" t="s">
        <v>4255</v>
      </c>
      <c r="D4072" s="22" t="s">
        <v>8641</v>
      </c>
      <c r="E4072" s="23" t="str">
        <f t="shared" ref="E4072:E4078" si="169">HYPERLINK("https://www.hootsuite.com","Hootsuite Inc.")</f>
        <v>Hootsuite Inc.</v>
      </c>
      <c r="F4072" s="19">
        <v>42636.323020833333</v>
      </c>
      <c r="G4072" s="17" t="s">
        <v>13000</v>
      </c>
      <c r="H4072" s="35" t="s">
        <v>4257</v>
      </c>
      <c r="I4072" s="25" t="s">
        <v>4258</v>
      </c>
    </row>
    <row r="4073" spans="1:9" s="33" customFormat="1" ht="75">
      <c r="A4073" s="19">
        <v>43546.340428240743</v>
      </c>
      <c r="B4073" s="20" t="str">
        <f t="shared" si="168"/>
        <v>@Vacayo_Tech</v>
      </c>
      <c r="C4073" s="21" t="s">
        <v>4255</v>
      </c>
      <c r="D4073" s="22" t="s">
        <v>8899</v>
      </c>
      <c r="E4073" s="23" t="str">
        <f t="shared" si="169"/>
        <v>Hootsuite Inc.</v>
      </c>
      <c r="F4073" s="19">
        <v>42636.323020833333</v>
      </c>
      <c r="G4073" s="17" t="s">
        <v>13000</v>
      </c>
      <c r="H4073" s="35" t="s">
        <v>4257</v>
      </c>
      <c r="I4073" s="25" t="s">
        <v>4258</v>
      </c>
    </row>
    <row r="4074" spans="1:9" s="33" customFormat="1" ht="75">
      <c r="A4074" s="19">
        <v>43546.20149305556</v>
      </c>
      <c r="B4074" s="20" t="str">
        <f t="shared" si="168"/>
        <v>@Vacayo_Tech</v>
      </c>
      <c r="C4074" s="21" t="s">
        <v>4255</v>
      </c>
      <c r="D4074" s="22" t="s">
        <v>8641</v>
      </c>
      <c r="E4074" s="23" t="str">
        <f t="shared" si="169"/>
        <v>Hootsuite Inc.</v>
      </c>
      <c r="F4074" s="19">
        <v>42636.323020833333</v>
      </c>
      <c r="G4074" s="17" t="s">
        <v>13000</v>
      </c>
      <c r="H4074" s="35" t="s">
        <v>4257</v>
      </c>
      <c r="I4074" s="25" t="s">
        <v>4258</v>
      </c>
    </row>
    <row r="4075" spans="1:9" s="33" customFormat="1" ht="90">
      <c r="A4075" s="4">
        <v>43557.096041666664</v>
      </c>
      <c r="B4075" s="5" t="str">
        <f t="shared" si="168"/>
        <v>@Vacayo_Tech</v>
      </c>
      <c r="C4075" s="6" t="s">
        <v>4255</v>
      </c>
      <c r="D4075" s="7" t="s">
        <v>12655</v>
      </c>
      <c r="E4075" s="8" t="str">
        <f t="shared" si="169"/>
        <v>Hootsuite Inc.</v>
      </c>
      <c r="F4075" s="4">
        <v>42636.323020833333</v>
      </c>
      <c r="G4075" s="17" t="s">
        <v>13000</v>
      </c>
      <c r="H4075" s="35" t="s">
        <v>4257</v>
      </c>
      <c r="I4075" s="10" t="s">
        <v>4258</v>
      </c>
    </row>
    <row r="4076" spans="1:9" s="33" customFormat="1" ht="105">
      <c r="A4076" s="4">
        <v>43557.069664351853</v>
      </c>
      <c r="B4076" s="5" t="str">
        <f t="shared" si="168"/>
        <v>@Vacayo_Tech</v>
      </c>
      <c r="C4076" s="6" t="s">
        <v>4255</v>
      </c>
      <c r="D4076" s="7" t="s">
        <v>12658</v>
      </c>
      <c r="E4076" s="8" t="str">
        <f t="shared" si="169"/>
        <v>Hootsuite Inc.</v>
      </c>
      <c r="F4076" s="4">
        <v>42636.323020833333</v>
      </c>
      <c r="G4076" s="17" t="s">
        <v>13000</v>
      </c>
      <c r="H4076" s="35" t="s">
        <v>4257</v>
      </c>
      <c r="I4076" s="10" t="s">
        <v>4258</v>
      </c>
    </row>
    <row r="4077" spans="1:9" s="33" customFormat="1" ht="105">
      <c r="A4077" s="12">
        <v>43570.29011574074</v>
      </c>
      <c r="B4077" s="13" t="str">
        <f t="shared" si="168"/>
        <v>@Vacayo_Tech</v>
      </c>
      <c r="C4077" s="14" t="s">
        <v>4255</v>
      </c>
      <c r="D4077" s="15" t="s">
        <v>4256</v>
      </c>
      <c r="E4077" s="16" t="str">
        <f t="shared" si="169"/>
        <v>Hootsuite Inc.</v>
      </c>
      <c r="F4077" s="12">
        <v>42636.323020833333</v>
      </c>
      <c r="G4077" s="17" t="s">
        <v>13000</v>
      </c>
      <c r="H4077" s="35" t="s">
        <v>4257</v>
      </c>
      <c r="I4077" s="18" t="s">
        <v>4258</v>
      </c>
    </row>
    <row r="4078" spans="1:9" s="33" customFormat="1" ht="45">
      <c r="A4078" s="12">
        <v>43574.448020833333</v>
      </c>
      <c r="B4078" s="13" t="str">
        <f>HYPERLINK("https://twitter.com/StorageCalloway","@StorageCalloway")</f>
        <v>@StorageCalloway</v>
      </c>
      <c r="C4078" s="14" t="s">
        <v>2546</v>
      </c>
      <c r="D4078" s="15" t="s">
        <v>2547</v>
      </c>
      <c r="E4078" s="16" t="str">
        <f t="shared" si="169"/>
        <v>Hootsuite Inc.</v>
      </c>
      <c r="F4078" s="12">
        <v>42941.344189814816</v>
      </c>
      <c r="G4078" s="17" t="s">
        <v>13000</v>
      </c>
      <c r="H4078" s="35" t="s">
        <v>2548</v>
      </c>
      <c r="I4078" s="18" t="s">
        <v>2549</v>
      </c>
    </row>
    <row r="4079" spans="1:9" s="33" customFormat="1" ht="105">
      <c r="A4079" s="12">
        <v>43579.726145833338</v>
      </c>
      <c r="B4079" s="13" t="str">
        <f t="shared" ref="B4079:B4085" si="170">HYPERLINK("https://twitter.com/GroovyObx","@GroovyObx")</f>
        <v>@GroovyObx</v>
      </c>
      <c r="C4079" s="14" t="s">
        <v>488</v>
      </c>
      <c r="D4079" s="15" t="s">
        <v>489</v>
      </c>
      <c r="E4079" s="16" t="str">
        <f>HYPERLINK("https://ifttt.com","IFTTT")</f>
        <v>IFTTT</v>
      </c>
      <c r="F4079" s="12">
        <v>43427.252291666664</v>
      </c>
      <c r="G4079" s="17" t="s">
        <v>13000</v>
      </c>
      <c r="H4079" s="35" t="s">
        <v>490</v>
      </c>
      <c r="I4079" s="18" t="s">
        <v>491</v>
      </c>
    </row>
    <row r="4080" spans="1:9" s="33" customFormat="1" ht="105">
      <c r="A4080" s="12">
        <v>43579.726064814815</v>
      </c>
      <c r="B4080" s="13" t="str">
        <f t="shared" si="170"/>
        <v>@GroovyObx</v>
      </c>
      <c r="C4080" s="14" t="s">
        <v>488</v>
      </c>
      <c r="D4080" s="15" t="s">
        <v>489</v>
      </c>
      <c r="E4080" s="16" t="str">
        <f>HYPERLINK("https://ifttt.com","IFTTT")</f>
        <v>IFTTT</v>
      </c>
      <c r="F4080" s="12">
        <v>43427.252291666664</v>
      </c>
      <c r="G4080" s="17" t="s">
        <v>13000</v>
      </c>
      <c r="H4080" s="35" t="s">
        <v>490</v>
      </c>
      <c r="I4080" s="18" t="s">
        <v>491</v>
      </c>
    </row>
    <row r="4081" spans="1:9" s="33" customFormat="1" ht="90">
      <c r="A4081" s="12">
        <v>43579.702731481477</v>
      </c>
      <c r="B4081" s="13" t="str">
        <f t="shared" si="170"/>
        <v>@GroovyObx</v>
      </c>
      <c r="C4081" s="14" t="s">
        <v>488</v>
      </c>
      <c r="D4081" s="15" t="s">
        <v>500</v>
      </c>
      <c r="E4081" s="16" t="str">
        <f>HYPERLINK("https://ifttt.com","IFTTT")</f>
        <v>IFTTT</v>
      </c>
      <c r="F4081" s="12">
        <v>43427.252291666664</v>
      </c>
      <c r="G4081" s="17" t="s">
        <v>13000</v>
      </c>
      <c r="H4081" s="35" t="s">
        <v>490</v>
      </c>
      <c r="I4081" s="18" t="s">
        <v>491</v>
      </c>
    </row>
    <row r="4082" spans="1:9" s="33" customFormat="1" ht="90">
      <c r="A4082" s="12">
        <v>43579.698877314819</v>
      </c>
      <c r="B4082" s="13" t="str">
        <f t="shared" si="170"/>
        <v>@GroovyObx</v>
      </c>
      <c r="C4082" s="14" t="s">
        <v>488</v>
      </c>
      <c r="D4082" s="15" t="s">
        <v>500</v>
      </c>
      <c r="E4082" s="16" t="str">
        <f>HYPERLINK("https://ifttt.com","IFTTT")</f>
        <v>IFTTT</v>
      </c>
      <c r="F4082" s="12">
        <v>43427.252291666664</v>
      </c>
      <c r="G4082" s="17" t="s">
        <v>13000</v>
      </c>
      <c r="H4082" s="35" t="s">
        <v>490</v>
      </c>
      <c r="I4082" s="18" t="s">
        <v>491</v>
      </c>
    </row>
    <row r="4083" spans="1:9" s="33" customFormat="1" ht="75">
      <c r="A4083" s="12">
        <v>43579.69430555556</v>
      </c>
      <c r="B4083" s="13" t="str">
        <f t="shared" si="170"/>
        <v>@GroovyObx</v>
      </c>
      <c r="C4083" s="14" t="s">
        <v>488</v>
      </c>
      <c r="D4083" s="15" t="s">
        <v>509</v>
      </c>
      <c r="E4083" s="16" t="str">
        <f>HYPERLINK("http://instagram.com","Instagram")</f>
        <v>Instagram</v>
      </c>
      <c r="F4083" s="12">
        <v>43427.252291666664</v>
      </c>
      <c r="G4083" s="17" t="s">
        <v>13000</v>
      </c>
      <c r="H4083" s="35" t="s">
        <v>490</v>
      </c>
      <c r="I4083" s="18" t="s">
        <v>491</v>
      </c>
    </row>
    <row r="4084" spans="1:9" s="33" customFormat="1" ht="75">
      <c r="A4084" s="12">
        <v>43575.566354166665</v>
      </c>
      <c r="B4084" s="13" t="str">
        <f t="shared" si="170"/>
        <v>@GroovyObx</v>
      </c>
      <c r="C4084" s="14" t="s">
        <v>488</v>
      </c>
      <c r="D4084" s="15" t="s">
        <v>2167</v>
      </c>
      <c r="E4084" s="16" t="str">
        <f>HYPERLINK("http://instagram.com","Instagram")</f>
        <v>Instagram</v>
      </c>
      <c r="F4084" s="12">
        <v>43427.252291666664</v>
      </c>
      <c r="G4084" s="17" t="s">
        <v>13000</v>
      </c>
      <c r="H4084" s="35" t="s">
        <v>490</v>
      </c>
      <c r="I4084" s="18" t="s">
        <v>491</v>
      </c>
    </row>
    <row r="4085" spans="1:9" s="33" customFormat="1" ht="75">
      <c r="A4085" s="12">
        <v>43572.280266203699</v>
      </c>
      <c r="B4085" s="13" t="str">
        <f t="shared" si="170"/>
        <v>@GroovyObx</v>
      </c>
      <c r="C4085" s="14" t="s">
        <v>488</v>
      </c>
      <c r="D4085" s="15" t="s">
        <v>3349</v>
      </c>
      <c r="E4085" s="16" t="str">
        <f>HYPERLINK("http://instagram.com","Instagram")</f>
        <v>Instagram</v>
      </c>
      <c r="F4085" s="12">
        <v>43427.252291666664</v>
      </c>
      <c r="G4085" s="17" t="s">
        <v>13000</v>
      </c>
      <c r="H4085" s="35" t="s">
        <v>490</v>
      </c>
      <c r="I4085" s="18" t="s">
        <v>491</v>
      </c>
    </row>
    <row r="4086" spans="1:9" s="33" customFormat="1" ht="75">
      <c r="A4086" s="19">
        <v>43546.110879629632</v>
      </c>
      <c r="B4086" s="20" t="str">
        <f>HYPERLINK("https://twitter.com/HaciendaMoyano","@HaciendaMoyano")</f>
        <v>@HaciendaMoyano</v>
      </c>
      <c r="C4086" s="21" t="s">
        <v>1750</v>
      </c>
      <c r="D4086" s="22" t="s">
        <v>8959</v>
      </c>
      <c r="E4086" s="23" t="str">
        <f>HYPERLINK("http://instagram.com","Instagram")</f>
        <v>Instagram</v>
      </c>
      <c r="F4086" s="19">
        <v>41157.31313657407</v>
      </c>
      <c r="G4086" s="17" t="s">
        <v>13000</v>
      </c>
      <c r="H4086" s="35" t="s">
        <v>1752</v>
      </c>
      <c r="I4086" s="25" t="s">
        <v>1753</v>
      </c>
    </row>
    <row r="4087" spans="1:9" s="33" customFormat="1" ht="90">
      <c r="A4087" s="12">
        <v>43577.104780092588</v>
      </c>
      <c r="B4087" s="13" t="str">
        <f>HYPERLINK("https://twitter.com/HaciendaMoyano","@HaciendaMoyano")</f>
        <v>@HaciendaMoyano</v>
      </c>
      <c r="C4087" s="14" t="s">
        <v>1750</v>
      </c>
      <c r="D4087" s="15" t="s">
        <v>1751</v>
      </c>
      <c r="E4087" s="16" t="str">
        <f>HYPERLINK("http://instagram.com","Instagram")</f>
        <v>Instagram</v>
      </c>
      <c r="F4087" s="12">
        <v>41157.31313657407</v>
      </c>
      <c r="G4087" s="17" t="s">
        <v>13000</v>
      </c>
      <c r="H4087" s="35" t="s">
        <v>1752</v>
      </c>
      <c r="I4087" s="18" t="s">
        <v>1753</v>
      </c>
    </row>
    <row r="4088" spans="1:9" s="33" customFormat="1" ht="90">
      <c r="A4088" s="12">
        <v>43580.702060185184</v>
      </c>
      <c r="B4088" s="13" t="str">
        <f>HYPERLINK("https://twitter.com/AINewsAlliance","@AINewsAlliance")</f>
        <v>@AINewsAlliance</v>
      </c>
      <c r="C4088" s="14" t="s">
        <v>135</v>
      </c>
      <c r="D4088" s="15" t="s">
        <v>136</v>
      </c>
      <c r="E4088" s="16" t="str">
        <f>HYPERLINK("http://twitter.com","Twitter Web Client")</f>
        <v>Twitter Web Client</v>
      </c>
      <c r="F4088" s="12">
        <v>43142.058877314819</v>
      </c>
      <c r="G4088" s="17" t="s">
        <v>13000</v>
      </c>
      <c r="H4088" s="35" t="s">
        <v>137</v>
      </c>
      <c r="I4088" s="18" t="s">
        <v>138</v>
      </c>
    </row>
    <row r="4089" spans="1:9" s="33" customFormat="1" ht="30">
      <c r="A4089" s="12">
        <v>43568.492581018523</v>
      </c>
      <c r="B4089" s="13" t="str">
        <f>HYPERLINK("https://twitter.com/cruiseecho","@cruiseecho")</f>
        <v>@cruiseecho</v>
      </c>
      <c r="C4089" s="14" t="s">
        <v>4732</v>
      </c>
      <c r="D4089" s="15" t="s">
        <v>4733</v>
      </c>
      <c r="E4089" s="16" t="str">
        <f>HYPERLINK("http://twitter.com","Twitter Web Client")</f>
        <v>Twitter Web Client</v>
      </c>
      <c r="F4089" s="12">
        <v>40835.69730324074</v>
      </c>
      <c r="G4089" s="17" t="s">
        <v>13000</v>
      </c>
      <c r="H4089" s="35" t="s">
        <v>4734</v>
      </c>
      <c r="I4089" s="18" t="s">
        <v>4735</v>
      </c>
    </row>
    <row r="4090" spans="1:9" s="33" customFormat="1" ht="75">
      <c r="A4090" s="4">
        <v>43559.403148148151</v>
      </c>
      <c r="B4090" s="5" t="str">
        <f>HYPERLINK("https://twitter.com/SalArmyNaples","@SalArmyNaples")</f>
        <v>@SalArmyNaples</v>
      </c>
      <c r="C4090" s="6" t="s">
        <v>11847</v>
      </c>
      <c r="D4090" s="7" t="s">
        <v>11848</v>
      </c>
      <c r="E4090" s="8" t="str">
        <f>HYPERLINK("https://www.hootsuite.com","Hootsuite Inc.")</f>
        <v>Hootsuite Inc.</v>
      </c>
      <c r="F4090" s="4">
        <v>41036.322777777779</v>
      </c>
      <c r="G4090" s="17" t="s">
        <v>13000</v>
      </c>
      <c r="H4090" s="35" t="s">
        <v>11849</v>
      </c>
      <c r="I4090" s="10" t="s">
        <v>11850</v>
      </c>
    </row>
    <row r="4091" spans="1:9" s="33" customFormat="1" ht="105">
      <c r="A4091" s="19">
        <v>43550.630567129629</v>
      </c>
      <c r="B4091" s="20" t="str">
        <f>HYPERLINK("https://twitter.com/Statguardplus","@Statguardplus")</f>
        <v>@Statguardplus</v>
      </c>
      <c r="C4091" s="21" t="s">
        <v>1344</v>
      </c>
      <c r="D4091" s="22" t="s">
        <v>1345</v>
      </c>
      <c r="E4091" s="23" t="str">
        <f>HYPERLINK("https://buffer.com","Buffer")</f>
        <v>Buffer</v>
      </c>
      <c r="F4091" s="19">
        <v>41877.566412037035</v>
      </c>
      <c r="G4091" s="17" t="s">
        <v>13000</v>
      </c>
      <c r="H4091" s="35" t="s">
        <v>623</v>
      </c>
      <c r="I4091" s="25" t="s">
        <v>1346</v>
      </c>
    </row>
    <row r="4092" spans="1:9" s="33" customFormat="1" ht="105">
      <c r="A4092" s="19">
        <v>43549.492372685185</v>
      </c>
      <c r="B4092" s="20" t="str">
        <f>HYPERLINK("https://twitter.com/Statguardplus","@Statguardplus")</f>
        <v>@Statguardplus</v>
      </c>
      <c r="C4092" s="21" t="s">
        <v>1344</v>
      </c>
      <c r="D4092" s="22" t="s">
        <v>1345</v>
      </c>
      <c r="E4092" s="23" t="str">
        <f>HYPERLINK("https://buffer.com","Buffer")</f>
        <v>Buffer</v>
      </c>
      <c r="F4092" s="19">
        <v>41877.566412037035</v>
      </c>
      <c r="G4092" s="17" t="s">
        <v>13000</v>
      </c>
      <c r="H4092" s="35" t="s">
        <v>623</v>
      </c>
      <c r="I4092" s="25" t="s">
        <v>1346</v>
      </c>
    </row>
    <row r="4093" spans="1:9" s="33" customFormat="1" ht="105">
      <c r="A4093" s="19">
        <v>43549.254201388889</v>
      </c>
      <c r="B4093" s="20" t="str">
        <f>HYPERLINK("https://twitter.com/Statguardplus","@Statguardplus")</f>
        <v>@Statguardplus</v>
      </c>
      <c r="C4093" s="21" t="s">
        <v>1344</v>
      </c>
      <c r="D4093" s="22" t="s">
        <v>1377</v>
      </c>
      <c r="E4093" s="23" t="str">
        <f>HYPERLINK("https://buffer.com","Buffer")</f>
        <v>Buffer</v>
      </c>
      <c r="F4093" s="19">
        <v>41877.566412037035</v>
      </c>
      <c r="G4093" s="17" t="s">
        <v>13000</v>
      </c>
      <c r="H4093" s="35" t="s">
        <v>623</v>
      </c>
      <c r="I4093" s="25" t="s">
        <v>1346</v>
      </c>
    </row>
    <row r="4094" spans="1:9" s="33" customFormat="1" ht="45">
      <c r="A4094" s="19">
        <v>43548.505127314813</v>
      </c>
      <c r="B4094" s="20" t="str">
        <f>HYPERLINK("https://twitter.com/LauraFleurs","@LauraFleurs")</f>
        <v>@LauraFleurs</v>
      </c>
      <c r="C4094" s="21" t="s">
        <v>8298</v>
      </c>
      <c r="D4094" s="22" t="s">
        <v>8299</v>
      </c>
      <c r="E4094" s="23" t="str">
        <f>HYPERLINK("http://instagram.com","Instagram")</f>
        <v>Instagram</v>
      </c>
      <c r="F4094" s="19">
        <v>39981.567303240743</v>
      </c>
      <c r="G4094" s="17" t="s">
        <v>13000</v>
      </c>
      <c r="H4094" s="35" t="s">
        <v>623</v>
      </c>
      <c r="I4094" s="25" t="s">
        <v>8300</v>
      </c>
    </row>
    <row r="4095" spans="1:9" s="33" customFormat="1" ht="105">
      <c r="A4095" s="19">
        <v>43544.492372685185</v>
      </c>
      <c r="B4095" s="20" t="str">
        <f>HYPERLINK("https://twitter.com/Statguardplus","@Statguardplus")</f>
        <v>@Statguardplus</v>
      </c>
      <c r="C4095" s="21" t="s">
        <v>1344</v>
      </c>
      <c r="D4095" s="22" t="s">
        <v>1377</v>
      </c>
      <c r="E4095" s="23" t="str">
        <f>HYPERLINK("https://buffer.com","Buffer")</f>
        <v>Buffer</v>
      </c>
      <c r="F4095" s="19">
        <v>41877.566412037035</v>
      </c>
      <c r="G4095" s="17" t="s">
        <v>13000</v>
      </c>
      <c r="H4095" s="35" t="s">
        <v>623</v>
      </c>
      <c r="I4095" s="25" t="s">
        <v>1346</v>
      </c>
    </row>
    <row r="4096" spans="1:9" s="33" customFormat="1" ht="120">
      <c r="A4096" s="19">
        <v>43544.365208333329</v>
      </c>
      <c r="B4096" s="20" t="str">
        <f>HYPERLINK("https://twitter.com/myvillagedragon","@myvillagedragon")</f>
        <v>@myvillagedragon</v>
      </c>
      <c r="C4096" s="21" t="s">
        <v>6050</v>
      </c>
      <c r="D4096" s="22" t="s">
        <v>9494</v>
      </c>
      <c r="E4096" s="23" t="str">
        <f>HYPERLINK("http://twitter.com","Twitter Web Client")</f>
        <v>Twitter Web Client</v>
      </c>
      <c r="F4096" s="19">
        <v>43229.221666666665</v>
      </c>
      <c r="G4096" s="17" t="s">
        <v>13000</v>
      </c>
      <c r="H4096" s="35" t="s">
        <v>623</v>
      </c>
      <c r="I4096" s="25" t="s">
        <v>6052</v>
      </c>
    </row>
    <row r="4097" spans="1:9" s="33" customFormat="1" ht="60">
      <c r="A4097" s="19">
        <v>43544.363981481481</v>
      </c>
      <c r="B4097" s="20" t="str">
        <f>HYPERLINK("https://twitter.com/Derry_London","@Derry_London")</f>
        <v>@Derry_London</v>
      </c>
      <c r="C4097" s="21" t="s">
        <v>9495</v>
      </c>
      <c r="D4097" s="22" t="s">
        <v>9496</v>
      </c>
      <c r="E4097" s="23" t="str">
        <f>HYPERLINK("http://twitter.com/download/iphone","Twitter for iPhone")</f>
        <v>Twitter for iPhone</v>
      </c>
      <c r="F4097" s="19">
        <v>39867.29278935185</v>
      </c>
      <c r="G4097" s="17" t="s">
        <v>13000</v>
      </c>
      <c r="H4097" s="35" t="s">
        <v>623</v>
      </c>
      <c r="I4097" s="25" t="s">
        <v>9497</v>
      </c>
    </row>
    <row r="4098" spans="1:9" s="33" customFormat="1" ht="105">
      <c r="A4098" s="19">
        <v>43544.286446759259</v>
      </c>
      <c r="B4098" s="20" t="str">
        <f>HYPERLINK("https://twitter.com/Statguardplus","@Statguardplus")</f>
        <v>@Statguardplus</v>
      </c>
      <c r="C4098" s="21" t="s">
        <v>1344</v>
      </c>
      <c r="D4098" s="22" t="s">
        <v>1345</v>
      </c>
      <c r="E4098" s="23" t="str">
        <f>HYPERLINK("http://twitter.com/download/iphone","Twitter for iPhone")</f>
        <v>Twitter for iPhone</v>
      </c>
      <c r="F4098" s="19">
        <v>41877.566412037035</v>
      </c>
      <c r="G4098" s="17" t="s">
        <v>13000</v>
      </c>
      <c r="H4098" s="35" t="s">
        <v>623</v>
      </c>
      <c r="I4098" s="25" t="s">
        <v>1346</v>
      </c>
    </row>
    <row r="4099" spans="1:9" s="33" customFormat="1" ht="195">
      <c r="A4099" s="19">
        <v>43544.263912037037</v>
      </c>
      <c r="B4099" s="20" t="str">
        <f>HYPERLINK("https://twitter.com/myvillagedragon","@myvillagedragon")</f>
        <v>@myvillagedragon</v>
      </c>
      <c r="C4099" s="21" t="s">
        <v>6050</v>
      </c>
      <c r="D4099" s="22" t="s">
        <v>9563</v>
      </c>
      <c r="E4099" s="23" t="str">
        <f>HYPERLINK("http://twitter.com","Twitter Web Client")</f>
        <v>Twitter Web Client</v>
      </c>
      <c r="F4099" s="19">
        <v>43229.221666666665</v>
      </c>
      <c r="G4099" s="17" t="s">
        <v>13000</v>
      </c>
      <c r="H4099" s="35" t="s">
        <v>623</v>
      </c>
      <c r="I4099" s="25" t="s">
        <v>6052</v>
      </c>
    </row>
    <row r="4100" spans="1:9" s="33" customFormat="1" ht="105">
      <c r="A4100" s="19">
        <v>43543.175023148149</v>
      </c>
      <c r="B4100" s="20" t="str">
        <f>HYPERLINK("https://twitter.com/Statguardplus","@Statguardplus")</f>
        <v>@Statguardplus</v>
      </c>
      <c r="C4100" s="21" t="s">
        <v>1344</v>
      </c>
      <c r="D4100" s="22" t="s">
        <v>1377</v>
      </c>
      <c r="E4100" s="23" t="str">
        <f>HYPERLINK("https://buffer.com","Buffer")</f>
        <v>Buffer</v>
      </c>
      <c r="F4100" s="19">
        <v>41877.566412037035</v>
      </c>
      <c r="G4100" s="17" t="s">
        <v>13000</v>
      </c>
      <c r="H4100" s="35" t="s">
        <v>623</v>
      </c>
      <c r="I4100" s="25" t="s">
        <v>1346</v>
      </c>
    </row>
    <row r="4101" spans="1:9" s="33" customFormat="1" ht="105">
      <c r="A4101" s="19">
        <v>43542.630567129629</v>
      </c>
      <c r="B4101" s="20" t="str">
        <f>HYPERLINK("https://twitter.com/Statguardplus","@Statguardplus")</f>
        <v>@Statguardplus</v>
      </c>
      <c r="C4101" s="21" t="s">
        <v>1344</v>
      </c>
      <c r="D4101" s="22" t="s">
        <v>10059</v>
      </c>
      <c r="E4101" s="23" t="str">
        <f>HYPERLINK("https://buffer.com","Buffer")</f>
        <v>Buffer</v>
      </c>
      <c r="F4101" s="19">
        <v>41877.566412037035</v>
      </c>
      <c r="G4101" s="17" t="s">
        <v>13000</v>
      </c>
      <c r="H4101" s="35" t="s">
        <v>623</v>
      </c>
      <c r="I4101" s="25" t="s">
        <v>1346</v>
      </c>
    </row>
    <row r="4102" spans="1:9" s="33" customFormat="1" ht="45">
      <c r="A4102" s="4">
        <v>43565.637129629627</v>
      </c>
      <c r="B4102" s="5" t="str">
        <f>HYPERLINK("https://twitter.com/SkyBlacke99","@SkyBlacke99")</f>
        <v>@SkyBlacke99</v>
      </c>
      <c r="C4102" s="6" t="s">
        <v>5978</v>
      </c>
      <c r="D4102" s="7" t="s">
        <v>5979</v>
      </c>
      <c r="E4102" s="8" t="str">
        <f>HYPERLINK("http://instagram.com","Instagram")</f>
        <v>Instagram</v>
      </c>
      <c r="F4102" s="4">
        <v>40247.50136574074</v>
      </c>
      <c r="G4102" s="17" t="s">
        <v>13000</v>
      </c>
      <c r="H4102" s="35" t="s">
        <v>623</v>
      </c>
      <c r="I4102" s="10" t="s">
        <v>5980</v>
      </c>
    </row>
    <row r="4103" spans="1:9" s="33" customFormat="1" ht="120">
      <c r="A4103" s="4">
        <v>43565.516319444447</v>
      </c>
      <c r="B4103" s="5" t="str">
        <f>HYPERLINK("https://twitter.com/myvillagedragon","@myvillagedragon")</f>
        <v>@myvillagedragon</v>
      </c>
      <c r="C4103" s="6" t="s">
        <v>6050</v>
      </c>
      <c r="D4103" s="7" t="s">
        <v>6051</v>
      </c>
      <c r="E4103" s="8" t="str">
        <f>HYPERLINK("http://twitter.com","Twitter Web Client")</f>
        <v>Twitter Web Client</v>
      </c>
      <c r="F4103" s="4">
        <v>43229.221666666665</v>
      </c>
      <c r="G4103" s="17" t="s">
        <v>13000</v>
      </c>
      <c r="H4103" s="35" t="s">
        <v>623</v>
      </c>
      <c r="I4103" s="10" t="s">
        <v>6052</v>
      </c>
    </row>
    <row r="4104" spans="1:9" s="33" customFormat="1" ht="105">
      <c r="A4104" s="4">
        <v>43564.630578703705</v>
      </c>
      <c r="B4104" s="5" t="str">
        <f>HYPERLINK("https://twitter.com/Statguardplus","@Statguardplus")</f>
        <v>@Statguardplus</v>
      </c>
      <c r="C4104" s="6" t="s">
        <v>1344</v>
      </c>
      <c r="D4104" s="7" t="s">
        <v>1345</v>
      </c>
      <c r="E4104" s="8" t="str">
        <f>HYPERLINK("https://buffer.com","Buffer")</f>
        <v>Buffer</v>
      </c>
      <c r="F4104" s="4">
        <v>41877.566412037035</v>
      </c>
      <c r="G4104" s="17" t="s">
        <v>13000</v>
      </c>
      <c r="H4104" s="35" t="s">
        <v>623</v>
      </c>
      <c r="I4104" s="10" t="s">
        <v>1346</v>
      </c>
    </row>
    <row r="4105" spans="1:9" s="33" customFormat="1" ht="105">
      <c r="A4105" s="4">
        <v>43563.254189814819</v>
      </c>
      <c r="B4105" s="5" t="str">
        <f>HYPERLINK("https://twitter.com/Statguardplus","@Statguardplus")</f>
        <v>@Statguardplus</v>
      </c>
      <c r="C4105" s="6" t="s">
        <v>1344</v>
      </c>
      <c r="D4105" s="7" t="s">
        <v>1345</v>
      </c>
      <c r="E4105" s="8" t="str">
        <f>HYPERLINK("https://buffer.com","Buffer")</f>
        <v>Buffer</v>
      </c>
      <c r="F4105" s="4">
        <v>41877.566412037035</v>
      </c>
      <c r="G4105" s="17" t="s">
        <v>13000</v>
      </c>
      <c r="H4105" s="35" t="s">
        <v>623</v>
      </c>
      <c r="I4105" s="10" t="s">
        <v>1346</v>
      </c>
    </row>
    <row r="4106" spans="1:9" s="33" customFormat="1" ht="75">
      <c r="A4106" s="4">
        <v>43562.534363425926</v>
      </c>
      <c r="B4106" s="5" t="str">
        <f>HYPERLINK("https://twitter.com/LauraFleurs","@LauraFleurs")</f>
        <v>@LauraFleurs</v>
      </c>
      <c r="C4106" s="6" t="s">
        <v>8298</v>
      </c>
      <c r="D4106" s="7" t="s">
        <v>10654</v>
      </c>
      <c r="E4106" s="8" t="str">
        <f>HYPERLINK("http://instagram.com","Instagram")</f>
        <v>Instagram</v>
      </c>
      <c r="F4106" s="4">
        <v>39981.567303240743</v>
      </c>
      <c r="G4106" s="17" t="s">
        <v>13000</v>
      </c>
      <c r="H4106" s="35" t="s">
        <v>623</v>
      </c>
      <c r="I4106" s="10" t="s">
        <v>8300</v>
      </c>
    </row>
    <row r="4107" spans="1:9" s="33" customFormat="1" ht="90">
      <c r="A4107" s="4">
        <v>43557.74119212963</v>
      </c>
      <c r="B4107" s="5" t="str">
        <f>HYPERLINK("https://twitter.com/Statguardplus","@Statguardplus")</f>
        <v>@Statguardplus</v>
      </c>
      <c r="C4107" s="6" t="s">
        <v>1344</v>
      </c>
      <c r="D4107" s="7" t="s">
        <v>5345</v>
      </c>
      <c r="E4107" s="8" t="str">
        <f>HYPERLINK("http://twitter.com/download/iphone","Twitter for iPhone")</f>
        <v>Twitter for iPhone</v>
      </c>
      <c r="F4107" s="4">
        <v>41877.566412037035</v>
      </c>
      <c r="G4107" s="17" t="s">
        <v>13000</v>
      </c>
      <c r="H4107" s="35" t="s">
        <v>623</v>
      </c>
      <c r="I4107" s="10" t="s">
        <v>1346</v>
      </c>
    </row>
    <row r="4108" spans="1:9" s="33" customFormat="1" ht="90">
      <c r="A4108" s="12">
        <v>43579.486747685187</v>
      </c>
      <c r="B4108" s="13" t="str">
        <f>HYPERLINK("https://twitter.com/shermangmohr","@shermangmohr")</f>
        <v>@shermangmohr</v>
      </c>
      <c r="C4108" s="14" t="s">
        <v>621</v>
      </c>
      <c r="D4108" s="15" t="s">
        <v>622</v>
      </c>
      <c r="E4108" s="16" t="str">
        <f>HYPERLINK("http://www.linkedin.com/","LinkedIn")</f>
        <v>LinkedIn</v>
      </c>
      <c r="F4108" s="12">
        <v>40026.908414351856</v>
      </c>
      <c r="G4108" s="17" t="s">
        <v>13000</v>
      </c>
      <c r="H4108" s="35" t="s">
        <v>623</v>
      </c>
      <c r="I4108" s="18" t="s">
        <v>624</v>
      </c>
    </row>
    <row r="4109" spans="1:9" s="33" customFormat="1" ht="45">
      <c r="A4109" s="12">
        <v>43578.526504629626</v>
      </c>
      <c r="B4109" s="13" t="str">
        <f>HYPERLINK("https://twitter.com/chadewatson","@chadewatson")</f>
        <v>@chadewatson</v>
      </c>
      <c r="C4109" s="14" t="s">
        <v>1160</v>
      </c>
      <c r="D4109" s="15" t="s">
        <v>1161</v>
      </c>
      <c r="E4109" s="16" t="str">
        <f>HYPERLINK("http://www.linkedin.com/","LinkedIn")</f>
        <v>LinkedIn</v>
      </c>
      <c r="F4109" s="12">
        <v>39919.326574074075</v>
      </c>
      <c r="G4109" s="17" t="s">
        <v>13000</v>
      </c>
      <c r="H4109" s="35" t="s">
        <v>623</v>
      </c>
      <c r="I4109" s="18" t="s">
        <v>1162</v>
      </c>
    </row>
    <row r="4110" spans="1:9" s="33" customFormat="1" ht="105">
      <c r="A4110" s="12">
        <v>43578.254178240742</v>
      </c>
      <c r="B4110" s="13" t="str">
        <f>HYPERLINK("https://twitter.com/Statguardplus","@Statguardplus")</f>
        <v>@Statguardplus</v>
      </c>
      <c r="C4110" s="14" t="s">
        <v>1344</v>
      </c>
      <c r="D4110" s="15" t="s">
        <v>1345</v>
      </c>
      <c r="E4110" s="16" t="str">
        <f>HYPERLINK("https://buffer.com","Buffer")</f>
        <v>Buffer</v>
      </c>
      <c r="F4110" s="12">
        <v>41877.566412037035</v>
      </c>
      <c r="G4110" s="17" t="s">
        <v>13000</v>
      </c>
      <c r="H4110" s="35" t="s">
        <v>623</v>
      </c>
      <c r="I4110" s="18" t="s">
        <v>1346</v>
      </c>
    </row>
    <row r="4111" spans="1:9" s="33" customFormat="1" ht="105">
      <c r="A4111" s="12">
        <v>43578.175011574072</v>
      </c>
      <c r="B4111" s="13" t="str">
        <f>HYPERLINK("https://twitter.com/Statguardplus","@Statguardplus")</f>
        <v>@Statguardplus</v>
      </c>
      <c r="C4111" s="14" t="s">
        <v>1344</v>
      </c>
      <c r="D4111" s="15" t="s">
        <v>1377</v>
      </c>
      <c r="E4111" s="16" t="str">
        <f>HYPERLINK("https://buffer.com","Buffer")</f>
        <v>Buffer</v>
      </c>
      <c r="F4111" s="12">
        <v>41877.566412037035</v>
      </c>
      <c r="G4111" s="17" t="s">
        <v>13000</v>
      </c>
      <c r="H4111" s="35" t="s">
        <v>623</v>
      </c>
      <c r="I4111" s="18" t="s">
        <v>1346</v>
      </c>
    </row>
    <row r="4112" spans="1:9" s="33" customFormat="1" ht="45">
      <c r="A4112" s="12">
        <v>43577.597870370373</v>
      </c>
      <c r="B4112" s="13" t="str">
        <f>HYPERLINK("https://twitter.com/rebeccamae7","@rebeccamae7")</f>
        <v>@rebeccamae7</v>
      </c>
      <c r="C4112" s="14" t="s">
        <v>1549</v>
      </c>
      <c r="D4112" s="15" t="s">
        <v>1550</v>
      </c>
      <c r="E4112" s="16" t="str">
        <f>HYPERLINK("http://www.facebook.com/twitter","Facebook")</f>
        <v>Facebook</v>
      </c>
      <c r="F4112" s="12">
        <v>39905.252303240741</v>
      </c>
      <c r="G4112" s="17" t="s">
        <v>13000</v>
      </c>
      <c r="H4112" s="35" t="s">
        <v>623</v>
      </c>
      <c r="I4112" s="18" t="s">
        <v>1551</v>
      </c>
    </row>
    <row r="4113" spans="1:9" s="33" customFormat="1" ht="75">
      <c r="A4113" s="12">
        <v>43573.568425925929</v>
      </c>
      <c r="B4113" s="13" t="str">
        <f>HYPERLINK("https://twitter.com/toptnmortgpro","@toptnmortgpro")</f>
        <v>@toptnmortgpro</v>
      </c>
      <c r="C4113" s="14" t="s">
        <v>2818</v>
      </c>
      <c r="D4113" s="15" t="s">
        <v>2819</v>
      </c>
      <c r="E4113" s="16" t="str">
        <f>HYPERLINK("http://www.facebook.com/twitter","Facebook")</f>
        <v>Facebook</v>
      </c>
      <c r="F4113" s="12">
        <v>41898.53969907407</v>
      </c>
      <c r="G4113" s="17" t="s">
        <v>13000</v>
      </c>
      <c r="H4113" s="35" t="s">
        <v>623</v>
      </c>
      <c r="I4113" s="18" t="s">
        <v>2820</v>
      </c>
    </row>
    <row r="4114" spans="1:9" s="33" customFormat="1" ht="45">
      <c r="A4114" s="12">
        <v>43572.879733796297</v>
      </c>
      <c r="B4114" s="13" t="str">
        <f>HYPERLINK("https://twitter.com/_RakkeL_","@_RakkeL_")</f>
        <v>@_RakkeL_</v>
      </c>
      <c r="C4114" s="14" t="s">
        <v>3069</v>
      </c>
      <c r="D4114" s="15" t="s">
        <v>3070</v>
      </c>
      <c r="E4114" s="16" t="str">
        <f>HYPERLINK("http://twitter.com/download/android","Twitter for Android")</f>
        <v>Twitter for Android</v>
      </c>
      <c r="F4114" s="12">
        <v>39967.596203703702</v>
      </c>
      <c r="G4114" s="17" t="s">
        <v>13000</v>
      </c>
      <c r="H4114" s="35" t="s">
        <v>623</v>
      </c>
      <c r="I4114" s="18" t="s">
        <v>3071</v>
      </c>
    </row>
    <row r="4115" spans="1:9" s="33" customFormat="1" ht="105">
      <c r="A4115" s="12">
        <v>43572.175011574072</v>
      </c>
      <c r="B4115" s="13" t="str">
        <f>HYPERLINK("https://twitter.com/Statguardplus","@Statguardplus")</f>
        <v>@Statguardplus</v>
      </c>
      <c r="C4115" s="14" t="s">
        <v>1344</v>
      </c>
      <c r="D4115" s="15" t="s">
        <v>1377</v>
      </c>
      <c r="E4115" s="16" t="str">
        <f>HYPERLINK("https://buffer.com","Buffer")</f>
        <v>Buffer</v>
      </c>
      <c r="F4115" s="12">
        <v>41877.566412037035</v>
      </c>
      <c r="G4115" s="17" t="s">
        <v>13000</v>
      </c>
      <c r="H4115" s="35" t="s">
        <v>623</v>
      </c>
      <c r="I4115" s="18" t="s">
        <v>1346</v>
      </c>
    </row>
    <row r="4116" spans="1:9" s="33" customFormat="1" ht="105">
      <c r="A4116" s="12">
        <v>43571.770150462966</v>
      </c>
      <c r="B4116" s="13" t="str">
        <f>HYPERLINK("https://twitter.com/Statguardplus","@Statguardplus")</f>
        <v>@Statguardplus</v>
      </c>
      <c r="C4116" s="14" t="s">
        <v>1344</v>
      </c>
      <c r="D4116" s="15" t="s">
        <v>1345</v>
      </c>
      <c r="E4116" s="16" t="str">
        <f>HYPERLINK("https://buffer.com","Buffer")</f>
        <v>Buffer</v>
      </c>
      <c r="F4116" s="12">
        <v>41877.566412037035</v>
      </c>
      <c r="G4116" s="17" t="s">
        <v>13000</v>
      </c>
      <c r="H4116" s="35" t="s">
        <v>623</v>
      </c>
      <c r="I4116" s="18" t="s">
        <v>1346</v>
      </c>
    </row>
    <row r="4117" spans="1:9" s="33" customFormat="1" ht="30">
      <c r="A4117" s="12">
        <v>43571.500300925924</v>
      </c>
      <c r="B4117" s="13" t="str">
        <f>HYPERLINK("https://twitter.com/_RakkeL_","@_RakkeL_")</f>
        <v>@_RakkeL_</v>
      </c>
      <c r="C4117" s="14" t="s">
        <v>3069</v>
      </c>
      <c r="D4117" s="15" t="s">
        <v>3659</v>
      </c>
      <c r="E4117" s="16" t="str">
        <f>HYPERLINK("http://twitter.com/download/android","Twitter for Android")</f>
        <v>Twitter for Android</v>
      </c>
      <c r="F4117" s="12">
        <v>39967.596203703702</v>
      </c>
      <c r="G4117" s="17" t="s">
        <v>13000</v>
      </c>
      <c r="H4117" s="35" t="s">
        <v>623</v>
      </c>
      <c r="I4117" s="18" t="s">
        <v>3071</v>
      </c>
    </row>
    <row r="4118" spans="1:9" s="33" customFormat="1" ht="105">
      <c r="A4118" s="12">
        <v>43571.175023148149</v>
      </c>
      <c r="B4118" s="13" t="str">
        <f>HYPERLINK("https://twitter.com/Statguardplus","@Statguardplus")</f>
        <v>@Statguardplus</v>
      </c>
      <c r="C4118" s="14" t="s">
        <v>1344</v>
      </c>
      <c r="D4118" s="15" t="s">
        <v>1345</v>
      </c>
      <c r="E4118" s="16" t="str">
        <f>HYPERLINK("https://buffer.com","Buffer")</f>
        <v>Buffer</v>
      </c>
      <c r="F4118" s="12">
        <v>41877.566412037035</v>
      </c>
      <c r="G4118" s="17" t="s">
        <v>13000</v>
      </c>
      <c r="H4118" s="35" t="s">
        <v>623</v>
      </c>
      <c r="I4118" s="18" t="s">
        <v>1346</v>
      </c>
    </row>
    <row r="4119" spans="1:9" s="33" customFormat="1" ht="105">
      <c r="A4119" s="12">
        <v>43570.770162037035</v>
      </c>
      <c r="B4119" s="13" t="str">
        <f>HYPERLINK("https://twitter.com/Statguardplus","@Statguardplus")</f>
        <v>@Statguardplus</v>
      </c>
      <c r="C4119" s="14" t="s">
        <v>1344</v>
      </c>
      <c r="D4119" s="15" t="s">
        <v>1377</v>
      </c>
      <c r="E4119" s="16" t="str">
        <f>HYPERLINK("https://buffer.com","Buffer")</f>
        <v>Buffer</v>
      </c>
      <c r="F4119" s="12">
        <v>41877.566412037035</v>
      </c>
      <c r="G4119" s="17" t="s">
        <v>13000</v>
      </c>
      <c r="H4119" s="35" t="s">
        <v>623</v>
      </c>
      <c r="I4119" s="18" t="s">
        <v>1346</v>
      </c>
    </row>
    <row r="4120" spans="1:9" s="33" customFormat="1" ht="75">
      <c r="A4120" s="12">
        <v>43570.398310185185</v>
      </c>
      <c r="B4120" s="13" t="str">
        <f>HYPERLINK("https://twitter.com/havanamusictour","@havanamusictour")</f>
        <v>@havanamusictour</v>
      </c>
      <c r="C4120" s="14" t="s">
        <v>4179</v>
      </c>
      <c r="D4120" s="15" t="s">
        <v>4180</v>
      </c>
      <c r="E4120" s="16" t="str">
        <f>HYPERLINK("http://instagram.com","Instagram")</f>
        <v>Instagram</v>
      </c>
      <c r="F4120" s="12">
        <v>42884.356041666666</v>
      </c>
      <c r="G4120" s="17" t="s">
        <v>13000</v>
      </c>
      <c r="H4120" s="35" t="s">
        <v>623</v>
      </c>
      <c r="I4120" s="18" t="s">
        <v>4181</v>
      </c>
    </row>
    <row r="4121" spans="1:9" s="33" customFormat="1" ht="105">
      <c r="A4121" s="12">
        <v>43568.175011574072</v>
      </c>
      <c r="B4121" s="13" t="str">
        <f>HYPERLINK("https://twitter.com/Statguardplus","@Statguardplus")</f>
        <v>@Statguardplus</v>
      </c>
      <c r="C4121" s="14" t="s">
        <v>1344</v>
      </c>
      <c r="D4121" s="15" t="s">
        <v>1377</v>
      </c>
      <c r="E4121" s="16" t="str">
        <f>HYPERLINK("https://buffer.com","Buffer")</f>
        <v>Buffer</v>
      </c>
      <c r="F4121" s="12">
        <v>41877.566412037035</v>
      </c>
      <c r="G4121" s="17" t="s">
        <v>13000</v>
      </c>
      <c r="H4121" s="35" t="s">
        <v>623</v>
      </c>
      <c r="I4121" s="18" t="s">
        <v>1346</v>
      </c>
    </row>
    <row r="4122" spans="1:9" s="33" customFormat="1" ht="105">
      <c r="A4122" s="12">
        <v>43567.770150462966</v>
      </c>
      <c r="B4122" s="13" t="str">
        <f>HYPERLINK("https://twitter.com/Statguardplus","@Statguardplus")</f>
        <v>@Statguardplus</v>
      </c>
      <c r="C4122" s="14" t="s">
        <v>1344</v>
      </c>
      <c r="D4122" s="15" t="s">
        <v>1345</v>
      </c>
      <c r="E4122" s="16" t="str">
        <f>HYPERLINK("https://buffer.com","Buffer")</f>
        <v>Buffer</v>
      </c>
      <c r="F4122" s="12">
        <v>41877.566412037035</v>
      </c>
      <c r="G4122" s="17" t="s">
        <v>13000</v>
      </c>
      <c r="H4122" s="35" t="s">
        <v>623</v>
      </c>
      <c r="I4122" s="18" t="s">
        <v>1346</v>
      </c>
    </row>
    <row r="4123" spans="1:9" s="33" customFormat="1" ht="90">
      <c r="A4123" s="12">
        <v>43566.770150462966</v>
      </c>
      <c r="B4123" s="13" t="str">
        <f>HYPERLINK("https://twitter.com/Statguardplus","@Statguardplus")</f>
        <v>@Statguardplus</v>
      </c>
      <c r="C4123" s="14" t="s">
        <v>1344</v>
      </c>
      <c r="D4123" s="15" t="s">
        <v>5345</v>
      </c>
      <c r="E4123" s="16" t="str">
        <f>HYPERLINK("https://buffer.com","Buffer")</f>
        <v>Buffer</v>
      </c>
      <c r="F4123" s="12">
        <v>41877.566412037035</v>
      </c>
      <c r="G4123" s="17" t="s">
        <v>13000</v>
      </c>
      <c r="H4123" s="35" t="s">
        <v>623</v>
      </c>
      <c r="I4123" s="18" t="s">
        <v>1346</v>
      </c>
    </row>
    <row r="4124" spans="1:9" s="33" customFormat="1" ht="105">
      <c r="A4124" s="12">
        <v>43566.175011574072</v>
      </c>
      <c r="B4124" s="13" t="str">
        <f>HYPERLINK("https://twitter.com/Statguardplus","@Statguardplus")</f>
        <v>@Statguardplus</v>
      </c>
      <c r="C4124" s="14" t="s">
        <v>1344</v>
      </c>
      <c r="D4124" s="15" t="s">
        <v>1345</v>
      </c>
      <c r="E4124" s="16" t="str">
        <f>HYPERLINK("https://buffer.com","Buffer")</f>
        <v>Buffer</v>
      </c>
      <c r="F4124" s="12">
        <v>41877.566412037035</v>
      </c>
      <c r="G4124" s="17" t="s">
        <v>13000</v>
      </c>
      <c r="H4124" s="35" t="s">
        <v>623</v>
      </c>
      <c r="I4124" s="18" t="s">
        <v>1346</v>
      </c>
    </row>
    <row r="4125" spans="1:9" s="33" customFormat="1" ht="45">
      <c r="A4125" s="4">
        <v>43562.79887731481</v>
      </c>
      <c r="B4125" s="5" t="str">
        <f>HYPERLINK("https://twitter.com/angelwolf970","@angelwolf970")</f>
        <v>@angelwolf970</v>
      </c>
      <c r="C4125" s="6" t="s">
        <v>10573</v>
      </c>
      <c r="D4125" s="7" t="s">
        <v>10574</v>
      </c>
      <c r="E4125" s="8" t="str">
        <f>HYPERLINK("http://twitter.com","Twitter Web Client")</f>
        <v>Twitter Web Client</v>
      </c>
      <c r="F4125" s="4">
        <v>42599.445011574076</v>
      </c>
      <c r="G4125" s="9" t="s">
        <v>13000</v>
      </c>
      <c r="H4125" s="35" t="s">
        <v>10575</v>
      </c>
      <c r="I4125" s="10" t="s">
        <v>10576</v>
      </c>
    </row>
    <row r="4126" spans="1:9" s="33" customFormat="1" ht="45">
      <c r="A4126" s="19">
        <v>43550.792083333334</v>
      </c>
      <c r="B4126" s="20" t="str">
        <f>HYPERLINK("https://twitter.com/FrugalRules","@FrugalRules")</f>
        <v>@FrugalRules</v>
      </c>
      <c r="C4126" s="21" t="s">
        <v>6874</v>
      </c>
      <c r="D4126" s="22" t="s">
        <v>7506</v>
      </c>
      <c r="E4126" s="23" t="str">
        <f>HYPERLINK("https://www.hootsuite.com","Hootsuite Inc.")</f>
        <v>Hootsuite Inc.</v>
      </c>
      <c r="F4126" s="19">
        <v>41085.533067129625</v>
      </c>
      <c r="G4126" s="17" t="s">
        <v>13000</v>
      </c>
      <c r="H4126" s="35" t="s">
        <v>6876</v>
      </c>
      <c r="I4126" s="25" t="s">
        <v>6877</v>
      </c>
    </row>
    <row r="4127" spans="1:9" s="33" customFormat="1" ht="60">
      <c r="A4127" s="4">
        <v>43563.792037037041</v>
      </c>
      <c r="B4127" s="5" t="str">
        <f>HYPERLINK("https://twitter.com/FrugalRules","@FrugalRules")</f>
        <v>@FrugalRules</v>
      </c>
      <c r="C4127" s="6" t="s">
        <v>6874</v>
      </c>
      <c r="D4127" s="7" t="s">
        <v>6875</v>
      </c>
      <c r="E4127" s="8" t="str">
        <f>HYPERLINK("https://www.hootsuite.com","Hootsuite Inc.")</f>
        <v>Hootsuite Inc.</v>
      </c>
      <c r="F4127" s="4">
        <v>41085.533067129625</v>
      </c>
      <c r="G4127" s="17" t="s">
        <v>13000</v>
      </c>
      <c r="H4127" s="35" t="s">
        <v>6876</v>
      </c>
      <c r="I4127" s="10" t="s">
        <v>6877</v>
      </c>
    </row>
    <row r="4128" spans="1:9" s="33" customFormat="1" ht="60">
      <c r="A4128" s="19">
        <v>43551.727951388893</v>
      </c>
      <c r="B4128" s="20" t="str">
        <f>HYPERLINK("https://twitter.com/RNightly","@RNightly")</f>
        <v>@RNightly</v>
      </c>
      <c r="C4128" s="21" t="s">
        <v>7021</v>
      </c>
      <c r="D4128" s="22" t="s">
        <v>7022</v>
      </c>
      <c r="E4128" s="23" t="str">
        <f>HYPERLINK("http://instagram.com","Instagram")</f>
        <v>Instagram</v>
      </c>
      <c r="F4128" s="19">
        <v>43322.475590277776</v>
      </c>
      <c r="G4128" s="17" t="s">
        <v>13000</v>
      </c>
      <c r="H4128" s="35" t="s">
        <v>3519</v>
      </c>
      <c r="I4128" s="25" t="s">
        <v>7023</v>
      </c>
    </row>
    <row r="4129" spans="1:9" s="33" customFormat="1" ht="60">
      <c r="A4129" s="19">
        <v>43543.506921296299</v>
      </c>
      <c r="B4129" s="20" t="str">
        <f>HYPERLINK("https://twitter.com/RNightly","@RNightly")</f>
        <v>@RNightly</v>
      </c>
      <c r="C4129" s="21" t="s">
        <v>7021</v>
      </c>
      <c r="D4129" s="22" t="s">
        <v>9776</v>
      </c>
      <c r="E4129" s="23" t="str">
        <f>HYPERLINK("http://instagram.com","Instagram")</f>
        <v>Instagram</v>
      </c>
      <c r="F4129" s="19">
        <v>43322.475590277776</v>
      </c>
      <c r="G4129" s="17" t="s">
        <v>13000</v>
      </c>
      <c r="H4129" s="35" t="s">
        <v>3519</v>
      </c>
      <c r="I4129" s="25" t="s">
        <v>7023</v>
      </c>
    </row>
    <row r="4130" spans="1:9" s="33" customFormat="1" ht="45">
      <c r="A4130" s="12">
        <v>43571.849236111113</v>
      </c>
      <c r="B4130" s="13" t="str">
        <f>HYPERLINK("https://twitter.com/OMAREALEST_com","@OMAREALEST_com")</f>
        <v>@OMAREALEST_com</v>
      </c>
      <c r="C4130" s="14" t="s">
        <v>3517</v>
      </c>
      <c r="D4130" s="15" t="s">
        <v>3518</v>
      </c>
      <c r="E4130" s="16" t="str">
        <f>HYPERLINK("http://twitter.com","Twitter Web Client")</f>
        <v>Twitter Web Client</v>
      </c>
      <c r="F4130" s="12">
        <v>42153.532766203702</v>
      </c>
      <c r="G4130" s="17" t="s">
        <v>13000</v>
      </c>
      <c r="H4130" s="35" t="s">
        <v>3519</v>
      </c>
      <c r="I4130" s="18" t="s">
        <v>3520</v>
      </c>
    </row>
    <row r="4131" spans="1:9" s="33" customFormat="1" ht="45">
      <c r="A4131" s="12">
        <v>43570.245787037042</v>
      </c>
      <c r="B4131" s="13" t="str">
        <f>HYPERLINK("https://twitter.com/rutten_amy","@rutten_amy")</f>
        <v>@rutten_amy</v>
      </c>
      <c r="C4131" s="14" t="s">
        <v>4278</v>
      </c>
      <c r="D4131" s="15" t="s">
        <v>4279</v>
      </c>
      <c r="E4131" s="16" t="str">
        <f t="shared" ref="E4131:E4149" si="171">HYPERLINK("http://twitter.com/download/iphone","Twitter for iPhone")</f>
        <v>Twitter for iPhone</v>
      </c>
      <c r="F4131" s="12">
        <v>42461.296701388885</v>
      </c>
      <c r="G4131" s="17" t="s">
        <v>13000</v>
      </c>
      <c r="H4131" s="35" t="s">
        <v>4280</v>
      </c>
      <c r="I4131" s="18" t="s">
        <v>4281</v>
      </c>
    </row>
    <row r="4132" spans="1:9" s="33" customFormat="1" ht="75">
      <c r="A4132" s="19">
        <v>43550.515509259261</v>
      </c>
      <c r="B4132" s="20" t="str">
        <f t="shared" ref="B4132:B4149" si="172">HYPERLINK("https://twitter.com/DiamondBoxing","@DiamondBoxing")</f>
        <v>@DiamondBoxing</v>
      </c>
      <c r="C4132" s="21" t="s">
        <v>1014</v>
      </c>
      <c r="D4132" s="22" t="s">
        <v>7630</v>
      </c>
      <c r="E4132" s="23" t="str">
        <f t="shared" si="171"/>
        <v>Twitter for iPhone</v>
      </c>
      <c r="F4132" s="19">
        <v>39733.818773148145</v>
      </c>
      <c r="G4132" s="17" t="s">
        <v>13000</v>
      </c>
      <c r="H4132" s="35" t="s">
        <v>1016</v>
      </c>
      <c r="I4132" s="25" t="s">
        <v>1017</v>
      </c>
    </row>
    <row r="4133" spans="1:9" s="33" customFormat="1" ht="90">
      <c r="A4133" s="19">
        <v>43547.443437499998</v>
      </c>
      <c r="B4133" s="20" t="str">
        <f t="shared" si="172"/>
        <v>@DiamondBoxing</v>
      </c>
      <c r="C4133" s="21" t="s">
        <v>1014</v>
      </c>
      <c r="D4133" s="22" t="s">
        <v>8539</v>
      </c>
      <c r="E4133" s="23" t="str">
        <f t="shared" si="171"/>
        <v>Twitter for iPhone</v>
      </c>
      <c r="F4133" s="19">
        <v>39733.818773148145</v>
      </c>
      <c r="G4133" s="17" t="s">
        <v>13000</v>
      </c>
      <c r="H4133" s="35" t="s">
        <v>1016</v>
      </c>
      <c r="I4133" s="25" t="s">
        <v>1017</v>
      </c>
    </row>
    <row r="4134" spans="1:9" s="33" customFormat="1" ht="75">
      <c r="A4134" s="19">
        <v>43546.383657407408</v>
      </c>
      <c r="B4134" s="20" t="str">
        <f t="shared" si="172"/>
        <v>@DiamondBoxing</v>
      </c>
      <c r="C4134" s="21" t="s">
        <v>1014</v>
      </c>
      <c r="D4134" s="22" t="s">
        <v>8877</v>
      </c>
      <c r="E4134" s="23" t="str">
        <f t="shared" si="171"/>
        <v>Twitter for iPhone</v>
      </c>
      <c r="F4134" s="19">
        <v>39733.818773148145</v>
      </c>
      <c r="G4134" s="17" t="s">
        <v>13000</v>
      </c>
      <c r="H4134" s="35" t="s">
        <v>1016</v>
      </c>
      <c r="I4134" s="25" t="s">
        <v>1017</v>
      </c>
    </row>
    <row r="4135" spans="1:9" s="33" customFormat="1" ht="90">
      <c r="A4135" s="4">
        <v>43565.235856481479</v>
      </c>
      <c r="B4135" s="5" t="str">
        <f t="shared" si="172"/>
        <v>@DiamondBoxing</v>
      </c>
      <c r="C4135" s="6" t="s">
        <v>1014</v>
      </c>
      <c r="D4135" s="7" t="s">
        <v>6215</v>
      </c>
      <c r="E4135" s="8" t="str">
        <f t="shared" si="171"/>
        <v>Twitter for iPhone</v>
      </c>
      <c r="F4135" s="4">
        <v>39733.818773148145</v>
      </c>
      <c r="G4135" s="17" t="s">
        <v>13000</v>
      </c>
      <c r="H4135" s="35" t="s">
        <v>1016</v>
      </c>
      <c r="I4135" s="10" t="s">
        <v>1017</v>
      </c>
    </row>
    <row r="4136" spans="1:9" s="33" customFormat="1" ht="90">
      <c r="A4136" s="4">
        <v>43562.843402777777</v>
      </c>
      <c r="B4136" s="5" t="str">
        <f t="shared" si="172"/>
        <v>@DiamondBoxing</v>
      </c>
      <c r="C4136" s="6" t="s">
        <v>1014</v>
      </c>
      <c r="D4136" s="7" t="s">
        <v>10566</v>
      </c>
      <c r="E4136" s="8" t="str">
        <f t="shared" si="171"/>
        <v>Twitter for iPhone</v>
      </c>
      <c r="F4136" s="4">
        <v>39733.818773148145</v>
      </c>
      <c r="G4136" s="17" t="s">
        <v>13000</v>
      </c>
      <c r="H4136" s="35" t="s">
        <v>1016</v>
      </c>
      <c r="I4136" s="10" t="s">
        <v>1017</v>
      </c>
    </row>
    <row r="4137" spans="1:9" s="33" customFormat="1" ht="75">
      <c r="A4137" s="4">
        <v>43562.30868055555</v>
      </c>
      <c r="B4137" s="5" t="str">
        <f t="shared" si="172"/>
        <v>@DiamondBoxing</v>
      </c>
      <c r="C4137" s="6" t="s">
        <v>1014</v>
      </c>
      <c r="D4137" s="7" t="s">
        <v>10709</v>
      </c>
      <c r="E4137" s="8" t="str">
        <f t="shared" si="171"/>
        <v>Twitter for iPhone</v>
      </c>
      <c r="F4137" s="4">
        <v>39733.818773148145</v>
      </c>
      <c r="G4137" s="17" t="s">
        <v>13000</v>
      </c>
      <c r="H4137" s="35" t="s">
        <v>1016</v>
      </c>
      <c r="I4137" s="10" t="s">
        <v>1017</v>
      </c>
    </row>
    <row r="4138" spans="1:9" s="33" customFormat="1" ht="75">
      <c r="A4138" s="4">
        <v>43561.644803240742</v>
      </c>
      <c r="B4138" s="5" t="str">
        <f t="shared" si="172"/>
        <v>@DiamondBoxing</v>
      </c>
      <c r="C4138" s="6" t="s">
        <v>1014</v>
      </c>
      <c r="D4138" s="7" t="s">
        <v>10889</v>
      </c>
      <c r="E4138" s="8" t="str">
        <f t="shared" si="171"/>
        <v>Twitter for iPhone</v>
      </c>
      <c r="F4138" s="4">
        <v>39733.818773148145</v>
      </c>
      <c r="G4138" s="17" t="s">
        <v>13000</v>
      </c>
      <c r="H4138" s="35" t="s">
        <v>1016</v>
      </c>
      <c r="I4138" s="10" t="s">
        <v>1017</v>
      </c>
    </row>
    <row r="4139" spans="1:9" s="33" customFormat="1" ht="75">
      <c r="A4139" s="4">
        <v>43560.200173611112</v>
      </c>
      <c r="B4139" s="5" t="str">
        <f t="shared" si="172"/>
        <v>@DiamondBoxing</v>
      </c>
      <c r="C4139" s="6" t="s">
        <v>1014</v>
      </c>
      <c r="D4139" s="7" t="s">
        <v>11575</v>
      </c>
      <c r="E4139" s="8" t="str">
        <f t="shared" si="171"/>
        <v>Twitter for iPhone</v>
      </c>
      <c r="F4139" s="4">
        <v>39733.818773148145</v>
      </c>
      <c r="G4139" s="17" t="s">
        <v>13000</v>
      </c>
      <c r="H4139" s="35" t="s">
        <v>1016</v>
      </c>
      <c r="I4139" s="10" t="s">
        <v>1017</v>
      </c>
    </row>
    <row r="4140" spans="1:9" s="33" customFormat="1" ht="75">
      <c r="A4140" s="4">
        <v>43559.34003472222</v>
      </c>
      <c r="B4140" s="5" t="str">
        <f t="shared" si="172"/>
        <v>@DiamondBoxing</v>
      </c>
      <c r="C4140" s="6" t="s">
        <v>1014</v>
      </c>
      <c r="D4140" s="7" t="s">
        <v>11881</v>
      </c>
      <c r="E4140" s="8" t="str">
        <f t="shared" si="171"/>
        <v>Twitter for iPhone</v>
      </c>
      <c r="F4140" s="4">
        <v>39733.818773148145</v>
      </c>
      <c r="G4140" s="17" t="s">
        <v>13000</v>
      </c>
      <c r="H4140" s="35" t="s">
        <v>1016</v>
      </c>
      <c r="I4140" s="10" t="s">
        <v>1017</v>
      </c>
    </row>
    <row r="4141" spans="1:9" s="33" customFormat="1" ht="60">
      <c r="A4141" s="4">
        <v>43557.827604166669</v>
      </c>
      <c r="B4141" s="5" t="str">
        <f t="shared" si="172"/>
        <v>@DiamondBoxing</v>
      </c>
      <c r="C4141" s="6" t="s">
        <v>1014</v>
      </c>
      <c r="D4141" s="7" t="s">
        <v>12382</v>
      </c>
      <c r="E4141" s="8" t="str">
        <f t="shared" si="171"/>
        <v>Twitter for iPhone</v>
      </c>
      <c r="F4141" s="4">
        <v>39733.818773148145</v>
      </c>
      <c r="G4141" s="17" t="s">
        <v>13000</v>
      </c>
      <c r="H4141" s="35" t="s">
        <v>1016</v>
      </c>
      <c r="I4141" s="10" t="s">
        <v>1017</v>
      </c>
    </row>
    <row r="4142" spans="1:9" s="33" customFormat="1" ht="75">
      <c r="A4142" s="4">
        <v>43556.872592592597</v>
      </c>
      <c r="B4142" s="5" t="str">
        <f t="shared" si="172"/>
        <v>@DiamondBoxing</v>
      </c>
      <c r="C4142" s="6" t="s">
        <v>1014</v>
      </c>
      <c r="D4142" s="7" t="s">
        <v>12717</v>
      </c>
      <c r="E4142" s="8" t="str">
        <f t="shared" si="171"/>
        <v>Twitter for iPhone</v>
      </c>
      <c r="F4142" s="4">
        <v>39733.818773148145</v>
      </c>
      <c r="G4142" s="17" t="s">
        <v>13000</v>
      </c>
      <c r="H4142" s="35" t="s">
        <v>1016</v>
      </c>
      <c r="I4142" s="10" t="s">
        <v>1017</v>
      </c>
    </row>
    <row r="4143" spans="1:9" s="33" customFormat="1" ht="75">
      <c r="A4143" s="12">
        <v>43578.852442129632</v>
      </c>
      <c r="B4143" s="13" t="str">
        <f t="shared" si="172"/>
        <v>@DiamondBoxing</v>
      </c>
      <c r="C4143" s="14" t="s">
        <v>1014</v>
      </c>
      <c r="D4143" s="15" t="s">
        <v>1015</v>
      </c>
      <c r="E4143" s="16" t="str">
        <f t="shared" si="171"/>
        <v>Twitter for iPhone</v>
      </c>
      <c r="F4143" s="12">
        <v>39733.818773148145</v>
      </c>
      <c r="G4143" s="17" t="s">
        <v>13000</v>
      </c>
      <c r="H4143" s="35" t="s">
        <v>1016</v>
      </c>
      <c r="I4143" s="18" t="s">
        <v>1017</v>
      </c>
    </row>
    <row r="4144" spans="1:9" s="33" customFormat="1" ht="75">
      <c r="A4144" s="12">
        <v>43578.260347222225</v>
      </c>
      <c r="B4144" s="13" t="str">
        <f t="shared" si="172"/>
        <v>@DiamondBoxing</v>
      </c>
      <c r="C4144" s="14" t="s">
        <v>1014</v>
      </c>
      <c r="D4144" s="15" t="s">
        <v>1343</v>
      </c>
      <c r="E4144" s="16" t="str">
        <f t="shared" si="171"/>
        <v>Twitter for iPhone</v>
      </c>
      <c r="F4144" s="12">
        <v>39733.818773148145</v>
      </c>
      <c r="G4144" s="17" t="s">
        <v>13000</v>
      </c>
      <c r="H4144" s="35" t="s">
        <v>1016</v>
      </c>
      <c r="I4144" s="18" t="s">
        <v>1017</v>
      </c>
    </row>
    <row r="4145" spans="1:9" s="33" customFormat="1" ht="60">
      <c r="A4145" s="12">
        <v>43576.836678240739</v>
      </c>
      <c r="B4145" s="13" t="str">
        <f t="shared" si="172"/>
        <v>@DiamondBoxing</v>
      </c>
      <c r="C4145" s="14" t="s">
        <v>1014</v>
      </c>
      <c r="D4145" s="15" t="s">
        <v>1807</v>
      </c>
      <c r="E4145" s="16" t="str">
        <f t="shared" si="171"/>
        <v>Twitter for iPhone</v>
      </c>
      <c r="F4145" s="12">
        <v>39733.818773148145</v>
      </c>
      <c r="G4145" s="17" t="s">
        <v>13000</v>
      </c>
      <c r="H4145" s="35" t="s">
        <v>1016</v>
      </c>
      <c r="I4145" s="18" t="s">
        <v>1017</v>
      </c>
    </row>
    <row r="4146" spans="1:9" s="33" customFormat="1" ht="75">
      <c r="A4146" s="12">
        <v>43574.871412037042</v>
      </c>
      <c r="B4146" s="13" t="str">
        <f t="shared" si="172"/>
        <v>@DiamondBoxing</v>
      </c>
      <c r="C4146" s="14" t="s">
        <v>1014</v>
      </c>
      <c r="D4146" s="15" t="s">
        <v>2412</v>
      </c>
      <c r="E4146" s="16" t="str">
        <f t="shared" si="171"/>
        <v>Twitter for iPhone</v>
      </c>
      <c r="F4146" s="12">
        <v>39733.818773148145</v>
      </c>
      <c r="G4146" s="17" t="s">
        <v>13000</v>
      </c>
      <c r="H4146" s="35" t="s">
        <v>1016</v>
      </c>
      <c r="I4146" s="18" t="s">
        <v>1017</v>
      </c>
    </row>
    <row r="4147" spans="1:9" s="33" customFormat="1" ht="75">
      <c r="A4147" s="12">
        <v>43571.276296296295</v>
      </c>
      <c r="B4147" s="13" t="str">
        <f t="shared" si="172"/>
        <v>@DiamondBoxing</v>
      </c>
      <c r="C4147" s="14" t="s">
        <v>1014</v>
      </c>
      <c r="D4147" s="15" t="s">
        <v>3759</v>
      </c>
      <c r="E4147" s="16" t="str">
        <f t="shared" si="171"/>
        <v>Twitter for iPhone</v>
      </c>
      <c r="F4147" s="12">
        <v>39733.818773148145</v>
      </c>
      <c r="G4147" s="17" t="s">
        <v>13000</v>
      </c>
      <c r="H4147" s="35" t="s">
        <v>1016</v>
      </c>
      <c r="I4147" s="18" t="s">
        <v>1017</v>
      </c>
    </row>
    <row r="4148" spans="1:9" s="33" customFormat="1" ht="75">
      <c r="A4148" s="12">
        <v>43569.658530092594</v>
      </c>
      <c r="B4148" s="13" t="str">
        <f t="shared" si="172"/>
        <v>@DiamondBoxing</v>
      </c>
      <c r="C4148" s="14" t="s">
        <v>1014</v>
      </c>
      <c r="D4148" s="15" t="s">
        <v>4442</v>
      </c>
      <c r="E4148" s="16" t="str">
        <f t="shared" si="171"/>
        <v>Twitter for iPhone</v>
      </c>
      <c r="F4148" s="12">
        <v>39733.818773148145</v>
      </c>
      <c r="G4148" s="17" t="s">
        <v>13000</v>
      </c>
      <c r="H4148" s="35" t="s">
        <v>1016</v>
      </c>
      <c r="I4148" s="18" t="s">
        <v>1017</v>
      </c>
    </row>
    <row r="4149" spans="1:9" s="33" customFormat="1" ht="75">
      <c r="A4149" s="12">
        <v>43568.44532407407</v>
      </c>
      <c r="B4149" s="13" t="str">
        <f t="shared" si="172"/>
        <v>@DiamondBoxing</v>
      </c>
      <c r="C4149" s="14" t="s">
        <v>1014</v>
      </c>
      <c r="D4149" s="15" t="s">
        <v>4765</v>
      </c>
      <c r="E4149" s="16" t="str">
        <f t="shared" si="171"/>
        <v>Twitter for iPhone</v>
      </c>
      <c r="F4149" s="12">
        <v>39733.818773148145</v>
      </c>
      <c r="G4149" s="17" t="s">
        <v>13000</v>
      </c>
      <c r="H4149" s="35" t="s">
        <v>1016</v>
      </c>
      <c r="I4149" s="18" t="s">
        <v>1017</v>
      </c>
    </row>
    <row r="4150" spans="1:9" s="33" customFormat="1" ht="45">
      <c r="A4150" s="12">
        <v>43576.589050925926</v>
      </c>
      <c r="B4150" s="13" t="str">
        <f>HYPERLINK("https://twitter.com/ScottLima3","@ScottLima3")</f>
        <v>@ScottLima3</v>
      </c>
      <c r="C4150" s="14" t="s">
        <v>1907</v>
      </c>
      <c r="D4150" s="15" t="s">
        <v>1908</v>
      </c>
      <c r="E4150" s="16" t="str">
        <f>HYPERLINK("https://www.circlepix.com/","Circlepix")</f>
        <v>Circlepix</v>
      </c>
      <c r="F4150" s="12">
        <v>42856.570972222224</v>
      </c>
      <c r="G4150" s="17" t="s">
        <v>13000</v>
      </c>
      <c r="H4150" s="35" t="s">
        <v>1909</v>
      </c>
      <c r="I4150" s="18" t="s">
        <v>1910</v>
      </c>
    </row>
    <row r="4151" spans="1:9" s="33" customFormat="1" ht="90">
      <c r="A4151" s="19">
        <v>43550.698703703703</v>
      </c>
      <c r="B4151" s="20" t="str">
        <f>HYPERLINK("https://twitter.com/donaldplawson","@donaldplawson")</f>
        <v>@donaldplawson</v>
      </c>
      <c r="C4151" s="21" t="s">
        <v>7543</v>
      </c>
      <c r="D4151" s="22" t="s">
        <v>7544</v>
      </c>
      <c r="E4151" s="23" t="str">
        <f>HYPERLINK("http://twitter.com","Twitter Web Client")</f>
        <v>Twitter Web Client</v>
      </c>
      <c r="F4151" s="19">
        <v>41891.503287037034</v>
      </c>
      <c r="G4151" s="17" t="s">
        <v>13000</v>
      </c>
      <c r="H4151" s="35" t="s">
        <v>2780</v>
      </c>
      <c r="I4151" s="25" t="s">
        <v>7545</v>
      </c>
    </row>
    <row r="4152" spans="1:9" s="33" customFormat="1" ht="45">
      <c r="A4152" s="19">
        <v>43550.215555555551</v>
      </c>
      <c r="B4152" s="20" t="str">
        <f>HYPERLINK("https://twitter.com/QuiK_exe","@QuiK_exe")</f>
        <v>@QuiK_exe</v>
      </c>
      <c r="C4152" s="21" t="s">
        <v>7792</v>
      </c>
      <c r="D4152" s="22" t="s">
        <v>7793</v>
      </c>
      <c r="E4152" s="23" t="str">
        <f>HYPERLINK("http://twitter.com/download/android","Twitter for Android")</f>
        <v>Twitter for Android</v>
      </c>
      <c r="F4152" s="19">
        <v>41807.098726851851</v>
      </c>
      <c r="G4152" s="17" t="s">
        <v>13000</v>
      </c>
      <c r="H4152" s="35" t="s">
        <v>2780</v>
      </c>
      <c r="I4152" s="25" t="s">
        <v>7794</v>
      </c>
    </row>
    <row r="4153" spans="1:9" s="33" customFormat="1" ht="45">
      <c r="A4153" s="12">
        <v>43573.665648148148</v>
      </c>
      <c r="B4153" s="13" t="str">
        <f>HYPERLINK("https://twitter.com/kd_davidson","@kd_davidson")</f>
        <v>@kd_davidson</v>
      </c>
      <c r="C4153" s="14" t="s">
        <v>2778</v>
      </c>
      <c r="D4153" s="15" t="s">
        <v>2779</v>
      </c>
      <c r="E4153" s="16" t="str">
        <f>HYPERLINK("http://twitter.com/download/iphone","Twitter for iPhone")</f>
        <v>Twitter for iPhone</v>
      </c>
      <c r="F4153" s="12">
        <v>40775.154467592591</v>
      </c>
      <c r="G4153" s="17" t="s">
        <v>13000</v>
      </c>
      <c r="H4153" s="35" t="s">
        <v>2780</v>
      </c>
      <c r="I4153" s="18" t="s">
        <v>2781</v>
      </c>
    </row>
    <row r="4154" spans="1:9" s="33" customFormat="1" ht="45">
      <c r="A4154" s="4">
        <v>43560.40626157407</v>
      </c>
      <c r="B4154" s="5" t="str">
        <f>HYPERLINK("https://twitter.com/ByToddBBates","@ByToddBBates")</f>
        <v>@ByToddBBates</v>
      </c>
      <c r="C4154" s="6" t="s">
        <v>11402</v>
      </c>
      <c r="D4154" s="7" t="s">
        <v>11403</v>
      </c>
      <c r="E4154" s="8" t="str">
        <f>HYPERLINK("http://twitter.com","Twitter Web Client")</f>
        <v>Twitter Web Client</v>
      </c>
      <c r="F4154" s="4">
        <v>39932.353032407409</v>
      </c>
      <c r="G4154" s="17" t="s">
        <v>13000</v>
      </c>
      <c r="H4154" s="35" t="s">
        <v>11404</v>
      </c>
      <c r="I4154" s="10" t="s">
        <v>11405</v>
      </c>
    </row>
    <row r="4155" spans="1:9" s="33" customFormat="1" ht="105">
      <c r="A4155" s="12">
        <v>43570.574444444443</v>
      </c>
      <c r="B4155" s="13" t="str">
        <f>HYPERLINK("https://twitter.com/Blueskycenter","@Blueskycenter")</f>
        <v>@Blueskycenter</v>
      </c>
      <c r="C4155" s="14" t="s">
        <v>4057</v>
      </c>
      <c r="D4155" s="15" t="s">
        <v>4058</v>
      </c>
      <c r="E4155" s="16" t="str">
        <f>HYPERLINK("https://ifttt.com","IFTTT")</f>
        <v>IFTTT</v>
      </c>
      <c r="F4155" s="12">
        <v>41621.611493055556</v>
      </c>
      <c r="G4155" s="17" t="s">
        <v>13000</v>
      </c>
      <c r="H4155" s="35" t="s">
        <v>4059</v>
      </c>
      <c r="I4155" s="18" t="s">
        <v>4060</v>
      </c>
    </row>
    <row r="4156" spans="1:9" s="33" customFormat="1" ht="90">
      <c r="A4156" s="12">
        <v>43570.570127314815</v>
      </c>
      <c r="B4156" s="13" t="str">
        <f>HYPERLINK("https://twitter.com/Blueskycenter","@Blueskycenter")</f>
        <v>@Blueskycenter</v>
      </c>
      <c r="C4156" s="14" t="s">
        <v>4057</v>
      </c>
      <c r="D4156" s="15" t="s">
        <v>4067</v>
      </c>
      <c r="E4156" s="16" t="str">
        <f>HYPERLINK("http://instagram.com","Instagram")</f>
        <v>Instagram</v>
      </c>
      <c r="F4156" s="12">
        <v>41621.611493055556</v>
      </c>
      <c r="G4156" s="17" t="s">
        <v>13000</v>
      </c>
      <c r="H4156" s="35" t="s">
        <v>4059</v>
      </c>
      <c r="I4156" s="18" t="s">
        <v>4060</v>
      </c>
    </row>
    <row r="4157" spans="1:9" s="33" customFormat="1" ht="75">
      <c r="A4157" s="4">
        <v>43560.629212962958</v>
      </c>
      <c r="B4157" s="5" t="str">
        <f>HYPERLINK("https://twitter.com/EJ_Brennan","@EJ_Brennan")</f>
        <v>@EJ_Brennan</v>
      </c>
      <c r="C4157" s="6" t="s">
        <v>11237</v>
      </c>
      <c r="D4157" s="7" t="s">
        <v>11238</v>
      </c>
      <c r="E4157" s="8" t="str">
        <f>HYPERLINK("http://twitter.com","Twitter Web Client")</f>
        <v>Twitter Web Client</v>
      </c>
      <c r="F4157" s="4">
        <v>40013.373877314814</v>
      </c>
      <c r="G4157" s="17" t="s">
        <v>13000</v>
      </c>
      <c r="H4157" s="35" t="s">
        <v>11239</v>
      </c>
      <c r="I4157" s="10" t="s">
        <v>11240</v>
      </c>
    </row>
    <row r="4158" spans="1:9" s="33" customFormat="1" ht="195">
      <c r="A4158" s="4">
        <v>43561.550208333334</v>
      </c>
      <c r="B4158" s="5" t="str">
        <f>HYPERLINK("https://twitter.com/CGizzarelli","@CGizzarelli")</f>
        <v>@CGizzarelli</v>
      </c>
      <c r="C4158" s="6" t="s">
        <v>10929</v>
      </c>
      <c r="D4158" s="7" t="s">
        <v>10930</v>
      </c>
      <c r="E4158" s="8" t="str">
        <f>HYPERLINK("http://twitter.com","Twitter Web Client")</f>
        <v>Twitter Web Client</v>
      </c>
      <c r="F4158" s="4">
        <v>41646.569641203707</v>
      </c>
      <c r="G4158" s="17" t="s">
        <v>13000</v>
      </c>
      <c r="H4158" s="35" t="s">
        <v>10931</v>
      </c>
      <c r="I4158" s="10" t="s">
        <v>10932</v>
      </c>
    </row>
    <row r="4159" spans="1:9" s="33" customFormat="1" ht="75">
      <c r="A4159" s="19">
        <v>43545.836840277778</v>
      </c>
      <c r="B4159" s="20" t="str">
        <f>HYPERLINK("https://twitter.com/nhlivingcom","@nhlivingcom")</f>
        <v>@nhlivingcom</v>
      </c>
      <c r="C4159" s="21" t="s">
        <v>9026</v>
      </c>
      <c r="D4159" s="22" t="s">
        <v>9027</v>
      </c>
      <c r="E4159" s="23" t="str">
        <f>HYPERLINK("https://www.hootsuite.com","Hootsuite Inc.")</f>
        <v>Hootsuite Inc.</v>
      </c>
      <c r="F4159" s="19">
        <v>42542.553865740745</v>
      </c>
      <c r="G4159" s="17" t="s">
        <v>13000</v>
      </c>
      <c r="H4159" s="35" t="s">
        <v>9028</v>
      </c>
      <c r="I4159" s="25" t="s">
        <v>9029</v>
      </c>
    </row>
    <row r="4160" spans="1:9" s="33" customFormat="1" ht="75">
      <c r="A4160" s="19">
        <v>43545.288263888884</v>
      </c>
      <c r="B4160" s="20" t="str">
        <f>HYPERLINK("https://twitter.com/nhlivingcom","@nhlivingcom")</f>
        <v>@nhlivingcom</v>
      </c>
      <c r="C4160" s="21" t="s">
        <v>9026</v>
      </c>
      <c r="D4160" s="22" t="s">
        <v>9211</v>
      </c>
      <c r="E4160" s="23" t="str">
        <f>HYPERLINK("https://www.hootsuite.com","Hootsuite Inc.")</f>
        <v>Hootsuite Inc.</v>
      </c>
      <c r="F4160" s="19">
        <v>42542.553865740745</v>
      </c>
      <c r="G4160" s="17" t="s">
        <v>13000</v>
      </c>
      <c r="H4160" s="35" t="s">
        <v>9028</v>
      </c>
      <c r="I4160" s="25" t="s">
        <v>9029</v>
      </c>
    </row>
    <row r="4161" spans="1:9" s="33" customFormat="1" ht="30">
      <c r="A4161" s="19">
        <v>43550.396041666667</v>
      </c>
      <c r="B4161" s="20" t="str">
        <f>HYPERLINK("https://twitter.com/mfauscette","@mfauscette")</f>
        <v>@mfauscette</v>
      </c>
      <c r="C4161" s="21" t="s">
        <v>7687</v>
      </c>
      <c r="D4161" s="22" t="s">
        <v>7688</v>
      </c>
      <c r="E4161" s="23" t="str">
        <f>HYPERLINK("https://buffer.com","Buffer")</f>
        <v>Buffer</v>
      </c>
      <c r="F4161" s="19">
        <v>39611.764004629629</v>
      </c>
      <c r="G4161" s="17" t="s">
        <v>13000</v>
      </c>
      <c r="H4161" s="35" t="s">
        <v>1673</v>
      </c>
      <c r="I4161" s="25" t="s">
        <v>7689</v>
      </c>
    </row>
    <row r="4162" spans="1:9" s="33" customFormat="1" ht="75">
      <c r="A4162" s="19">
        <v>43545.601400462961</v>
      </c>
      <c r="B4162" s="20" t="str">
        <f>HYPERLINK("https://twitter.com/ryanpalresp","@ryanpalresp")</f>
        <v>@ryanpalresp</v>
      </c>
      <c r="C4162" s="21" t="s">
        <v>9082</v>
      </c>
      <c r="D4162" s="22" t="s">
        <v>9083</v>
      </c>
      <c r="E4162" s="23" t="str">
        <f>HYPERLINK("http://instagram.com","Instagram")</f>
        <v>Instagram</v>
      </c>
      <c r="F4162" s="19">
        <v>40101.5316087963</v>
      </c>
      <c r="G4162" s="17" t="s">
        <v>13000</v>
      </c>
      <c r="H4162" s="35" t="s">
        <v>1673</v>
      </c>
      <c r="I4162" s="25" t="s">
        <v>9084</v>
      </c>
    </row>
    <row r="4163" spans="1:9" s="33" customFormat="1" ht="45">
      <c r="A4163" s="4">
        <v>43562.480972222227</v>
      </c>
      <c r="B4163" s="5" t="str">
        <f>HYPERLINK("https://twitter.com/darcib65","@darcib65")</f>
        <v>@darcib65</v>
      </c>
      <c r="C4163" s="6" t="s">
        <v>10663</v>
      </c>
      <c r="D4163" s="7" t="s">
        <v>10664</v>
      </c>
      <c r="E4163" s="8" t="str">
        <f>HYPERLINK("http://www.facebook.com/twitter","Facebook")</f>
        <v>Facebook</v>
      </c>
      <c r="F4163" s="4">
        <v>42018.872187500005</v>
      </c>
      <c r="G4163" s="17" t="s">
        <v>13000</v>
      </c>
      <c r="H4163" s="35" t="s">
        <v>1673</v>
      </c>
      <c r="I4163" s="10" t="s">
        <v>10665</v>
      </c>
    </row>
    <row r="4164" spans="1:9" s="33" customFormat="1" ht="30">
      <c r="A4164" s="4">
        <v>43557.395972222221</v>
      </c>
      <c r="B4164" s="5" t="str">
        <f>HYPERLINK("https://twitter.com/mfauscette","@mfauscette")</f>
        <v>@mfauscette</v>
      </c>
      <c r="C4164" s="6" t="s">
        <v>7687</v>
      </c>
      <c r="D4164" s="7" t="s">
        <v>12529</v>
      </c>
      <c r="E4164" s="8" t="str">
        <f>HYPERLINK("https://buffer.com","Buffer")</f>
        <v>Buffer</v>
      </c>
      <c r="F4164" s="4">
        <v>39611.764004629629</v>
      </c>
      <c r="G4164" s="17" t="s">
        <v>13000</v>
      </c>
      <c r="H4164" s="35" t="s">
        <v>1673</v>
      </c>
      <c r="I4164" s="10" t="s">
        <v>7689</v>
      </c>
    </row>
    <row r="4165" spans="1:9" s="33" customFormat="1" ht="90">
      <c r="A4165" s="12">
        <v>43577.307638888888</v>
      </c>
      <c r="B4165" s="13" t="str">
        <f>HYPERLINK("https://twitter.com/NJBIZ","@NJBIZ")</f>
        <v>@NJBIZ</v>
      </c>
      <c r="C4165" s="14" t="s">
        <v>1671</v>
      </c>
      <c r="D4165" s="15" t="s">
        <v>1672</v>
      </c>
      <c r="E4165" s="16" t="str">
        <f>HYPERLINK("https://about.twitter.com/products/tweetdeck","TweetDeck")</f>
        <v>TweetDeck</v>
      </c>
      <c r="F4165" s="12">
        <v>39854.357314814813</v>
      </c>
      <c r="G4165" s="17" t="s">
        <v>13000</v>
      </c>
      <c r="H4165" s="35" t="s">
        <v>1673</v>
      </c>
      <c r="I4165" s="18" t="s">
        <v>1674</v>
      </c>
    </row>
    <row r="4166" spans="1:9" s="33" customFormat="1" ht="105">
      <c r="A4166" s="19">
        <v>43547.080567129626</v>
      </c>
      <c r="B4166" s="20" t="str">
        <f>HYPERLINK("https://twitter.com/VServiceLLC","@VServiceLLC")</f>
        <v>@VServiceLLC</v>
      </c>
      <c r="C4166" s="21" t="s">
        <v>8656</v>
      </c>
      <c r="D4166" s="22" t="s">
        <v>8657</v>
      </c>
      <c r="E4166" s="23" t="str">
        <f>HYPERLINK("http://twitter.com/download/android","Twitter for Android")</f>
        <v>Twitter for Android</v>
      </c>
      <c r="F4166" s="19">
        <v>41460.411226851851</v>
      </c>
      <c r="G4166" s="17" t="s">
        <v>13000</v>
      </c>
      <c r="H4166" s="35" t="s">
        <v>3569</v>
      </c>
      <c r="I4166" s="25" t="s">
        <v>8658</v>
      </c>
    </row>
    <row r="4167" spans="1:9" s="33" customFormat="1" ht="45">
      <c r="A4167" s="19">
        <v>43546.658078703702</v>
      </c>
      <c r="B4167" s="20" t="str">
        <f>HYPERLINK("https://twitter.com/FVPetro","@FVPetro")</f>
        <v>@FVPetro</v>
      </c>
      <c r="C4167" s="21" t="s">
        <v>8772</v>
      </c>
      <c r="D4167" s="22" t="s">
        <v>8773</v>
      </c>
      <c r="E4167" s="23" t="str">
        <f>HYPERLINK("http://twitter.com/download/iphone","Twitter for iPhone")</f>
        <v>Twitter for iPhone</v>
      </c>
      <c r="F4167" s="19">
        <v>40365.766006944446</v>
      </c>
      <c r="G4167" s="17" t="s">
        <v>13000</v>
      </c>
      <c r="H4167" s="35" t="s">
        <v>3569</v>
      </c>
      <c r="I4167" s="25" t="s">
        <v>8774</v>
      </c>
    </row>
    <row r="4168" spans="1:9" s="33" customFormat="1" ht="45">
      <c r="A4168" s="4">
        <v>43565.379837962959</v>
      </c>
      <c r="B4168" s="5" t="str">
        <f>HYPERLINK("https://twitter.com/AdeleSellsNJ","@AdeleSellsNJ")</f>
        <v>@AdeleSellsNJ</v>
      </c>
      <c r="C4168" s="6" t="s">
        <v>6134</v>
      </c>
      <c r="D4168" s="7" t="s">
        <v>6135</v>
      </c>
      <c r="E4168" s="8" t="str">
        <f>HYPERLINK("http://www.facebook.com/twitter","Facebook")</f>
        <v>Facebook</v>
      </c>
      <c r="F4168" s="4">
        <v>39876.208703703705</v>
      </c>
      <c r="G4168" s="17" t="s">
        <v>13000</v>
      </c>
      <c r="H4168" s="35" t="s">
        <v>3569</v>
      </c>
      <c r="I4168" s="10" t="s">
        <v>6136</v>
      </c>
    </row>
    <row r="4169" spans="1:9" s="33" customFormat="1" ht="45">
      <c r="A4169" s="4">
        <v>43564.714733796296</v>
      </c>
      <c r="B4169" s="5" t="str">
        <f>HYPERLINK("https://twitter.com/TPhotosco","@TPhotosco")</f>
        <v>@TPhotosco</v>
      </c>
      <c r="C4169" s="6" t="s">
        <v>6447</v>
      </c>
      <c r="D4169" s="7" t="s">
        <v>6448</v>
      </c>
      <c r="E4169" s="8" t="str">
        <f>HYPERLINK("http://twitter.com","Twitter Web Client")</f>
        <v>Twitter Web Client</v>
      </c>
      <c r="F4169" s="4">
        <v>42638.790243055555</v>
      </c>
      <c r="G4169" s="17" t="s">
        <v>13000</v>
      </c>
      <c r="H4169" s="35" t="s">
        <v>3569</v>
      </c>
      <c r="I4169" s="10" t="s">
        <v>6449</v>
      </c>
    </row>
    <row r="4170" spans="1:9" s="33" customFormat="1" ht="75">
      <c r="A4170" s="4">
        <v>43558.625960648147</v>
      </c>
      <c r="B4170" s="5" t="str">
        <f>HYPERLINK("https://twitter.com/PondMobile_Biz","@PondMobile_Biz")</f>
        <v>@PondMobile_Biz</v>
      </c>
      <c r="C4170" s="6" t="s">
        <v>12096</v>
      </c>
      <c r="D4170" s="7" t="s">
        <v>12097</v>
      </c>
      <c r="E4170" s="8" t="str">
        <f>HYPERLINK("http://twitter.com/download/iphone","Twitter for iPhone")</f>
        <v>Twitter for iPhone</v>
      </c>
      <c r="F4170" s="4">
        <v>43436.260393518518</v>
      </c>
      <c r="G4170" s="17" t="s">
        <v>13000</v>
      </c>
      <c r="H4170" s="35" t="s">
        <v>3569</v>
      </c>
      <c r="I4170" s="10" t="s">
        <v>12098</v>
      </c>
    </row>
    <row r="4171" spans="1:9" s="33" customFormat="1" ht="60">
      <c r="A4171" s="12">
        <v>43571.72956018518</v>
      </c>
      <c r="B4171" s="13" t="str">
        <f>HYPERLINK("https://twitter.com/Brad_Terhune_","@Brad_Terhune_")</f>
        <v>@Brad_Terhune_</v>
      </c>
      <c r="C4171" s="14" t="s">
        <v>3567</v>
      </c>
      <c r="D4171" s="15" t="s">
        <v>3568</v>
      </c>
      <c r="E4171" s="16" t="str">
        <f>HYPERLINK("http://instagram.com","Instagram")</f>
        <v>Instagram</v>
      </c>
      <c r="F4171" s="12">
        <v>40961.819074074076</v>
      </c>
      <c r="G4171" s="17" t="s">
        <v>13000</v>
      </c>
      <c r="H4171" s="35" t="s">
        <v>3569</v>
      </c>
      <c r="I4171" s="18" t="s">
        <v>3570</v>
      </c>
    </row>
    <row r="4172" spans="1:9" s="33" customFormat="1" ht="105">
      <c r="A4172" s="4">
        <v>43563.321006944447</v>
      </c>
      <c r="B4172" s="5" t="str">
        <f>HYPERLINK("https://twitter.com/AngelinaMy5","@AngelinaMy5")</f>
        <v>@AngelinaMy5</v>
      </c>
      <c r="C4172" s="6" t="s">
        <v>10372</v>
      </c>
      <c r="D4172" s="7" t="s">
        <v>10373</v>
      </c>
      <c r="E4172" s="8" t="str">
        <f>HYPERLINK("https://www.ripl.com","Ripl App")</f>
        <v>Ripl App</v>
      </c>
      <c r="F4172" s="4">
        <v>41711.542245370372</v>
      </c>
      <c r="G4172" s="17" t="s">
        <v>13000</v>
      </c>
      <c r="H4172" s="35" t="s">
        <v>10374</v>
      </c>
      <c r="I4172" s="10" t="s">
        <v>10375</v>
      </c>
    </row>
    <row r="4173" spans="1:9" s="33" customFormat="1" ht="165">
      <c r="A4173" s="19">
        <v>43551.55978009259</v>
      </c>
      <c r="B4173" s="20" t="str">
        <f>HYPERLINK("https://twitter.com/seauxlo_seauxlo","@seauxlo_seauxlo")</f>
        <v>@seauxlo_seauxlo</v>
      </c>
      <c r="C4173" s="21" t="s">
        <v>7128</v>
      </c>
      <c r="D4173" s="22" t="s">
        <v>7129</v>
      </c>
      <c r="E4173" s="23" t="str">
        <f>HYPERLINK("http://twitter.com","Twitter Web Client")</f>
        <v>Twitter Web Client</v>
      </c>
      <c r="F4173" s="19">
        <v>40750.613368055558</v>
      </c>
      <c r="G4173" s="17" t="s">
        <v>13000</v>
      </c>
      <c r="H4173" s="35" t="s">
        <v>7130</v>
      </c>
      <c r="I4173" s="25" t="s">
        <v>7131</v>
      </c>
    </row>
    <row r="4174" spans="1:9" s="33" customFormat="1" ht="75">
      <c r="A4174" s="19">
        <v>43549.844872685186</v>
      </c>
      <c r="B4174" s="20" t="str">
        <f>HYPERLINK("https://twitter.com/kelly_nicole16","@kelly_nicole16")</f>
        <v>@kelly_nicole16</v>
      </c>
      <c r="C4174" s="21" t="s">
        <v>4700</v>
      </c>
      <c r="D4174" s="22" t="s">
        <v>7894</v>
      </c>
      <c r="E4174" s="23" t="str">
        <f>HYPERLINK("http://twitter.com/download/android","Twitter for Android")</f>
        <v>Twitter for Android</v>
      </c>
      <c r="F4174" s="19">
        <v>40043.825937499998</v>
      </c>
      <c r="G4174" s="17" t="s">
        <v>13000</v>
      </c>
      <c r="H4174" s="35" t="s">
        <v>2118</v>
      </c>
      <c r="I4174" s="25" t="s">
        <v>7895</v>
      </c>
    </row>
    <row r="4175" spans="1:9" s="33" customFormat="1" ht="75">
      <c r="A4175" s="19">
        <v>43546.457800925928</v>
      </c>
      <c r="B4175" s="20" t="str">
        <f>HYPERLINK("https://twitter.com/TheMajestic504","@TheMajestic504")</f>
        <v>@TheMajestic504</v>
      </c>
      <c r="C4175" s="21" t="s">
        <v>5549</v>
      </c>
      <c r="D4175" s="22" t="s">
        <v>8840</v>
      </c>
      <c r="E4175" s="23" t="str">
        <f>HYPERLINK("http://instagram.com","Instagram")</f>
        <v>Instagram</v>
      </c>
      <c r="F4175" s="19">
        <v>42592.282106481478</v>
      </c>
      <c r="G4175" s="17" t="s">
        <v>13000</v>
      </c>
      <c r="H4175" s="35" t="s">
        <v>2118</v>
      </c>
      <c r="I4175" s="25" t="s">
        <v>5551</v>
      </c>
    </row>
    <row r="4176" spans="1:9" s="33" customFormat="1" ht="105">
      <c r="A4176" s="4">
        <v>43565.775000000001</v>
      </c>
      <c r="B4176" s="5" t="str">
        <f>HYPERLINK("https://twitter.com/ArtHouse169","@ArtHouse169")</f>
        <v>@ArtHouse169</v>
      </c>
      <c r="C4176" s="6" t="s">
        <v>3648</v>
      </c>
      <c r="D4176" s="7" t="s">
        <v>3954</v>
      </c>
      <c r="E4176" s="8" t="str">
        <f>HYPERLINK("http://twitter.com/download/android","Twitter for Android")</f>
        <v>Twitter for Android</v>
      </c>
      <c r="F4176" s="4">
        <v>43024.614687499998</v>
      </c>
      <c r="G4176" s="17" t="s">
        <v>13000</v>
      </c>
      <c r="H4176" s="35" t="s">
        <v>2118</v>
      </c>
      <c r="I4176" s="10" t="s">
        <v>3650</v>
      </c>
    </row>
    <row r="4177" spans="1:9" s="33" customFormat="1" ht="120">
      <c r="A4177" s="4">
        <v>43565.276388888888</v>
      </c>
      <c r="B4177" s="5" t="str">
        <f>HYPERLINK("https://twitter.com/beans_fotos_","@beans_fotos_")</f>
        <v>@beans_fotos_</v>
      </c>
      <c r="C4177" s="6" t="s">
        <v>10183</v>
      </c>
      <c r="D4177" s="7" t="s">
        <v>10184</v>
      </c>
      <c r="E4177" s="8" t="str">
        <f>HYPERLINK("https://ifttt.com","IFTTT")</f>
        <v>IFTTT</v>
      </c>
      <c r="F4177" s="4">
        <v>42655.368101851855</v>
      </c>
      <c r="G4177" s="17" t="s">
        <v>13000</v>
      </c>
      <c r="H4177" s="35" t="s">
        <v>2118</v>
      </c>
      <c r="I4177" s="10" t="s">
        <v>10185</v>
      </c>
    </row>
    <row r="4178" spans="1:9" s="33" customFormat="1" ht="105">
      <c r="A4178" s="4">
        <v>43564.584039351852</v>
      </c>
      <c r="B4178" s="5" t="str">
        <f>HYPERLINK("https://twitter.com/ArtHouse169","@ArtHouse169")</f>
        <v>@ArtHouse169</v>
      </c>
      <c r="C4178" s="6" t="s">
        <v>3648</v>
      </c>
      <c r="D4178" s="7" t="s">
        <v>3954</v>
      </c>
      <c r="E4178" s="8" t="str">
        <f t="shared" ref="E4178:E4184" si="173">HYPERLINK("http://twitter.com/download/android","Twitter for Android")</f>
        <v>Twitter for Android</v>
      </c>
      <c r="F4178" s="4">
        <v>43024.614687499998</v>
      </c>
      <c r="G4178" s="17" t="s">
        <v>13000</v>
      </c>
      <c r="H4178" s="35" t="s">
        <v>2118</v>
      </c>
      <c r="I4178" s="10" t="s">
        <v>3650</v>
      </c>
    </row>
    <row r="4179" spans="1:9" s="33" customFormat="1" ht="90">
      <c r="A4179" s="4">
        <v>43559.39366898148</v>
      </c>
      <c r="B4179" s="5" t="str">
        <f>HYPERLINK("https://twitter.com/ArtHouse169","@ArtHouse169")</f>
        <v>@ArtHouse169</v>
      </c>
      <c r="C4179" s="6" t="s">
        <v>3648</v>
      </c>
      <c r="D4179" s="7" t="s">
        <v>11852</v>
      </c>
      <c r="E4179" s="8" t="str">
        <f t="shared" si="173"/>
        <v>Twitter for Android</v>
      </c>
      <c r="F4179" s="4">
        <v>43024.614687499998</v>
      </c>
      <c r="G4179" s="17" t="s">
        <v>13000</v>
      </c>
      <c r="H4179" s="35" t="s">
        <v>2118</v>
      </c>
      <c r="I4179" s="10" t="s">
        <v>3650</v>
      </c>
    </row>
    <row r="4180" spans="1:9" s="33" customFormat="1" ht="30">
      <c r="A4180" s="4">
        <v>43558.733437499999</v>
      </c>
      <c r="B4180" s="5" t="str">
        <f>HYPERLINK("https://twitter.com/kelly_nicole16","@kelly_nicole16")</f>
        <v>@kelly_nicole16</v>
      </c>
      <c r="C4180" s="6" t="s">
        <v>4700</v>
      </c>
      <c r="D4180" s="7" t="s">
        <v>12053</v>
      </c>
      <c r="E4180" s="8" t="str">
        <f t="shared" si="173"/>
        <v>Twitter for Android</v>
      </c>
      <c r="F4180" s="4">
        <v>40043.825937499998</v>
      </c>
      <c r="G4180" s="17" t="s">
        <v>13000</v>
      </c>
      <c r="H4180" s="35" t="s">
        <v>2118</v>
      </c>
      <c r="I4180" s="10" t="s">
        <v>7895</v>
      </c>
    </row>
    <row r="4181" spans="1:9" s="33" customFormat="1" ht="30">
      <c r="A4181" s="12">
        <v>43575.781157407408</v>
      </c>
      <c r="B4181" s="13" t="str">
        <f>HYPERLINK("https://twitter.com/FilleNola","@FilleNola")</f>
        <v>@FilleNola</v>
      </c>
      <c r="C4181" s="14" t="s">
        <v>2116</v>
      </c>
      <c r="D4181" s="15" t="s">
        <v>2117</v>
      </c>
      <c r="E4181" s="16" t="str">
        <f t="shared" si="173"/>
        <v>Twitter for Android</v>
      </c>
      <c r="F4181" s="12">
        <v>43310.767962962964</v>
      </c>
      <c r="G4181" s="17" t="s">
        <v>13000</v>
      </c>
      <c r="H4181" s="35" t="s">
        <v>2118</v>
      </c>
      <c r="I4181" s="18" t="s">
        <v>2119</v>
      </c>
    </row>
    <row r="4182" spans="1:9" s="33" customFormat="1" ht="90">
      <c r="A4182" s="12">
        <v>43571.534409722226</v>
      </c>
      <c r="B4182" s="13" t="str">
        <f>HYPERLINK("https://twitter.com/ArtHouse169","@ArtHouse169")</f>
        <v>@ArtHouse169</v>
      </c>
      <c r="C4182" s="14" t="s">
        <v>3648</v>
      </c>
      <c r="D4182" s="15" t="s">
        <v>3649</v>
      </c>
      <c r="E4182" s="16" t="str">
        <f t="shared" si="173"/>
        <v>Twitter for Android</v>
      </c>
      <c r="F4182" s="12">
        <v>43024.614687499998</v>
      </c>
      <c r="G4182" s="17" t="s">
        <v>13000</v>
      </c>
      <c r="H4182" s="35" t="s">
        <v>2118</v>
      </c>
      <c r="I4182" s="18" t="s">
        <v>3650</v>
      </c>
    </row>
    <row r="4183" spans="1:9" s="33" customFormat="1" ht="105">
      <c r="A4183" s="12">
        <v>43570.87635416667</v>
      </c>
      <c r="B4183" s="13" t="str">
        <f>HYPERLINK("https://twitter.com/ArtHouse169","@ArtHouse169")</f>
        <v>@ArtHouse169</v>
      </c>
      <c r="C4183" s="14" t="s">
        <v>3648</v>
      </c>
      <c r="D4183" s="15" t="s">
        <v>3954</v>
      </c>
      <c r="E4183" s="16" t="str">
        <f t="shared" si="173"/>
        <v>Twitter for Android</v>
      </c>
      <c r="F4183" s="12">
        <v>43024.614687499998</v>
      </c>
      <c r="G4183" s="17" t="s">
        <v>13000</v>
      </c>
      <c r="H4183" s="35" t="s">
        <v>2118</v>
      </c>
      <c r="I4183" s="18" t="s">
        <v>3650</v>
      </c>
    </row>
    <row r="4184" spans="1:9" s="33" customFormat="1" ht="105">
      <c r="A4184" s="12">
        <v>43570.375532407408</v>
      </c>
      <c r="B4184" s="13" t="str">
        <f>HYPERLINK("https://twitter.com/ArtHouse169","@ArtHouse169")</f>
        <v>@ArtHouse169</v>
      </c>
      <c r="C4184" s="14" t="s">
        <v>3648</v>
      </c>
      <c r="D4184" s="15" t="s">
        <v>3954</v>
      </c>
      <c r="E4184" s="16" t="str">
        <f t="shared" si="173"/>
        <v>Twitter for Android</v>
      </c>
      <c r="F4184" s="12">
        <v>43024.614687499998</v>
      </c>
      <c r="G4184" s="17" t="s">
        <v>13000</v>
      </c>
      <c r="H4184" s="35" t="s">
        <v>2118</v>
      </c>
      <c r="I4184" s="18" t="s">
        <v>3650</v>
      </c>
    </row>
    <row r="4185" spans="1:9" s="33" customFormat="1" ht="45">
      <c r="A4185" s="12">
        <v>43568.915763888886</v>
      </c>
      <c r="B4185" s="13" t="str">
        <f>HYPERLINK("https://twitter.com/averysweetblog","@averysweetblog")</f>
        <v>@averysweetblog</v>
      </c>
      <c r="C4185" s="14" t="s">
        <v>4628</v>
      </c>
      <c r="D4185" s="15" t="s">
        <v>4629</v>
      </c>
      <c r="E4185" s="16" t="str">
        <f>HYPERLINK("http://twitter.com/download/iphone","Twitter for iPhone")</f>
        <v>Twitter for iPhone</v>
      </c>
      <c r="F4185" s="12">
        <v>40909.755925925929</v>
      </c>
      <c r="G4185" s="17" t="s">
        <v>13000</v>
      </c>
      <c r="H4185" s="35" t="s">
        <v>2118</v>
      </c>
      <c r="I4185" s="18" t="s">
        <v>4630</v>
      </c>
    </row>
    <row r="4186" spans="1:9" s="33" customFormat="1" ht="75">
      <c r="A4186" s="12">
        <v>43566.412453703699</v>
      </c>
      <c r="B4186" s="13" t="str">
        <f>HYPERLINK("https://twitter.com/TheMajestic504","@TheMajestic504")</f>
        <v>@TheMajestic504</v>
      </c>
      <c r="C4186" s="14" t="s">
        <v>5549</v>
      </c>
      <c r="D4186" s="15" t="s">
        <v>5550</v>
      </c>
      <c r="E4186" s="16" t="str">
        <f>HYPERLINK("http://instagram.com","Instagram")</f>
        <v>Instagram</v>
      </c>
      <c r="F4186" s="12">
        <v>42592.282106481478</v>
      </c>
      <c r="G4186" s="17" t="s">
        <v>13000</v>
      </c>
      <c r="H4186" s="35" t="s">
        <v>2118</v>
      </c>
      <c r="I4186" s="18" t="s">
        <v>5551</v>
      </c>
    </row>
    <row r="4187" spans="1:9" s="33" customFormat="1" ht="75">
      <c r="A4187" s="19">
        <v>43544.811562499999</v>
      </c>
      <c r="B4187" s="20" t="str">
        <f>HYPERLINK("https://twitter.com/jasonbtodd","@jasonbtodd")</f>
        <v>@jasonbtodd</v>
      </c>
      <c r="C4187" s="21" t="s">
        <v>9322</v>
      </c>
      <c r="D4187" s="22" t="s">
        <v>9323</v>
      </c>
      <c r="E4187" s="23" t="str">
        <f>HYPERLINK("http://twitter.com/download/iphone","Twitter for iPhone")</f>
        <v>Twitter for iPhone</v>
      </c>
      <c r="F4187" s="19">
        <v>40776.91982638889</v>
      </c>
      <c r="G4187" s="17" t="s">
        <v>13000</v>
      </c>
      <c r="H4187" s="35" t="s">
        <v>9324</v>
      </c>
      <c r="I4187" s="25" t="s">
        <v>9325</v>
      </c>
    </row>
    <row r="4188" spans="1:9" s="33" customFormat="1" ht="90">
      <c r="A4188" s="19">
        <v>43548.622291666667</v>
      </c>
      <c r="B4188" s="20" t="str">
        <f>HYPERLINK("https://twitter.com/hmorley29","@hmorley29")</f>
        <v>@hmorley29</v>
      </c>
      <c r="C4188" s="21" t="s">
        <v>3217</v>
      </c>
      <c r="D4188" s="22" t="s">
        <v>8267</v>
      </c>
      <c r="E4188" s="23" t="str">
        <f>HYPERLINK("http://twitter.com","Twitter Web Client")</f>
        <v>Twitter Web Client</v>
      </c>
      <c r="F4188" s="19">
        <v>40122.135706018518</v>
      </c>
      <c r="G4188" s="17" t="s">
        <v>13000</v>
      </c>
      <c r="H4188" s="35" t="s">
        <v>781</v>
      </c>
      <c r="I4188" s="25" t="s">
        <v>8268</v>
      </c>
    </row>
    <row r="4189" spans="1:9" s="33" customFormat="1" ht="120">
      <c r="A4189" s="19">
        <v>43544.46130787037</v>
      </c>
      <c r="B4189" s="20" t="str">
        <f>HYPERLINK("https://twitter.com/Caluvsdogs","@Caluvsdogs")</f>
        <v>@Caluvsdogs</v>
      </c>
      <c r="C4189" s="21" t="s">
        <v>9453</v>
      </c>
      <c r="D4189" s="22" t="s">
        <v>9454</v>
      </c>
      <c r="E4189" s="23" t="str">
        <f>HYPERLINK("http://twitter.com/download/android","Twitter for Android")</f>
        <v>Twitter for Android</v>
      </c>
      <c r="F4189" s="19">
        <v>41775.693506944444</v>
      </c>
      <c r="G4189" s="17" t="s">
        <v>13000</v>
      </c>
      <c r="H4189" s="35" t="s">
        <v>781</v>
      </c>
      <c r="I4189" s="25" t="s">
        <v>9455</v>
      </c>
    </row>
    <row r="4190" spans="1:9" s="33" customFormat="1" ht="45">
      <c r="A4190" s="4">
        <v>43565.444432870368</v>
      </c>
      <c r="B4190" s="5" t="str">
        <f>HYPERLINK("https://twitter.com/LawfareProject","@LawfareProject")</f>
        <v>@LawfareProject</v>
      </c>
      <c r="C4190" s="6" t="s">
        <v>6085</v>
      </c>
      <c r="D4190" s="7" t="s">
        <v>6086</v>
      </c>
      <c r="E4190" s="8" t="str">
        <f>HYPERLINK("http://twitter.com","Twitter Web Client")</f>
        <v>Twitter Web Client</v>
      </c>
      <c r="F4190" s="4">
        <v>40301.494409722218</v>
      </c>
      <c r="G4190" s="17" t="s">
        <v>13000</v>
      </c>
      <c r="H4190" s="35" t="s">
        <v>781</v>
      </c>
      <c r="I4190" s="10" t="s">
        <v>6087</v>
      </c>
    </row>
    <row r="4191" spans="1:9" s="33" customFormat="1" ht="75">
      <c r="A4191" s="4">
        <v>43565.233796296292</v>
      </c>
      <c r="B4191" s="5" t="str">
        <f>HYPERLINK("https://twitter.com/LawfareProject","@LawfareProject")</f>
        <v>@LawfareProject</v>
      </c>
      <c r="C4191" s="6" t="s">
        <v>6085</v>
      </c>
      <c r="D4191" s="7" t="s">
        <v>6223</v>
      </c>
      <c r="E4191" s="8" t="str">
        <f>HYPERLINK("http://twitter.com","Twitter Web Client")</f>
        <v>Twitter Web Client</v>
      </c>
      <c r="F4191" s="4">
        <v>40301.494409722218</v>
      </c>
      <c r="G4191" s="17" t="s">
        <v>13000</v>
      </c>
      <c r="H4191" s="35" t="s">
        <v>781</v>
      </c>
      <c r="I4191" s="10" t="s">
        <v>6087</v>
      </c>
    </row>
    <row r="4192" spans="1:9" s="33" customFormat="1" ht="75">
      <c r="A4192" s="4">
        <v>43564.638136574074</v>
      </c>
      <c r="B4192" s="5" t="str">
        <f>HYPERLINK("https://twitter.com/GlobalRabbi","@GlobalRabbi")</f>
        <v>@GlobalRabbi</v>
      </c>
      <c r="C4192" s="6" t="s">
        <v>6478</v>
      </c>
      <c r="D4192" s="7" t="s">
        <v>6479</v>
      </c>
      <c r="E4192" s="8" t="str">
        <f>HYPERLINK("http://twitter.com/download/iphone","Twitter for iPhone")</f>
        <v>Twitter for iPhone</v>
      </c>
      <c r="F4192" s="4">
        <v>39779.478888888887</v>
      </c>
      <c r="G4192" s="17" t="s">
        <v>13000</v>
      </c>
      <c r="H4192" s="35" t="s">
        <v>781</v>
      </c>
      <c r="I4192" s="10" t="s">
        <v>10208</v>
      </c>
    </row>
    <row r="4193" spans="1:9" s="33" customFormat="1" ht="90">
      <c r="A4193" s="4">
        <v>43563.513541666667</v>
      </c>
      <c r="B4193" s="5" t="str">
        <f>HYPERLINK("https://twitter.com/hmorley29","@hmorley29")</f>
        <v>@hmorley29</v>
      </c>
      <c r="C4193" s="6" t="s">
        <v>3217</v>
      </c>
      <c r="D4193" s="7" t="s">
        <v>10254</v>
      </c>
      <c r="E4193" s="8" t="str">
        <f>HYPERLINK("http://twitter.com","Twitter Web Client")</f>
        <v>Twitter Web Client</v>
      </c>
      <c r="F4193" s="4">
        <v>40122.135706018518</v>
      </c>
      <c r="G4193" s="17" t="s">
        <v>13000</v>
      </c>
      <c r="H4193" s="35" t="s">
        <v>781</v>
      </c>
      <c r="I4193" s="10" t="s">
        <v>8268</v>
      </c>
    </row>
    <row r="4194" spans="1:9" s="33" customFormat="1" ht="75">
      <c r="A4194" s="4">
        <v>43559.451157407406</v>
      </c>
      <c r="B4194" s="5" t="str">
        <f>HYPERLINK("https://twitter.com/AmericanIllust","@AmericanIllust")</f>
        <v>@AmericanIllust</v>
      </c>
      <c r="C4194" s="6" t="s">
        <v>11817</v>
      </c>
      <c r="D4194" s="7" t="s">
        <v>11818</v>
      </c>
      <c r="E4194" s="8" t="str">
        <f>HYPERLINK("http://instagram.com","Instagram")</f>
        <v>Instagram</v>
      </c>
      <c r="F4194" s="4">
        <v>41442.519074074073</v>
      </c>
      <c r="G4194" s="17" t="s">
        <v>13000</v>
      </c>
      <c r="H4194" s="35" t="s">
        <v>781</v>
      </c>
      <c r="I4194" s="10" t="s">
        <v>11819</v>
      </c>
    </row>
    <row r="4195" spans="1:9" s="33" customFormat="1" ht="60">
      <c r="A4195" s="4">
        <v>43559.251979166671</v>
      </c>
      <c r="B4195" s="5" t="str">
        <f>HYPERLINK("https://twitter.com/resilient_ent","@resilient_ent")</f>
        <v>@resilient_ent</v>
      </c>
      <c r="C4195" s="6" t="s">
        <v>11903</v>
      </c>
      <c r="D4195" s="7" t="s">
        <v>11904</v>
      </c>
      <c r="E4195" s="8" t="str">
        <f>HYPERLINK("http://instagram.com","Instagram")</f>
        <v>Instagram</v>
      </c>
      <c r="F4195" s="4">
        <v>40649.276747685188</v>
      </c>
      <c r="G4195" s="17" t="s">
        <v>13000</v>
      </c>
      <c r="H4195" s="35" t="s">
        <v>11905</v>
      </c>
      <c r="I4195" s="10" t="s">
        <v>11906</v>
      </c>
    </row>
    <row r="4196" spans="1:9" s="33" customFormat="1" ht="60">
      <c r="A4196" s="4">
        <v>43559.25136574074</v>
      </c>
      <c r="B4196" s="5" t="str">
        <f>HYPERLINK("https://twitter.com/resilient_ent","@resilient_ent")</f>
        <v>@resilient_ent</v>
      </c>
      <c r="C4196" s="6" t="s">
        <v>11903</v>
      </c>
      <c r="D4196" s="7" t="s">
        <v>11907</v>
      </c>
      <c r="E4196" s="8" t="str">
        <f>HYPERLINK("http://instagram.com","Instagram")</f>
        <v>Instagram</v>
      </c>
      <c r="F4196" s="4">
        <v>40649.276747685188</v>
      </c>
      <c r="G4196" s="17" t="s">
        <v>13000</v>
      </c>
      <c r="H4196" s="35" t="s">
        <v>11905</v>
      </c>
      <c r="I4196" s="10" t="s">
        <v>11906</v>
      </c>
    </row>
    <row r="4197" spans="1:9" s="33" customFormat="1" ht="45">
      <c r="A4197" s="12">
        <v>43579.309895833328</v>
      </c>
      <c r="B4197" s="13" t="str">
        <f>HYPERLINK("https://twitter.com/mtorres_ruiz","@mtorres_ruiz")</f>
        <v>@mtorres_ruiz</v>
      </c>
      <c r="C4197" s="14" t="s">
        <v>779</v>
      </c>
      <c r="D4197" s="15" t="s">
        <v>780</v>
      </c>
      <c r="E4197" s="16" t="str">
        <f>HYPERLINK("http://twitter.com","Twitter Web Client")</f>
        <v>Twitter Web Client</v>
      </c>
      <c r="F4197" s="12">
        <v>39966.753148148149</v>
      </c>
      <c r="G4197" s="17" t="s">
        <v>13000</v>
      </c>
      <c r="H4197" s="35" t="s">
        <v>781</v>
      </c>
      <c r="I4197" s="18" t="s">
        <v>782</v>
      </c>
    </row>
    <row r="4198" spans="1:9" s="33" customFormat="1" ht="105">
      <c r="A4198" s="12">
        <v>43575.216805555552</v>
      </c>
      <c r="B4198" s="13" t="str">
        <f>HYPERLINK("https://twitter.com/pm_girl","@pm_girl")</f>
        <v>@pm_girl</v>
      </c>
      <c r="C4198" s="14" t="s">
        <v>2337</v>
      </c>
      <c r="D4198" s="15" t="s">
        <v>2338</v>
      </c>
      <c r="E4198" s="16" t="str">
        <f>HYPERLINK("https://ifttt.com","IFTTT")</f>
        <v>IFTTT</v>
      </c>
      <c r="F4198" s="12">
        <v>41090.418078703704</v>
      </c>
      <c r="G4198" s="17" t="s">
        <v>13000</v>
      </c>
      <c r="H4198" s="35" t="s">
        <v>781</v>
      </c>
      <c r="I4198" s="18" t="s">
        <v>2339</v>
      </c>
    </row>
    <row r="4199" spans="1:9" s="33" customFormat="1" ht="75">
      <c r="A4199" s="12">
        <v>43573.001435185186</v>
      </c>
      <c r="B4199" s="13" t="str">
        <f>HYPERLINK("https://twitter.com/pm_girl","@pm_girl")</f>
        <v>@pm_girl</v>
      </c>
      <c r="C4199" s="14" t="s">
        <v>2337</v>
      </c>
      <c r="D4199" s="15" t="s">
        <v>3029</v>
      </c>
      <c r="E4199" s="16" t="str">
        <f>HYPERLINK("https://ifttt.com","IFTTT")</f>
        <v>IFTTT</v>
      </c>
      <c r="F4199" s="12">
        <v>41090.418078703704</v>
      </c>
      <c r="G4199" s="17" t="s">
        <v>13000</v>
      </c>
      <c r="H4199" s="35" t="s">
        <v>781</v>
      </c>
      <c r="I4199" s="18" t="s">
        <v>2339</v>
      </c>
    </row>
    <row r="4200" spans="1:9" s="33" customFormat="1" ht="105">
      <c r="A4200" s="12">
        <v>43572.495740740742</v>
      </c>
      <c r="B4200" s="13" t="str">
        <f>HYPERLINK("https://twitter.com/hmorley29","@hmorley29")</f>
        <v>@hmorley29</v>
      </c>
      <c r="C4200" s="14" t="s">
        <v>3217</v>
      </c>
      <c r="D4200" s="15" t="s">
        <v>3218</v>
      </c>
      <c r="E4200" s="16" t="str">
        <f>HYPERLINK("http://twitter.com","Twitter Web Client")</f>
        <v>Twitter Web Client</v>
      </c>
      <c r="F4200" s="12">
        <v>40122.135706018518</v>
      </c>
      <c r="G4200" s="17" t="s">
        <v>13000</v>
      </c>
      <c r="H4200" s="35" t="s">
        <v>781</v>
      </c>
      <c r="I4200" s="18" t="s">
        <v>3219</v>
      </c>
    </row>
    <row r="4201" spans="1:9" s="33" customFormat="1" ht="75">
      <c r="A4201" s="12">
        <v>43564.638136574074</v>
      </c>
      <c r="B4201" s="13" t="str">
        <f>HYPERLINK("https://twitter.com/GlobalRabbi","@GlobalRabbi")</f>
        <v>@GlobalRabbi</v>
      </c>
      <c r="C4201" s="14" t="s">
        <v>6478</v>
      </c>
      <c r="D4201" s="15" t="s">
        <v>6479</v>
      </c>
      <c r="E4201" s="16" t="str">
        <f>HYPERLINK("http://twitter.com/download/iphone","Twitter for iPhone")</f>
        <v>Twitter for iPhone</v>
      </c>
      <c r="F4201" s="12">
        <v>39779.478888888887</v>
      </c>
      <c r="G4201" s="17" t="s">
        <v>13000</v>
      </c>
      <c r="H4201" s="35" t="s">
        <v>781</v>
      </c>
      <c r="I4201" s="18" t="s">
        <v>6480</v>
      </c>
    </row>
    <row r="4202" spans="1:9" s="33" customFormat="1" ht="45">
      <c r="A4202" s="4">
        <v>43560.309733796297</v>
      </c>
      <c r="B4202" s="5" t="str">
        <f>HYPERLINK("https://twitter.com/jamesduncanmoss","@jamesduncanmoss")</f>
        <v>@jamesduncanmoss</v>
      </c>
      <c r="C4202" s="6" t="s">
        <v>11472</v>
      </c>
      <c r="D4202" s="7" t="s">
        <v>11473</v>
      </c>
      <c r="E4202" s="8" t="str">
        <f>HYPERLINK("https://drumup.io","drumup.io")</f>
        <v>drumup.io</v>
      </c>
      <c r="F4202" s="4">
        <v>40089.160601851851</v>
      </c>
      <c r="G4202" s="17" t="s">
        <v>13000</v>
      </c>
      <c r="H4202" s="35" t="s">
        <v>11474</v>
      </c>
      <c r="I4202" s="10" t="s">
        <v>11475</v>
      </c>
    </row>
    <row r="4203" spans="1:9" s="33" customFormat="1" ht="75">
      <c r="A4203" s="12">
        <v>43573.405266203699</v>
      </c>
      <c r="B4203" s="13" t="str">
        <f>HYPERLINK("https://twitter.com/HeavenRiots","@HeavenRiots")</f>
        <v>@HeavenRiots</v>
      </c>
      <c r="C4203" s="14" t="s">
        <v>2890</v>
      </c>
      <c r="D4203" s="15" t="s">
        <v>2891</v>
      </c>
      <c r="E4203" s="16" t="str">
        <f>HYPERLINK("http://instagram.com","Instagram")</f>
        <v>Instagram</v>
      </c>
      <c r="F4203" s="12">
        <v>39969.542141203703</v>
      </c>
      <c r="G4203" s="17" t="s">
        <v>13000</v>
      </c>
      <c r="H4203" s="35" t="s">
        <v>2892</v>
      </c>
      <c r="I4203" s="18" t="s">
        <v>2893</v>
      </c>
    </row>
    <row r="4204" spans="1:9" s="33" customFormat="1" ht="75">
      <c r="A4204" s="12">
        <v>43573.373981481476</v>
      </c>
      <c r="B4204" s="13" t="str">
        <f>HYPERLINK("https://twitter.com/HeavenRiots","@HeavenRiots")</f>
        <v>@HeavenRiots</v>
      </c>
      <c r="C4204" s="14" t="s">
        <v>2890</v>
      </c>
      <c r="D4204" s="15" t="s">
        <v>2909</v>
      </c>
      <c r="E4204" s="16" t="str">
        <f>HYPERLINK("http://instagram.com","Instagram")</f>
        <v>Instagram</v>
      </c>
      <c r="F4204" s="12">
        <v>39969.542141203703</v>
      </c>
      <c r="G4204" s="17" t="s">
        <v>13000</v>
      </c>
      <c r="H4204" s="35" t="s">
        <v>2892</v>
      </c>
      <c r="I4204" s="18" t="s">
        <v>2893</v>
      </c>
    </row>
    <row r="4205" spans="1:9" s="33" customFormat="1" ht="45">
      <c r="A4205" s="19">
        <v>43551.733032407406</v>
      </c>
      <c r="B4205" s="20" t="str">
        <f>HYPERLINK("https://twitter.com/melanievotaw","@melanievotaw")</f>
        <v>@melanievotaw</v>
      </c>
      <c r="C4205" s="21" t="s">
        <v>7017</v>
      </c>
      <c r="D4205" s="22" t="s">
        <v>7018</v>
      </c>
      <c r="E4205" s="23" t="str">
        <f>HYPERLINK("http://twitter.com","Twitter Web Client")</f>
        <v>Twitter Web Client</v>
      </c>
      <c r="F4205" s="19">
        <v>40000.49386574074</v>
      </c>
      <c r="G4205" s="17" t="s">
        <v>13000</v>
      </c>
      <c r="H4205" s="35" t="s">
        <v>684</v>
      </c>
      <c r="I4205" s="25" t="s">
        <v>7019</v>
      </c>
    </row>
    <row r="4206" spans="1:9" s="33" customFormat="1" ht="60">
      <c r="A4206" s="19">
        <v>43551.350520833337</v>
      </c>
      <c r="B4206" s="20" t="str">
        <f>HYPERLINK("https://twitter.com/bthau","@bthau")</f>
        <v>@bthau</v>
      </c>
      <c r="C4206" s="21" t="s">
        <v>7286</v>
      </c>
      <c r="D4206" s="22" t="s">
        <v>7287</v>
      </c>
      <c r="E4206" s="23" t="str">
        <f>HYPERLINK("http://twitter.com","Twitter Web Client")</f>
        <v>Twitter Web Client</v>
      </c>
      <c r="F4206" s="19">
        <v>40493.619490740741</v>
      </c>
      <c r="G4206" s="17" t="s">
        <v>13000</v>
      </c>
      <c r="H4206" s="35" t="s">
        <v>684</v>
      </c>
      <c r="I4206" s="25" t="s">
        <v>7288</v>
      </c>
    </row>
    <row r="4207" spans="1:9" s="33" customFormat="1" ht="45">
      <c r="A4207" s="19">
        <v>43550.351875</v>
      </c>
      <c r="B4207" s="20" t="str">
        <f>HYPERLINK("https://twitter.com/LeeAbbamonte","@LeeAbbamonte")</f>
        <v>@LeeAbbamonte</v>
      </c>
      <c r="C4207" s="21" t="s">
        <v>7710</v>
      </c>
      <c r="D4207" s="22" t="s">
        <v>7711</v>
      </c>
      <c r="E4207" s="23" t="str">
        <f>HYPERLINK("http://twitter.com/download/iphone","Twitter for iPhone")</f>
        <v>Twitter for iPhone</v>
      </c>
      <c r="F4207" s="19">
        <v>40437.795925925922</v>
      </c>
      <c r="G4207" s="17" t="s">
        <v>13000</v>
      </c>
      <c r="H4207" s="35" t="s">
        <v>684</v>
      </c>
      <c r="I4207" s="25" t="s">
        <v>7712</v>
      </c>
    </row>
    <row r="4208" spans="1:9" s="33" customFormat="1" ht="45">
      <c r="A4208" s="4">
        <v>43562.795914351853</v>
      </c>
      <c r="B4208" s="5" t="str">
        <f>HYPERLINK("https://twitter.com/simrananand","@simrananand")</f>
        <v>@simrananand</v>
      </c>
      <c r="C4208" s="6" t="s">
        <v>10580</v>
      </c>
      <c r="D4208" s="7" t="s">
        <v>10581</v>
      </c>
      <c r="E4208" s="8" t="str">
        <f>HYPERLINK("http://twitter.com","Twitter Web Client")</f>
        <v>Twitter Web Client</v>
      </c>
      <c r="F4208" s="4">
        <v>39277.511874999997</v>
      </c>
      <c r="G4208" s="17" t="s">
        <v>13000</v>
      </c>
      <c r="H4208" s="35" t="s">
        <v>684</v>
      </c>
      <c r="I4208" s="10" t="s">
        <v>10582</v>
      </c>
    </row>
    <row r="4209" spans="1:9" s="33" customFormat="1" ht="90">
      <c r="A4209" s="12">
        <v>43579.411423611113</v>
      </c>
      <c r="B4209" s="13" t="str">
        <f>HYPERLINK("https://twitter.com/saf_dogan","@saf_dogan")</f>
        <v>@saf_dogan</v>
      </c>
      <c r="C4209" s="14" t="s">
        <v>682</v>
      </c>
      <c r="D4209" s="15" t="s">
        <v>683</v>
      </c>
      <c r="E4209" s="16" t="str">
        <f>HYPERLINK("http://twitter.com/download/iphone","Twitter for iPhone")</f>
        <v>Twitter for iPhone</v>
      </c>
      <c r="F4209" s="12">
        <v>40938.331770833334</v>
      </c>
      <c r="G4209" s="17" t="s">
        <v>13000</v>
      </c>
      <c r="H4209" s="35" t="s">
        <v>684</v>
      </c>
      <c r="I4209" s="18" t="s">
        <v>685</v>
      </c>
    </row>
    <row r="4210" spans="1:9" s="33" customFormat="1" ht="75">
      <c r="A4210" s="12">
        <v>43577.25886574074</v>
      </c>
      <c r="B4210" s="13" t="str">
        <f>HYPERLINK("https://twitter.com/saf_dogan","@saf_dogan")</f>
        <v>@saf_dogan</v>
      </c>
      <c r="C4210" s="14" t="s">
        <v>682</v>
      </c>
      <c r="D4210" s="15" t="s">
        <v>1690</v>
      </c>
      <c r="E4210" s="16" t="str">
        <f>HYPERLINK("http://twitter.com/download/iphone","Twitter for iPhone")</f>
        <v>Twitter for iPhone</v>
      </c>
      <c r="F4210" s="12">
        <v>40938.331770833334</v>
      </c>
      <c r="G4210" s="17" t="s">
        <v>13000</v>
      </c>
      <c r="H4210" s="35" t="s">
        <v>684</v>
      </c>
      <c r="I4210" s="18" t="s">
        <v>685</v>
      </c>
    </row>
    <row r="4211" spans="1:9" s="33" customFormat="1" ht="45">
      <c r="A4211" s="12">
        <v>43574.756226851852</v>
      </c>
      <c r="B4211" s="13" t="str">
        <f>HYPERLINK("https://twitter.com/afastpacedlife","@afastpacedlife")</f>
        <v>@afastpacedlife</v>
      </c>
      <c r="C4211" s="14" t="s">
        <v>2458</v>
      </c>
      <c r="D4211" s="15" t="s">
        <v>2459</v>
      </c>
      <c r="E4211" s="16" t="str">
        <f>HYPERLINK("http://instagram.com","Instagram")</f>
        <v>Instagram</v>
      </c>
      <c r="F4211" s="12">
        <v>41150.825324074074</v>
      </c>
      <c r="G4211" s="17" t="s">
        <v>13000</v>
      </c>
      <c r="H4211" s="35" t="s">
        <v>684</v>
      </c>
      <c r="I4211" s="18" t="s">
        <v>2460</v>
      </c>
    </row>
    <row r="4212" spans="1:9" s="33" customFormat="1" ht="45">
      <c r="A4212" s="12">
        <v>43572.168923611112</v>
      </c>
      <c r="B4212" s="13" t="str">
        <f>HYPERLINK("https://twitter.com/informedvoting","@informedvoting")</f>
        <v>@informedvoting</v>
      </c>
      <c r="C4212" s="14" t="s">
        <v>3398</v>
      </c>
      <c r="D4212" s="15" t="s">
        <v>3399</v>
      </c>
      <c r="E4212" s="16" t="str">
        <f>HYPERLINK("http://twitter.com","Twitter Web Client")</f>
        <v>Twitter Web Client</v>
      </c>
      <c r="F4212" s="12">
        <v>41131.793599537035</v>
      </c>
      <c r="G4212" s="17" t="s">
        <v>13000</v>
      </c>
      <c r="H4212" s="35" t="s">
        <v>684</v>
      </c>
      <c r="I4212" s="18" t="s">
        <v>3400</v>
      </c>
    </row>
    <row r="4213" spans="1:9" s="33" customFormat="1" ht="45">
      <c r="A4213" s="12">
        <v>43567.52511574074</v>
      </c>
      <c r="B4213" s="13" t="str">
        <f>HYPERLINK("https://twitter.com/Lapacazo","@Lapacazo")</f>
        <v>@Lapacazo</v>
      </c>
      <c r="C4213" s="14" t="s">
        <v>5071</v>
      </c>
      <c r="D4213" s="15" t="s">
        <v>5072</v>
      </c>
      <c r="E4213" s="16" t="str">
        <f>HYPERLINK("http://instagram.com","Instagram")</f>
        <v>Instagram</v>
      </c>
      <c r="F4213" s="12">
        <v>40237.283645833333</v>
      </c>
      <c r="G4213" s="17" t="s">
        <v>13000</v>
      </c>
      <c r="H4213" s="35" t="s">
        <v>684</v>
      </c>
      <c r="I4213" s="18" t="s">
        <v>5073</v>
      </c>
    </row>
    <row r="4214" spans="1:9" s="33" customFormat="1" ht="45">
      <c r="A4214" s="12">
        <v>43567.523888888885</v>
      </c>
      <c r="B4214" s="13" t="str">
        <f>HYPERLINK("https://twitter.com/Lapacazo","@Lapacazo")</f>
        <v>@Lapacazo</v>
      </c>
      <c r="C4214" s="14" t="s">
        <v>5071</v>
      </c>
      <c r="D4214" s="15" t="s">
        <v>5074</v>
      </c>
      <c r="E4214" s="16" t="str">
        <f>HYPERLINK("http://instagram.com","Instagram")</f>
        <v>Instagram</v>
      </c>
      <c r="F4214" s="12">
        <v>40237.283645833333</v>
      </c>
      <c r="G4214" s="17" t="s">
        <v>13000</v>
      </c>
      <c r="H4214" s="35" t="s">
        <v>684</v>
      </c>
      <c r="I4214" s="18" t="s">
        <v>5073</v>
      </c>
    </row>
    <row r="4215" spans="1:9" s="33" customFormat="1" ht="60">
      <c r="A4215" s="12">
        <v>43567.522766203707</v>
      </c>
      <c r="B4215" s="13" t="str">
        <f>HYPERLINK("https://twitter.com/Lapacazo","@Lapacazo")</f>
        <v>@Lapacazo</v>
      </c>
      <c r="C4215" s="14" t="s">
        <v>5071</v>
      </c>
      <c r="D4215" s="15" t="s">
        <v>5075</v>
      </c>
      <c r="E4215" s="16" t="str">
        <f>HYPERLINK("http://instagram.com","Instagram")</f>
        <v>Instagram</v>
      </c>
      <c r="F4215" s="12">
        <v>40237.283645833333</v>
      </c>
      <c r="G4215" s="17" t="s">
        <v>13000</v>
      </c>
      <c r="H4215" s="35" t="s">
        <v>684</v>
      </c>
      <c r="I4215" s="18" t="s">
        <v>5073</v>
      </c>
    </row>
    <row r="4216" spans="1:9" s="33" customFormat="1" ht="90">
      <c r="A4216" s="4">
        <v>43560.598912037036</v>
      </c>
      <c r="B4216" s="5" t="str">
        <f>HYPERLINK("https://twitter.com/TeoIndustries","@TeoIndustries")</f>
        <v>@TeoIndustries</v>
      </c>
      <c r="C4216" s="6" t="s">
        <v>11262</v>
      </c>
      <c r="D4216" s="7" t="s">
        <v>11263</v>
      </c>
      <c r="E4216" s="8" t="str">
        <f>HYPERLINK("http://twitter.com","Twitter Web Client")</f>
        <v>Twitter Web Client</v>
      </c>
      <c r="F4216" s="4">
        <v>40487.807500000003</v>
      </c>
      <c r="G4216" s="17" t="s">
        <v>13000</v>
      </c>
      <c r="H4216" s="35" t="s">
        <v>11264</v>
      </c>
      <c r="I4216" s="10" t="s">
        <v>11265</v>
      </c>
    </row>
    <row r="4217" spans="1:9" s="33" customFormat="1" ht="105">
      <c r="A4217" s="12">
        <v>43566.587222222224</v>
      </c>
      <c r="B4217" s="13" t="str">
        <f>HYPERLINK("https://twitter.com/lisatropolis","@lisatropolis")</f>
        <v>@lisatropolis</v>
      </c>
      <c r="C4217" s="14" t="s">
        <v>5422</v>
      </c>
      <c r="D4217" s="15" t="s">
        <v>12817</v>
      </c>
      <c r="E4217" s="16" t="str">
        <f>HYPERLINK("http://twitter.com/download/iphone","Twitter for iPhone")</f>
        <v>Twitter for iPhone</v>
      </c>
      <c r="F4217" s="12">
        <v>40025.48642361111</v>
      </c>
      <c r="G4217" s="17" t="s">
        <v>13000</v>
      </c>
      <c r="H4217" s="35" t="s">
        <v>5423</v>
      </c>
      <c r="I4217" s="18" t="s">
        <v>5424</v>
      </c>
    </row>
    <row r="4218" spans="1:9" s="33" customFormat="1" ht="90">
      <c r="A4218" s="12">
        <v>43566.33321759259</v>
      </c>
      <c r="B4218" s="13" t="str">
        <f>HYPERLINK("https://twitter.com/lisatropolis","@lisatropolis")</f>
        <v>@lisatropolis</v>
      </c>
      <c r="C4218" s="14" t="s">
        <v>5422</v>
      </c>
      <c r="D4218" s="15" t="s">
        <v>12818</v>
      </c>
      <c r="E4218" s="16" t="str">
        <f>HYPERLINK("http://twitter.com/download/iphone","Twitter for iPhone")</f>
        <v>Twitter for iPhone</v>
      </c>
      <c r="F4218" s="12">
        <v>40025.48642361111</v>
      </c>
      <c r="G4218" s="17" t="s">
        <v>13000</v>
      </c>
      <c r="H4218" s="35" t="s">
        <v>5423</v>
      </c>
      <c r="I4218" s="18" t="s">
        <v>5424</v>
      </c>
    </row>
    <row r="4219" spans="1:9" s="33" customFormat="1" ht="90">
      <c r="A4219" s="4">
        <v>43564.618634259255</v>
      </c>
      <c r="B4219" s="5" t="str">
        <f>HYPERLINK("https://twitter.com/mikloshvanEgan","@mikloshvanEgan")</f>
        <v>@mikloshvanEgan</v>
      </c>
      <c r="C4219" s="6" t="s">
        <v>6499</v>
      </c>
      <c r="D4219" s="7" t="s">
        <v>6500</v>
      </c>
      <c r="E4219" s="8" t="str">
        <f>HYPERLINK("http://twitter.com","Twitter Web Client")</f>
        <v>Twitter Web Client</v>
      </c>
      <c r="F4219" s="4">
        <v>40819.809895833336</v>
      </c>
      <c r="G4219" s="17" t="s">
        <v>13000</v>
      </c>
      <c r="H4219" s="35" t="s">
        <v>6501</v>
      </c>
      <c r="I4219" s="10" t="s">
        <v>6502</v>
      </c>
    </row>
    <row r="4220" spans="1:9" s="33" customFormat="1" ht="45">
      <c r="A4220" s="12">
        <v>43578.40688657407</v>
      </c>
      <c r="B4220" s="13" t="str">
        <f>HYPERLINK("https://twitter.com/lusttilldawn","@lusttilldawn")</f>
        <v>@lusttilldawn</v>
      </c>
      <c r="C4220" s="14" t="s">
        <v>1222</v>
      </c>
      <c r="D4220" s="15" t="s">
        <v>1223</v>
      </c>
      <c r="E4220" s="16" t="str">
        <f>HYPERLINK("http://publicize.wp.com/","WordPress.com")</f>
        <v>WordPress.com</v>
      </c>
      <c r="F4220" s="12">
        <v>42248.571701388893</v>
      </c>
      <c r="G4220" s="17" t="s">
        <v>13000</v>
      </c>
      <c r="H4220" s="35" t="s">
        <v>1224</v>
      </c>
      <c r="I4220" s="18" t="s">
        <v>1225</v>
      </c>
    </row>
    <row r="4221" spans="1:9" s="33" customFormat="1" ht="105">
      <c r="A4221" s="4">
        <v>43565.556342592594</v>
      </c>
      <c r="B4221" s="5" t="str">
        <f>HYPERLINK("https://twitter.com/LizKrueger","@LizKrueger")</f>
        <v>@LizKrueger</v>
      </c>
      <c r="C4221" s="6" t="s">
        <v>3616</v>
      </c>
      <c r="D4221" s="7" t="s">
        <v>6026</v>
      </c>
      <c r="E4221" s="8" t="str">
        <f>HYPERLINK("http://twitter.com","Twitter Web Client")</f>
        <v>Twitter Web Client</v>
      </c>
      <c r="F4221" s="4">
        <v>39934.390243055554</v>
      </c>
      <c r="G4221" s="17" t="s">
        <v>13000</v>
      </c>
      <c r="H4221" s="35" t="s">
        <v>702</v>
      </c>
      <c r="I4221" s="10" t="s">
        <v>3618</v>
      </c>
    </row>
    <row r="4222" spans="1:9" s="33" customFormat="1" ht="105">
      <c r="A4222" s="4">
        <v>43563.394502314812</v>
      </c>
      <c r="B4222" s="5" t="str">
        <f>HYPERLINK("https://twitter.com/emileewalch","@emileewalch")</f>
        <v>@emileewalch</v>
      </c>
      <c r="C4222" s="6" t="s">
        <v>10317</v>
      </c>
      <c r="D4222" s="7" t="s">
        <v>10318</v>
      </c>
      <c r="E4222" s="8" t="str">
        <f>HYPERLINK("https://ifttt.com","IFTTT")</f>
        <v>IFTTT</v>
      </c>
      <c r="F4222" s="4">
        <v>39791.582187499997</v>
      </c>
      <c r="G4222" s="17" t="s">
        <v>13000</v>
      </c>
      <c r="H4222" s="35" t="s">
        <v>702</v>
      </c>
      <c r="I4222" s="10" t="s">
        <v>10319</v>
      </c>
    </row>
    <row r="4223" spans="1:9" s="33" customFormat="1" ht="45">
      <c r="A4223" s="12">
        <v>43579.389317129629</v>
      </c>
      <c r="B4223" s="13" t="str">
        <f>HYPERLINK("https://twitter.com/MBRErealestate","@MBRErealestate")</f>
        <v>@MBRErealestate</v>
      </c>
      <c r="C4223" s="14" t="s">
        <v>700</v>
      </c>
      <c r="D4223" s="15" t="s">
        <v>701</v>
      </c>
      <c r="E4223" s="16" t="str">
        <f>HYPERLINK("https://www.hootsuite.com","Hootsuite Inc.")</f>
        <v>Hootsuite Inc.</v>
      </c>
      <c r="F4223" s="12">
        <v>41435.357037037036</v>
      </c>
      <c r="G4223" s="17" t="s">
        <v>13000</v>
      </c>
      <c r="H4223" s="35" t="s">
        <v>702</v>
      </c>
      <c r="I4223" s="18" t="s">
        <v>703</v>
      </c>
    </row>
    <row r="4224" spans="1:9" s="33" customFormat="1" ht="90">
      <c r="A4224" s="12">
        <v>43571.608495370368</v>
      </c>
      <c r="B4224" s="13" t="str">
        <f>HYPERLINK("https://twitter.com/LizKrueger","@LizKrueger")</f>
        <v>@LizKrueger</v>
      </c>
      <c r="C4224" s="14" t="s">
        <v>3616</v>
      </c>
      <c r="D4224" s="15" t="s">
        <v>3617</v>
      </c>
      <c r="E4224" s="16" t="str">
        <f>HYPERLINK("http://twitter.com","Twitter Web Client")</f>
        <v>Twitter Web Client</v>
      </c>
      <c r="F4224" s="12">
        <v>39934.390243055554</v>
      </c>
      <c r="G4224" s="17" t="s">
        <v>13000</v>
      </c>
      <c r="H4224" s="35" t="s">
        <v>702</v>
      </c>
      <c r="I4224" s="18" t="s">
        <v>3618</v>
      </c>
    </row>
    <row r="4225" spans="1:9" s="33" customFormat="1" ht="105">
      <c r="A4225" s="12">
        <v>43566.404999999999</v>
      </c>
      <c r="B4225" s="13" t="str">
        <f>HYPERLINK("https://twitter.com/financialbuzz","@financialbuzz")</f>
        <v>@financialbuzz</v>
      </c>
      <c r="C4225" s="14" t="s">
        <v>5554</v>
      </c>
      <c r="D4225" s="15" t="s">
        <v>5555</v>
      </c>
      <c r="E4225" s="16" t="str">
        <f>HYPERLINK("http://www.facebook.com/twitter","Facebook")</f>
        <v>Facebook</v>
      </c>
      <c r="F4225" s="12">
        <v>40526.889421296299</v>
      </c>
      <c r="G4225" s="17" t="s">
        <v>13000</v>
      </c>
      <c r="H4225" s="35" t="s">
        <v>702</v>
      </c>
      <c r="I4225" s="18" t="s">
        <v>5556</v>
      </c>
    </row>
    <row r="4226" spans="1:9" s="33" customFormat="1" ht="105">
      <c r="A4226" s="19">
        <v>43551.854212962964</v>
      </c>
      <c r="B4226" s="20" t="str">
        <f>HYPERLINK("https://twitter.com/ILOVENEWYORK212","@ILOVENEWYORK212")</f>
        <v>@ILOVENEWYORK212</v>
      </c>
      <c r="C4226" s="21" t="s">
        <v>2264</v>
      </c>
      <c r="D4226" s="22" t="s">
        <v>6976</v>
      </c>
      <c r="E4226" s="23" t="str">
        <f>HYPERLINK("https://buffer.com","Buffer")</f>
        <v>Buffer</v>
      </c>
      <c r="F4226" s="19">
        <v>43318.641018518523</v>
      </c>
      <c r="G4226" s="17" t="s">
        <v>13000</v>
      </c>
      <c r="H4226" s="35" t="s">
        <v>1629</v>
      </c>
      <c r="I4226" s="25" t="s">
        <v>2266</v>
      </c>
    </row>
    <row r="4227" spans="1:9" s="33" customFormat="1" ht="75">
      <c r="A4227" s="19">
        <v>43550.791747685187</v>
      </c>
      <c r="B4227" s="20" t="str">
        <f>HYPERLINK("https://twitter.com/ILOVENEWYORK212","@ILOVENEWYORK212")</f>
        <v>@ILOVENEWYORK212</v>
      </c>
      <c r="C4227" s="21" t="s">
        <v>2264</v>
      </c>
      <c r="D4227" s="22" t="s">
        <v>7507</v>
      </c>
      <c r="E4227" s="23" t="str">
        <f>HYPERLINK("https://buffer.com","Buffer")</f>
        <v>Buffer</v>
      </c>
      <c r="F4227" s="19">
        <v>43318.641018518523</v>
      </c>
      <c r="G4227" s="17" t="s">
        <v>13000</v>
      </c>
      <c r="H4227" s="35" t="s">
        <v>1629</v>
      </c>
      <c r="I4227" s="25" t="s">
        <v>2266</v>
      </c>
    </row>
    <row r="4228" spans="1:9" s="33" customFormat="1" ht="60">
      <c r="A4228" s="19">
        <v>43550.648333333331</v>
      </c>
      <c r="B4228" s="20" t="str">
        <f>HYPERLINK("https://twitter.com/robinrichnyc","@robinrichnyc")</f>
        <v>@robinrichnyc</v>
      </c>
      <c r="C4228" s="21" t="s">
        <v>7575</v>
      </c>
      <c r="D4228" s="22" t="s">
        <v>7576</v>
      </c>
      <c r="E4228" s="23" t="str">
        <f>HYPERLINK("http://twitter.com/download/iphone","Twitter for iPhone")</f>
        <v>Twitter for iPhone</v>
      </c>
      <c r="F4228" s="19">
        <v>41150.552337962959</v>
      </c>
      <c r="G4228" s="17" t="s">
        <v>13000</v>
      </c>
      <c r="H4228" s="35" t="s">
        <v>1629</v>
      </c>
      <c r="I4228" s="25" t="s">
        <v>7577</v>
      </c>
    </row>
    <row r="4229" spans="1:9" s="33" customFormat="1" ht="90">
      <c r="A4229" s="19">
        <v>43550.494849537034</v>
      </c>
      <c r="B4229" s="20" t="str">
        <f>HYPERLINK("https://twitter.com/mdonaruma","@mdonaruma")</f>
        <v>@mdonaruma</v>
      </c>
      <c r="C4229" s="21" t="s">
        <v>7640</v>
      </c>
      <c r="D4229" s="22" t="s">
        <v>7641</v>
      </c>
      <c r="E4229" s="23" t="str">
        <f>HYPERLINK("https://www.hootsuite.com","Hootsuite Inc.")</f>
        <v>Hootsuite Inc.</v>
      </c>
      <c r="F4229" s="19">
        <v>39742.762141203704</v>
      </c>
      <c r="G4229" s="17" t="s">
        <v>13000</v>
      </c>
      <c r="H4229" s="35" t="s">
        <v>1629</v>
      </c>
      <c r="I4229" s="25" t="s">
        <v>7642</v>
      </c>
    </row>
    <row r="4230" spans="1:9" s="33" customFormat="1" ht="105">
      <c r="A4230" s="19">
        <v>43550.166874999995</v>
      </c>
      <c r="B4230" s="20" t="str">
        <f>HYPERLINK("https://twitter.com/ILOVENEWYORK212","@ILOVENEWYORK212")</f>
        <v>@ILOVENEWYORK212</v>
      </c>
      <c r="C4230" s="21" t="s">
        <v>2264</v>
      </c>
      <c r="D4230" s="22" t="s">
        <v>7802</v>
      </c>
      <c r="E4230" s="23" t="str">
        <f>HYPERLINK("https://buffer.com","Buffer")</f>
        <v>Buffer</v>
      </c>
      <c r="F4230" s="19">
        <v>43318.641018518523</v>
      </c>
      <c r="G4230" s="17" t="s">
        <v>13000</v>
      </c>
      <c r="H4230" s="35" t="s">
        <v>1629</v>
      </c>
      <c r="I4230" s="25" t="s">
        <v>2266</v>
      </c>
    </row>
    <row r="4231" spans="1:9" s="33" customFormat="1" ht="90">
      <c r="A4231" s="19">
        <v>43550.139293981483</v>
      </c>
      <c r="B4231" s="20" t="str">
        <f>HYPERLINK("https://twitter.com/elitepromocode","@elitepromocode")</f>
        <v>@elitepromocode</v>
      </c>
      <c r="C4231" s="21" t="s">
        <v>3234</v>
      </c>
      <c r="D4231" s="22" t="s">
        <v>7821</v>
      </c>
      <c r="E4231" s="23" t="str">
        <f>HYPERLINK("http://twitter.com/download/iphone","Twitter for iPhone")</f>
        <v>Twitter for iPhone</v>
      </c>
      <c r="F4231" s="19">
        <v>43357.448900462958</v>
      </c>
      <c r="G4231" s="17" t="s">
        <v>13000</v>
      </c>
      <c r="H4231" s="35" t="s">
        <v>1629</v>
      </c>
      <c r="I4231" s="25" t="s">
        <v>3234</v>
      </c>
    </row>
    <row r="4232" spans="1:9" s="33" customFormat="1" ht="105">
      <c r="A4232" s="19">
        <v>43548.91684027778</v>
      </c>
      <c r="B4232" s="20" t="str">
        <f>HYPERLINK("https://twitter.com/ILOVENEWYORK212","@ILOVENEWYORK212")</f>
        <v>@ILOVENEWYORK212</v>
      </c>
      <c r="C4232" s="21" t="s">
        <v>2264</v>
      </c>
      <c r="D4232" s="22" t="s">
        <v>8202</v>
      </c>
      <c r="E4232" s="23" t="str">
        <f>HYPERLINK("https://buffer.com","Buffer")</f>
        <v>Buffer</v>
      </c>
      <c r="F4232" s="19">
        <v>43318.641018518523</v>
      </c>
      <c r="G4232" s="17" t="s">
        <v>13000</v>
      </c>
      <c r="H4232" s="35" t="s">
        <v>1629</v>
      </c>
      <c r="I4232" s="25" t="s">
        <v>2266</v>
      </c>
    </row>
    <row r="4233" spans="1:9" s="33" customFormat="1" ht="90">
      <c r="A4233" s="19">
        <v>43548.883530092593</v>
      </c>
      <c r="B4233" s="20" t="str">
        <f>HYPERLINK("https://twitter.com/elitepromocode","@elitepromocode")</f>
        <v>@elitepromocode</v>
      </c>
      <c r="C4233" s="21" t="s">
        <v>3234</v>
      </c>
      <c r="D4233" s="22" t="s">
        <v>8208</v>
      </c>
      <c r="E4233" s="23" t="str">
        <f>HYPERLINK("http://twitter.com/download/iphone","Twitter for iPhone")</f>
        <v>Twitter for iPhone</v>
      </c>
      <c r="F4233" s="19">
        <v>43357.448900462958</v>
      </c>
      <c r="G4233" s="17" t="s">
        <v>13000</v>
      </c>
      <c r="H4233" s="35" t="s">
        <v>1629</v>
      </c>
      <c r="I4233" s="25" t="s">
        <v>3234</v>
      </c>
    </row>
    <row r="4234" spans="1:9" s="33" customFormat="1" ht="90">
      <c r="A4234" s="19">
        <v>43548.709016203706</v>
      </c>
      <c r="B4234" s="20" t="str">
        <f>HYPERLINK("https://twitter.com/elitepromocode","@elitepromocode")</f>
        <v>@elitepromocode</v>
      </c>
      <c r="C4234" s="21" t="s">
        <v>3234</v>
      </c>
      <c r="D4234" s="22" t="s">
        <v>8242</v>
      </c>
      <c r="E4234" s="23" t="str">
        <f>HYPERLINK("http://twitter.com/download/iphone","Twitter for iPhone")</f>
        <v>Twitter for iPhone</v>
      </c>
      <c r="F4234" s="19">
        <v>43357.448900462958</v>
      </c>
      <c r="G4234" s="17" t="s">
        <v>13000</v>
      </c>
      <c r="H4234" s="35" t="s">
        <v>1629</v>
      </c>
      <c r="I4234" s="25" t="s">
        <v>3234</v>
      </c>
    </row>
    <row r="4235" spans="1:9" s="33" customFormat="1" ht="90">
      <c r="A4235" s="19">
        <v>43548.583472222221</v>
      </c>
      <c r="B4235" s="20" t="str">
        <f>HYPERLINK("https://twitter.com/ILOVENEWYORK212","@ILOVENEWYORK212")</f>
        <v>@ILOVENEWYORK212</v>
      </c>
      <c r="C4235" s="21" t="s">
        <v>2264</v>
      </c>
      <c r="D4235" s="22" t="s">
        <v>8269</v>
      </c>
      <c r="E4235" s="23" t="str">
        <f>HYPERLINK("https://buffer.com","Buffer")</f>
        <v>Buffer</v>
      </c>
      <c r="F4235" s="19">
        <v>43318.641018518523</v>
      </c>
      <c r="G4235" s="17" t="s">
        <v>13000</v>
      </c>
      <c r="H4235" s="35" t="s">
        <v>1629</v>
      </c>
      <c r="I4235" s="25" t="s">
        <v>2266</v>
      </c>
    </row>
    <row r="4236" spans="1:9" s="33" customFormat="1" ht="60">
      <c r="A4236" s="19">
        <v>43548.561979166669</v>
      </c>
      <c r="B4236" s="20" t="str">
        <f>HYPERLINK("https://twitter.com/travisjarae","@travisjarae")</f>
        <v>@travisjarae</v>
      </c>
      <c r="C4236" s="21" t="s">
        <v>8276</v>
      </c>
      <c r="D4236" s="22" t="s">
        <v>8277</v>
      </c>
      <c r="E4236" s="23" t="str">
        <f>HYPERLINK("http://twitter.com/download/iphone","Twitter for iPhone")</f>
        <v>Twitter for iPhone</v>
      </c>
      <c r="F4236" s="19">
        <v>40663.990891203706</v>
      </c>
      <c r="G4236" s="17" t="s">
        <v>13000</v>
      </c>
      <c r="H4236" s="35" t="s">
        <v>1629</v>
      </c>
      <c r="I4236" s="25" t="s">
        <v>8278</v>
      </c>
    </row>
    <row r="4237" spans="1:9" s="33" customFormat="1" ht="105">
      <c r="A4237" s="19">
        <v>43548.458530092597</v>
      </c>
      <c r="B4237" s="20" t="str">
        <f>HYPERLINK("https://twitter.com/ILOVENEWYORK212","@ILOVENEWYORK212")</f>
        <v>@ILOVENEWYORK212</v>
      </c>
      <c r="C4237" s="21" t="s">
        <v>2264</v>
      </c>
      <c r="D4237" s="22" t="s">
        <v>8308</v>
      </c>
      <c r="E4237" s="23" t="str">
        <f>HYPERLINK("https://buffer.com","Buffer")</f>
        <v>Buffer</v>
      </c>
      <c r="F4237" s="19">
        <v>43318.641018518523</v>
      </c>
      <c r="G4237" s="17" t="s">
        <v>13000</v>
      </c>
      <c r="H4237" s="35" t="s">
        <v>1629</v>
      </c>
      <c r="I4237" s="25" t="s">
        <v>2266</v>
      </c>
    </row>
    <row r="4238" spans="1:9" s="33" customFormat="1" ht="75">
      <c r="A4238" s="19">
        <v>43548.458136574074</v>
      </c>
      <c r="B4238" s="20" t="str">
        <f>HYPERLINK("https://twitter.com/brentphoto_nyc","@brentphoto_nyc")</f>
        <v>@brentphoto_nyc</v>
      </c>
      <c r="C4238" s="21" t="s">
        <v>8309</v>
      </c>
      <c r="D4238" s="22" t="s">
        <v>8310</v>
      </c>
      <c r="E4238" s="23" t="str">
        <f>HYPERLINK("http://instagram.com","Instagram")</f>
        <v>Instagram</v>
      </c>
      <c r="F4238" s="19">
        <v>40293.692627314813</v>
      </c>
      <c r="G4238" s="17" t="s">
        <v>13000</v>
      </c>
      <c r="H4238" s="35" t="s">
        <v>1629</v>
      </c>
      <c r="I4238" s="25" t="s">
        <v>8311</v>
      </c>
    </row>
    <row r="4239" spans="1:9" s="33" customFormat="1" ht="105">
      <c r="A4239" s="19">
        <v>43548.333483796298</v>
      </c>
      <c r="B4239" s="20" t="str">
        <f>HYPERLINK("https://twitter.com/ILOVENEWYORK212","@ILOVENEWYORK212")</f>
        <v>@ILOVENEWYORK212</v>
      </c>
      <c r="C4239" s="21" t="s">
        <v>2264</v>
      </c>
      <c r="D4239" s="22" t="s">
        <v>8349</v>
      </c>
      <c r="E4239" s="23" t="str">
        <f>HYPERLINK("https://buffer.com","Buffer")</f>
        <v>Buffer</v>
      </c>
      <c r="F4239" s="19">
        <v>43318.641018518523</v>
      </c>
      <c r="G4239" s="17" t="s">
        <v>13000</v>
      </c>
      <c r="H4239" s="35" t="s">
        <v>1629</v>
      </c>
      <c r="I4239" s="25" t="s">
        <v>2266</v>
      </c>
    </row>
    <row r="4240" spans="1:9" s="33" customFormat="1" ht="105">
      <c r="A4240" s="19">
        <v>43548.229317129633</v>
      </c>
      <c r="B4240" s="20" t="str">
        <f>HYPERLINK("https://twitter.com/ILOVENEWYORK212","@ILOVENEWYORK212")</f>
        <v>@ILOVENEWYORK212</v>
      </c>
      <c r="C4240" s="21" t="s">
        <v>2264</v>
      </c>
      <c r="D4240" s="22" t="s">
        <v>8385</v>
      </c>
      <c r="E4240" s="23" t="str">
        <f>HYPERLINK("https://buffer.com","Buffer")</f>
        <v>Buffer</v>
      </c>
      <c r="F4240" s="19">
        <v>43318.641018518523</v>
      </c>
      <c r="G4240" s="17" t="s">
        <v>13000</v>
      </c>
      <c r="H4240" s="35" t="s">
        <v>1629</v>
      </c>
      <c r="I4240" s="25" t="s">
        <v>2266</v>
      </c>
    </row>
    <row r="4241" spans="1:9" s="33" customFormat="1" ht="75">
      <c r="A4241" s="19">
        <v>43547.789837962962</v>
      </c>
      <c r="B4241" s="20" t="str">
        <f>HYPERLINK("https://twitter.com/brentphoto_nyc","@brentphoto_nyc")</f>
        <v>@brentphoto_nyc</v>
      </c>
      <c r="C4241" s="21" t="s">
        <v>8309</v>
      </c>
      <c r="D4241" s="22" t="s">
        <v>8474</v>
      </c>
      <c r="E4241" s="23" t="str">
        <f>HYPERLINK("http://instagram.com","Instagram")</f>
        <v>Instagram</v>
      </c>
      <c r="F4241" s="19">
        <v>40293.692627314813</v>
      </c>
      <c r="G4241" s="17" t="s">
        <v>13000</v>
      </c>
      <c r="H4241" s="35" t="s">
        <v>1629</v>
      </c>
      <c r="I4241" s="25" t="s">
        <v>8311</v>
      </c>
    </row>
    <row r="4242" spans="1:9" s="33" customFormat="1" ht="75">
      <c r="A4242" s="19">
        <v>43547.776296296295</v>
      </c>
      <c r="B4242" s="20" t="str">
        <f>HYPERLINK("https://twitter.com/brentphoto_nyc","@brentphoto_nyc")</f>
        <v>@brentphoto_nyc</v>
      </c>
      <c r="C4242" s="21" t="s">
        <v>8309</v>
      </c>
      <c r="D4242" s="22" t="s">
        <v>8475</v>
      </c>
      <c r="E4242" s="23" t="str">
        <f>HYPERLINK("http://instagram.com","Instagram")</f>
        <v>Instagram</v>
      </c>
      <c r="F4242" s="19">
        <v>40293.692627314813</v>
      </c>
      <c r="G4242" s="17" t="s">
        <v>13000</v>
      </c>
      <c r="H4242" s="35" t="s">
        <v>1629</v>
      </c>
      <c r="I4242" s="25" t="s">
        <v>8311</v>
      </c>
    </row>
    <row r="4243" spans="1:9" s="33" customFormat="1" ht="105">
      <c r="A4243" s="19">
        <v>43547.37872685185</v>
      </c>
      <c r="B4243" s="20" t="str">
        <f>HYPERLINK("https://twitter.com/elitepromocode","@elitepromocode")</f>
        <v>@elitepromocode</v>
      </c>
      <c r="C4243" s="21" t="s">
        <v>3234</v>
      </c>
      <c r="D4243" s="22" t="s">
        <v>8574</v>
      </c>
      <c r="E4243" s="23" t="str">
        <f>HYPERLINK("http://twitter.com/download/iphone","Twitter for iPhone")</f>
        <v>Twitter for iPhone</v>
      </c>
      <c r="F4243" s="19">
        <v>43357.448900462958</v>
      </c>
      <c r="G4243" s="17" t="s">
        <v>13000</v>
      </c>
      <c r="H4243" s="35" t="s">
        <v>1629</v>
      </c>
      <c r="I4243" s="25" t="s">
        <v>3234</v>
      </c>
    </row>
    <row r="4244" spans="1:9" s="33" customFormat="1" ht="90">
      <c r="A4244" s="19">
        <v>43546.958356481482</v>
      </c>
      <c r="B4244" s="20" t="str">
        <f>HYPERLINK("https://twitter.com/ILOVENEWYORK212","@ILOVENEWYORK212")</f>
        <v>@ILOVENEWYORK212</v>
      </c>
      <c r="C4244" s="21" t="s">
        <v>2264</v>
      </c>
      <c r="D4244" s="22" t="s">
        <v>5429</v>
      </c>
      <c r="E4244" s="23" t="str">
        <f>HYPERLINK("https://buffer.com","Buffer")</f>
        <v>Buffer</v>
      </c>
      <c r="F4244" s="19">
        <v>43318.641018518523</v>
      </c>
      <c r="G4244" s="17" t="s">
        <v>13000</v>
      </c>
      <c r="H4244" s="35" t="s">
        <v>1629</v>
      </c>
      <c r="I4244" s="25" t="s">
        <v>2266</v>
      </c>
    </row>
    <row r="4245" spans="1:9" s="33" customFormat="1" ht="75">
      <c r="A4245" s="19">
        <v>43546.833402777775</v>
      </c>
      <c r="B4245" s="20" t="str">
        <f>HYPERLINK("https://twitter.com/ILOVENEWYORK212","@ILOVENEWYORK212")</f>
        <v>@ILOVENEWYORK212</v>
      </c>
      <c r="C4245" s="21" t="s">
        <v>2264</v>
      </c>
      <c r="D4245" s="22" t="s">
        <v>7507</v>
      </c>
      <c r="E4245" s="23" t="str">
        <f>HYPERLINK("https://buffer.com","Buffer")</f>
        <v>Buffer</v>
      </c>
      <c r="F4245" s="19">
        <v>43318.641018518523</v>
      </c>
      <c r="G4245" s="17" t="s">
        <v>13000</v>
      </c>
      <c r="H4245" s="35" t="s">
        <v>1629</v>
      </c>
      <c r="I4245" s="25" t="s">
        <v>2266</v>
      </c>
    </row>
    <row r="4246" spans="1:9" s="33" customFormat="1" ht="105">
      <c r="A4246" s="19">
        <v>43546.708680555559</v>
      </c>
      <c r="B4246" s="20" t="str">
        <f>HYPERLINK("https://twitter.com/ILOVENEWYORK212","@ILOVENEWYORK212")</f>
        <v>@ILOVENEWYORK212</v>
      </c>
      <c r="C4246" s="21" t="s">
        <v>2264</v>
      </c>
      <c r="D4246" s="22" t="s">
        <v>8751</v>
      </c>
      <c r="E4246" s="23" t="str">
        <f>HYPERLINK("https://buffer.com","Buffer")</f>
        <v>Buffer</v>
      </c>
      <c r="F4246" s="19">
        <v>43318.641018518523</v>
      </c>
      <c r="G4246" s="17" t="s">
        <v>13000</v>
      </c>
      <c r="H4246" s="35" t="s">
        <v>1629</v>
      </c>
      <c r="I4246" s="25" t="s">
        <v>2266</v>
      </c>
    </row>
    <row r="4247" spans="1:9" s="33" customFormat="1" ht="90">
      <c r="A4247" s="19">
        <v>43546.604398148149</v>
      </c>
      <c r="B4247" s="20" t="str">
        <f>HYPERLINK("https://twitter.com/ILOVENEWYORK212","@ILOVENEWYORK212")</f>
        <v>@ILOVENEWYORK212</v>
      </c>
      <c r="C4247" s="21" t="s">
        <v>2264</v>
      </c>
      <c r="D4247" s="22" t="s">
        <v>8792</v>
      </c>
      <c r="E4247" s="23" t="str">
        <f>HYPERLINK("https://buffer.com","Buffer")</f>
        <v>Buffer</v>
      </c>
      <c r="F4247" s="19">
        <v>43318.641018518523</v>
      </c>
      <c r="G4247" s="17" t="s">
        <v>13000</v>
      </c>
      <c r="H4247" s="35" t="s">
        <v>1629</v>
      </c>
      <c r="I4247" s="25" t="s">
        <v>2266</v>
      </c>
    </row>
    <row r="4248" spans="1:9" s="33" customFormat="1" ht="90">
      <c r="A4248" s="19">
        <v>43546.593414351853</v>
      </c>
      <c r="B4248" s="20" t="str">
        <f>HYPERLINK("https://twitter.com/ILOVENEWYORK212","@ILOVENEWYORK212")</f>
        <v>@ILOVENEWYORK212</v>
      </c>
      <c r="C4248" s="21" t="s">
        <v>2264</v>
      </c>
      <c r="D4248" s="22" t="s">
        <v>8793</v>
      </c>
      <c r="E4248" s="23" t="str">
        <f>HYPERLINK("https://buffer.com","Buffer")</f>
        <v>Buffer</v>
      </c>
      <c r="F4248" s="19">
        <v>43318.641018518523</v>
      </c>
      <c r="G4248" s="17" t="s">
        <v>13000</v>
      </c>
      <c r="H4248" s="35" t="s">
        <v>1629</v>
      </c>
      <c r="I4248" s="25" t="s">
        <v>2266</v>
      </c>
    </row>
    <row r="4249" spans="1:9" s="33" customFormat="1" ht="90">
      <c r="A4249" s="19">
        <v>43546.584236111114</v>
      </c>
      <c r="B4249" s="20" t="str">
        <f>HYPERLINK("https://twitter.com/elitepromocode","@elitepromocode")</f>
        <v>@elitepromocode</v>
      </c>
      <c r="C4249" s="21" t="s">
        <v>3234</v>
      </c>
      <c r="D4249" s="22" t="s">
        <v>8794</v>
      </c>
      <c r="E4249" s="23" t="str">
        <f>HYPERLINK("http://twitter.com/download/iphone","Twitter for iPhone")</f>
        <v>Twitter for iPhone</v>
      </c>
      <c r="F4249" s="19">
        <v>43357.448900462958</v>
      </c>
      <c r="G4249" s="17" t="s">
        <v>13000</v>
      </c>
      <c r="H4249" s="35" t="s">
        <v>1629</v>
      </c>
      <c r="I4249" s="25" t="s">
        <v>3234</v>
      </c>
    </row>
    <row r="4250" spans="1:9" s="33" customFormat="1" ht="90">
      <c r="A4250" s="19">
        <v>43545.916979166665</v>
      </c>
      <c r="B4250" s="20" t="str">
        <f>HYPERLINK("https://twitter.com/ILOVENEWYORK212","@ILOVENEWYORK212")</f>
        <v>@ILOVENEWYORK212</v>
      </c>
      <c r="C4250" s="21" t="s">
        <v>2264</v>
      </c>
      <c r="D4250" s="22" t="s">
        <v>8999</v>
      </c>
      <c r="E4250" s="23" t="str">
        <f>HYPERLINK("https://buffer.com","Buffer")</f>
        <v>Buffer</v>
      </c>
      <c r="F4250" s="19">
        <v>43318.641018518523</v>
      </c>
      <c r="G4250" s="17" t="s">
        <v>13000</v>
      </c>
      <c r="H4250" s="35" t="s">
        <v>1629</v>
      </c>
      <c r="I4250" s="25" t="s">
        <v>2266</v>
      </c>
    </row>
    <row r="4251" spans="1:9" s="33" customFormat="1" ht="90">
      <c r="A4251" s="19">
        <v>43545.863807870366</v>
      </c>
      <c r="B4251" s="20" t="str">
        <f>HYPERLINK("https://twitter.com/PropertyTV_io","@PropertyTV_io")</f>
        <v>@PropertyTV_io</v>
      </c>
      <c r="C4251" s="21" t="s">
        <v>9019</v>
      </c>
      <c r="D4251" s="22" t="s">
        <v>9016</v>
      </c>
      <c r="E4251" s="23" t="str">
        <f>HYPERLINK("https://social.zoho.com","Zoho Social")</f>
        <v>Zoho Social</v>
      </c>
      <c r="F4251" s="19">
        <v>43218.771412037036</v>
      </c>
      <c r="G4251" s="17" t="s">
        <v>13000</v>
      </c>
      <c r="H4251" s="35" t="s">
        <v>1629</v>
      </c>
      <c r="I4251" s="25" t="s">
        <v>9020</v>
      </c>
    </row>
    <row r="4252" spans="1:9" s="33" customFormat="1" ht="75">
      <c r="A4252" s="19">
        <v>43545.840486111112</v>
      </c>
      <c r="B4252" s="20" t="str">
        <f>HYPERLINK("https://twitter.com/elitepromocode","@elitepromocode")</f>
        <v>@elitepromocode</v>
      </c>
      <c r="C4252" s="21" t="s">
        <v>3234</v>
      </c>
      <c r="D4252" s="22" t="s">
        <v>9024</v>
      </c>
      <c r="E4252" s="23" t="str">
        <f>HYPERLINK("http://twitter.com/download/iphone","Twitter for iPhone")</f>
        <v>Twitter for iPhone</v>
      </c>
      <c r="F4252" s="19">
        <v>43357.448900462958</v>
      </c>
      <c r="G4252" s="17" t="s">
        <v>13000</v>
      </c>
      <c r="H4252" s="35" t="s">
        <v>1629</v>
      </c>
      <c r="I4252" s="25" t="s">
        <v>3234</v>
      </c>
    </row>
    <row r="4253" spans="1:9" s="33" customFormat="1" ht="90">
      <c r="A4253" s="19">
        <v>43544.753483796296</v>
      </c>
      <c r="B4253" s="20" t="str">
        <f>HYPERLINK("https://twitter.com/elitepromocode","@elitepromocode")</f>
        <v>@elitepromocode</v>
      </c>
      <c r="C4253" s="21" t="s">
        <v>3234</v>
      </c>
      <c r="D4253" s="22" t="s">
        <v>9355</v>
      </c>
      <c r="E4253" s="23" t="str">
        <f>HYPERLINK("http://twitter.com/download/iphone","Twitter for iPhone")</f>
        <v>Twitter for iPhone</v>
      </c>
      <c r="F4253" s="19">
        <v>43357.448900462958</v>
      </c>
      <c r="G4253" s="17" t="s">
        <v>13000</v>
      </c>
      <c r="H4253" s="35" t="s">
        <v>1629</v>
      </c>
      <c r="I4253" s="25" t="s">
        <v>3234</v>
      </c>
    </row>
    <row r="4254" spans="1:9" s="33" customFormat="1" ht="90">
      <c r="A4254" s="19">
        <v>43544.724999999999</v>
      </c>
      <c r="B4254" s="20" t="str">
        <f>HYPERLINK("https://twitter.com/musicbybrads","@musicbybrads")</f>
        <v>@musicbybrads</v>
      </c>
      <c r="C4254" s="21" t="s">
        <v>9361</v>
      </c>
      <c r="D4254" s="22" t="s">
        <v>9362</v>
      </c>
      <c r="E4254" s="23" t="str">
        <f>HYPERLINK("http://instagram.com","Instagram")</f>
        <v>Instagram</v>
      </c>
      <c r="F4254" s="19">
        <v>40194.77952546296</v>
      </c>
      <c r="G4254" s="17" t="s">
        <v>13000</v>
      </c>
      <c r="H4254" s="35" t="s">
        <v>1629</v>
      </c>
      <c r="I4254" s="25" t="s">
        <v>9363</v>
      </c>
    </row>
    <row r="4255" spans="1:9" s="33" customFormat="1" ht="105">
      <c r="A4255" s="19">
        <v>43544.375613425931</v>
      </c>
      <c r="B4255" s="20" t="str">
        <f>HYPERLINK("https://twitter.com/ILOVENEWYORK212","@ILOVENEWYORK212")</f>
        <v>@ILOVENEWYORK212</v>
      </c>
      <c r="C4255" s="21" t="s">
        <v>2264</v>
      </c>
      <c r="D4255" s="22" t="s">
        <v>9489</v>
      </c>
      <c r="E4255" s="23" t="str">
        <f>HYPERLINK("https://buffer.com","Buffer")</f>
        <v>Buffer</v>
      </c>
      <c r="F4255" s="19">
        <v>43318.641018518523</v>
      </c>
      <c r="G4255" s="17" t="s">
        <v>13000</v>
      </c>
      <c r="H4255" s="35" t="s">
        <v>1629</v>
      </c>
      <c r="I4255" s="25" t="s">
        <v>2266</v>
      </c>
    </row>
    <row r="4256" spans="1:9" s="33" customFormat="1" ht="75">
      <c r="A4256" s="19">
        <v>43543.914375</v>
      </c>
      <c r="B4256" s="20" t="str">
        <f>HYPERLINK("https://twitter.com/elitepromocode","@elitepromocode")</f>
        <v>@elitepromocode</v>
      </c>
      <c r="C4256" s="21" t="s">
        <v>3234</v>
      </c>
      <c r="D4256" s="22" t="s">
        <v>6391</v>
      </c>
      <c r="E4256" s="23" t="str">
        <f>HYPERLINK("http://twitter.com/download/iphone","Twitter for iPhone")</f>
        <v>Twitter for iPhone</v>
      </c>
      <c r="F4256" s="19">
        <v>43357.448900462958</v>
      </c>
      <c r="G4256" s="17" t="s">
        <v>13000</v>
      </c>
      <c r="H4256" s="35" t="s">
        <v>1629</v>
      </c>
      <c r="I4256" s="25" t="s">
        <v>3234</v>
      </c>
    </row>
    <row r="4257" spans="1:9" s="33" customFormat="1" ht="90">
      <c r="A4257" s="19">
        <v>43543.791678240741</v>
      </c>
      <c r="B4257" s="20" t="str">
        <f>HYPERLINK("https://twitter.com/ILOVENEWYORK212","@ILOVENEWYORK212")</f>
        <v>@ILOVENEWYORK212</v>
      </c>
      <c r="C4257" s="21" t="s">
        <v>2264</v>
      </c>
      <c r="D4257" s="22" t="s">
        <v>9683</v>
      </c>
      <c r="E4257" s="23" t="str">
        <f>HYPERLINK("https://buffer.com","Buffer")</f>
        <v>Buffer</v>
      </c>
      <c r="F4257" s="19">
        <v>43318.641018518523</v>
      </c>
      <c r="G4257" s="17" t="s">
        <v>13000</v>
      </c>
      <c r="H4257" s="35" t="s">
        <v>1629</v>
      </c>
      <c r="I4257" s="25" t="s">
        <v>2266</v>
      </c>
    </row>
    <row r="4258" spans="1:9" s="33" customFormat="1" ht="90">
      <c r="A4258" s="19">
        <v>43543.666747685187</v>
      </c>
      <c r="B4258" s="20" t="str">
        <f>HYPERLINK("https://twitter.com/ILOVENEWYORK212","@ILOVENEWYORK212")</f>
        <v>@ILOVENEWYORK212</v>
      </c>
      <c r="C4258" s="21" t="s">
        <v>2264</v>
      </c>
      <c r="D4258" s="22" t="s">
        <v>9712</v>
      </c>
      <c r="E4258" s="23" t="str">
        <f>HYPERLINK("https://buffer.com","Buffer")</f>
        <v>Buffer</v>
      </c>
      <c r="F4258" s="19">
        <v>43318.641018518523</v>
      </c>
      <c r="G4258" s="17" t="s">
        <v>13000</v>
      </c>
      <c r="H4258" s="35" t="s">
        <v>1629</v>
      </c>
      <c r="I4258" s="25" t="s">
        <v>2266</v>
      </c>
    </row>
    <row r="4259" spans="1:9" s="33" customFormat="1" ht="45">
      <c r="A4259" s="19">
        <v>43543.241782407407</v>
      </c>
      <c r="B4259" s="20" t="str">
        <f>HYPERLINK("https://twitter.com/nycwired","@nycwired")</f>
        <v>@nycwired</v>
      </c>
      <c r="C4259" s="21" t="s">
        <v>9889</v>
      </c>
      <c r="D4259" s="22" t="s">
        <v>9890</v>
      </c>
      <c r="E4259" s="23" t="str">
        <f>HYPERLINK("http://twitter.com/download/iphone","Twitter for iPhone")</f>
        <v>Twitter for iPhone</v>
      </c>
      <c r="F4259" s="19">
        <v>42398.59778935185</v>
      </c>
      <c r="G4259" s="17" t="s">
        <v>13000</v>
      </c>
      <c r="H4259" s="35" t="s">
        <v>1629</v>
      </c>
      <c r="I4259" s="25" t="s">
        <v>9891</v>
      </c>
    </row>
    <row r="4260" spans="1:9" s="33" customFormat="1" ht="90">
      <c r="A4260" s="19">
        <v>43542.875127314815</v>
      </c>
      <c r="B4260" s="20" t="str">
        <f>HYPERLINK("https://twitter.com/ILOVENEWYORK212","@ILOVENEWYORK212")</f>
        <v>@ILOVENEWYORK212</v>
      </c>
      <c r="C4260" s="21" t="s">
        <v>2264</v>
      </c>
      <c r="D4260" s="22" t="s">
        <v>10001</v>
      </c>
      <c r="E4260" s="23" t="str">
        <f>HYPERLINK("https://buffer.com","Buffer")</f>
        <v>Buffer</v>
      </c>
      <c r="F4260" s="19">
        <v>43318.641018518523</v>
      </c>
      <c r="G4260" s="17" t="s">
        <v>13000</v>
      </c>
      <c r="H4260" s="35" t="s">
        <v>1629</v>
      </c>
      <c r="I4260" s="25" t="s">
        <v>2266</v>
      </c>
    </row>
    <row r="4261" spans="1:9" s="33" customFormat="1" ht="90">
      <c r="A4261" s="19">
        <v>43542.750138888892</v>
      </c>
      <c r="B4261" s="20" t="str">
        <f>HYPERLINK("https://twitter.com/ILOVENEWYORK212","@ILOVENEWYORK212")</f>
        <v>@ILOVENEWYORK212</v>
      </c>
      <c r="C4261" s="21" t="s">
        <v>2264</v>
      </c>
      <c r="D4261" s="22" t="s">
        <v>5429</v>
      </c>
      <c r="E4261" s="23" t="str">
        <f>HYPERLINK("https://buffer.com","Buffer")</f>
        <v>Buffer</v>
      </c>
      <c r="F4261" s="19">
        <v>43318.641018518523</v>
      </c>
      <c r="G4261" s="17" t="s">
        <v>13000</v>
      </c>
      <c r="H4261" s="35" t="s">
        <v>1629</v>
      </c>
      <c r="I4261" s="25" t="s">
        <v>2266</v>
      </c>
    </row>
    <row r="4262" spans="1:9" s="33" customFormat="1" ht="120">
      <c r="A4262" s="19">
        <v>43542.605787037042</v>
      </c>
      <c r="B4262" s="20" t="str">
        <f>HYPERLINK("https://twitter.com/CjClover","@CjClover")</f>
        <v>@CjClover</v>
      </c>
      <c r="C4262" s="21" t="s">
        <v>10077</v>
      </c>
      <c r="D4262" s="22" t="s">
        <v>10078</v>
      </c>
      <c r="E4262" s="23" t="str">
        <f>HYPERLINK("https://mobile.twitter.com","Twitter Web App")</f>
        <v>Twitter Web App</v>
      </c>
      <c r="F4262" s="19">
        <v>43498.084363425922</v>
      </c>
      <c r="G4262" s="17" t="s">
        <v>13000</v>
      </c>
      <c r="H4262" s="35" t="s">
        <v>1629</v>
      </c>
      <c r="I4262" s="25" t="s">
        <v>10079</v>
      </c>
    </row>
    <row r="4263" spans="1:9" s="33" customFormat="1" ht="45">
      <c r="A4263" s="4">
        <v>43565.837037037039</v>
      </c>
      <c r="B4263" s="5" t="str">
        <f>HYPERLINK("https://twitter.com/FelixLuigino","@FelixLuigino")</f>
        <v>@FelixLuigino</v>
      </c>
      <c r="C4263" s="6" t="s">
        <v>5879</v>
      </c>
      <c r="D4263" s="7" t="s">
        <v>5880</v>
      </c>
      <c r="E4263" s="8" t="str">
        <f>HYPERLINK("http://twitter.com/download/iphone","Twitter for iPhone")</f>
        <v>Twitter for iPhone</v>
      </c>
      <c r="F4263" s="4">
        <v>41708.946354166663</v>
      </c>
      <c r="G4263" s="17" t="s">
        <v>13000</v>
      </c>
      <c r="H4263" s="35" t="s">
        <v>1629</v>
      </c>
      <c r="I4263" s="10" t="s">
        <v>5881</v>
      </c>
    </row>
    <row r="4264" spans="1:9" s="33" customFormat="1" ht="90">
      <c r="A4264" s="4">
        <v>43565.770891203705</v>
      </c>
      <c r="B4264" s="5" t="str">
        <f>HYPERLINK("https://twitter.com/ILOVENEWYORK212","@ILOVENEWYORK212")</f>
        <v>@ILOVENEWYORK212</v>
      </c>
      <c r="C4264" s="6" t="s">
        <v>2264</v>
      </c>
      <c r="D4264" s="7" t="s">
        <v>5911</v>
      </c>
      <c r="E4264" s="8" t="str">
        <f>HYPERLINK("https://buffer.com","Buffer")</f>
        <v>Buffer</v>
      </c>
      <c r="F4264" s="4">
        <v>43318.641018518523</v>
      </c>
      <c r="G4264" s="17" t="s">
        <v>13000</v>
      </c>
      <c r="H4264" s="35" t="s">
        <v>1629</v>
      </c>
      <c r="I4264" s="10" t="s">
        <v>2266</v>
      </c>
    </row>
    <row r="4265" spans="1:9" s="33" customFormat="1" ht="90">
      <c r="A4265" s="4">
        <v>43565.645960648151</v>
      </c>
      <c r="B4265" s="5" t="str">
        <f>HYPERLINK("https://twitter.com/ILOVENEWYORK212","@ILOVENEWYORK212")</f>
        <v>@ILOVENEWYORK212</v>
      </c>
      <c r="C4265" s="6" t="s">
        <v>2264</v>
      </c>
      <c r="D4265" s="7" t="s">
        <v>5969</v>
      </c>
      <c r="E4265" s="8" t="str">
        <f>HYPERLINK("https://buffer.com","Buffer")</f>
        <v>Buffer</v>
      </c>
      <c r="F4265" s="4">
        <v>43318.641018518523</v>
      </c>
      <c r="G4265" s="17" t="s">
        <v>13000</v>
      </c>
      <c r="H4265" s="35" t="s">
        <v>1629</v>
      </c>
      <c r="I4265" s="10" t="s">
        <v>2266</v>
      </c>
    </row>
    <row r="4266" spans="1:9" s="33" customFormat="1" ht="90">
      <c r="A4266" s="4">
        <v>43565.520844907413</v>
      </c>
      <c r="B4266" s="5" t="str">
        <f>HYPERLINK("https://twitter.com/ILOVENEWYORK212","@ILOVENEWYORK212")</f>
        <v>@ILOVENEWYORK212</v>
      </c>
      <c r="C4266" s="6" t="s">
        <v>2264</v>
      </c>
      <c r="D4266" s="7" t="s">
        <v>6046</v>
      </c>
      <c r="E4266" s="8" t="str">
        <f>HYPERLINK("https://buffer.com","Buffer")</f>
        <v>Buffer</v>
      </c>
      <c r="F4266" s="4">
        <v>43318.641018518523</v>
      </c>
      <c r="G4266" s="17" t="s">
        <v>13000</v>
      </c>
      <c r="H4266" s="35" t="s">
        <v>1629</v>
      </c>
      <c r="I4266" s="10" t="s">
        <v>2266</v>
      </c>
    </row>
    <row r="4267" spans="1:9" s="33" customFormat="1" ht="45">
      <c r="A4267" s="4">
        <v>43565.509675925925</v>
      </c>
      <c r="B4267" s="5" t="str">
        <f>HYPERLINK("https://twitter.com/CatherineDeGeer","@CatherineDeGeer")</f>
        <v>@CatherineDeGeer</v>
      </c>
      <c r="C4267" s="6" t="s">
        <v>6053</v>
      </c>
      <c r="D4267" s="7" t="s">
        <v>6054</v>
      </c>
      <c r="E4267" s="8" t="str">
        <f>HYPERLINK("http://twitter.com","Twitter Web Client")</f>
        <v>Twitter Web Client</v>
      </c>
      <c r="F4267" s="4">
        <v>39877.488726851851</v>
      </c>
      <c r="G4267" s="17" t="s">
        <v>13000</v>
      </c>
      <c r="H4267" s="35" t="s">
        <v>1629</v>
      </c>
      <c r="I4267" s="10" t="s">
        <v>6055</v>
      </c>
    </row>
    <row r="4268" spans="1:9" s="33" customFormat="1" ht="105">
      <c r="A4268" s="4">
        <v>43565.396261574075</v>
      </c>
      <c r="B4268" s="5" t="str">
        <f>HYPERLINK("https://twitter.com/ILOVENEWYORK212","@ILOVENEWYORK212")</f>
        <v>@ILOVENEWYORK212</v>
      </c>
      <c r="C4268" s="6" t="s">
        <v>2264</v>
      </c>
      <c r="D4268" s="7" t="s">
        <v>6118</v>
      </c>
      <c r="E4268" s="8" t="str">
        <f>HYPERLINK("https://buffer.com","Buffer")</f>
        <v>Buffer</v>
      </c>
      <c r="F4268" s="4">
        <v>43318.641018518523</v>
      </c>
      <c r="G4268" s="17" t="s">
        <v>13000</v>
      </c>
      <c r="H4268" s="35" t="s">
        <v>1629</v>
      </c>
      <c r="I4268" s="10" t="s">
        <v>2266</v>
      </c>
    </row>
    <row r="4269" spans="1:9" s="33" customFormat="1" ht="105">
      <c r="A4269" s="4">
        <v>43565.270949074074</v>
      </c>
      <c r="B4269" s="5" t="str">
        <f>HYPERLINK("https://twitter.com/ILOVENEWYORK212","@ILOVENEWYORK212")</f>
        <v>@ILOVENEWYORK212</v>
      </c>
      <c r="C4269" s="6" t="s">
        <v>2264</v>
      </c>
      <c r="D4269" s="7" t="s">
        <v>6199</v>
      </c>
      <c r="E4269" s="8" t="str">
        <f>HYPERLINK("https://buffer.com","Buffer")</f>
        <v>Buffer</v>
      </c>
      <c r="F4269" s="4">
        <v>43318.641018518523</v>
      </c>
      <c r="G4269" s="17" t="s">
        <v>13000</v>
      </c>
      <c r="H4269" s="35" t="s">
        <v>1629</v>
      </c>
      <c r="I4269" s="10" t="s">
        <v>2266</v>
      </c>
    </row>
    <row r="4270" spans="1:9" s="33" customFormat="1" ht="90">
      <c r="A4270" s="4">
        <v>43565.041944444441</v>
      </c>
      <c r="B4270" s="5" t="str">
        <f>HYPERLINK("https://twitter.com/ILOVENEWYORK212","@ILOVENEWYORK212")</f>
        <v>@ILOVENEWYORK212</v>
      </c>
      <c r="C4270" s="6" t="s">
        <v>2264</v>
      </c>
      <c r="D4270" s="7" t="s">
        <v>6334</v>
      </c>
      <c r="E4270" s="8" t="str">
        <f>HYPERLINK("https://buffer.com","Buffer")</f>
        <v>Buffer</v>
      </c>
      <c r="F4270" s="4">
        <v>43318.641018518523</v>
      </c>
      <c r="G4270" s="17" t="s">
        <v>13000</v>
      </c>
      <c r="H4270" s="35" t="s">
        <v>1629</v>
      </c>
      <c r="I4270" s="10" t="s">
        <v>2266</v>
      </c>
    </row>
    <row r="4271" spans="1:9" s="33" customFormat="1" ht="90">
      <c r="A4271" s="4">
        <v>43564.916932870372</v>
      </c>
      <c r="B4271" s="5" t="str">
        <f>HYPERLINK("https://twitter.com/ILOVENEWYORK212","@ILOVENEWYORK212")</f>
        <v>@ILOVENEWYORK212</v>
      </c>
      <c r="C4271" s="6" t="s">
        <v>2264</v>
      </c>
      <c r="D4271" s="7" t="s">
        <v>6385</v>
      </c>
      <c r="E4271" s="8" t="str">
        <f>HYPERLINK("https://buffer.com","Buffer")</f>
        <v>Buffer</v>
      </c>
      <c r="F4271" s="4">
        <v>43318.641018518523</v>
      </c>
      <c r="G4271" s="17" t="s">
        <v>13000</v>
      </c>
      <c r="H4271" s="35" t="s">
        <v>1629</v>
      </c>
      <c r="I4271" s="10" t="s">
        <v>2266</v>
      </c>
    </row>
    <row r="4272" spans="1:9" s="33" customFormat="1" ht="90">
      <c r="A4272" s="4">
        <v>43564.791701388887</v>
      </c>
      <c r="B4272" s="5" t="str">
        <f>HYPERLINK("https://twitter.com/ILOVENEWYORK212","@ILOVENEWYORK212")</f>
        <v>@ILOVENEWYORK212</v>
      </c>
      <c r="C4272" s="6" t="s">
        <v>2264</v>
      </c>
      <c r="D4272" s="7" t="s">
        <v>6409</v>
      </c>
      <c r="E4272" s="8" t="str">
        <f>HYPERLINK("https://buffer.com","Buffer")</f>
        <v>Buffer</v>
      </c>
      <c r="F4272" s="4">
        <v>43318.641018518523</v>
      </c>
      <c r="G4272" s="17" t="s">
        <v>13000</v>
      </c>
      <c r="H4272" s="35" t="s">
        <v>1629</v>
      </c>
      <c r="I4272" s="10" t="s">
        <v>2266</v>
      </c>
    </row>
    <row r="4273" spans="1:9" s="33" customFormat="1" ht="150">
      <c r="A4273" s="4">
        <v>43564.725543981476</v>
      </c>
      <c r="B4273" s="5" t="str">
        <f>HYPERLINK("https://twitter.com/inlocamotion","@inlocamotion")</f>
        <v>@inlocamotion</v>
      </c>
      <c r="C4273" s="6" t="s">
        <v>6443</v>
      </c>
      <c r="D4273" s="7" t="s">
        <v>6444</v>
      </c>
      <c r="E4273" s="8" t="str">
        <f>HYPERLINK("https://mobile.twitter.com","Twitter Web App")</f>
        <v>Twitter Web App</v>
      </c>
      <c r="F4273" s="4">
        <v>42486.373067129629</v>
      </c>
      <c r="G4273" s="17" t="s">
        <v>13000</v>
      </c>
      <c r="H4273" s="35" t="s">
        <v>1629</v>
      </c>
      <c r="I4273" s="10" t="s">
        <v>10199</v>
      </c>
    </row>
    <row r="4274" spans="1:9" s="33" customFormat="1" ht="90">
      <c r="A4274" s="4">
        <v>43564.666874999995</v>
      </c>
      <c r="B4274" s="5" t="str">
        <f>HYPERLINK("https://twitter.com/ILOVENEWYORK212","@ILOVENEWYORK212")</f>
        <v>@ILOVENEWYORK212</v>
      </c>
      <c r="C4274" s="6" t="s">
        <v>2264</v>
      </c>
      <c r="D4274" s="7" t="s">
        <v>5429</v>
      </c>
      <c r="E4274" s="8" t="str">
        <f>HYPERLINK("https://buffer.com","Buffer")</f>
        <v>Buffer</v>
      </c>
      <c r="F4274" s="4">
        <v>43318.641018518523</v>
      </c>
      <c r="G4274" s="17" t="s">
        <v>13000</v>
      </c>
      <c r="H4274" s="35" t="s">
        <v>1629</v>
      </c>
      <c r="I4274" s="10" t="s">
        <v>2266</v>
      </c>
    </row>
    <row r="4275" spans="1:9" s="33" customFormat="1" ht="90">
      <c r="A4275" s="4">
        <v>43564.542037037041</v>
      </c>
      <c r="B4275" s="5" t="str">
        <f>HYPERLINK("https://twitter.com/ILOVENEWYORK212","@ILOVENEWYORK212")</f>
        <v>@ILOVENEWYORK212</v>
      </c>
      <c r="C4275" s="6" t="s">
        <v>2264</v>
      </c>
      <c r="D4275" s="7" t="s">
        <v>6566</v>
      </c>
      <c r="E4275" s="8" t="str">
        <f>HYPERLINK("https://buffer.com","Buffer")</f>
        <v>Buffer</v>
      </c>
      <c r="F4275" s="4">
        <v>43318.641018518523</v>
      </c>
      <c r="G4275" s="17" t="s">
        <v>13000</v>
      </c>
      <c r="H4275" s="35" t="s">
        <v>1629</v>
      </c>
      <c r="I4275" s="10" t="s">
        <v>2266</v>
      </c>
    </row>
    <row r="4276" spans="1:9" s="33" customFormat="1" ht="90">
      <c r="A4276" s="4">
        <v>43564.416678240741</v>
      </c>
      <c r="B4276" s="5" t="str">
        <f>HYPERLINK("https://twitter.com/ILOVENEWYORK212","@ILOVENEWYORK212")</f>
        <v>@ILOVENEWYORK212</v>
      </c>
      <c r="C4276" s="6" t="s">
        <v>2264</v>
      </c>
      <c r="D4276" s="7" t="s">
        <v>6385</v>
      </c>
      <c r="E4276" s="8" t="str">
        <f>HYPERLINK("https://buffer.com","Buffer")</f>
        <v>Buffer</v>
      </c>
      <c r="F4276" s="4">
        <v>43318.641018518523</v>
      </c>
      <c r="G4276" s="17" t="s">
        <v>13000</v>
      </c>
      <c r="H4276" s="35" t="s">
        <v>1629</v>
      </c>
      <c r="I4276" s="10" t="s">
        <v>2266</v>
      </c>
    </row>
    <row r="4277" spans="1:9" s="33" customFormat="1" ht="105">
      <c r="A4277" s="4">
        <v>43564.320266203707</v>
      </c>
      <c r="B4277" s="5" t="str">
        <f>HYPERLINK("https://twitter.com/Sentieo","@Sentieo")</f>
        <v>@Sentieo</v>
      </c>
      <c r="C4277" s="6" t="s">
        <v>6690</v>
      </c>
      <c r="D4277" s="7" t="s">
        <v>6691</v>
      </c>
      <c r="E4277" s="8" t="str">
        <f>HYPERLINK("https://buffer.com","Buffer")</f>
        <v>Buffer</v>
      </c>
      <c r="F4277" s="4">
        <v>41035.670590277776</v>
      </c>
      <c r="G4277" s="17" t="s">
        <v>13000</v>
      </c>
      <c r="H4277" s="35" t="s">
        <v>1629</v>
      </c>
      <c r="I4277" s="10" t="s">
        <v>6692</v>
      </c>
    </row>
    <row r="4278" spans="1:9" s="33" customFormat="1" ht="60">
      <c r="A4278" s="4">
        <v>43564.311874999999</v>
      </c>
      <c r="B4278" s="5" t="str">
        <f>HYPERLINK("https://twitter.com/MikeBellafiore","@MikeBellafiore")</f>
        <v>@MikeBellafiore</v>
      </c>
      <c r="C4278" s="6" t="s">
        <v>6695</v>
      </c>
      <c r="D4278" s="7" t="s">
        <v>6696</v>
      </c>
      <c r="E4278" s="8" t="str">
        <f>HYPERLINK("http://twitter.com","Twitter Web Client")</f>
        <v>Twitter Web Client</v>
      </c>
      <c r="F4278" s="4">
        <v>39978.249942129631</v>
      </c>
      <c r="G4278" s="17" t="s">
        <v>13000</v>
      </c>
      <c r="H4278" s="35" t="s">
        <v>1629</v>
      </c>
      <c r="I4278" s="10" t="s">
        <v>6697</v>
      </c>
    </row>
    <row r="4279" spans="1:9" s="33" customFormat="1" ht="105">
      <c r="A4279" s="4">
        <v>43564.267754629633</v>
      </c>
      <c r="B4279" s="5" t="str">
        <f>HYPERLINK("https://twitter.com/elitepromocode","@elitepromocode")</f>
        <v>@elitepromocode</v>
      </c>
      <c r="C4279" s="6" t="s">
        <v>3234</v>
      </c>
      <c r="D4279" s="7" t="s">
        <v>6707</v>
      </c>
      <c r="E4279" s="8" t="str">
        <f>HYPERLINK("http://twitter.com/download/iphone","Twitter for iPhone")</f>
        <v>Twitter for iPhone</v>
      </c>
      <c r="F4279" s="4">
        <v>43357.448900462958</v>
      </c>
      <c r="G4279" s="17" t="s">
        <v>13000</v>
      </c>
      <c r="H4279" s="35" t="s">
        <v>1629</v>
      </c>
      <c r="I4279" s="10" t="s">
        <v>3234</v>
      </c>
    </row>
    <row r="4280" spans="1:9" s="33" customFormat="1" ht="90">
      <c r="A4280" s="4">
        <v>43563.770902777775</v>
      </c>
      <c r="B4280" s="5" t="str">
        <f>HYPERLINK("https://twitter.com/ILOVENEWYORK212","@ILOVENEWYORK212")</f>
        <v>@ILOVENEWYORK212</v>
      </c>
      <c r="C4280" s="6" t="s">
        <v>2264</v>
      </c>
      <c r="D4280" s="7" t="s">
        <v>6886</v>
      </c>
      <c r="E4280" s="8" t="str">
        <f>HYPERLINK("https://buffer.com","Buffer")</f>
        <v>Buffer</v>
      </c>
      <c r="F4280" s="4">
        <v>43318.641018518523</v>
      </c>
      <c r="G4280" s="17" t="s">
        <v>13000</v>
      </c>
      <c r="H4280" s="35" t="s">
        <v>1629</v>
      </c>
      <c r="I4280" s="10" t="s">
        <v>2266</v>
      </c>
    </row>
    <row r="4281" spans="1:9" s="33" customFormat="1" ht="90">
      <c r="A4281" s="4">
        <v>43563.68751157407</v>
      </c>
      <c r="B4281" s="5" t="str">
        <f>HYPERLINK("https://twitter.com/ILOVENEWYORK212","@ILOVENEWYORK212")</f>
        <v>@ILOVENEWYORK212</v>
      </c>
      <c r="C4281" s="6" t="s">
        <v>2264</v>
      </c>
      <c r="D4281" s="7" t="s">
        <v>6919</v>
      </c>
      <c r="E4281" s="8" t="str">
        <f>HYPERLINK("https://buffer.com","Buffer")</f>
        <v>Buffer</v>
      </c>
      <c r="F4281" s="4">
        <v>43318.641018518523</v>
      </c>
      <c r="G4281" s="17" t="s">
        <v>13000</v>
      </c>
      <c r="H4281" s="35" t="s">
        <v>1629</v>
      </c>
      <c r="I4281" s="10" t="s">
        <v>2266</v>
      </c>
    </row>
    <row r="4282" spans="1:9" s="33" customFormat="1" ht="75">
      <c r="A4282" s="4">
        <v>43563.640405092592</v>
      </c>
      <c r="B4282" s="5" t="str">
        <f>HYPERLINK("https://twitter.com/LovelyDupre_","@LovelyDupre_")</f>
        <v>@LovelyDupre_</v>
      </c>
      <c r="C4282" s="6" t="s">
        <v>10216</v>
      </c>
      <c r="D4282" s="7" t="s">
        <v>10217</v>
      </c>
      <c r="E4282" s="8" t="str">
        <f>HYPERLINK("http://instagram.com","Instagram")</f>
        <v>Instagram</v>
      </c>
      <c r="F4282" s="4">
        <v>40332.385520833333</v>
      </c>
      <c r="G4282" s="17" t="s">
        <v>13000</v>
      </c>
      <c r="H4282" s="35" t="s">
        <v>1629</v>
      </c>
      <c r="I4282" s="10"/>
    </row>
    <row r="4283" spans="1:9" s="33" customFormat="1" ht="90">
      <c r="A4283" s="4">
        <v>43563.45548611111</v>
      </c>
      <c r="B4283" s="5" t="str">
        <f>HYPERLINK("https://twitter.com/elitepromocode","@elitepromocode")</f>
        <v>@elitepromocode</v>
      </c>
      <c r="C4283" s="6" t="s">
        <v>3234</v>
      </c>
      <c r="D4283" s="7" t="s">
        <v>10280</v>
      </c>
      <c r="E4283" s="8" t="str">
        <f>HYPERLINK("http://twitter.com/download/iphone","Twitter for iPhone")</f>
        <v>Twitter for iPhone</v>
      </c>
      <c r="F4283" s="4">
        <v>43357.448900462958</v>
      </c>
      <c r="G4283" s="17" t="s">
        <v>13000</v>
      </c>
      <c r="H4283" s="35" t="s">
        <v>1629</v>
      </c>
      <c r="I4283" s="10" t="s">
        <v>3234</v>
      </c>
    </row>
    <row r="4284" spans="1:9" s="33" customFormat="1" ht="90">
      <c r="A4284" s="4">
        <v>43563.250509259262</v>
      </c>
      <c r="B4284" s="5" t="str">
        <f>HYPERLINK("https://twitter.com/ILOVENEWYORK212","@ILOVENEWYORK212")</f>
        <v>@ILOVENEWYORK212</v>
      </c>
      <c r="C4284" s="6" t="s">
        <v>2264</v>
      </c>
      <c r="D4284" s="7" t="s">
        <v>10421</v>
      </c>
      <c r="E4284" s="8" t="str">
        <f>HYPERLINK("https://buffer.com","Buffer")</f>
        <v>Buffer</v>
      </c>
      <c r="F4284" s="4">
        <v>43318.641018518523</v>
      </c>
      <c r="G4284" s="17" t="s">
        <v>13000</v>
      </c>
      <c r="H4284" s="35" t="s">
        <v>1629</v>
      </c>
      <c r="I4284" s="10" t="s">
        <v>2266</v>
      </c>
    </row>
    <row r="4285" spans="1:9" s="33" customFormat="1" ht="90">
      <c r="A4285" s="4">
        <v>43563.125393518523</v>
      </c>
      <c r="B4285" s="5" t="str">
        <f>HYPERLINK("https://twitter.com/ILOVENEWYORK212","@ILOVENEWYORK212")</f>
        <v>@ILOVENEWYORK212</v>
      </c>
      <c r="C4285" s="6" t="s">
        <v>2264</v>
      </c>
      <c r="D4285" s="7" t="s">
        <v>10454</v>
      </c>
      <c r="E4285" s="8" t="str">
        <f>HYPERLINK("https://buffer.com","Buffer")</f>
        <v>Buffer</v>
      </c>
      <c r="F4285" s="4">
        <v>43318.641018518523</v>
      </c>
      <c r="G4285" s="17" t="s">
        <v>13000</v>
      </c>
      <c r="H4285" s="35" t="s">
        <v>1629</v>
      </c>
      <c r="I4285" s="10" t="s">
        <v>2266</v>
      </c>
    </row>
    <row r="4286" spans="1:9" s="33" customFormat="1" ht="90">
      <c r="A4286" s="4">
        <v>43563.000196759254</v>
      </c>
      <c r="B4286" s="5" t="str">
        <f>HYPERLINK("https://twitter.com/ILOVENEWYORK212","@ILOVENEWYORK212")</f>
        <v>@ILOVENEWYORK212</v>
      </c>
      <c r="C4286" s="6" t="s">
        <v>2264</v>
      </c>
      <c r="D4286" s="7" t="s">
        <v>10514</v>
      </c>
      <c r="E4286" s="8" t="str">
        <f>HYPERLINK("https://buffer.com","Buffer")</f>
        <v>Buffer</v>
      </c>
      <c r="F4286" s="4">
        <v>43318.641018518523</v>
      </c>
      <c r="G4286" s="17" t="s">
        <v>13000</v>
      </c>
      <c r="H4286" s="35" t="s">
        <v>1629</v>
      </c>
      <c r="I4286" s="10" t="s">
        <v>2266</v>
      </c>
    </row>
    <row r="4287" spans="1:9" s="33" customFormat="1" ht="90">
      <c r="A4287" s="4">
        <v>43562.875</v>
      </c>
      <c r="B4287" s="5" t="str">
        <f>HYPERLINK("https://twitter.com/ILOVENEWYORK212","@ILOVENEWYORK212")</f>
        <v>@ILOVENEWYORK212</v>
      </c>
      <c r="C4287" s="6" t="s">
        <v>2264</v>
      </c>
      <c r="D4287" s="7" t="s">
        <v>10557</v>
      </c>
      <c r="E4287" s="8" t="str">
        <f>HYPERLINK("https://buffer.com","Buffer")</f>
        <v>Buffer</v>
      </c>
      <c r="F4287" s="4">
        <v>43318.641018518523</v>
      </c>
      <c r="G4287" s="17" t="s">
        <v>13000</v>
      </c>
      <c r="H4287" s="35" t="s">
        <v>1629</v>
      </c>
      <c r="I4287" s="10" t="s">
        <v>2266</v>
      </c>
    </row>
    <row r="4288" spans="1:9" s="33" customFormat="1" ht="105">
      <c r="A4288" s="4">
        <v>43562.862962962958</v>
      </c>
      <c r="B4288" s="5" t="str">
        <f>HYPERLINK("https://twitter.com/elitepromocode","@elitepromocode")</f>
        <v>@elitepromocode</v>
      </c>
      <c r="C4288" s="6" t="s">
        <v>3234</v>
      </c>
      <c r="D4288" s="7" t="s">
        <v>10558</v>
      </c>
      <c r="E4288" s="8" t="str">
        <f>HYPERLINK("http://twitter.com/download/iphone","Twitter for iPhone")</f>
        <v>Twitter for iPhone</v>
      </c>
      <c r="F4288" s="4">
        <v>43357.448900462958</v>
      </c>
      <c r="G4288" s="17" t="s">
        <v>13000</v>
      </c>
      <c r="H4288" s="35" t="s">
        <v>1629</v>
      </c>
      <c r="I4288" s="10" t="s">
        <v>3234</v>
      </c>
    </row>
    <row r="4289" spans="1:9" s="33" customFormat="1" ht="75">
      <c r="A4289" s="4">
        <v>43562.643379629633</v>
      </c>
      <c r="B4289" s="5" t="str">
        <f>HYPERLINK("https://twitter.com/nycwired","@nycwired")</f>
        <v>@nycwired</v>
      </c>
      <c r="C4289" s="6" t="s">
        <v>9889</v>
      </c>
      <c r="D4289" s="7" t="s">
        <v>10630</v>
      </c>
      <c r="E4289" s="8" t="str">
        <f>HYPERLINK("http://twitter.com/download/iphone","Twitter for iPhone")</f>
        <v>Twitter for iPhone</v>
      </c>
      <c r="F4289" s="4">
        <v>42398.59778935185</v>
      </c>
      <c r="G4289" s="17" t="s">
        <v>13000</v>
      </c>
      <c r="H4289" s="35" t="s">
        <v>1629</v>
      </c>
      <c r="I4289" s="10" t="s">
        <v>9891</v>
      </c>
    </row>
    <row r="4290" spans="1:9" s="33" customFormat="1" ht="90">
      <c r="A4290" s="4">
        <v>43562.270844907413</v>
      </c>
      <c r="B4290" s="5" t="str">
        <f>HYPERLINK("https://twitter.com/ILOVENEWYORK212","@ILOVENEWYORK212")</f>
        <v>@ILOVENEWYORK212</v>
      </c>
      <c r="C4290" s="6" t="s">
        <v>2264</v>
      </c>
      <c r="D4290" s="7" t="s">
        <v>5429</v>
      </c>
      <c r="E4290" s="8" t="str">
        <f>HYPERLINK("https://buffer.com","Buffer")</f>
        <v>Buffer</v>
      </c>
      <c r="F4290" s="4">
        <v>43318.641018518523</v>
      </c>
      <c r="G4290" s="17" t="s">
        <v>13000</v>
      </c>
      <c r="H4290" s="35" t="s">
        <v>1629</v>
      </c>
      <c r="I4290" s="10" t="s">
        <v>2266</v>
      </c>
    </row>
    <row r="4291" spans="1:9" s="33" customFormat="1" ht="90">
      <c r="A4291" s="4">
        <v>43562.145914351851</v>
      </c>
      <c r="B4291" s="5" t="str">
        <f>HYPERLINK("https://twitter.com/ILOVENEWYORK212","@ILOVENEWYORK212")</f>
        <v>@ILOVENEWYORK212</v>
      </c>
      <c r="C4291" s="6" t="s">
        <v>2264</v>
      </c>
      <c r="D4291" s="7" t="s">
        <v>6859</v>
      </c>
      <c r="E4291" s="8" t="str">
        <f>HYPERLINK("https://buffer.com","Buffer")</f>
        <v>Buffer</v>
      </c>
      <c r="F4291" s="4">
        <v>43318.641018518523</v>
      </c>
      <c r="G4291" s="17" t="s">
        <v>13000</v>
      </c>
      <c r="H4291" s="35" t="s">
        <v>1629</v>
      </c>
      <c r="I4291" s="10" t="s">
        <v>2266</v>
      </c>
    </row>
    <row r="4292" spans="1:9" s="33" customFormat="1" ht="90">
      <c r="A4292" s="4">
        <v>43562.020925925928</v>
      </c>
      <c r="B4292" s="5" t="str">
        <f>HYPERLINK("https://twitter.com/ILOVENEWYORK212","@ILOVENEWYORK212")</f>
        <v>@ILOVENEWYORK212</v>
      </c>
      <c r="C4292" s="6" t="s">
        <v>2264</v>
      </c>
      <c r="D4292" s="7" t="s">
        <v>10774</v>
      </c>
      <c r="E4292" s="8" t="str">
        <f>HYPERLINK("https://buffer.com","Buffer")</f>
        <v>Buffer</v>
      </c>
      <c r="F4292" s="4">
        <v>43318.641018518523</v>
      </c>
      <c r="G4292" s="17" t="s">
        <v>13000</v>
      </c>
      <c r="H4292" s="35" t="s">
        <v>1629</v>
      </c>
      <c r="I4292" s="10" t="s">
        <v>2266</v>
      </c>
    </row>
    <row r="4293" spans="1:9" s="33" customFormat="1" ht="105">
      <c r="A4293" s="4">
        <v>43561.868472222224</v>
      </c>
      <c r="B4293" s="5" t="str">
        <f>HYPERLINK("https://twitter.com/elitepromocode","@elitepromocode")</f>
        <v>@elitepromocode</v>
      </c>
      <c r="C4293" s="6" t="s">
        <v>3234</v>
      </c>
      <c r="D4293" s="7" t="s">
        <v>10813</v>
      </c>
      <c r="E4293" s="8" t="str">
        <f>HYPERLINK("http://twitter.com/download/iphone","Twitter for iPhone")</f>
        <v>Twitter for iPhone</v>
      </c>
      <c r="F4293" s="4">
        <v>43357.448900462958</v>
      </c>
      <c r="G4293" s="17" t="s">
        <v>13000</v>
      </c>
      <c r="H4293" s="35" t="s">
        <v>1629</v>
      </c>
      <c r="I4293" s="10" t="s">
        <v>3234</v>
      </c>
    </row>
    <row r="4294" spans="1:9" s="33" customFormat="1" ht="90">
      <c r="A4294" s="4">
        <v>43560.687557870369</v>
      </c>
      <c r="B4294" s="5" t="str">
        <f>HYPERLINK("https://twitter.com/ILOVENEWYORK212","@ILOVENEWYORK212")</f>
        <v>@ILOVENEWYORK212</v>
      </c>
      <c r="C4294" s="6" t="s">
        <v>2264</v>
      </c>
      <c r="D4294" s="7" t="s">
        <v>11223</v>
      </c>
      <c r="E4294" s="8" t="str">
        <f>HYPERLINK("https://buffer.com","Buffer")</f>
        <v>Buffer</v>
      </c>
      <c r="F4294" s="4">
        <v>43318.641018518523</v>
      </c>
      <c r="G4294" s="17" t="s">
        <v>13000</v>
      </c>
      <c r="H4294" s="35" t="s">
        <v>1629</v>
      </c>
      <c r="I4294" s="10" t="s">
        <v>2266</v>
      </c>
    </row>
    <row r="4295" spans="1:9" s="33" customFormat="1" ht="105">
      <c r="A4295" s="4">
        <v>43560.338263888887</v>
      </c>
      <c r="B4295" s="5" t="str">
        <f>HYPERLINK("https://twitter.com/elitepromocode","@elitepromocode")</f>
        <v>@elitepromocode</v>
      </c>
      <c r="C4295" s="6" t="s">
        <v>3234</v>
      </c>
      <c r="D4295" s="7" t="s">
        <v>11439</v>
      </c>
      <c r="E4295" s="8" t="str">
        <f>HYPERLINK("http://twitter.com/download/iphone","Twitter for iPhone")</f>
        <v>Twitter for iPhone</v>
      </c>
      <c r="F4295" s="4">
        <v>43357.448900462958</v>
      </c>
      <c r="G4295" s="17" t="s">
        <v>13000</v>
      </c>
      <c r="H4295" s="35" t="s">
        <v>1629</v>
      </c>
      <c r="I4295" s="10" t="s">
        <v>3234</v>
      </c>
    </row>
    <row r="4296" spans="1:9" s="33" customFormat="1" ht="105">
      <c r="A4296" s="4">
        <v>43559.950381944444</v>
      </c>
      <c r="B4296" s="5" t="str">
        <f>HYPERLINK("https://twitter.com/laffaloui","@laffaloui")</f>
        <v>@laffaloui</v>
      </c>
      <c r="C4296" s="6" t="s">
        <v>4410</v>
      </c>
      <c r="D4296" s="7" t="s">
        <v>11650</v>
      </c>
      <c r="E4296" s="8" t="str">
        <f>HYPERLINK("https://buffer.com","Buffer")</f>
        <v>Buffer</v>
      </c>
      <c r="F4296" s="4">
        <v>43535.304594907408</v>
      </c>
      <c r="G4296" s="17" t="s">
        <v>13000</v>
      </c>
      <c r="H4296" s="35" t="s">
        <v>1629</v>
      </c>
      <c r="I4296" s="10" t="s">
        <v>4412</v>
      </c>
    </row>
    <row r="4297" spans="1:9" s="33" customFormat="1" ht="90">
      <c r="A4297" s="4">
        <v>43559.645983796298</v>
      </c>
      <c r="B4297" s="5" t="str">
        <f>HYPERLINK("https://twitter.com/ILOVENEWYORK212","@ILOVENEWYORK212")</f>
        <v>@ILOVENEWYORK212</v>
      </c>
      <c r="C4297" s="6" t="s">
        <v>2264</v>
      </c>
      <c r="D4297" s="7" t="s">
        <v>11717</v>
      </c>
      <c r="E4297" s="8" t="str">
        <f>HYPERLINK("https://buffer.com","Buffer")</f>
        <v>Buffer</v>
      </c>
      <c r="F4297" s="4">
        <v>43318.641018518523</v>
      </c>
      <c r="G4297" s="17" t="s">
        <v>13000</v>
      </c>
      <c r="H4297" s="35" t="s">
        <v>1629</v>
      </c>
      <c r="I4297" s="10" t="s">
        <v>2266</v>
      </c>
    </row>
    <row r="4298" spans="1:9" s="33" customFormat="1" ht="90">
      <c r="A4298" s="4">
        <v>43559.607962962968</v>
      </c>
      <c r="B4298" s="5" t="str">
        <f>HYPERLINK("https://twitter.com/elitepromocode","@elitepromocode")</f>
        <v>@elitepromocode</v>
      </c>
      <c r="C4298" s="6" t="s">
        <v>3234</v>
      </c>
      <c r="D4298" s="7" t="s">
        <v>11740</v>
      </c>
      <c r="E4298" s="8" t="str">
        <f>HYPERLINK("http://twitter.com/download/iphone","Twitter for iPhone")</f>
        <v>Twitter for iPhone</v>
      </c>
      <c r="F4298" s="4">
        <v>43357.448900462958</v>
      </c>
      <c r="G4298" s="17" t="s">
        <v>13000</v>
      </c>
      <c r="H4298" s="35" t="s">
        <v>1629</v>
      </c>
      <c r="I4298" s="10" t="s">
        <v>3234</v>
      </c>
    </row>
    <row r="4299" spans="1:9" s="33" customFormat="1" ht="90">
      <c r="A4299" s="4">
        <v>43559.604166666672</v>
      </c>
      <c r="B4299" s="5" t="str">
        <f>HYPERLINK("https://twitter.com/ILOVENEWYORK212","@ILOVENEWYORK212")</f>
        <v>@ILOVENEWYORK212</v>
      </c>
      <c r="C4299" s="6" t="s">
        <v>2264</v>
      </c>
      <c r="D4299" s="7" t="s">
        <v>5340</v>
      </c>
      <c r="E4299" s="8" t="str">
        <f>HYPERLINK("https://buffer.com","Buffer")</f>
        <v>Buffer</v>
      </c>
      <c r="F4299" s="4">
        <v>43318.641018518523</v>
      </c>
      <c r="G4299" s="17" t="s">
        <v>13000</v>
      </c>
      <c r="H4299" s="35" t="s">
        <v>1629</v>
      </c>
      <c r="I4299" s="10" t="s">
        <v>2266</v>
      </c>
    </row>
    <row r="4300" spans="1:9" s="33" customFormat="1" ht="60">
      <c r="A4300" s="4">
        <v>43559.460185185184</v>
      </c>
      <c r="B4300" s="5" t="str">
        <f>HYPERLINK("https://twitter.com/WallStreetRprtr","@WallStreetRprtr")</f>
        <v>@WallStreetRprtr</v>
      </c>
      <c r="C4300" s="6" t="s">
        <v>11806</v>
      </c>
      <c r="D4300" s="7" t="s">
        <v>11807</v>
      </c>
      <c r="E4300" s="8" t="str">
        <f>HYPERLINK("http://twitter.com","Twitter Web Client")</f>
        <v>Twitter Web Client</v>
      </c>
      <c r="F4300" s="4">
        <v>39861.518425925926</v>
      </c>
      <c r="G4300" s="17" t="s">
        <v>13000</v>
      </c>
      <c r="H4300" s="35" t="s">
        <v>1629</v>
      </c>
      <c r="I4300" s="10" t="s">
        <v>11808</v>
      </c>
    </row>
    <row r="4301" spans="1:9" s="33" customFormat="1" ht="105">
      <c r="A4301" s="4">
        <v>43559.193865740745</v>
      </c>
      <c r="B4301" s="5" t="str">
        <f>HYPERLINK("https://twitter.com/elitepromocode","@elitepromocode")</f>
        <v>@elitepromocode</v>
      </c>
      <c r="C4301" s="6" t="s">
        <v>3234</v>
      </c>
      <c r="D4301" s="7" t="s">
        <v>11913</v>
      </c>
      <c r="E4301" s="8" t="str">
        <f>HYPERLINK("http://twitter.com/download/iphone","Twitter for iPhone")</f>
        <v>Twitter for iPhone</v>
      </c>
      <c r="F4301" s="4">
        <v>43357.448900462958</v>
      </c>
      <c r="G4301" s="17" t="s">
        <v>13000</v>
      </c>
      <c r="H4301" s="35" t="s">
        <v>1629</v>
      </c>
      <c r="I4301" s="10" t="s">
        <v>3234</v>
      </c>
    </row>
    <row r="4302" spans="1:9" s="33" customFormat="1" ht="90">
      <c r="A4302" s="4">
        <v>43558.791747685187</v>
      </c>
      <c r="B4302" s="5" t="str">
        <f>HYPERLINK("https://twitter.com/ILOVENEWYORK212","@ILOVENEWYORK212")</f>
        <v>@ILOVENEWYORK212</v>
      </c>
      <c r="C4302" s="6" t="s">
        <v>2264</v>
      </c>
      <c r="D4302" s="7" t="s">
        <v>5429</v>
      </c>
      <c r="E4302" s="8" t="str">
        <f>HYPERLINK("https://buffer.com","Buffer")</f>
        <v>Buffer</v>
      </c>
      <c r="F4302" s="4">
        <v>43318.641018518523</v>
      </c>
      <c r="G4302" s="17" t="s">
        <v>13000</v>
      </c>
      <c r="H4302" s="35" t="s">
        <v>1629</v>
      </c>
      <c r="I4302" s="10" t="s">
        <v>2266</v>
      </c>
    </row>
    <row r="4303" spans="1:9" s="33" customFormat="1" ht="90">
      <c r="A4303" s="4">
        <v>43558.66678240741</v>
      </c>
      <c r="B4303" s="5" t="str">
        <f>HYPERLINK("https://twitter.com/ILOVENEWYORK212","@ILOVENEWYORK212")</f>
        <v>@ILOVENEWYORK212</v>
      </c>
      <c r="C4303" s="6" t="s">
        <v>2264</v>
      </c>
      <c r="D4303" s="7" t="s">
        <v>12084</v>
      </c>
      <c r="E4303" s="8" t="str">
        <f>HYPERLINK("https://buffer.com","Buffer")</f>
        <v>Buffer</v>
      </c>
      <c r="F4303" s="4">
        <v>43318.641018518523</v>
      </c>
      <c r="G4303" s="17" t="s">
        <v>13000</v>
      </c>
      <c r="H4303" s="35" t="s">
        <v>1629</v>
      </c>
      <c r="I4303" s="10" t="s">
        <v>2266</v>
      </c>
    </row>
    <row r="4304" spans="1:9" s="33" customFormat="1" ht="105">
      <c r="A4304" s="4">
        <v>43558.541805555556</v>
      </c>
      <c r="B4304" s="5" t="str">
        <f>HYPERLINK("https://twitter.com/ILOVENEWYORK212","@ILOVENEWYORK212")</f>
        <v>@ILOVENEWYORK212</v>
      </c>
      <c r="C4304" s="6" t="s">
        <v>2264</v>
      </c>
      <c r="D4304" s="7" t="s">
        <v>12137</v>
      </c>
      <c r="E4304" s="8" t="str">
        <f>HYPERLINK("https://buffer.com","Buffer")</f>
        <v>Buffer</v>
      </c>
      <c r="F4304" s="4">
        <v>43318.641018518523</v>
      </c>
      <c r="G4304" s="17" t="s">
        <v>13000</v>
      </c>
      <c r="H4304" s="35" t="s">
        <v>1629</v>
      </c>
      <c r="I4304" s="10" t="s">
        <v>2266</v>
      </c>
    </row>
    <row r="4305" spans="1:9" s="33" customFormat="1" ht="105">
      <c r="A4305" s="4">
        <v>43558.437650462962</v>
      </c>
      <c r="B4305" s="5" t="str">
        <f>HYPERLINK("https://twitter.com/ILOVENEWYORK212","@ILOVENEWYORK212")</f>
        <v>@ILOVENEWYORK212</v>
      </c>
      <c r="C4305" s="6" t="s">
        <v>2264</v>
      </c>
      <c r="D4305" s="7" t="s">
        <v>12189</v>
      </c>
      <c r="E4305" s="8" t="str">
        <f>HYPERLINK("https://buffer.com","Buffer")</f>
        <v>Buffer</v>
      </c>
      <c r="F4305" s="4">
        <v>43318.641018518523</v>
      </c>
      <c r="G4305" s="17" t="s">
        <v>13000</v>
      </c>
      <c r="H4305" s="35" t="s">
        <v>1629</v>
      </c>
      <c r="I4305" s="10" t="s">
        <v>2266</v>
      </c>
    </row>
    <row r="4306" spans="1:9" s="33" customFormat="1" ht="90">
      <c r="A4306" s="4">
        <v>43558.409872685181</v>
      </c>
      <c r="B4306" s="5" t="str">
        <f>HYPERLINK("https://twitter.com/elitepromocode","@elitepromocode")</f>
        <v>@elitepromocode</v>
      </c>
      <c r="C4306" s="6" t="s">
        <v>3234</v>
      </c>
      <c r="D4306" s="7" t="s">
        <v>12206</v>
      </c>
      <c r="E4306" s="8" t="str">
        <f>HYPERLINK("http://twitter.com/download/iphone","Twitter for iPhone")</f>
        <v>Twitter for iPhone</v>
      </c>
      <c r="F4306" s="4">
        <v>43357.448900462958</v>
      </c>
      <c r="G4306" s="17" t="s">
        <v>13000</v>
      </c>
      <c r="H4306" s="35" t="s">
        <v>1629</v>
      </c>
      <c r="I4306" s="10" t="s">
        <v>3234</v>
      </c>
    </row>
    <row r="4307" spans="1:9" s="33" customFormat="1" ht="90">
      <c r="A4307" s="4">
        <v>43557.731967592597</v>
      </c>
      <c r="B4307" s="5" t="str">
        <f>HYPERLINK("https://twitter.com/laffaloui","@laffaloui")</f>
        <v>@laffaloui</v>
      </c>
      <c r="C4307" s="6" t="s">
        <v>4410</v>
      </c>
      <c r="D4307" s="7" t="s">
        <v>12401</v>
      </c>
      <c r="E4307" s="8" t="str">
        <f>HYPERLINK("https://buffer.com","Buffer")</f>
        <v>Buffer</v>
      </c>
      <c r="F4307" s="4">
        <v>43535.304594907408</v>
      </c>
      <c r="G4307" s="17" t="s">
        <v>13000</v>
      </c>
      <c r="H4307" s="35" t="s">
        <v>1629</v>
      </c>
      <c r="I4307" s="10" t="s">
        <v>4412</v>
      </c>
    </row>
    <row r="4308" spans="1:9" s="33" customFormat="1" ht="45">
      <c r="A4308" s="12">
        <v>43577.459513888884</v>
      </c>
      <c r="B4308" s="13" t="str">
        <f>HYPERLINK("https://twitter.com/michaelhageloh","@michaelhageloh")</f>
        <v>@michaelhageloh</v>
      </c>
      <c r="C4308" s="14" t="s">
        <v>1627</v>
      </c>
      <c r="D4308" s="15" t="s">
        <v>1628</v>
      </c>
      <c r="E4308" s="16" t="str">
        <f>HYPERLINK("https://www.hootsuite.com","Hootsuite Inc.")</f>
        <v>Hootsuite Inc.</v>
      </c>
      <c r="F4308" s="12">
        <v>41490.334849537037</v>
      </c>
      <c r="G4308" s="17" t="s">
        <v>13000</v>
      </c>
      <c r="H4308" s="35" t="s">
        <v>1629</v>
      </c>
      <c r="I4308" s="18" t="s">
        <v>1630</v>
      </c>
    </row>
    <row r="4309" spans="1:9" s="33" customFormat="1" ht="60">
      <c r="A4309" s="12">
        <v>43577.160300925927</v>
      </c>
      <c r="B4309" s="13" t="str">
        <f>HYPERLINK("https://twitter.com/BewenXie","@BewenXie")</f>
        <v>@BewenXie</v>
      </c>
      <c r="C4309" s="14" t="s">
        <v>1732</v>
      </c>
      <c r="D4309" s="15" t="s">
        <v>1733</v>
      </c>
      <c r="E4309" s="16" t="str">
        <f>HYPERLINK("http://twitter.com/download/iphone","Twitter for iPhone")</f>
        <v>Twitter for iPhone</v>
      </c>
      <c r="F4309" s="12">
        <v>42192.42224537037</v>
      </c>
      <c r="G4309" s="17" t="s">
        <v>13000</v>
      </c>
      <c r="H4309" s="35" t="s">
        <v>1629</v>
      </c>
      <c r="I4309" s="18" t="s">
        <v>1734</v>
      </c>
    </row>
    <row r="4310" spans="1:9" s="33" customFormat="1" ht="75">
      <c r="A4310" s="12">
        <v>43576.669016203705</v>
      </c>
      <c r="B4310" s="13" t="str">
        <f>HYPERLINK("https://twitter.com/SymeonRBrown","@SymeonRBrown")</f>
        <v>@SymeonRBrown</v>
      </c>
      <c r="C4310" s="14" t="s">
        <v>1874</v>
      </c>
      <c r="D4310" s="15" t="s">
        <v>1875</v>
      </c>
      <c r="E4310" s="16" t="str">
        <f>HYPERLINK("http://instagram.com","Instagram")</f>
        <v>Instagram</v>
      </c>
      <c r="F4310" s="12">
        <v>40412.596921296295</v>
      </c>
      <c r="G4310" s="17" t="s">
        <v>13000</v>
      </c>
      <c r="H4310" s="35" t="s">
        <v>1629</v>
      </c>
      <c r="I4310" s="18" t="s">
        <v>1876</v>
      </c>
    </row>
    <row r="4311" spans="1:9" s="33" customFormat="1" ht="90">
      <c r="A4311" s="12">
        <v>43575.354328703703</v>
      </c>
      <c r="B4311" s="13" t="str">
        <f>HYPERLINK("https://twitter.com/ILOVENEWYORK212","@ILOVENEWYORK212")</f>
        <v>@ILOVENEWYORK212</v>
      </c>
      <c r="C4311" s="14" t="s">
        <v>2264</v>
      </c>
      <c r="D4311" s="15" t="s">
        <v>2265</v>
      </c>
      <c r="E4311" s="16" t="str">
        <f>HYPERLINK("https://buffer.com","Buffer")</f>
        <v>Buffer</v>
      </c>
      <c r="F4311" s="12">
        <v>43318.641018518523</v>
      </c>
      <c r="G4311" s="17" t="s">
        <v>13000</v>
      </c>
      <c r="H4311" s="35" t="s">
        <v>1629</v>
      </c>
      <c r="I4311" s="18" t="s">
        <v>2266</v>
      </c>
    </row>
    <row r="4312" spans="1:9" s="33" customFormat="1" ht="45">
      <c r="A4312" s="12">
        <v>43573.586851851855</v>
      </c>
      <c r="B4312" s="13" t="str">
        <f>HYPERLINK("https://twitter.com/PeterBordes","@PeterBordes")</f>
        <v>@PeterBordes</v>
      </c>
      <c r="C4312" s="14" t="s">
        <v>2809</v>
      </c>
      <c r="D4312" s="15" t="s">
        <v>2810</v>
      </c>
      <c r="E4312" s="16" t="str">
        <f>HYPERLINK("https://buffer.com","Buffer")</f>
        <v>Buffer</v>
      </c>
      <c r="F4312" s="12">
        <v>39529.596053240741</v>
      </c>
      <c r="G4312" s="17" t="s">
        <v>13000</v>
      </c>
      <c r="H4312" s="35" t="s">
        <v>1629</v>
      </c>
      <c r="I4312" s="18" t="s">
        <v>2811</v>
      </c>
    </row>
    <row r="4313" spans="1:9" s="33" customFormat="1" ht="45">
      <c r="A4313" s="12">
        <v>43573.418796296297</v>
      </c>
      <c r="B4313" s="13" t="str">
        <f>HYPERLINK("https://twitter.com/TrajectoryCaptl","@TrajectoryCaptl")</f>
        <v>@TrajectoryCaptl</v>
      </c>
      <c r="C4313" s="14" t="s">
        <v>2875</v>
      </c>
      <c r="D4313" s="15" t="s">
        <v>2810</v>
      </c>
      <c r="E4313" s="16" t="str">
        <f>HYPERLINK("https://buffer.com","Buffer")</f>
        <v>Buffer</v>
      </c>
      <c r="F4313" s="12">
        <v>43073.325474537036</v>
      </c>
      <c r="G4313" s="17" t="s">
        <v>13000</v>
      </c>
      <c r="H4313" s="35" t="s">
        <v>1629</v>
      </c>
      <c r="I4313" s="18" t="s">
        <v>2876</v>
      </c>
    </row>
    <row r="4314" spans="1:9" s="33" customFormat="1" ht="120">
      <c r="A4314" s="12">
        <v>43573.087013888886</v>
      </c>
      <c r="B4314" s="13" t="str">
        <f>HYPERLINK("https://twitter.com/petechatziplis","@petechatziplis")</f>
        <v>@petechatziplis</v>
      </c>
      <c r="C4314" s="14" t="s">
        <v>3011</v>
      </c>
      <c r="D4314" s="15" t="s">
        <v>3012</v>
      </c>
      <c r="E4314" s="16" t="str">
        <f>HYPERLINK("http://twitter.com","Twitter Web Client")</f>
        <v>Twitter Web Client</v>
      </c>
      <c r="F4314" s="12">
        <v>41024.882037037038</v>
      </c>
      <c r="G4314" s="17" t="s">
        <v>13000</v>
      </c>
      <c r="H4314" s="35" t="s">
        <v>1629</v>
      </c>
      <c r="I4314" s="18" t="s">
        <v>3013</v>
      </c>
    </row>
    <row r="4315" spans="1:9" s="33" customFormat="1" ht="105">
      <c r="A4315" s="12">
        <v>43572.455925925926</v>
      </c>
      <c r="B4315" s="13" t="str">
        <f>HYPERLINK("https://twitter.com/elitepromocode","@elitepromocode")</f>
        <v>@elitepromocode</v>
      </c>
      <c r="C4315" s="14" t="s">
        <v>3234</v>
      </c>
      <c r="D4315" s="15" t="s">
        <v>3235</v>
      </c>
      <c r="E4315" s="16" t="str">
        <f>HYPERLINK("http://twitter.com/download/iphone","Twitter for iPhone")</f>
        <v>Twitter for iPhone</v>
      </c>
      <c r="F4315" s="12">
        <v>43357.448900462958</v>
      </c>
      <c r="G4315" s="17" t="s">
        <v>13000</v>
      </c>
      <c r="H4315" s="35" t="s">
        <v>1629</v>
      </c>
      <c r="I4315" s="18" t="s">
        <v>3234</v>
      </c>
    </row>
    <row r="4316" spans="1:9" s="33" customFormat="1" ht="90">
      <c r="A4316" s="12">
        <v>43571.770902777775</v>
      </c>
      <c r="B4316" s="13" t="str">
        <f>HYPERLINK("https://twitter.com/ILOVENEWYORK212","@ILOVENEWYORK212")</f>
        <v>@ILOVENEWYORK212</v>
      </c>
      <c r="C4316" s="14" t="s">
        <v>2264</v>
      </c>
      <c r="D4316" s="15" t="s">
        <v>3557</v>
      </c>
      <c r="E4316" s="16" t="str">
        <f>HYPERLINK("https://buffer.com","Buffer")</f>
        <v>Buffer</v>
      </c>
      <c r="F4316" s="12">
        <v>43318.641018518523</v>
      </c>
      <c r="G4316" s="17" t="s">
        <v>13000</v>
      </c>
      <c r="H4316" s="35" t="s">
        <v>1629</v>
      </c>
      <c r="I4316" s="18" t="s">
        <v>2266</v>
      </c>
    </row>
    <row r="4317" spans="1:9" s="33" customFormat="1" ht="90">
      <c r="A4317" s="12">
        <v>43571.645856481482</v>
      </c>
      <c r="B4317" s="13" t="str">
        <f>HYPERLINK("https://twitter.com/ILOVENEWYORK212","@ILOVENEWYORK212")</f>
        <v>@ILOVENEWYORK212</v>
      </c>
      <c r="C4317" s="14" t="s">
        <v>2264</v>
      </c>
      <c r="D4317" s="15" t="s">
        <v>3600</v>
      </c>
      <c r="E4317" s="16" t="str">
        <f>HYPERLINK("https://buffer.com","Buffer")</f>
        <v>Buffer</v>
      </c>
      <c r="F4317" s="12">
        <v>43318.641018518523</v>
      </c>
      <c r="G4317" s="17" t="s">
        <v>13000</v>
      </c>
      <c r="H4317" s="35" t="s">
        <v>1629</v>
      </c>
      <c r="I4317" s="18" t="s">
        <v>2266</v>
      </c>
    </row>
    <row r="4318" spans="1:9" s="33" customFormat="1" ht="45">
      <c r="A4318" s="12">
        <v>43571.541805555556</v>
      </c>
      <c r="B4318" s="13" t="str">
        <f>HYPERLINK("https://twitter.com/nytimestravel","@nytimestravel")</f>
        <v>@nytimestravel</v>
      </c>
      <c r="C4318" s="14" t="s">
        <v>3645</v>
      </c>
      <c r="D4318" s="15" t="s">
        <v>3646</v>
      </c>
      <c r="E4318" s="16" t="str">
        <f>HYPERLINK("http://www.socialflow.com","SocialFlow")</f>
        <v>SocialFlow</v>
      </c>
      <c r="F4318" s="12">
        <v>39162.445451388892</v>
      </c>
      <c r="G4318" s="17" t="s">
        <v>13000</v>
      </c>
      <c r="H4318" s="35" t="s">
        <v>1629</v>
      </c>
      <c r="I4318" s="18" t="s">
        <v>3647</v>
      </c>
    </row>
    <row r="4319" spans="1:9" s="33" customFormat="1" ht="90">
      <c r="A4319" s="12">
        <v>43571.520914351851</v>
      </c>
      <c r="B4319" s="13" t="str">
        <f>HYPERLINK("https://twitter.com/ILOVENEWYORK212","@ILOVENEWYORK212")</f>
        <v>@ILOVENEWYORK212</v>
      </c>
      <c r="C4319" s="14" t="s">
        <v>2264</v>
      </c>
      <c r="D4319" s="15" t="s">
        <v>3656</v>
      </c>
      <c r="E4319" s="16" t="str">
        <f>HYPERLINK("https://buffer.com","Buffer")</f>
        <v>Buffer</v>
      </c>
      <c r="F4319" s="12">
        <v>43318.641018518523</v>
      </c>
      <c r="G4319" s="17" t="s">
        <v>13000</v>
      </c>
      <c r="H4319" s="35" t="s">
        <v>1629</v>
      </c>
      <c r="I4319" s="18" t="s">
        <v>2266</v>
      </c>
    </row>
    <row r="4320" spans="1:9" s="33" customFormat="1" ht="90">
      <c r="A4320" s="12">
        <v>43571.395995370374</v>
      </c>
      <c r="B4320" s="13" t="str">
        <f>HYPERLINK("https://twitter.com/ILOVENEWYORK212","@ILOVENEWYORK212")</f>
        <v>@ILOVENEWYORK212</v>
      </c>
      <c r="C4320" s="14" t="s">
        <v>2264</v>
      </c>
      <c r="D4320" s="15" t="s">
        <v>3691</v>
      </c>
      <c r="E4320" s="16" t="str">
        <f>HYPERLINK("https://buffer.com","Buffer")</f>
        <v>Buffer</v>
      </c>
      <c r="F4320" s="12">
        <v>43318.641018518523</v>
      </c>
      <c r="G4320" s="17" t="s">
        <v>13000</v>
      </c>
      <c r="H4320" s="35" t="s">
        <v>1629</v>
      </c>
      <c r="I4320" s="18" t="s">
        <v>2266</v>
      </c>
    </row>
    <row r="4321" spans="1:9" s="33" customFormat="1" ht="105">
      <c r="A4321" s="12">
        <v>43571.271215277782</v>
      </c>
      <c r="B4321" s="13" t="str">
        <f>HYPERLINK("https://twitter.com/ILOVENEWYORK212","@ILOVENEWYORK212")</f>
        <v>@ILOVENEWYORK212</v>
      </c>
      <c r="C4321" s="14" t="s">
        <v>2264</v>
      </c>
      <c r="D4321" s="15" t="s">
        <v>3760</v>
      </c>
      <c r="E4321" s="16" t="str">
        <f>HYPERLINK("https://buffer.com","Buffer")</f>
        <v>Buffer</v>
      </c>
      <c r="F4321" s="12">
        <v>43318.641018518523</v>
      </c>
      <c r="G4321" s="17" t="s">
        <v>13000</v>
      </c>
      <c r="H4321" s="35" t="s">
        <v>1629</v>
      </c>
      <c r="I4321" s="18" t="s">
        <v>2266</v>
      </c>
    </row>
    <row r="4322" spans="1:9" s="33" customFormat="1" ht="60">
      <c r="A4322" s="12">
        <v>43570.354270833333</v>
      </c>
      <c r="B4322" s="13" t="str">
        <f>HYPERLINK("https://twitter.com/LexisNexis","@LexisNexis")</f>
        <v>@LexisNexis</v>
      </c>
      <c r="C4322" s="14" t="s">
        <v>4211</v>
      </c>
      <c r="D4322" s="15" t="s">
        <v>4212</v>
      </c>
      <c r="E4322" s="16" t="str">
        <f>HYPERLINK("https://sproutsocial.com","Sprout Social")</f>
        <v>Sprout Social</v>
      </c>
      <c r="F4322" s="12">
        <v>39829.525729166664</v>
      </c>
      <c r="G4322" s="17" t="s">
        <v>13000</v>
      </c>
      <c r="H4322" s="35" t="s">
        <v>1629</v>
      </c>
      <c r="I4322" s="18" t="s">
        <v>4213</v>
      </c>
    </row>
    <row r="4323" spans="1:9" s="33" customFormat="1" ht="75">
      <c r="A4323" s="12">
        <v>43570.1715162037</v>
      </c>
      <c r="B4323" s="13" t="str">
        <f>HYPERLINK("https://twitter.com/dataiku","@dataiku")</f>
        <v>@dataiku</v>
      </c>
      <c r="C4323" s="14" t="s">
        <v>4309</v>
      </c>
      <c r="D4323" s="15" t="s">
        <v>4310</v>
      </c>
      <c r="E4323" s="16" t="str">
        <f>HYPERLINK("http://www.hubspot.com/","HubSpot")</f>
        <v>HubSpot</v>
      </c>
      <c r="F4323" s="12">
        <v>41162.977500000001</v>
      </c>
      <c r="G4323" s="17" t="s">
        <v>13000</v>
      </c>
      <c r="H4323" s="35" t="s">
        <v>1629</v>
      </c>
      <c r="I4323" s="18" t="s">
        <v>4311</v>
      </c>
    </row>
    <row r="4324" spans="1:9" s="33" customFormat="1" ht="105">
      <c r="A4324" s="12">
        <v>43569.782662037032</v>
      </c>
      <c r="B4324" s="13" t="str">
        <f>HYPERLINK("https://twitter.com/laffaloui","@laffaloui")</f>
        <v>@laffaloui</v>
      </c>
      <c r="C4324" s="14" t="s">
        <v>4410</v>
      </c>
      <c r="D4324" s="15" t="s">
        <v>4411</v>
      </c>
      <c r="E4324" s="16" t="str">
        <f>HYPERLINK("https://buffer.com","Buffer")</f>
        <v>Buffer</v>
      </c>
      <c r="F4324" s="12">
        <v>43535.304594907408</v>
      </c>
      <c r="G4324" s="17" t="s">
        <v>13000</v>
      </c>
      <c r="H4324" s="35" t="s">
        <v>1629</v>
      </c>
      <c r="I4324" s="18" t="s">
        <v>4412</v>
      </c>
    </row>
    <row r="4325" spans="1:9" s="33" customFormat="1" ht="90">
      <c r="A4325" s="12">
        <v>43569.524976851855</v>
      </c>
      <c r="B4325" s="13" t="str">
        <f>HYPERLINK("https://twitter.com/MakeItPlain","@MakeItPlain")</f>
        <v>@MakeItPlain</v>
      </c>
      <c r="C4325" s="14" t="s">
        <v>4492</v>
      </c>
      <c r="D4325" s="15" t="s">
        <v>4491</v>
      </c>
      <c r="E4325" s="16" t="str">
        <f>HYPERLINK("http://www.tweetcaster.com","TweetCaster for Android")</f>
        <v>TweetCaster for Android</v>
      </c>
      <c r="F4325" s="12">
        <v>39794.393541666665</v>
      </c>
      <c r="G4325" s="17" t="s">
        <v>13000</v>
      </c>
      <c r="H4325" s="35" t="s">
        <v>1629</v>
      </c>
      <c r="I4325" s="18" t="s">
        <v>4493</v>
      </c>
    </row>
    <row r="4326" spans="1:9" s="33" customFormat="1" ht="75">
      <c r="A4326" s="12">
        <v>43569.325902777782</v>
      </c>
      <c r="B4326" s="13" t="str">
        <f>HYPERLINK("https://twitter.com/frontmezzjunkie","@frontmezzjunkie")</f>
        <v>@frontmezzjunkie</v>
      </c>
      <c r="C4326" s="14" t="s">
        <v>4552</v>
      </c>
      <c r="D4326" s="15" t="s">
        <v>4553</v>
      </c>
      <c r="E4326" s="16" t="str">
        <f>HYPERLINK("http://instagram.com","Instagram")</f>
        <v>Instagram</v>
      </c>
      <c r="F4326" s="12">
        <v>42115.520497685182</v>
      </c>
      <c r="G4326" s="17" t="s">
        <v>13000</v>
      </c>
      <c r="H4326" s="35" t="s">
        <v>1629</v>
      </c>
      <c r="I4326" s="18" t="s">
        <v>4554</v>
      </c>
    </row>
    <row r="4327" spans="1:9" s="33" customFormat="1" ht="75">
      <c r="A4327" s="12">
        <v>43568.579907407402</v>
      </c>
      <c r="B4327" s="13" t="str">
        <f>HYPERLINK("https://twitter.com/dataiku","@dataiku")</f>
        <v>@dataiku</v>
      </c>
      <c r="C4327" s="14" t="s">
        <v>4309</v>
      </c>
      <c r="D4327" s="15" t="s">
        <v>4695</v>
      </c>
      <c r="E4327" s="16" t="str">
        <f>HYPERLINK("http://www.hubspot.com/","HubSpot")</f>
        <v>HubSpot</v>
      </c>
      <c r="F4327" s="12">
        <v>41162.977500000001</v>
      </c>
      <c r="G4327" s="17" t="s">
        <v>13000</v>
      </c>
      <c r="H4327" s="35" t="s">
        <v>1629</v>
      </c>
      <c r="I4327" s="18" t="s">
        <v>4311</v>
      </c>
    </row>
    <row r="4328" spans="1:9" s="33" customFormat="1" ht="120">
      <c r="A4328" s="12">
        <v>43568.488854166666</v>
      </c>
      <c r="B4328" s="13" t="str">
        <f>HYPERLINK("https://twitter.com/mkharesign","@mkharesign")</f>
        <v>@mkharesign</v>
      </c>
      <c r="C4328" s="14" t="s">
        <v>4736</v>
      </c>
      <c r="D4328" s="15" t="s">
        <v>4737</v>
      </c>
      <c r="E4328" s="16" t="str">
        <f>HYPERLINK("http://twitter.com/download/iphone","Twitter for iPhone")</f>
        <v>Twitter for iPhone</v>
      </c>
      <c r="F4328" s="12">
        <v>43561.640740740739</v>
      </c>
      <c r="G4328" s="17" t="s">
        <v>13000</v>
      </c>
      <c r="H4328" s="35" t="s">
        <v>1629</v>
      </c>
      <c r="I4328" s="18" t="s">
        <v>4738</v>
      </c>
    </row>
    <row r="4329" spans="1:9" s="33" customFormat="1" ht="90">
      <c r="A4329" s="12">
        <v>43567.687569444446</v>
      </c>
      <c r="B4329" s="13" t="str">
        <f>HYPERLINK("https://twitter.com/ILOVENEWYORK212","@ILOVENEWYORK212")</f>
        <v>@ILOVENEWYORK212</v>
      </c>
      <c r="C4329" s="14" t="s">
        <v>2264</v>
      </c>
      <c r="D4329" s="15" t="s">
        <v>5001</v>
      </c>
      <c r="E4329" s="16" t="str">
        <f>HYPERLINK("https://buffer.com","Buffer")</f>
        <v>Buffer</v>
      </c>
      <c r="F4329" s="12">
        <v>43318.641018518523</v>
      </c>
      <c r="G4329" s="17" t="s">
        <v>13000</v>
      </c>
      <c r="H4329" s="35" t="s">
        <v>1629</v>
      </c>
      <c r="I4329" s="18" t="s">
        <v>2266</v>
      </c>
    </row>
    <row r="4330" spans="1:9" s="33" customFormat="1" ht="45">
      <c r="A4330" s="12">
        <v>43567.514293981483</v>
      </c>
      <c r="B4330" s="13" t="str">
        <f>HYPERLINK("https://twitter.com/musesondemand","@musesondemand")</f>
        <v>@musesondemand</v>
      </c>
      <c r="C4330" s="14" t="s">
        <v>5078</v>
      </c>
      <c r="D4330" s="15" t="s">
        <v>5079</v>
      </c>
      <c r="E4330" s="16" t="str">
        <f>HYPERLINK("http://twitter.com","Twitter Web Client")</f>
        <v>Twitter Web Client</v>
      </c>
      <c r="F4330" s="12">
        <v>43026.813298611116</v>
      </c>
      <c r="G4330" s="17" t="s">
        <v>13000</v>
      </c>
      <c r="H4330" s="35" t="s">
        <v>1629</v>
      </c>
      <c r="I4330" s="18" t="s">
        <v>5080</v>
      </c>
    </row>
    <row r="4331" spans="1:9" s="33" customFormat="1" ht="90">
      <c r="A4331" s="12">
        <v>43566.791770833333</v>
      </c>
      <c r="B4331" s="13" t="str">
        <f>HYPERLINK("https://twitter.com/ILOVENEWYORK212","@ILOVENEWYORK212")</f>
        <v>@ILOVENEWYORK212</v>
      </c>
      <c r="C4331" s="14" t="s">
        <v>2264</v>
      </c>
      <c r="D4331" s="15" t="s">
        <v>5340</v>
      </c>
      <c r="E4331" s="16" t="str">
        <f t="shared" ref="E4331:E4336" si="174">HYPERLINK("https://buffer.com","Buffer")</f>
        <v>Buffer</v>
      </c>
      <c r="F4331" s="12">
        <v>43318.641018518523</v>
      </c>
      <c r="G4331" s="17" t="s">
        <v>13000</v>
      </c>
      <c r="H4331" s="35" t="s">
        <v>1629</v>
      </c>
      <c r="I4331" s="18" t="s">
        <v>2266</v>
      </c>
    </row>
    <row r="4332" spans="1:9" s="33" customFormat="1" ht="90">
      <c r="A4332" s="12">
        <v>43566.666898148149</v>
      </c>
      <c r="B4332" s="13" t="str">
        <f>HYPERLINK("https://twitter.com/ILOVENEWYORK212","@ILOVENEWYORK212")</f>
        <v>@ILOVENEWYORK212</v>
      </c>
      <c r="C4332" s="14" t="s">
        <v>2264</v>
      </c>
      <c r="D4332" s="15" t="s">
        <v>5377</v>
      </c>
      <c r="E4332" s="16" t="str">
        <f t="shared" si="174"/>
        <v>Buffer</v>
      </c>
      <c r="F4332" s="12">
        <v>43318.641018518523</v>
      </c>
      <c r="G4332" s="17" t="s">
        <v>13000</v>
      </c>
      <c r="H4332" s="35" t="s">
        <v>1629</v>
      </c>
      <c r="I4332" s="18" t="s">
        <v>2266</v>
      </c>
    </row>
    <row r="4333" spans="1:9" s="33" customFormat="1" ht="75">
      <c r="A4333" s="12">
        <v>43566.54178240741</v>
      </c>
      <c r="B4333" s="13" t="str">
        <f>HYPERLINK("https://twitter.com/ILOVENEWYORK212","@ILOVENEWYORK212")</f>
        <v>@ILOVENEWYORK212</v>
      </c>
      <c r="C4333" s="14" t="s">
        <v>2264</v>
      </c>
      <c r="D4333" s="15" t="s">
        <v>5454</v>
      </c>
      <c r="E4333" s="16" t="str">
        <f t="shared" si="174"/>
        <v>Buffer</v>
      </c>
      <c r="F4333" s="12">
        <v>43318.641018518523</v>
      </c>
      <c r="G4333" s="17" t="s">
        <v>13000</v>
      </c>
      <c r="H4333" s="35" t="s">
        <v>1629</v>
      </c>
      <c r="I4333" s="18" t="s">
        <v>2266</v>
      </c>
    </row>
    <row r="4334" spans="1:9" s="33" customFormat="1" ht="90">
      <c r="A4334" s="12">
        <v>43566.417233796295</v>
      </c>
      <c r="B4334" s="13" t="str">
        <f>HYPERLINK("https://twitter.com/ILOVENEWYORK212","@ILOVENEWYORK212")</f>
        <v>@ILOVENEWYORK212</v>
      </c>
      <c r="C4334" s="14" t="s">
        <v>2264</v>
      </c>
      <c r="D4334" s="15" t="s">
        <v>5548</v>
      </c>
      <c r="E4334" s="16" t="str">
        <f t="shared" si="174"/>
        <v>Buffer</v>
      </c>
      <c r="F4334" s="12">
        <v>43318.641018518523</v>
      </c>
      <c r="G4334" s="17" t="s">
        <v>13000</v>
      </c>
      <c r="H4334" s="35" t="s">
        <v>1629</v>
      </c>
      <c r="I4334" s="18" t="s">
        <v>2266</v>
      </c>
    </row>
    <row r="4335" spans="1:9" s="33" customFormat="1" ht="90">
      <c r="A4335" s="12">
        <v>43566.292268518519</v>
      </c>
      <c r="B4335" s="13" t="str">
        <f>HYPERLINK("https://twitter.com/ILOVENEWYORK212","@ILOVENEWYORK212")</f>
        <v>@ILOVENEWYORK212</v>
      </c>
      <c r="C4335" s="14" t="s">
        <v>2264</v>
      </c>
      <c r="D4335" s="15" t="s">
        <v>5678</v>
      </c>
      <c r="E4335" s="16" t="str">
        <f t="shared" si="174"/>
        <v>Buffer</v>
      </c>
      <c r="F4335" s="12">
        <v>43318.641018518523</v>
      </c>
      <c r="G4335" s="17" t="s">
        <v>13000</v>
      </c>
      <c r="H4335" s="35" t="s">
        <v>1629</v>
      </c>
      <c r="I4335" s="18" t="s">
        <v>2266</v>
      </c>
    </row>
    <row r="4336" spans="1:9" s="33" customFormat="1" ht="45">
      <c r="A4336" s="12">
        <v>43566.191666666666</v>
      </c>
      <c r="B4336" s="13" t="str">
        <f>HYPERLINK("https://twitter.com/avkashkana","@avkashkana")</f>
        <v>@avkashkana</v>
      </c>
      <c r="C4336" s="14" t="s">
        <v>5735</v>
      </c>
      <c r="D4336" s="15" t="s">
        <v>5736</v>
      </c>
      <c r="E4336" s="16" t="str">
        <f t="shared" si="174"/>
        <v>Buffer</v>
      </c>
      <c r="F4336" s="12">
        <v>40009.464641203704</v>
      </c>
      <c r="G4336" s="17" t="s">
        <v>13000</v>
      </c>
      <c r="H4336" s="35" t="s">
        <v>1629</v>
      </c>
      <c r="I4336" s="18" t="s">
        <v>5737</v>
      </c>
    </row>
    <row r="4337" spans="1:9" s="33" customFormat="1" ht="150">
      <c r="A4337" s="12">
        <v>43564.725543981476</v>
      </c>
      <c r="B4337" s="13" t="str">
        <f>HYPERLINK("https://twitter.com/inlocamotion","@inlocamotion")</f>
        <v>@inlocamotion</v>
      </c>
      <c r="C4337" s="14" t="s">
        <v>6443</v>
      </c>
      <c r="D4337" s="15" t="s">
        <v>6444</v>
      </c>
      <c r="E4337" s="16" t="str">
        <f>HYPERLINK("https://mobile.twitter.com","Twitter Web App")</f>
        <v>Twitter Web App</v>
      </c>
      <c r="F4337" s="12">
        <v>42486.373067129629</v>
      </c>
      <c r="G4337" s="17" t="s">
        <v>13000</v>
      </c>
      <c r="H4337" s="35" t="s">
        <v>1629</v>
      </c>
      <c r="I4337" s="18" t="s">
        <v>6445</v>
      </c>
    </row>
    <row r="4338" spans="1:9" s="33" customFormat="1" ht="45">
      <c r="A4338" s="12">
        <v>43567.042523148149</v>
      </c>
      <c r="B4338" s="13" t="str">
        <f>HYPERLINK("https://twitter.com/BBabayev","@BBabayev")</f>
        <v>@BBabayev</v>
      </c>
      <c r="C4338" s="14" t="s">
        <v>5259</v>
      </c>
      <c r="D4338" s="15" t="s">
        <v>5260</v>
      </c>
      <c r="E4338" s="16" t="str">
        <f>HYPERLINK("http://twitter.com/download/iphone","Twitter for iPhone")</f>
        <v>Twitter for iPhone</v>
      </c>
      <c r="F4338" s="12">
        <v>39902.839212962965</v>
      </c>
      <c r="G4338" s="17" t="s">
        <v>13000</v>
      </c>
      <c r="H4338" s="35" t="s">
        <v>5261</v>
      </c>
      <c r="I4338" s="18" t="s">
        <v>5262</v>
      </c>
    </row>
    <row r="4339" spans="1:9" s="33" customFormat="1" ht="90">
      <c r="A4339" s="4">
        <v>43563.04519675926</v>
      </c>
      <c r="B4339" s="5" t="str">
        <f>HYPERLINK("https://twitter.com/lawjmlewis","@lawjmlewis")</f>
        <v>@lawjmlewis</v>
      </c>
      <c r="C4339" s="6" t="s">
        <v>10487</v>
      </c>
      <c r="D4339" s="7" t="s">
        <v>10488</v>
      </c>
      <c r="E4339" s="8" t="str">
        <f>HYPERLINK("https://www.hootsuite.com","Hootsuite Inc.")</f>
        <v>Hootsuite Inc.</v>
      </c>
      <c r="F4339" s="4">
        <v>41649.500520833331</v>
      </c>
      <c r="G4339" s="17" t="s">
        <v>13000</v>
      </c>
      <c r="H4339" s="35" t="s">
        <v>10489</v>
      </c>
      <c r="I4339" s="10" t="s">
        <v>10490</v>
      </c>
    </row>
    <row r="4340" spans="1:9" s="33" customFormat="1" ht="30">
      <c r="A4340" s="19">
        <v>43545.285208333335</v>
      </c>
      <c r="B4340" s="20" t="str">
        <f>HYPERLINK("https://twitter.com/TAXMAPUSA","@TAXMAPUSA")</f>
        <v>@TAXMAPUSA</v>
      </c>
      <c r="C4340" s="21" t="s">
        <v>9212</v>
      </c>
      <c r="D4340" s="22" t="s">
        <v>9213</v>
      </c>
      <c r="E4340" s="23" t="str">
        <f>HYPERLINK("https://www.hootsuite.com","Hootsuite Inc.")</f>
        <v>Hootsuite Inc.</v>
      </c>
      <c r="F4340" s="19">
        <v>41696.075208333335</v>
      </c>
      <c r="G4340" s="17" t="s">
        <v>13000</v>
      </c>
      <c r="H4340" s="35" t="s">
        <v>664</v>
      </c>
      <c r="I4340" s="25" t="s">
        <v>9214</v>
      </c>
    </row>
    <row r="4341" spans="1:9" s="33" customFormat="1" ht="30">
      <c r="A4341" s="19">
        <v>43545.285115740742</v>
      </c>
      <c r="B4341" s="20" t="str">
        <f>HYPERLINK("https://twitter.com/taxmap","@taxmap")</f>
        <v>@taxmap</v>
      </c>
      <c r="C4341" s="21" t="s">
        <v>9215</v>
      </c>
      <c r="D4341" s="22" t="s">
        <v>9213</v>
      </c>
      <c r="E4341" s="23" t="str">
        <f>HYPERLINK("https://www.hootsuite.com","Hootsuite Inc.")</f>
        <v>Hootsuite Inc.</v>
      </c>
      <c r="F4341" s="19">
        <v>41279.455879629633</v>
      </c>
      <c r="G4341" s="17" t="s">
        <v>13000</v>
      </c>
      <c r="H4341" s="35" t="s">
        <v>664</v>
      </c>
      <c r="I4341" s="25" t="s">
        <v>9216</v>
      </c>
    </row>
    <row r="4342" spans="1:9" s="33" customFormat="1" ht="150">
      <c r="A4342" s="4">
        <v>43565.569062499999</v>
      </c>
      <c r="B4342" s="5" t="str">
        <f>HYPERLINK("https://twitter.com/mtcarter10","@mtcarter10")</f>
        <v>@mtcarter10</v>
      </c>
      <c r="C4342" s="6" t="s">
        <v>6019</v>
      </c>
      <c r="D4342" s="7" t="s">
        <v>6020</v>
      </c>
      <c r="E4342" s="8" t="str">
        <f>HYPERLINK("http://twitter.com","Twitter Web Client")</f>
        <v>Twitter Web Client</v>
      </c>
      <c r="F4342" s="4">
        <v>40600.662442129629</v>
      </c>
      <c r="G4342" s="17" t="s">
        <v>13000</v>
      </c>
      <c r="H4342" s="35" t="s">
        <v>664</v>
      </c>
      <c r="I4342" s="10" t="s">
        <v>6021</v>
      </c>
    </row>
    <row r="4343" spans="1:9" s="33" customFormat="1" ht="30">
      <c r="A4343" s="4">
        <v>43563.39607638889</v>
      </c>
      <c r="B4343" s="5" t="str">
        <f>HYPERLINK("https://twitter.com/JLJarvis_Writer","@JLJarvis_Writer")</f>
        <v>@JLJarvis_Writer</v>
      </c>
      <c r="C4343" s="6" t="s">
        <v>10314</v>
      </c>
      <c r="D4343" s="7" t="s">
        <v>10315</v>
      </c>
      <c r="E4343" s="8" t="str">
        <f>HYPERLINK("http://twitter.com","Twitter Web Client")</f>
        <v>Twitter Web Client</v>
      </c>
      <c r="F4343" s="4">
        <v>40766.355034722219</v>
      </c>
      <c r="G4343" s="17" t="s">
        <v>13000</v>
      </c>
      <c r="H4343" s="35" t="s">
        <v>664</v>
      </c>
      <c r="I4343" s="10" t="s">
        <v>10316</v>
      </c>
    </row>
    <row r="4344" spans="1:9" s="33" customFormat="1" ht="45">
      <c r="A4344" s="4">
        <v>43563.285937499997</v>
      </c>
      <c r="B4344" s="5" t="str">
        <f>HYPERLINK("https://twitter.com/piZzZaslutt","@piZzZaslutt")</f>
        <v>@piZzZaslutt</v>
      </c>
      <c r="C4344" s="6" t="s">
        <v>10403</v>
      </c>
      <c r="D4344" s="7" t="s">
        <v>10404</v>
      </c>
      <c r="E4344" s="8" t="str">
        <f>HYPERLINK("http://twitter.com/download/iphone","Twitter for iPhone")</f>
        <v>Twitter for iPhone</v>
      </c>
      <c r="F4344" s="4">
        <v>43559.607083333336</v>
      </c>
      <c r="G4344" s="17" t="s">
        <v>13000</v>
      </c>
      <c r="H4344" s="35" t="s">
        <v>664</v>
      </c>
      <c r="I4344" s="10" t="s">
        <v>10405</v>
      </c>
    </row>
    <row r="4345" spans="1:9" s="33" customFormat="1" ht="60">
      <c r="A4345" s="4">
        <v>43562.252280092594</v>
      </c>
      <c r="B4345" s="5" t="str">
        <f>HYPERLINK("https://twitter.com/BrickLayer0329","@BrickLayer0329")</f>
        <v>@BrickLayer0329</v>
      </c>
      <c r="C4345" s="6" t="s">
        <v>10720</v>
      </c>
      <c r="D4345" s="7" t="s">
        <v>10721</v>
      </c>
      <c r="E4345" s="8" t="str">
        <f>HYPERLINK("http://twitter.com/download/iphone","Twitter for iPhone")</f>
        <v>Twitter for iPhone</v>
      </c>
      <c r="F4345" s="4">
        <v>43037.355150462958</v>
      </c>
      <c r="G4345" s="17" t="s">
        <v>13000</v>
      </c>
      <c r="H4345" s="35" t="s">
        <v>664</v>
      </c>
      <c r="I4345" s="10" t="s">
        <v>10722</v>
      </c>
    </row>
    <row r="4346" spans="1:9" s="33" customFormat="1" ht="105">
      <c r="A4346" s="4">
        <v>43558.600752314815</v>
      </c>
      <c r="B4346" s="5" t="str">
        <f>HYPERLINK("https://twitter.com/cryptoexpl0rer","@cryptoexpl0rer")</f>
        <v>@cryptoexpl0rer</v>
      </c>
      <c r="C4346" s="6" t="s">
        <v>12111</v>
      </c>
      <c r="D4346" s="7" t="s">
        <v>12112</v>
      </c>
      <c r="E4346" s="8" t="str">
        <f>HYPERLINK("https://ifttt.com","IFTTT")</f>
        <v>IFTTT</v>
      </c>
      <c r="F4346" s="4">
        <v>43115.463287037041</v>
      </c>
      <c r="G4346" s="17" t="s">
        <v>13000</v>
      </c>
      <c r="H4346" s="35" t="s">
        <v>664</v>
      </c>
      <c r="I4346" s="10" t="s">
        <v>12113</v>
      </c>
    </row>
    <row r="4347" spans="1:9" s="33" customFormat="1" ht="45">
      <c r="A4347" s="12">
        <v>43579.445798611108</v>
      </c>
      <c r="B4347" s="13" t="str">
        <f>HYPERLINK("https://twitter.com/Bklyn_Treasure","@Bklyn_Treasure")</f>
        <v>@Bklyn_Treasure</v>
      </c>
      <c r="C4347" s="14" t="s">
        <v>662</v>
      </c>
      <c r="D4347" s="15" t="s">
        <v>663</v>
      </c>
      <c r="E4347" s="16" t="str">
        <f>HYPERLINK("http://twitter.com","Twitter Web Client")</f>
        <v>Twitter Web Client</v>
      </c>
      <c r="F4347" s="12">
        <v>42485.170289351852</v>
      </c>
      <c r="G4347" s="17" t="s">
        <v>13000</v>
      </c>
      <c r="H4347" s="35" t="s">
        <v>664</v>
      </c>
      <c r="I4347" s="18" t="s">
        <v>665</v>
      </c>
    </row>
    <row r="4348" spans="1:9" s="33" customFormat="1" ht="45">
      <c r="A4348" s="12">
        <v>43567.441261574073</v>
      </c>
      <c r="B4348" s="13" t="str">
        <f>HYPERLINK("https://twitter.com/Incorporate1271","@Incorporate1271")</f>
        <v>@Incorporate1271</v>
      </c>
      <c r="C4348" s="14" t="s">
        <v>5103</v>
      </c>
      <c r="D4348" s="15" t="s">
        <v>5104</v>
      </c>
      <c r="E4348" s="16" t="str">
        <f>HYPERLINK("http://twitter.com","Twitter Web Client")</f>
        <v>Twitter Web Client</v>
      </c>
      <c r="F4348" s="12">
        <v>43203.345625000002</v>
      </c>
      <c r="G4348" s="17" t="s">
        <v>13000</v>
      </c>
      <c r="H4348" s="35" t="s">
        <v>664</v>
      </c>
      <c r="I4348" s="18" t="s">
        <v>5105</v>
      </c>
    </row>
    <row r="4349" spans="1:9" s="33" customFormat="1" ht="45">
      <c r="A4349" s="12">
        <v>43567.352662037039</v>
      </c>
      <c r="B4349" s="13" t="str">
        <f>HYPERLINK("https://twitter.com/3kidsandacar","@3kidsandacar")</f>
        <v>@3kidsandacar</v>
      </c>
      <c r="C4349" s="14" t="s">
        <v>5142</v>
      </c>
      <c r="D4349" s="15" t="s">
        <v>5143</v>
      </c>
      <c r="E4349" s="16" t="str">
        <f>HYPERLINK("https://threekidsandacar.com/","Three Kids and a Car")</f>
        <v>Three Kids and a Car</v>
      </c>
      <c r="F4349" s="12">
        <v>42607.509583333333</v>
      </c>
      <c r="G4349" s="17" t="s">
        <v>13000</v>
      </c>
      <c r="H4349" s="35" t="s">
        <v>664</v>
      </c>
      <c r="I4349" s="18" t="s">
        <v>5144</v>
      </c>
    </row>
    <row r="4350" spans="1:9" s="33" customFormat="1" ht="75">
      <c r="A4350" s="12">
        <v>43566.372754629629</v>
      </c>
      <c r="B4350" s="13" t="str">
        <f>HYPERLINK("https://twitter.com/pietroalioto","@pietroalioto")</f>
        <v>@pietroalioto</v>
      </c>
      <c r="C4350" s="14" t="s">
        <v>5595</v>
      </c>
      <c r="D4350" s="15" t="s">
        <v>5596</v>
      </c>
      <c r="E4350" s="16" t="str">
        <f>HYPERLINK("http://instagram.com","Instagram")</f>
        <v>Instagram</v>
      </c>
      <c r="F4350" s="12">
        <v>40404.472175925926</v>
      </c>
      <c r="G4350" s="17" t="s">
        <v>13000</v>
      </c>
      <c r="H4350" s="35" t="s">
        <v>664</v>
      </c>
      <c r="I4350" s="18" t="s">
        <v>5597</v>
      </c>
    </row>
    <row r="4351" spans="1:9" s="33" customFormat="1" ht="90">
      <c r="A4351" s="12">
        <v>43578.610821759255</v>
      </c>
      <c r="B4351" s="13" t="str">
        <f>HYPERLINK("https://twitter.com/veganndahood","@veganndahood")</f>
        <v>@veganndahood</v>
      </c>
      <c r="C4351" s="14" t="s">
        <v>1134</v>
      </c>
      <c r="D4351" s="15" t="s">
        <v>1135</v>
      </c>
      <c r="E4351" s="16" t="str">
        <f>HYPERLINK("http://instagram.com","Instagram")</f>
        <v>Instagram</v>
      </c>
      <c r="F4351" s="12">
        <v>39848.472314814819</v>
      </c>
      <c r="G4351" s="17" t="s">
        <v>13000</v>
      </c>
      <c r="H4351" s="35" t="s">
        <v>1136</v>
      </c>
      <c r="I4351" s="18" t="s">
        <v>1137</v>
      </c>
    </row>
    <row r="4352" spans="1:9" s="33" customFormat="1" ht="45">
      <c r="A4352" s="12">
        <v>43567.473796296297</v>
      </c>
      <c r="B4352" s="13" t="str">
        <f>HYPERLINK("https://twitter.com/DeniseBoger","@DeniseBoger")</f>
        <v>@DeniseBoger</v>
      </c>
      <c r="C4352" s="14" t="s">
        <v>5099</v>
      </c>
      <c r="D4352" s="15" t="s">
        <v>5100</v>
      </c>
      <c r="E4352" s="16" t="str">
        <f>HYPERLINK("http://twitter.com/download/android","Twitter for Android")</f>
        <v>Twitter for Android</v>
      </c>
      <c r="F4352" s="12">
        <v>43050.607546296298</v>
      </c>
      <c r="G4352" s="17" t="s">
        <v>13000</v>
      </c>
      <c r="H4352" s="35" t="s">
        <v>5101</v>
      </c>
      <c r="I4352" s="18"/>
    </row>
    <row r="4353" spans="1:9" s="33" customFormat="1" ht="30">
      <c r="A4353" s="4">
        <v>43560.748356481483</v>
      </c>
      <c r="B4353" s="5" t="str">
        <f>HYPERLINK("https://twitter.com/NiagaraCaribe","@NiagaraCaribe")</f>
        <v>@NiagaraCaribe</v>
      </c>
      <c r="C4353" s="6" t="s">
        <v>11190</v>
      </c>
      <c r="D4353" s="7" t="s">
        <v>11191</v>
      </c>
      <c r="E4353" s="8" t="str">
        <f>HYPERLINK("http://twitter.com/download/iphone","Twitter for iPhone")</f>
        <v>Twitter for iPhone</v>
      </c>
      <c r="F4353" s="4">
        <v>41613.24931712963</v>
      </c>
      <c r="G4353" s="17" t="s">
        <v>13000</v>
      </c>
      <c r="H4353" s="35" t="s">
        <v>11192</v>
      </c>
      <c r="I4353" s="10" t="s">
        <v>11193</v>
      </c>
    </row>
    <row r="4354" spans="1:9" s="33" customFormat="1" ht="30">
      <c r="A4354" s="4">
        <v>43560.747476851851</v>
      </c>
      <c r="B4354" s="5" t="str">
        <f>HYPERLINK("https://twitter.com/RoutzNiagara","@RoutzNiagara")</f>
        <v>@RoutzNiagara</v>
      </c>
      <c r="C4354" s="6" t="s">
        <v>11196</v>
      </c>
      <c r="D4354" s="7" t="s">
        <v>11197</v>
      </c>
      <c r="E4354" s="8" t="str">
        <f>HYPERLINK("http://twitter.com/download/iphone","Twitter for iPhone")</f>
        <v>Twitter for iPhone</v>
      </c>
      <c r="F4354" s="4">
        <v>41455.378310185188</v>
      </c>
      <c r="G4354" s="17" t="s">
        <v>13000</v>
      </c>
      <c r="H4354" s="35" t="s">
        <v>11198</v>
      </c>
      <c r="I4354" s="10"/>
    </row>
    <row r="4355" spans="1:9" s="33" customFormat="1" ht="75">
      <c r="A4355" s="19">
        <v>43547.79859953704</v>
      </c>
      <c r="B4355" s="20" t="str">
        <f>HYPERLINK("https://twitter.com/circlehousenotl","@circlehousenotl")</f>
        <v>@circlehousenotl</v>
      </c>
      <c r="C4355" s="21" t="s">
        <v>8471</v>
      </c>
      <c r="D4355" s="22" t="s">
        <v>8472</v>
      </c>
      <c r="E4355" s="23" t="str">
        <f>HYPERLINK("http://instagram.com","Instagram")</f>
        <v>Instagram</v>
      </c>
      <c r="F4355" s="19">
        <v>43360.49596064815</v>
      </c>
      <c r="G4355" s="17" t="s">
        <v>13000</v>
      </c>
      <c r="H4355" s="35" t="s">
        <v>1696</v>
      </c>
      <c r="I4355" s="25" t="s">
        <v>8473</v>
      </c>
    </row>
    <row r="4356" spans="1:9" s="33" customFormat="1" ht="45">
      <c r="A4356" s="12">
        <v>43577.234201388885</v>
      </c>
      <c r="B4356" s="13" t="str">
        <f>HYPERLINK("https://twitter.com/jason_clements","@jason_clements")</f>
        <v>@jason_clements</v>
      </c>
      <c r="C4356" s="14" t="s">
        <v>1694</v>
      </c>
      <c r="D4356" s="15" t="s">
        <v>1695</v>
      </c>
      <c r="E4356" s="16" t="str">
        <f>HYPERLINK("http://twitter.com/download/android","Twitter for Android")</f>
        <v>Twitter for Android</v>
      </c>
      <c r="F4356" s="12">
        <v>39930.239814814813</v>
      </c>
      <c r="G4356" s="17" t="s">
        <v>13000</v>
      </c>
      <c r="H4356" s="35" t="s">
        <v>1696</v>
      </c>
      <c r="I4356" s="18" t="s">
        <v>1697</v>
      </c>
    </row>
    <row r="4357" spans="1:9" s="33" customFormat="1" ht="90">
      <c r="A4357" s="4">
        <v>43561.396736111114</v>
      </c>
      <c r="B4357" s="5" t="str">
        <f>HYPERLINK("https://twitter.com/PMIIndianapolis","@PMIIndianapolis")</f>
        <v>@PMIIndianapolis</v>
      </c>
      <c r="C4357" s="6" t="s">
        <v>10984</v>
      </c>
      <c r="D4357" s="7" t="s">
        <v>10985</v>
      </c>
      <c r="E4357" s="8" t="str">
        <f>HYPERLINK("http://www.facebook.com/twitter","Facebook")</f>
        <v>Facebook</v>
      </c>
      <c r="F4357" s="4">
        <v>43010.519826388889</v>
      </c>
      <c r="G4357" s="9" t="s">
        <v>13000</v>
      </c>
      <c r="H4357" s="35" t="s">
        <v>10986</v>
      </c>
      <c r="I4357" s="10" t="s">
        <v>10987</v>
      </c>
    </row>
    <row r="4358" spans="1:9" s="33" customFormat="1" ht="90">
      <c r="A4358" s="4">
        <v>43557.521296296298</v>
      </c>
      <c r="B4358" s="5" t="str">
        <f>HYPERLINK("https://twitter.com/PMIIndianapolis","@PMIIndianapolis")</f>
        <v>@PMIIndianapolis</v>
      </c>
      <c r="C4358" s="6" t="s">
        <v>10984</v>
      </c>
      <c r="D4358" s="7" t="s">
        <v>12483</v>
      </c>
      <c r="E4358" s="8" t="str">
        <f>HYPERLINK("http://www.facebook.com/twitter","Facebook")</f>
        <v>Facebook</v>
      </c>
      <c r="F4358" s="4">
        <v>43010.519826388889</v>
      </c>
      <c r="G4358" s="9" t="s">
        <v>13000</v>
      </c>
      <c r="H4358" s="35" t="s">
        <v>10986</v>
      </c>
      <c r="I4358" s="10" t="s">
        <v>10987</v>
      </c>
    </row>
    <row r="4359" spans="1:9" s="33" customFormat="1" ht="45">
      <c r="A4359" s="12">
        <v>43574.794178240743</v>
      </c>
      <c r="B4359" s="13" t="str">
        <f>HYPERLINK("https://twitter.com/loveiosdotnet","@loveiosdotnet")</f>
        <v>@loveiosdotnet</v>
      </c>
      <c r="C4359" s="14" t="s">
        <v>2442</v>
      </c>
      <c r="D4359" s="15" t="s">
        <v>2443</v>
      </c>
      <c r="E4359" s="16" t="str">
        <f>HYPERLINK("http://twitter.com/download/iphone","Twitter for iPhone")</f>
        <v>Twitter for iPhone</v>
      </c>
      <c r="F4359" s="12">
        <v>42542.652812500004</v>
      </c>
      <c r="G4359" s="17" t="s">
        <v>13000</v>
      </c>
      <c r="H4359" s="35" t="s">
        <v>2444</v>
      </c>
      <c r="I4359" s="18" t="s">
        <v>2445</v>
      </c>
    </row>
    <row r="4360" spans="1:9" s="33" customFormat="1" ht="75">
      <c r="A4360" s="4">
        <v>43562.807604166665</v>
      </c>
      <c r="B4360" s="5" t="str">
        <f>HYPERLINK("https://twitter.com/DrewMcElroy","@DrewMcElroy")</f>
        <v>@DrewMcElroy</v>
      </c>
      <c r="C4360" s="6" t="s">
        <v>10569</v>
      </c>
      <c r="D4360" s="7" t="s">
        <v>10570</v>
      </c>
      <c r="E4360" s="8" t="str">
        <f>HYPERLINK("http://twitter.com/#!/download/ipad","Twitter for iPad")</f>
        <v>Twitter for iPad</v>
      </c>
      <c r="F4360" s="4">
        <v>39816.292314814811</v>
      </c>
      <c r="G4360" s="17" t="s">
        <v>13000</v>
      </c>
      <c r="H4360" s="35" t="s">
        <v>10571</v>
      </c>
      <c r="I4360" s="10" t="s">
        <v>10572</v>
      </c>
    </row>
    <row r="4361" spans="1:9" s="33" customFormat="1" ht="45">
      <c r="A4361" s="12">
        <v>43578.275208333333</v>
      </c>
      <c r="B4361" s="13" t="str">
        <f>HYPERLINK("https://twitter.com/CarlosCabreraHQ","@CarlosCabreraHQ")</f>
        <v>@CarlosCabreraHQ</v>
      </c>
      <c r="C4361" s="14" t="s">
        <v>1328</v>
      </c>
      <c r="D4361" s="15" t="s">
        <v>12985</v>
      </c>
      <c r="E4361" s="16" t="str">
        <f>HYPERLINK("https://ifttt.com","IFTTT")</f>
        <v>IFTTT</v>
      </c>
      <c r="F4361" s="12">
        <v>42306.00503472222</v>
      </c>
      <c r="G4361" s="17" t="s">
        <v>13000</v>
      </c>
      <c r="H4361" s="35" t="s">
        <v>1330</v>
      </c>
      <c r="I4361" s="18" t="s">
        <v>12986</v>
      </c>
    </row>
    <row r="4362" spans="1:9" s="33" customFormat="1" ht="45">
      <c r="A4362" s="12">
        <v>43571.849699074075</v>
      </c>
      <c r="B4362" s="13" t="str">
        <f>HYPERLINK("https://twitter.com/CarlosCabreraHQ","@CarlosCabreraHQ")</f>
        <v>@CarlosCabreraHQ</v>
      </c>
      <c r="C4362" s="14" t="s">
        <v>1328</v>
      </c>
      <c r="D4362" s="15" t="s">
        <v>12987</v>
      </c>
      <c r="E4362" s="16" t="str">
        <f>HYPERLINK("https://ifttt.com","IFTTT")</f>
        <v>IFTTT</v>
      </c>
      <c r="F4362" s="12">
        <v>42306.00503472222</v>
      </c>
      <c r="G4362" s="17" t="s">
        <v>13000</v>
      </c>
      <c r="H4362" s="35" t="s">
        <v>1330</v>
      </c>
      <c r="I4362" s="18" t="s">
        <v>12986</v>
      </c>
    </row>
    <row r="4363" spans="1:9" s="33" customFormat="1" ht="90">
      <c r="A4363" s="4">
        <v>43562.713287037041</v>
      </c>
      <c r="B4363" s="5" t="str">
        <f>HYPERLINK("https://twitter.com/createwithprint","@createwithprint")</f>
        <v>@createwithprint</v>
      </c>
      <c r="C4363" s="6" t="s">
        <v>10605</v>
      </c>
      <c r="D4363" s="7" t="s">
        <v>12988</v>
      </c>
      <c r="E4363" s="8" t="str">
        <f>HYPERLINK("http://twitter.com/download/iphone","Twitter for iPhone")</f>
        <v>Twitter for iPhone</v>
      </c>
      <c r="F4363" s="4">
        <v>39743.391921296294</v>
      </c>
      <c r="G4363" s="9" t="s">
        <v>13000</v>
      </c>
      <c r="H4363" s="35" t="s">
        <v>10606</v>
      </c>
      <c r="I4363" s="10" t="s">
        <v>10607</v>
      </c>
    </row>
    <row r="4364" spans="1:9" s="33" customFormat="1" ht="60">
      <c r="A4364" s="19">
        <v>43545.197881944448</v>
      </c>
      <c r="B4364" s="20" t="str">
        <f>HYPERLINK("https://twitter.com/HHkalous","@HHkalous")</f>
        <v>@HHkalous</v>
      </c>
      <c r="C4364" s="21" t="s">
        <v>9260</v>
      </c>
      <c r="D4364" s="22" t="s">
        <v>12989</v>
      </c>
      <c r="E4364" s="23" t="str">
        <f>HYPERLINK("http://twitter.com/download/iphone","Twitter for iPhone")</f>
        <v>Twitter for iPhone</v>
      </c>
      <c r="F4364" s="19">
        <v>41442.674212962964</v>
      </c>
      <c r="G4364" s="9" t="s">
        <v>13000</v>
      </c>
      <c r="H4364" s="35" t="s">
        <v>9261</v>
      </c>
      <c r="I4364" s="25"/>
    </row>
    <row r="4365" spans="1:9" s="33" customFormat="1" ht="90">
      <c r="A4365" s="4">
        <v>43563.354571759264</v>
      </c>
      <c r="B4365" s="5" t="str">
        <f>HYPERLINK("https://twitter.com/2Completion","@2Completion")</f>
        <v>@2Completion</v>
      </c>
      <c r="C4365" s="6" t="s">
        <v>10340</v>
      </c>
      <c r="D4365" s="7" t="s">
        <v>12990</v>
      </c>
      <c r="E4365" s="8" t="str">
        <f>HYPERLINK("http://twitter.com/download/android","Twitter for Android")</f>
        <v>Twitter for Android</v>
      </c>
      <c r="F4365" s="4">
        <v>42509.984930555554</v>
      </c>
      <c r="G4365" s="9" t="s">
        <v>13000</v>
      </c>
      <c r="H4365" s="35" t="s">
        <v>9261</v>
      </c>
      <c r="I4365" s="10" t="s">
        <v>12991</v>
      </c>
    </row>
    <row r="4366" spans="1:9" s="33" customFormat="1" ht="90">
      <c r="A4366" s="12">
        <v>43577.625335648147</v>
      </c>
      <c r="B4366" s="13" t="str">
        <f>HYPERLINK("https://twitter.com/TexasTrustCU","@TexasTrustCU")</f>
        <v>@TexasTrustCU</v>
      </c>
      <c r="C4366" s="14" t="s">
        <v>1539</v>
      </c>
      <c r="D4366" s="15" t="s">
        <v>12993</v>
      </c>
      <c r="E4366" s="16" t="str">
        <f>HYPERLINK("https://www.hootsuite.com","Hootsuite Inc.")</f>
        <v>Hootsuite Inc.</v>
      </c>
      <c r="F4366" s="12">
        <v>40824.800428240742</v>
      </c>
      <c r="G4366" s="17" t="s">
        <v>13000</v>
      </c>
      <c r="H4366" s="35" t="s">
        <v>1540</v>
      </c>
      <c r="I4366" s="18" t="s">
        <v>12994</v>
      </c>
    </row>
    <row r="4367" spans="1:9" s="33" customFormat="1" ht="30">
      <c r="A4367" s="4">
        <v>43560.54314814815</v>
      </c>
      <c r="B4367" s="5" t="str">
        <f>HYPERLINK("https://twitter.com/MsBiologeek","@MsBiologeek")</f>
        <v>@MsBiologeek</v>
      </c>
      <c r="C4367" s="6" t="s">
        <v>11300</v>
      </c>
      <c r="D4367" s="7" t="s">
        <v>12995</v>
      </c>
      <c r="E4367" s="8" t="str">
        <f>HYPERLINK("http://instagram.com","Instagram")</f>
        <v>Instagram</v>
      </c>
      <c r="F4367" s="4">
        <v>41989.324456018519</v>
      </c>
      <c r="G4367" s="9" t="s">
        <v>13000</v>
      </c>
      <c r="H4367" s="35" t="s">
        <v>80</v>
      </c>
      <c r="I4367" s="10" t="s">
        <v>11301</v>
      </c>
    </row>
    <row r="4368" spans="1:9" s="33" customFormat="1" ht="75">
      <c r="A4368" s="12">
        <v>43580.779768518521</v>
      </c>
      <c r="B4368" s="13" t="str">
        <f>HYPERLINK("https://twitter.com/AfricanLiberty","@AfricanLiberty")</f>
        <v>@AfricanLiberty</v>
      </c>
      <c r="C4368" s="14" t="s">
        <v>79</v>
      </c>
      <c r="D4368" s="15" t="s">
        <v>12996</v>
      </c>
      <c r="E4368" s="16" t="str">
        <f>HYPERLINK("http://twitter.com","Twitter Web Client")</f>
        <v>Twitter Web Client</v>
      </c>
      <c r="F4368" s="12">
        <v>41467.719050925924</v>
      </c>
      <c r="G4368" s="9" t="s">
        <v>13000</v>
      </c>
      <c r="H4368" s="35" t="s">
        <v>80</v>
      </c>
      <c r="I4368" s="18" t="s">
        <v>81</v>
      </c>
    </row>
    <row r="4369" spans="1:9" s="33" customFormat="1" ht="45">
      <c r="A4369" s="12">
        <v>43567.793090277773</v>
      </c>
      <c r="B4369" s="13" t="str">
        <f>HYPERLINK("https://twitter.com/neilLodder","@neilLodder")</f>
        <v>@neilLodder</v>
      </c>
      <c r="C4369" s="14" t="s">
        <v>4951</v>
      </c>
      <c r="D4369" s="15" t="s">
        <v>12997</v>
      </c>
      <c r="E4369" s="16" t="str">
        <f>HYPERLINK("http://twitter.com/download/iphone","Twitter for iPhone")</f>
        <v>Twitter for iPhone</v>
      </c>
      <c r="F4369" s="12">
        <v>40523.864374999997</v>
      </c>
      <c r="G4369" s="17" t="s">
        <v>13000</v>
      </c>
      <c r="H4369" s="35" t="s">
        <v>4952</v>
      </c>
      <c r="I4369" s="18" t="s">
        <v>4953</v>
      </c>
    </row>
    <row r="4370" spans="1:9" s="33" customFormat="1" ht="30">
      <c r="A4370" s="4">
        <v>43562.652615740742</v>
      </c>
      <c r="B4370" s="5" t="str">
        <f>HYPERLINK("https://twitter.com/JohnnyCaraveo","@JohnnyCaraveo")</f>
        <v>@JohnnyCaraveo</v>
      </c>
      <c r="C4370" s="6" t="s">
        <v>10624</v>
      </c>
      <c r="D4370" s="7" t="s">
        <v>10625</v>
      </c>
      <c r="E4370" s="8" t="str">
        <f>HYPERLINK("http://twitter.com/download/iphone","Twitter for iPhone")</f>
        <v>Twitter for iPhone</v>
      </c>
      <c r="F4370" s="4">
        <v>40776.019247685181</v>
      </c>
      <c r="G4370" s="9" t="s">
        <v>13000</v>
      </c>
      <c r="H4370" s="35" t="s">
        <v>10626</v>
      </c>
      <c r="I4370" s="10" t="s">
        <v>10627</v>
      </c>
    </row>
    <row r="4371" spans="1:9" s="33" customFormat="1" ht="120">
      <c r="A4371" s="19">
        <v>43545.384016203709</v>
      </c>
      <c r="B4371" s="20" t="str">
        <f>HYPERLINK("https://twitter.com/CarolinaMorning","@CarolinaMorning")</f>
        <v>@CarolinaMorning</v>
      </c>
      <c r="C4371" s="21" t="s">
        <v>9159</v>
      </c>
      <c r="D4371" s="22" t="s">
        <v>9160</v>
      </c>
      <c r="E4371" s="23" t="str">
        <f>HYPERLINK("http://twitter.com/download/android","Twitter for Android")</f>
        <v>Twitter for Android</v>
      </c>
      <c r="F4371" s="19">
        <v>39555.714837962965</v>
      </c>
      <c r="G4371" s="24" t="s">
        <v>13000</v>
      </c>
      <c r="H4371" s="35" t="s">
        <v>9161</v>
      </c>
      <c r="I4371" s="25" t="s">
        <v>9162</v>
      </c>
    </row>
    <row r="4372" spans="1:9" s="33" customFormat="1" ht="30">
      <c r="A4372" s="4">
        <v>43560.533125000002</v>
      </c>
      <c r="B4372" s="5" t="str">
        <f>HYPERLINK("https://twitter.com/newsradio570","@newsradio570")</f>
        <v>@newsradio570</v>
      </c>
      <c r="C4372" s="6" t="s">
        <v>11320</v>
      </c>
      <c r="D4372" s="7" t="s">
        <v>11321</v>
      </c>
      <c r="E4372" s="8" t="str">
        <f>HYPERLINK("http://www.socialflow.com","SocialFlow")</f>
        <v>SocialFlow</v>
      </c>
      <c r="F4372" s="4">
        <v>39927.262685185182</v>
      </c>
      <c r="G4372" s="24" t="s">
        <v>13000</v>
      </c>
      <c r="H4372" s="35" t="s">
        <v>9161</v>
      </c>
      <c r="I4372" s="10" t="s">
        <v>11322</v>
      </c>
    </row>
    <row r="4373" spans="1:9" s="33" customFormat="1" ht="105">
      <c r="A4373" s="19">
        <v>43545.792546296296</v>
      </c>
      <c r="B4373" s="20" t="str">
        <f>HYPERLINK("https://twitter.com/BirdsongLodge","@BirdsongLodge")</f>
        <v>@BirdsongLodge</v>
      </c>
      <c r="C4373" s="21" t="s">
        <v>9051</v>
      </c>
      <c r="D4373" s="22" t="s">
        <v>9052</v>
      </c>
      <c r="E4373" s="23" t="str">
        <f>HYPERLINK("http://twitter.com/download/iphone","Twitter for iPhone")</f>
        <v>Twitter for iPhone</v>
      </c>
      <c r="F4373" s="19">
        <v>41646.54074074074</v>
      </c>
      <c r="G4373" s="24" t="s">
        <v>13000</v>
      </c>
      <c r="H4373" s="35" t="s">
        <v>9053</v>
      </c>
      <c r="I4373" s="25" t="s">
        <v>9054</v>
      </c>
    </row>
    <row r="4374" spans="1:9" s="33" customFormat="1" ht="105">
      <c r="A4374" s="12">
        <v>43574.827094907407</v>
      </c>
      <c r="B4374" s="13" t="str">
        <f>HYPERLINK("https://twitter.com/CanuckPalms","@CanuckPalms")</f>
        <v>@CanuckPalms</v>
      </c>
      <c r="C4374" s="14" t="s">
        <v>2426</v>
      </c>
      <c r="D4374" s="15" t="s">
        <v>12791</v>
      </c>
      <c r="E4374" s="16" t="str">
        <f>HYPERLINK("https://ifttt.com","IFTTT")</f>
        <v>IFTTT</v>
      </c>
      <c r="F4374" s="12">
        <v>41744.676469907405</v>
      </c>
      <c r="G4374" s="17" t="s">
        <v>13000</v>
      </c>
      <c r="H4374" s="35" t="s">
        <v>2427</v>
      </c>
      <c r="I4374" s="18" t="s">
        <v>2428</v>
      </c>
    </row>
    <row r="4375" spans="1:9" s="33" customFormat="1" ht="120">
      <c r="A4375" s="19">
        <v>43549.683124999996</v>
      </c>
      <c r="B4375" s="20" t="str">
        <f>HYPERLINK("https://twitter.com/LupineVillage","@LupineVillage")</f>
        <v>@LupineVillage</v>
      </c>
      <c r="C4375" s="21" t="s">
        <v>7950</v>
      </c>
      <c r="D4375" s="22" t="s">
        <v>12825</v>
      </c>
      <c r="E4375" s="23" t="str">
        <f>HYPERLINK("http://twitter.com/download/android","Twitter for Android")</f>
        <v>Twitter for Android</v>
      </c>
      <c r="F4375" s="19">
        <v>42637.78707175926</v>
      </c>
      <c r="G4375" s="24" t="s">
        <v>13000</v>
      </c>
      <c r="H4375" s="35" t="s">
        <v>7951</v>
      </c>
      <c r="I4375" s="25" t="s">
        <v>7952</v>
      </c>
    </row>
    <row r="4376" spans="1:9" s="33" customFormat="1" ht="105">
      <c r="A4376" s="12">
        <v>43574.814745370371</v>
      </c>
      <c r="B4376" s="13" t="str">
        <f>HYPERLINK("https://twitter.com/azstripshows","@azstripshows")</f>
        <v>@azstripshows</v>
      </c>
      <c r="C4376" s="14" t="s">
        <v>2433</v>
      </c>
      <c r="D4376" s="15" t="s">
        <v>12879</v>
      </c>
      <c r="E4376" s="16" t="str">
        <f>HYPERLINK("https://www.hootsuite.com","Hootsuite Inc.")</f>
        <v>Hootsuite Inc.</v>
      </c>
      <c r="F4376" s="12">
        <v>42104.321921296301</v>
      </c>
      <c r="G4376" s="17" t="s">
        <v>13000</v>
      </c>
      <c r="H4376" s="35" t="s">
        <v>2434</v>
      </c>
      <c r="I4376" s="18" t="s">
        <v>2435</v>
      </c>
    </row>
    <row r="4377" spans="1:9" s="33" customFormat="1" ht="75">
      <c r="A4377" s="19">
        <v>43543.168576388889</v>
      </c>
      <c r="B4377" s="20" t="str">
        <f>HYPERLINK("https://twitter.com/bundleithome","@bundleithome")</f>
        <v>@bundleithome</v>
      </c>
      <c r="C4377" s="21" t="s">
        <v>9912</v>
      </c>
      <c r="D4377" s="22" t="s">
        <v>12920</v>
      </c>
      <c r="E4377" s="23" t="str">
        <f>HYPERLINK("http://instagram.com","Instagram")</f>
        <v>Instagram</v>
      </c>
      <c r="F4377" s="19">
        <v>42421.441909722227</v>
      </c>
      <c r="G4377" s="24" t="s">
        <v>13000</v>
      </c>
      <c r="H4377" s="35" t="s">
        <v>9913</v>
      </c>
      <c r="I4377" s="25" t="s">
        <v>9914</v>
      </c>
    </row>
    <row r="4378" spans="1:9" s="33" customFormat="1" ht="75">
      <c r="A4378" s="12">
        <v>43571.372754629629</v>
      </c>
      <c r="B4378" s="13" t="str">
        <f>HYPERLINK("https://twitter.com/CalsList","@CalsList")</f>
        <v>@CalsList</v>
      </c>
      <c r="C4378" s="14" t="s">
        <v>3704</v>
      </c>
      <c r="D4378" s="15" t="s">
        <v>12925</v>
      </c>
      <c r="E4378" s="16" t="str">
        <f>HYPERLINK("http://twitter.com","Twitter Web Client")</f>
        <v>Twitter Web Client</v>
      </c>
      <c r="F4378" s="12">
        <v>43474.421168981484</v>
      </c>
      <c r="G4378" s="17" t="s">
        <v>13000</v>
      </c>
      <c r="H4378" s="35" t="s">
        <v>3705</v>
      </c>
      <c r="I4378" s="18" t="s">
        <v>12926</v>
      </c>
    </row>
    <row r="4379" spans="1:9" s="33" customFormat="1" ht="30">
      <c r="A4379" s="12">
        <v>43569.693379629629</v>
      </c>
      <c r="B4379" s="13" t="str">
        <f>HYPERLINK("https://twitter.com/robin_schmobin","@robin_schmobin")</f>
        <v>@robin_schmobin</v>
      </c>
      <c r="C4379" s="14" t="s">
        <v>4431</v>
      </c>
      <c r="D4379" s="15" t="s">
        <v>12927</v>
      </c>
      <c r="E4379" s="16" t="str">
        <f>HYPERLINK("http://twitter.com/download/iphone","Twitter for iPhone")</f>
        <v>Twitter for iPhone</v>
      </c>
      <c r="F4379" s="12">
        <v>39857.489942129629</v>
      </c>
      <c r="G4379" s="17" t="s">
        <v>13000</v>
      </c>
      <c r="H4379" s="35" t="s">
        <v>3705</v>
      </c>
      <c r="I4379" s="18" t="s">
        <v>4432</v>
      </c>
    </row>
    <row r="4380" spans="1:9" s="33" customFormat="1" ht="60">
      <c r="A4380" s="12">
        <v>43579.739675925928</v>
      </c>
      <c r="B4380" s="13" t="str">
        <f>HYPERLINK("https://twitter.com/theroccoteam","@theroccoteam")</f>
        <v>@theroccoteam</v>
      </c>
      <c r="C4380" s="14" t="s">
        <v>477</v>
      </c>
      <c r="D4380" s="15" t="s">
        <v>12932</v>
      </c>
      <c r="E4380" s="16" t="str">
        <f>HYPERLINK("https://www.hootsuite.com","Hootsuite Inc.")</f>
        <v>Hootsuite Inc.</v>
      </c>
      <c r="F4380" s="12">
        <v>41405.396053240736</v>
      </c>
      <c r="G4380" s="17" t="s">
        <v>13000</v>
      </c>
      <c r="H4380" s="35" t="s">
        <v>478</v>
      </c>
      <c r="I4380" s="18" t="s">
        <v>479</v>
      </c>
    </row>
    <row r="4381" spans="1:9" s="33" customFormat="1" ht="105">
      <c r="A4381" s="4">
        <v>43559.554131944446</v>
      </c>
      <c r="B4381" s="5" t="str">
        <f>HYPERLINK("https://twitter.com/CottonwoodCabin","@CottonwoodCabin")</f>
        <v>@CottonwoodCabin</v>
      </c>
      <c r="C4381" s="6" t="s">
        <v>11767</v>
      </c>
      <c r="D4381" s="7" t="s">
        <v>12933</v>
      </c>
      <c r="E4381" s="8" t="str">
        <f>HYPERLINK("http://twitter.com/download/iphone","Twitter for iPhone")</f>
        <v>Twitter for iPhone</v>
      </c>
      <c r="F4381" s="4">
        <v>42791.671307870369</v>
      </c>
      <c r="G4381" s="9" t="s">
        <v>13000</v>
      </c>
      <c r="H4381" s="35" t="s">
        <v>3689</v>
      </c>
      <c r="I4381" s="10" t="s">
        <v>11768</v>
      </c>
    </row>
    <row r="4382" spans="1:9" s="33" customFormat="1" ht="60">
      <c r="A4382" s="12">
        <v>43571.396678240737</v>
      </c>
      <c r="B4382" s="13" t="str">
        <f>HYPERLINK("https://twitter.com/CottonwoodCabin","@CottonwoodCabin")</f>
        <v>@CottonwoodCabin</v>
      </c>
      <c r="C4382" s="14" t="s">
        <v>3688</v>
      </c>
      <c r="D4382" s="15" t="s">
        <v>12934</v>
      </c>
      <c r="E4382" s="16" t="str">
        <f>HYPERLINK("http://twitter.com/download/iphone","Twitter for iPhone")</f>
        <v>Twitter for iPhone</v>
      </c>
      <c r="F4382" s="12">
        <v>42791.671307870369</v>
      </c>
      <c r="G4382" s="9" t="s">
        <v>13000</v>
      </c>
      <c r="H4382" s="35" t="s">
        <v>3689</v>
      </c>
      <c r="I4382" s="18" t="s">
        <v>3690</v>
      </c>
    </row>
    <row r="4383" spans="1:9" s="33" customFormat="1" ht="75">
      <c r="A4383" s="12">
        <v>43567.28061342593</v>
      </c>
      <c r="B4383" s="13" t="str">
        <f>HYPERLINK("https://twitter.com/CottonwoodCabin","@CottonwoodCabin")</f>
        <v>@CottonwoodCabin</v>
      </c>
      <c r="C4383" s="14" t="s">
        <v>3688</v>
      </c>
      <c r="D4383" s="15" t="s">
        <v>12935</v>
      </c>
      <c r="E4383" s="16" t="str">
        <f>HYPERLINK("http://twitter.com/download/iphone","Twitter for iPhone")</f>
        <v>Twitter for iPhone</v>
      </c>
      <c r="F4383" s="12">
        <v>42791.671307870369</v>
      </c>
      <c r="G4383" s="9" t="s">
        <v>13000</v>
      </c>
      <c r="H4383" s="35" t="s">
        <v>3689</v>
      </c>
      <c r="I4383" s="18" t="s">
        <v>3690</v>
      </c>
    </row>
    <row r="4384" spans="1:9" s="33" customFormat="1" ht="75">
      <c r="A4384" s="12">
        <v>43578.240543981483</v>
      </c>
      <c r="B4384" s="13" t="str">
        <f>HYPERLINK("https://twitter.com/TopsyFarms","@TopsyFarms")</f>
        <v>@TopsyFarms</v>
      </c>
      <c r="C4384" s="14" t="s">
        <v>1347</v>
      </c>
      <c r="D4384" s="15" t="s">
        <v>12937</v>
      </c>
      <c r="E4384" s="16" t="str">
        <f>HYPERLINK("https://ifttt.com","IFTTT")</f>
        <v>IFTTT</v>
      </c>
      <c r="F4384" s="12">
        <v>40745.360173611109</v>
      </c>
      <c r="G4384" s="17" t="s">
        <v>13000</v>
      </c>
      <c r="H4384" s="35" t="s">
        <v>1348</v>
      </c>
      <c r="I4384" s="18" t="s">
        <v>1349</v>
      </c>
    </row>
    <row r="4385" spans="1:9" s="33" customFormat="1" ht="90">
      <c r="A4385" s="4">
        <v>43565.290509259255</v>
      </c>
      <c r="B4385" s="5" t="str">
        <f>HYPERLINK("https://twitter.com/ShannonHazel6","@ShannonHazel6")</f>
        <v>@ShannonHazel6</v>
      </c>
      <c r="C4385" s="6" t="s">
        <v>4837</v>
      </c>
      <c r="D4385" s="7" t="s">
        <v>12938</v>
      </c>
      <c r="E4385" s="8" t="str">
        <f>HYPERLINK("http://twitter.com","Twitter Web Client")</f>
        <v>Twitter Web Client</v>
      </c>
      <c r="F4385" s="4">
        <v>43484.654027777782</v>
      </c>
      <c r="G4385" s="17" t="s">
        <v>13000</v>
      </c>
      <c r="H4385" s="35" t="s">
        <v>4838</v>
      </c>
      <c r="I4385" s="10" t="s">
        <v>4839</v>
      </c>
    </row>
    <row r="4386" spans="1:9" s="33" customFormat="1" ht="75">
      <c r="A4386" s="12">
        <v>43568.235636574071</v>
      </c>
      <c r="B4386" s="13" t="str">
        <f>HYPERLINK("https://twitter.com/ShannonHazel6","@ShannonHazel6")</f>
        <v>@ShannonHazel6</v>
      </c>
      <c r="C4386" s="14" t="s">
        <v>4837</v>
      </c>
      <c r="D4386" s="15" t="s">
        <v>12939</v>
      </c>
      <c r="E4386" s="16" t="str">
        <f>HYPERLINK("http://twitter.com","Twitter Web Client")</f>
        <v>Twitter Web Client</v>
      </c>
      <c r="F4386" s="12">
        <v>43484.654027777782</v>
      </c>
      <c r="G4386" s="17" t="s">
        <v>13000</v>
      </c>
      <c r="H4386" s="35" t="s">
        <v>4838</v>
      </c>
      <c r="I4386" s="18" t="s">
        <v>4839</v>
      </c>
    </row>
    <row r="4387" spans="1:9" s="33" customFormat="1" ht="105">
      <c r="A4387" s="19">
        <v>43551.592557870375</v>
      </c>
      <c r="B4387" s="20" t="str">
        <f t="shared" ref="B4387:B4395" si="175">HYPERLINK("https://twitter.com/Lat61_ak","@Lat61_ak")</f>
        <v>@Lat61_ak</v>
      </c>
      <c r="C4387" s="21" t="s">
        <v>571</v>
      </c>
      <c r="D4387" s="22" t="s">
        <v>12954</v>
      </c>
      <c r="E4387" s="23" t="str">
        <f>HYPERLINK("https://www.ripl.com","Ripl App")</f>
        <v>Ripl App</v>
      </c>
      <c r="F4387" s="19">
        <v>43329.80333333333</v>
      </c>
      <c r="G4387" s="24" t="s">
        <v>13000</v>
      </c>
      <c r="H4387" s="35" t="s">
        <v>572</v>
      </c>
      <c r="I4387" s="25" t="s">
        <v>573</v>
      </c>
    </row>
    <row r="4388" spans="1:9" s="33" customFormat="1" ht="120">
      <c r="A4388" s="19">
        <v>43547.432453703703</v>
      </c>
      <c r="B4388" s="20" t="str">
        <f t="shared" si="175"/>
        <v>@Lat61_ak</v>
      </c>
      <c r="C4388" s="21" t="s">
        <v>571</v>
      </c>
      <c r="D4388" s="22" t="s">
        <v>12955</v>
      </c>
      <c r="E4388" s="23" t="str">
        <f>HYPERLINK("https://buffer.com","Buffer")</f>
        <v>Buffer</v>
      </c>
      <c r="F4388" s="19">
        <v>43329.80333333333</v>
      </c>
      <c r="G4388" s="24" t="s">
        <v>13000</v>
      </c>
      <c r="H4388" s="35" t="s">
        <v>572</v>
      </c>
      <c r="I4388" s="25" t="s">
        <v>573</v>
      </c>
    </row>
    <row r="4389" spans="1:9" s="33" customFormat="1" ht="105">
      <c r="A4389" s="19">
        <v>43545.601527777777</v>
      </c>
      <c r="B4389" s="20" t="str">
        <f t="shared" si="175"/>
        <v>@Lat61_ak</v>
      </c>
      <c r="C4389" s="21" t="s">
        <v>571</v>
      </c>
      <c r="D4389" s="22" t="s">
        <v>12956</v>
      </c>
      <c r="E4389" s="23" t="str">
        <f>HYPERLINK("https://www.ripl.com","Ripl App")</f>
        <v>Ripl App</v>
      </c>
      <c r="F4389" s="19">
        <v>43329.80333333333</v>
      </c>
      <c r="G4389" s="24" t="s">
        <v>13000</v>
      </c>
      <c r="H4389" s="35" t="s">
        <v>572</v>
      </c>
      <c r="I4389" s="25" t="s">
        <v>573</v>
      </c>
    </row>
    <row r="4390" spans="1:9" s="33" customFormat="1" ht="90">
      <c r="A4390" s="19">
        <v>43544.809212962966</v>
      </c>
      <c r="B4390" s="20" t="str">
        <f t="shared" si="175"/>
        <v>@Lat61_ak</v>
      </c>
      <c r="C4390" s="21" t="s">
        <v>571</v>
      </c>
      <c r="D4390" s="22" t="s">
        <v>12957</v>
      </c>
      <c r="E4390" s="23" t="str">
        <f>HYPERLINK("https://www.ripl.com","Ripl App")</f>
        <v>Ripl App</v>
      </c>
      <c r="F4390" s="19">
        <v>43329.80333333333</v>
      </c>
      <c r="G4390" s="24" t="s">
        <v>13000</v>
      </c>
      <c r="H4390" s="35" t="s">
        <v>572</v>
      </c>
      <c r="I4390" s="25" t="s">
        <v>573</v>
      </c>
    </row>
    <row r="4391" spans="1:9" s="33" customFormat="1" ht="75">
      <c r="A4391" s="19">
        <v>43542.94913194445</v>
      </c>
      <c r="B4391" s="20" t="str">
        <f t="shared" si="175"/>
        <v>@Lat61_ak</v>
      </c>
      <c r="C4391" s="21" t="s">
        <v>571</v>
      </c>
      <c r="D4391" s="22" t="s">
        <v>12958</v>
      </c>
      <c r="E4391" s="23" t="str">
        <f>HYPERLINK("http://instagram.com","Instagram")</f>
        <v>Instagram</v>
      </c>
      <c r="F4391" s="19">
        <v>43329.80333333333</v>
      </c>
      <c r="G4391" s="24" t="s">
        <v>13000</v>
      </c>
      <c r="H4391" s="35" t="s">
        <v>572</v>
      </c>
      <c r="I4391" s="25" t="s">
        <v>573</v>
      </c>
    </row>
    <row r="4392" spans="1:9" s="33" customFormat="1" ht="90">
      <c r="A4392" s="12">
        <v>43579.573703703703</v>
      </c>
      <c r="B4392" s="13" t="str">
        <f t="shared" si="175"/>
        <v>@Lat61_ak</v>
      </c>
      <c r="C4392" s="14" t="s">
        <v>571</v>
      </c>
      <c r="D4392" s="15" t="s">
        <v>12959</v>
      </c>
      <c r="E4392" s="16" t="str">
        <f>HYPERLINK("https://www.ripl.com","Ripl App")</f>
        <v>Ripl App</v>
      </c>
      <c r="F4392" s="12">
        <v>43329.80333333333</v>
      </c>
      <c r="G4392" s="24" t="s">
        <v>13000</v>
      </c>
      <c r="H4392" s="35" t="s">
        <v>572</v>
      </c>
      <c r="I4392" s="18" t="s">
        <v>573</v>
      </c>
    </row>
    <row r="4393" spans="1:9" s="33" customFormat="1" ht="75">
      <c r="A4393" s="12">
        <v>43573.867789351847</v>
      </c>
      <c r="B4393" s="13" t="str">
        <f t="shared" si="175"/>
        <v>@Lat61_ak</v>
      </c>
      <c r="C4393" s="14" t="s">
        <v>571</v>
      </c>
      <c r="D4393" s="15" t="s">
        <v>12960</v>
      </c>
      <c r="E4393" s="16" t="str">
        <f>HYPERLINK("http://instagram.com","Instagram")</f>
        <v>Instagram</v>
      </c>
      <c r="F4393" s="12">
        <v>43329.80333333333</v>
      </c>
      <c r="G4393" s="24" t="s">
        <v>13000</v>
      </c>
      <c r="H4393" s="35" t="s">
        <v>572</v>
      </c>
      <c r="I4393" s="18" t="s">
        <v>573</v>
      </c>
    </row>
    <row r="4394" spans="1:9" s="33" customFormat="1" ht="75">
      <c r="A4394" s="12">
        <v>43572.725451388891</v>
      </c>
      <c r="B4394" s="13" t="str">
        <f t="shared" si="175"/>
        <v>@Lat61_ak</v>
      </c>
      <c r="C4394" s="14" t="s">
        <v>571</v>
      </c>
      <c r="D4394" s="15" t="s">
        <v>12961</v>
      </c>
      <c r="E4394" s="16" t="str">
        <f>HYPERLINK("http://instagram.com","Instagram")</f>
        <v>Instagram</v>
      </c>
      <c r="F4394" s="12">
        <v>43329.80333333333</v>
      </c>
      <c r="G4394" s="24" t="s">
        <v>13000</v>
      </c>
      <c r="H4394" s="35" t="s">
        <v>572</v>
      </c>
      <c r="I4394" s="18" t="s">
        <v>573</v>
      </c>
    </row>
    <row r="4395" spans="1:9" s="33" customFormat="1" ht="90">
      <c r="A4395" s="12">
        <v>43567.589074074072</v>
      </c>
      <c r="B4395" s="13" t="str">
        <f t="shared" si="175"/>
        <v>@Lat61_ak</v>
      </c>
      <c r="C4395" s="14" t="s">
        <v>571</v>
      </c>
      <c r="D4395" s="15" t="s">
        <v>12962</v>
      </c>
      <c r="E4395" s="16" t="str">
        <f>HYPERLINK("https://www.ripl.com","Ripl App")</f>
        <v>Ripl App</v>
      </c>
      <c r="F4395" s="12">
        <v>43329.80333333333</v>
      </c>
      <c r="G4395" s="24" t="s">
        <v>13000</v>
      </c>
      <c r="H4395" s="35" t="s">
        <v>572</v>
      </c>
      <c r="I4395" s="18" t="s">
        <v>573</v>
      </c>
    </row>
    <row r="4396" spans="1:9" s="33" customFormat="1" ht="105">
      <c r="A4396" s="19">
        <v>43550.404178240744</v>
      </c>
      <c r="B4396" s="20" t="str">
        <f>HYPERLINK("https://twitter.com/pinkmakomedia","@pinkmakomedia")</f>
        <v>@pinkmakomedia</v>
      </c>
      <c r="C4396" s="21" t="s">
        <v>6627</v>
      </c>
      <c r="D4396" s="22" t="s">
        <v>12963</v>
      </c>
      <c r="E4396" s="23" t="str">
        <f>HYPERLINK("https://sproutsocial.com","Sprout Social")</f>
        <v>Sprout Social</v>
      </c>
      <c r="F4396" s="19">
        <v>43172.632881944446</v>
      </c>
      <c r="G4396" s="24" t="s">
        <v>13000</v>
      </c>
      <c r="H4396" s="35" t="s">
        <v>6628</v>
      </c>
      <c r="I4396" s="25"/>
    </row>
    <row r="4397" spans="1:9" s="33" customFormat="1" ht="90">
      <c r="A4397" s="4">
        <v>43564.410520833335</v>
      </c>
      <c r="B4397" s="5" t="str">
        <f>HYPERLINK("https://twitter.com/pinkmakomedia","@pinkmakomedia")</f>
        <v>@pinkmakomedia</v>
      </c>
      <c r="C4397" s="6" t="s">
        <v>6627</v>
      </c>
      <c r="D4397" s="7" t="s">
        <v>12964</v>
      </c>
      <c r="E4397" s="8" t="str">
        <f>HYPERLINK("https://sproutsocial.com","Sprout Social")</f>
        <v>Sprout Social</v>
      </c>
      <c r="F4397" s="4">
        <v>43172.632881944446</v>
      </c>
      <c r="G4397" s="24" t="s">
        <v>13000</v>
      </c>
      <c r="H4397" s="35" t="s">
        <v>6628</v>
      </c>
      <c r="I4397" s="10"/>
    </row>
    <row r="4398" spans="1:9" s="33" customFormat="1" ht="105">
      <c r="A4398" s="4">
        <v>43557.491701388892</v>
      </c>
      <c r="B4398" s="5" t="str">
        <f>HYPERLINK("https://twitter.com/pinkmakomedia","@pinkmakomedia")</f>
        <v>@pinkmakomedia</v>
      </c>
      <c r="C4398" s="6" t="s">
        <v>6627</v>
      </c>
      <c r="D4398" s="7" t="s">
        <v>12965</v>
      </c>
      <c r="E4398" s="8" t="str">
        <f>HYPERLINK("https://sproutsocial.com","Sprout Social")</f>
        <v>Sprout Social</v>
      </c>
      <c r="F4398" s="4">
        <v>43172.632881944446</v>
      </c>
      <c r="G4398" s="24" t="s">
        <v>13000</v>
      </c>
      <c r="H4398" s="35" t="s">
        <v>6628</v>
      </c>
      <c r="I4398" s="10"/>
    </row>
    <row r="4399" spans="1:9" s="33" customFormat="1" ht="60">
      <c r="A4399" s="12">
        <v>43579.235798611116</v>
      </c>
      <c r="B4399" s="13" t="str">
        <f>HYPERLINK("https://twitter.com/tilov2","@tilov2")</f>
        <v>@tilov2</v>
      </c>
      <c r="C4399" s="14" t="s">
        <v>830</v>
      </c>
      <c r="D4399" s="15" t="s">
        <v>12981</v>
      </c>
      <c r="E4399" s="16" t="str">
        <f>HYPERLINK("http://twitter.com/download/iphone","Twitter for iPhone")</f>
        <v>Twitter for iPhone</v>
      </c>
      <c r="F4399" s="12">
        <v>41324.911354166667</v>
      </c>
      <c r="G4399" s="17" t="s">
        <v>13000</v>
      </c>
      <c r="H4399" s="35" t="s">
        <v>831</v>
      </c>
      <c r="I4399" s="18" t="s">
        <v>12982</v>
      </c>
    </row>
    <row r="4400" spans="1:9" s="33" customFormat="1" ht="90">
      <c r="A4400" s="4">
        <v>43558.585173611107</v>
      </c>
      <c r="B4400" s="5" t="str">
        <f>HYPERLINK("https://twitter.com/grovehausFS","@grovehausFS")</f>
        <v>@grovehausFS</v>
      </c>
      <c r="C4400" s="6" t="s">
        <v>12117</v>
      </c>
      <c r="D4400" s="7" t="s">
        <v>12820</v>
      </c>
      <c r="E4400" s="8" t="str">
        <f>HYPERLINK("http://twitter.com","Twitter Web Client")</f>
        <v>Twitter Web Client</v>
      </c>
      <c r="F4400" s="4">
        <v>41817.214548611111</v>
      </c>
      <c r="G4400" s="9" t="s">
        <v>13000</v>
      </c>
      <c r="H4400" s="35" t="s">
        <v>12118</v>
      </c>
      <c r="I4400" s="10" t="s">
        <v>12119</v>
      </c>
    </row>
    <row r="4401" spans="1:9" s="33" customFormat="1" ht="45">
      <c r="A4401" s="19">
        <v>43551.896493055552</v>
      </c>
      <c r="B4401" s="20" t="str">
        <f>HYPERLINK("https://twitter.com/politcalcupcake","@politcalcupcake")</f>
        <v>@politcalcupcake</v>
      </c>
      <c r="C4401" s="21" t="s">
        <v>6962</v>
      </c>
      <c r="D4401" s="22" t="s">
        <v>6963</v>
      </c>
      <c r="E4401" s="23" t="str">
        <f>HYPERLINK("https://about.twitter.com/products/tweetdeck","TweetDeck")</f>
        <v>TweetDeck</v>
      </c>
      <c r="F4401" s="19">
        <v>40342.50917824074</v>
      </c>
      <c r="G4401" s="9" t="s">
        <v>13000</v>
      </c>
      <c r="H4401" s="35" t="s">
        <v>6964</v>
      </c>
      <c r="I4401" s="25" t="s">
        <v>6965</v>
      </c>
    </row>
    <row r="4402" spans="1:9" s="33" customFormat="1" ht="105">
      <c r="A4402" s="19">
        <v>43551.838171296295</v>
      </c>
      <c r="B4402" s="20" t="str">
        <f t="shared" ref="B4402:B4419" si="176">HYPERLINK("https://twitter.com/solesuprme106","@solesuprme106")</f>
        <v>@solesuprme106</v>
      </c>
      <c r="C4402" s="21" t="s">
        <v>3181</v>
      </c>
      <c r="D4402" s="22" t="s">
        <v>6985</v>
      </c>
      <c r="E4402" s="23" t="str">
        <f t="shared" ref="E4402:E4422" si="177">HYPERLINK("http://twitter.com/download/iphone","Twitter for iPhone")</f>
        <v>Twitter for iPhone</v>
      </c>
      <c r="F4402" s="19">
        <v>41060.424768518518</v>
      </c>
      <c r="G4402" s="9" t="s">
        <v>13000</v>
      </c>
      <c r="H4402" s="35" t="s">
        <v>3183</v>
      </c>
      <c r="I4402" s="25"/>
    </row>
    <row r="4403" spans="1:9" s="33" customFormat="1" ht="90">
      <c r="A4403" s="19">
        <v>43549.402939814812</v>
      </c>
      <c r="B4403" s="20" t="str">
        <f t="shared" si="176"/>
        <v>@solesuprme106</v>
      </c>
      <c r="C4403" s="21" t="s">
        <v>3181</v>
      </c>
      <c r="D4403" s="22" t="s">
        <v>8054</v>
      </c>
      <c r="E4403" s="23" t="str">
        <f t="shared" si="177"/>
        <v>Twitter for iPhone</v>
      </c>
      <c r="F4403" s="19">
        <v>41060.424768518518</v>
      </c>
      <c r="G4403" s="9" t="s">
        <v>13000</v>
      </c>
      <c r="H4403" s="35" t="s">
        <v>3183</v>
      </c>
      <c r="I4403" s="25"/>
    </row>
    <row r="4404" spans="1:9" s="33" customFormat="1" ht="90">
      <c r="A4404" s="19">
        <v>43548.202245370368</v>
      </c>
      <c r="B4404" s="20" t="str">
        <f t="shared" si="176"/>
        <v>@solesuprme106</v>
      </c>
      <c r="C4404" s="21" t="s">
        <v>3181</v>
      </c>
      <c r="D4404" s="22" t="s">
        <v>8386</v>
      </c>
      <c r="E4404" s="23" t="str">
        <f t="shared" si="177"/>
        <v>Twitter for iPhone</v>
      </c>
      <c r="F4404" s="19">
        <v>41060.424768518518</v>
      </c>
      <c r="G4404" s="9" t="s">
        <v>13000</v>
      </c>
      <c r="H4404" s="35" t="s">
        <v>3183</v>
      </c>
      <c r="I4404" s="25"/>
    </row>
    <row r="4405" spans="1:9" s="33" customFormat="1" ht="105">
      <c r="A4405" s="19">
        <v>43546.507372685184</v>
      </c>
      <c r="B4405" s="20" t="str">
        <f t="shared" si="176"/>
        <v>@solesuprme106</v>
      </c>
      <c r="C4405" s="21" t="s">
        <v>3181</v>
      </c>
      <c r="D4405" s="22" t="s">
        <v>8822</v>
      </c>
      <c r="E4405" s="23" t="str">
        <f t="shared" si="177"/>
        <v>Twitter for iPhone</v>
      </c>
      <c r="F4405" s="19">
        <v>41060.424768518518</v>
      </c>
      <c r="G4405" s="9" t="s">
        <v>13000</v>
      </c>
      <c r="H4405" s="35" t="s">
        <v>3183</v>
      </c>
      <c r="I4405" s="25"/>
    </row>
    <row r="4406" spans="1:9" s="33" customFormat="1" ht="90">
      <c r="A4406" s="19">
        <v>43543.33315972222</v>
      </c>
      <c r="B4406" s="20" t="str">
        <f t="shared" si="176"/>
        <v>@solesuprme106</v>
      </c>
      <c r="C4406" s="21" t="s">
        <v>3181</v>
      </c>
      <c r="D4406" s="22" t="s">
        <v>9865</v>
      </c>
      <c r="E4406" s="23" t="str">
        <f t="shared" si="177"/>
        <v>Twitter for iPhone</v>
      </c>
      <c r="F4406" s="19">
        <v>41060.424768518518</v>
      </c>
      <c r="G4406" s="9" t="s">
        <v>13000</v>
      </c>
      <c r="H4406" s="35" t="s">
        <v>3183</v>
      </c>
      <c r="I4406" s="25"/>
    </row>
    <row r="4407" spans="1:9" s="33" customFormat="1" ht="90">
      <c r="A4407" s="19">
        <v>43542.820393518516</v>
      </c>
      <c r="B4407" s="20" t="str">
        <f t="shared" si="176"/>
        <v>@solesuprme106</v>
      </c>
      <c r="C4407" s="21" t="s">
        <v>3181</v>
      </c>
      <c r="D4407" s="22" t="s">
        <v>5340</v>
      </c>
      <c r="E4407" s="23" t="str">
        <f t="shared" si="177"/>
        <v>Twitter for iPhone</v>
      </c>
      <c r="F4407" s="19">
        <v>41060.424768518518</v>
      </c>
      <c r="G4407" s="9" t="s">
        <v>13000</v>
      </c>
      <c r="H4407" s="35" t="s">
        <v>3183</v>
      </c>
      <c r="I4407" s="25"/>
    </row>
    <row r="4408" spans="1:9" s="33" customFormat="1" ht="90">
      <c r="A4408" s="4">
        <v>43564.408043981486</v>
      </c>
      <c r="B4408" s="5" t="str">
        <f t="shared" si="176"/>
        <v>@solesuprme106</v>
      </c>
      <c r="C4408" s="6" t="s">
        <v>3181</v>
      </c>
      <c r="D4408" s="7" t="s">
        <v>6629</v>
      </c>
      <c r="E4408" s="8" t="str">
        <f t="shared" si="177"/>
        <v>Twitter for iPhone</v>
      </c>
      <c r="F4408" s="4">
        <v>41060.424768518518</v>
      </c>
      <c r="G4408" s="9" t="s">
        <v>13000</v>
      </c>
      <c r="H4408" s="35" t="s">
        <v>3183</v>
      </c>
      <c r="I4408" s="10"/>
    </row>
    <row r="4409" spans="1:9" s="33" customFormat="1" ht="105">
      <c r="A4409" s="4">
        <v>43564.367638888885</v>
      </c>
      <c r="B4409" s="5" t="str">
        <f t="shared" si="176"/>
        <v>@solesuprme106</v>
      </c>
      <c r="C4409" s="6" t="s">
        <v>3181</v>
      </c>
      <c r="D4409" s="7" t="s">
        <v>6661</v>
      </c>
      <c r="E4409" s="8" t="str">
        <f t="shared" si="177"/>
        <v>Twitter for iPhone</v>
      </c>
      <c r="F4409" s="4">
        <v>41060.424768518518</v>
      </c>
      <c r="G4409" s="9" t="s">
        <v>13000</v>
      </c>
      <c r="H4409" s="35" t="s">
        <v>3183</v>
      </c>
      <c r="I4409" s="10"/>
    </row>
    <row r="4410" spans="1:9" s="33" customFormat="1" ht="105">
      <c r="A4410" s="4">
        <v>43563.647164351853</v>
      </c>
      <c r="B4410" s="5" t="str">
        <f t="shared" si="176"/>
        <v>@solesuprme106</v>
      </c>
      <c r="C4410" s="6" t="s">
        <v>3181</v>
      </c>
      <c r="D4410" s="7" t="s">
        <v>6926</v>
      </c>
      <c r="E4410" s="8" t="str">
        <f t="shared" si="177"/>
        <v>Twitter for iPhone</v>
      </c>
      <c r="F4410" s="4">
        <v>41060.424768518518</v>
      </c>
      <c r="G4410" s="9" t="s">
        <v>13000</v>
      </c>
      <c r="H4410" s="35" t="s">
        <v>3183</v>
      </c>
      <c r="I4410" s="10"/>
    </row>
    <row r="4411" spans="1:9" s="33" customFormat="1" ht="120">
      <c r="A4411" s="4">
        <v>43562.408125000002</v>
      </c>
      <c r="B4411" s="5" t="str">
        <f t="shared" si="176"/>
        <v>@solesuprme106</v>
      </c>
      <c r="C4411" s="6" t="s">
        <v>3181</v>
      </c>
      <c r="D4411" s="7" t="s">
        <v>10687</v>
      </c>
      <c r="E4411" s="8" t="str">
        <f t="shared" si="177"/>
        <v>Twitter for iPhone</v>
      </c>
      <c r="F4411" s="4">
        <v>41060.424768518518</v>
      </c>
      <c r="G4411" s="9" t="s">
        <v>13000</v>
      </c>
      <c r="H4411" s="35" t="s">
        <v>3183</v>
      </c>
      <c r="I4411" s="10"/>
    </row>
    <row r="4412" spans="1:9" s="33" customFormat="1" ht="105">
      <c r="A4412" s="4">
        <v>43561.33902777778</v>
      </c>
      <c r="B4412" s="5" t="str">
        <f t="shared" si="176"/>
        <v>@solesuprme106</v>
      </c>
      <c r="C4412" s="6" t="s">
        <v>3181</v>
      </c>
      <c r="D4412" s="7" t="s">
        <v>11005</v>
      </c>
      <c r="E4412" s="8" t="str">
        <f t="shared" si="177"/>
        <v>Twitter for iPhone</v>
      </c>
      <c r="F4412" s="4">
        <v>41060.424768518518</v>
      </c>
      <c r="G4412" s="9" t="s">
        <v>13000</v>
      </c>
      <c r="H4412" s="35" t="s">
        <v>3183</v>
      </c>
      <c r="I4412" s="10"/>
    </row>
    <row r="4413" spans="1:9" s="33" customFormat="1" ht="105">
      <c r="A4413" s="4">
        <v>43561.250335648147</v>
      </c>
      <c r="B4413" s="5" t="str">
        <f t="shared" si="176"/>
        <v>@solesuprme106</v>
      </c>
      <c r="C4413" s="6" t="s">
        <v>3181</v>
      </c>
      <c r="D4413" s="7" t="s">
        <v>11015</v>
      </c>
      <c r="E4413" s="8" t="str">
        <f t="shared" si="177"/>
        <v>Twitter for iPhone</v>
      </c>
      <c r="F4413" s="4">
        <v>41060.424768518518</v>
      </c>
      <c r="G4413" s="9" t="s">
        <v>13000</v>
      </c>
      <c r="H4413" s="35" t="s">
        <v>3183</v>
      </c>
      <c r="I4413" s="10"/>
    </row>
    <row r="4414" spans="1:9" s="33" customFormat="1" ht="90">
      <c r="A4414" s="12">
        <v>43572.532685185186</v>
      </c>
      <c r="B4414" s="13" t="str">
        <f t="shared" si="176"/>
        <v>@solesuprme106</v>
      </c>
      <c r="C4414" s="14" t="s">
        <v>3181</v>
      </c>
      <c r="D4414" s="15" t="s">
        <v>3182</v>
      </c>
      <c r="E4414" s="16" t="str">
        <f t="shared" si="177"/>
        <v>Twitter for iPhone</v>
      </c>
      <c r="F4414" s="12">
        <v>41060.424768518518</v>
      </c>
      <c r="G4414" s="9" t="s">
        <v>13000</v>
      </c>
      <c r="H4414" s="35" t="s">
        <v>3183</v>
      </c>
      <c r="I4414" s="18"/>
    </row>
    <row r="4415" spans="1:9" s="33" customFormat="1" ht="90">
      <c r="A4415" s="12">
        <v>43572.532442129625</v>
      </c>
      <c r="B4415" s="13" t="str">
        <f t="shared" si="176"/>
        <v>@solesuprme106</v>
      </c>
      <c r="C4415" s="14" t="s">
        <v>3181</v>
      </c>
      <c r="D4415" s="15" t="s">
        <v>3184</v>
      </c>
      <c r="E4415" s="16" t="str">
        <f t="shared" si="177"/>
        <v>Twitter for iPhone</v>
      </c>
      <c r="F4415" s="12">
        <v>41060.424768518518</v>
      </c>
      <c r="G4415" s="9" t="s">
        <v>13000</v>
      </c>
      <c r="H4415" s="35" t="s">
        <v>3183</v>
      </c>
      <c r="I4415" s="18"/>
    </row>
    <row r="4416" spans="1:9" s="33" customFormat="1" ht="105">
      <c r="A4416" s="12">
        <v>43571.181944444441</v>
      </c>
      <c r="B4416" s="13" t="str">
        <f t="shared" si="176"/>
        <v>@solesuprme106</v>
      </c>
      <c r="C4416" s="14" t="s">
        <v>3181</v>
      </c>
      <c r="D4416" s="15" t="s">
        <v>3808</v>
      </c>
      <c r="E4416" s="16" t="str">
        <f t="shared" si="177"/>
        <v>Twitter for iPhone</v>
      </c>
      <c r="F4416" s="12">
        <v>41060.424768518518</v>
      </c>
      <c r="G4416" s="9" t="s">
        <v>13000</v>
      </c>
      <c r="H4416" s="35" t="s">
        <v>3183</v>
      </c>
      <c r="I4416" s="18"/>
    </row>
    <row r="4417" spans="1:9" s="33" customFormat="1" ht="105">
      <c r="A4417" s="12">
        <v>43570.228877314818</v>
      </c>
      <c r="B4417" s="13" t="str">
        <f t="shared" si="176"/>
        <v>@solesuprme106</v>
      </c>
      <c r="C4417" s="14" t="s">
        <v>3181</v>
      </c>
      <c r="D4417" s="15" t="s">
        <v>4289</v>
      </c>
      <c r="E4417" s="16" t="str">
        <f t="shared" si="177"/>
        <v>Twitter for iPhone</v>
      </c>
      <c r="F4417" s="12">
        <v>41060.424768518518</v>
      </c>
      <c r="G4417" s="9" t="s">
        <v>13000</v>
      </c>
      <c r="H4417" s="35" t="s">
        <v>3183</v>
      </c>
      <c r="I4417" s="18"/>
    </row>
    <row r="4418" spans="1:9" s="33" customFormat="1" ht="90">
      <c r="A4418" s="12">
        <v>43567.290173611109</v>
      </c>
      <c r="B4418" s="13" t="str">
        <f t="shared" si="176"/>
        <v>@solesuprme106</v>
      </c>
      <c r="C4418" s="14" t="s">
        <v>3181</v>
      </c>
      <c r="D4418" s="15" t="s">
        <v>5183</v>
      </c>
      <c r="E4418" s="16" t="str">
        <f t="shared" si="177"/>
        <v>Twitter for iPhone</v>
      </c>
      <c r="F4418" s="12">
        <v>41060.424768518518</v>
      </c>
      <c r="G4418" s="9" t="s">
        <v>13000</v>
      </c>
      <c r="H4418" s="35" t="s">
        <v>3183</v>
      </c>
      <c r="I4418" s="18"/>
    </row>
    <row r="4419" spans="1:9" s="33" customFormat="1" ht="105">
      <c r="A4419" s="12">
        <v>43566.267581018517</v>
      </c>
      <c r="B4419" s="13" t="str">
        <f t="shared" si="176"/>
        <v>@solesuprme106</v>
      </c>
      <c r="C4419" s="14" t="s">
        <v>3181</v>
      </c>
      <c r="D4419" s="15" t="s">
        <v>5700</v>
      </c>
      <c r="E4419" s="16" t="str">
        <f t="shared" si="177"/>
        <v>Twitter for iPhone</v>
      </c>
      <c r="F4419" s="12">
        <v>41060.424768518518</v>
      </c>
      <c r="G4419" s="9" t="s">
        <v>13000</v>
      </c>
      <c r="H4419" s="35" t="s">
        <v>3183</v>
      </c>
      <c r="I4419" s="18"/>
    </row>
    <row r="4420" spans="1:9" s="33" customFormat="1" ht="30">
      <c r="A4420" s="19">
        <v>43547.409699074073</v>
      </c>
      <c r="B4420" s="20" t="str">
        <f>HYPERLINK("https://twitter.com/TravelDazeco","@TravelDazeco")</f>
        <v>@TravelDazeco</v>
      </c>
      <c r="C4420" s="21" t="s">
        <v>8562</v>
      </c>
      <c r="D4420" s="22" t="s">
        <v>8563</v>
      </c>
      <c r="E4420" s="23" t="str">
        <f t="shared" si="177"/>
        <v>Twitter for iPhone</v>
      </c>
      <c r="F4420" s="19">
        <v>42350.791990740741</v>
      </c>
      <c r="G4420" s="9" t="s">
        <v>13000</v>
      </c>
      <c r="H4420" s="35" t="s">
        <v>8564</v>
      </c>
      <c r="I4420" s="25" t="s">
        <v>8565</v>
      </c>
    </row>
    <row r="4421" spans="1:9" s="33" customFormat="1" ht="30">
      <c r="A4421" s="4">
        <v>43558.247187500005</v>
      </c>
      <c r="B4421" s="5" t="str">
        <f>HYPERLINK("https://twitter.com/HotelHardyATX","@HotelHardyATX")</f>
        <v>@HotelHardyATX</v>
      </c>
      <c r="C4421" s="6" t="s">
        <v>12264</v>
      </c>
      <c r="D4421" s="7" t="s">
        <v>12865</v>
      </c>
      <c r="E4421" s="8" t="str">
        <f t="shared" si="177"/>
        <v>Twitter for iPhone</v>
      </c>
      <c r="F4421" s="4">
        <v>41946.550324074073</v>
      </c>
      <c r="G4421" s="9" t="s">
        <v>13000</v>
      </c>
      <c r="H4421" s="35" t="s">
        <v>12265</v>
      </c>
      <c r="I4421" s="10"/>
    </row>
    <row r="4422" spans="1:9" s="33" customFormat="1" ht="90">
      <c r="A4422" s="4">
        <v>43557.021284722221</v>
      </c>
      <c r="B4422" s="5" t="str">
        <f>HYPERLINK("https://twitter.com/HotelHardyATX","@HotelHardyATX")</f>
        <v>@HotelHardyATX</v>
      </c>
      <c r="C4422" s="6" t="s">
        <v>12264</v>
      </c>
      <c r="D4422" s="7" t="s">
        <v>12866</v>
      </c>
      <c r="E4422" s="8" t="str">
        <f t="shared" si="177"/>
        <v>Twitter for iPhone</v>
      </c>
      <c r="F4422" s="4">
        <v>41946.550324074073</v>
      </c>
      <c r="G4422" s="9" t="s">
        <v>13000</v>
      </c>
      <c r="H4422" s="35" t="s">
        <v>12265</v>
      </c>
      <c r="I4422" s="10"/>
    </row>
    <row r="4423" spans="1:9" s="33" customFormat="1" ht="75">
      <c r="A4423" s="12">
        <v>43568.175162037034</v>
      </c>
      <c r="B4423" s="13" t="str">
        <f>HYPERLINK("https://twitter.com/rabinmax","@rabinmax")</f>
        <v>@rabinmax</v>
      </c>
      <c r="C4423" s="14" t="s">
        <v>4855</v>
      </c>
      <c r="D4423" s="15" t="s">
        <v>12868</v>
      </c>
      <c r="E4423" s="16" t="str">
        <f>HYPERLINK("http://instagram.com","Instagram")</f>
        <v>Instagram</v>
      </c>
      <c r="F4423" s="12">
        <v>40002.259050925924</v>
      </c>
      <c r="G4423" s="17" t="s">
        <v>13000</v>
      </c>
      <c r="H4423" s="35" t="s">
        <v>4856</v>
      </c>
      <c r="I4423" s="18" t="s">
        <v>4857</v>
      </c>
    </row>
    <row r="4424" spans="1:9" s="33" customFormat="1" ht="60">
      <c r="A4424" s="12">
        <v>43570.572222222225</v>
      </c>
      <c r="B4424" s="13" t="str">
        <f>HYPERLINK("https://twitter.com/ValVistaLakesSW","@ValVistaLakesSW")</f>
        <v>@ValVistaLakesSW</v>
      </c>
      <c r="C4424" s="14" t="s">
        <v>2849</v>
      </c>
      <c r="D4424" s="15" t="s">
        <v>12869</v>
      </c>
      <c r="E4424" s="16" t="str">
        <f>HYPERLINK("https://about.twitter.com/products/tweetdeck","TweetDeck")</f>
        <v>TweetDeck</v>
      </c>
      <c r="F4424" s="12">
        <v>41956.335682870369</v>
      </c>
      <c r="G4424" s="17" t="s">
        <v>13000</v>
      </c>
      <c r="H4424" s="35" t="s">
        <v>4065</v>
      </c>
      <c r="I4424" s="18" t="s">
        <v>4066</v>
      </c>
    </row>
    <row r="4425" spans="1:9" s="33" customFormat="1" ht="75">
      <c r="A4425" s="12">
        <v>43566.571527777778</v>
      </c>
      <c r="B4425" s="13" t="str">
        <f>HYPERLINK("https://twitter.com/ValVistaLakesSW","@ValVistaLakesSW")</f>
        <v>@ValVistaLakesSW</v>
      </c>
      <c r="C4425" s="14" t="s">
        <v>2849</v>
      </c>
      <c r="D4425" s="15" t="s">
        <v>12870</v>
      </c>
      <c r="E4425" s="16" t="str">
        <f>HYPERLINK("https://about.twitter.com/products/tweetdeck","TweetDeck")</f>
        <v>TweetDeck</v>
      </c>
      <c r="F4425" s="12">
        <v>41956.335682870369</v>
      </c>
      <c r="G4425" s="17" t="s">
        <v>13000</v>
      </c>
      <c r="H4425" s="35" t="s">
        <v>4065</v>
      </c>
      <c r="I4425" s="18" t="s">
        <v>4066</v>
      </c>
    </row>
    <row r="4426" spans="1:9" s="33" customFormat="1" ht="75">
      <c r="A4426" s="4">
        <v>43558.799745370372</v>
      </c>
      <c r="B4426" s="5" t="str">
        <f>HYPERLINK("https://twitter.com/PDXSante","@PDXSante")</f>
        <v>@PDXSante</v>
      </c>
      <c r="C4426" s="6" t="s">
        <v>12033</v>
      </c>
      <c r="D4426" s="7" t="s">
        <v>12871</v>
      </c>
      <c r="E4426" s="8" t="str">
        <f>HYPERLINK("http://instagram.com","Instagram")</f>
        <v>Instagram</v>
      </c>
      <c r="F4426" s="4">
        <v>42110.428344907406</v>
      </c>
      <c r="G4426" s="17" t="s">
        <v>13000</v>
      </c>
      <c r="H4426" s="35" t="s">
        <v>12034</v>
      </c>
      <c r="I4426" s="10" t="s">
        <v>12872</v>
      </c>
    </row>
    <row r="4427" spans="1:9" s="33" customFormat="1" ht="75">
      <c r="A4427" s="12">
        <v>43574.233159722222</v>
      </c>
      <c r="B4427" s="13" t="str">
        <f>HYPERLINK("https://twitter.com/AcriRealty","@AcriRealty")</f>
        <v>@AcriRealty</v>
      </c>
      <c r="C4427" s="14" t="s">
        <v>2644</v>
      </c>
      <c r="D4427" s="15" t="s">
        <v>12873</v>
      </c>
      <c r="E4427" s="16" t="str">
        <f>HYPERLINK("https://missinglettr.com","Missinglettr")</f>
        <v>Missinglettr</v>
      </c>
      <c r="F4427" s="12">
        <v>41163.26</v>
      </c>
      <c r="G4427" s="17" t="s">
        <v>13000</v>
      </c>
      <c r="H4427" s="35" t="s">
        <v>2645</v>
      </c>
      <c r="I4427" s="18" t="s">
        <v>2646</v>
      </c>
    </row>
    <row r="4428" spans="1:9" s="33" customFormat="1" ht="45">
      <c r="A4428" s="12">
        <v>43570.23237268519</v>
      </c>
      <c r="B4428" s="13" t="str">
        <f>HYPERLINK("https://twitter.com/AcriRealty","@AcriRealty")</f>
        <v>@AcriRealty</v>
      </c>
      <c r="C4428" s="14" t="s">
        <v>2644</v>
      </c>
      <c r="D4428" s="15" t="s">
        <v>12874</v>
      </c>
      <c r="E4428" s="16" t="str">
        <f>HYPERLINK("https://missinglettr.com","Missinglettr")</f>
        <v>Missinglettr</v>
      </c>
      <c r="F4428" s="12">
        <v>41163.26</v>
      </c>
      <c r="G4428" s="17" t="s">
        <v>13000</v>
      </c>
      <c r="H4428" s="35" t="s">
        <v>2645</v>
      </c>
      <c r="I4428" s="18" t="s">
        <v>2646</v>
      </c>
    </row>
    <row r="4429" spans="1:9" s="33" customFormat="1" ht="45">
      <c r="A4429" s="12">
        <v>43567.348414351851</v>
      </c>
      <c r="B4429" s="13" t="str">
        <f>HYPERLINK("https://twitter.com/AcriRealty","@AcriRealty")</f>
        <v>@AcriRealty</v>
      </c>
      <c r="C4429" s="14" t="s">
        <v>2644</v>
      </c>
      <c r="D4429" s="15" t="s">
        <v>12875</v>
      </c>
      <c r="E4429" s="16" t="str">
        <f>HYPERLINK("https://missinglettr.com","Missinglettr")</f>
        <v>Missinglettr</v>
      </c>
      <c r="F4429" s="12">
        <v>41163.26</v>
      </c>
      <c r="G4429" s="17" t="s">
        <v>13000</v>
      </c>
      <c r="H4429" s="35" t="s">
        <v>2645</v>
      </c>
      <c r="I4429" s="18" t="s">
        <v>2646</v>
      </c>
    </row>
    <row r="4430" spans="1:9" s="33" customFormat="1" ht="60">
      <c r="A4430" s="4">
        <v>43557.322048611109</v>
      </c>
      <c r="B4430" s="5" t="str">
        <f>HYPERLINK("https://twitter.com/TvishaT","@TvishaT")</f>
        <v>@TvishaT</v>
      </c>
      <c r="C4430" s="6" t="s">
        <v>12557</v>
      </c>
      <c r="D4430" s="7" t="s">
        <v>12880</v>
      </c>
      <c r="E4430" s="8" t="str">
        <f>HYPERLINK("http://twitter.com","Twitter Web Client")</f>
        <v>Twitter Web Client</v>
      </c>
      <c r="F4430" s="4">
        <v>41256.494467592594</v>
      </c>
      <c r="G4430" s="9" t="s">
        <v>13000</v>
      </c>
      <c r="H4430" s="35" t="s">
        <v>12881</v>
      </c>
      <c r="I4430" s="10" t="s">
        <v>12558</v>
      </c>
    </row>
    <row r="4431" spans="1:9" s="33" customFormat="1" ht="60">
      <c r="A4431" s="12">
        <v>43573.648009259261</v>
      </c>
      <c r="B4431" s="13" t="str">
        <f>HYPERLINK("https://twitter.com/obxcaterer","@obxcaterer")</f>
        <v>@obxcaterer</v>
      </c>
      <c r="C4431" s="14" t="s">
        <v>2791</v>
      </c>
      <c r="D4431" s="15" t="s">
        <v>12887</v>
      </c>
      <c r="E4431" s="16" t="str">
        <f>HYPERLINK("http://instagram.com","Instagram")</f>
        <v>Instagram</v>
      </c>
      <c r="F4431" s="12">
        <v>40968.497511574074</v>
      </c>
      <c r="G4431" s="17" t="s">
        <v>13000</v>
      </c>
      <c r="H4431" s="35" t="s">
        <v>2792</v>
      </c>
      <c r="I4431" s="18" t="s">
        <v>2793</v>
      </c>
    </row>
    <row r="4432" spans="1:9" s="33" customFormat="1" ht="75">
      <c r="A4432" s="4">
        <v>43559.928981481484</v>
      </c>
      <c r="B4432" s="5" t="str">
        <f>HYPERLINK("https://twitter.com/ZenDenAddison","@ZenDenAddison")</f>
        <v>@ZenDenAddison</v>
      </c>
      <c r="C4432" s="6" t="s">
        <v>1460</v>
      </c>
      <c r="D4432" s="7" t="s">
        <v>12901</v>
      </c>
      <c r="E4432" s="8" t="str">
        <f>HYPERLINK("http://twitter.com","Twitter Web Client")</f>
        <v>Twitter Web Client</v>
      </c>
      <c r="F4432" s="4">
        <v>43544.42591435185</v>
      </c>
      <c r="G4432" s="9" t="s">
        <v>13000</v>
      </c>
      <c r="H4432" s="35" t="s">
        <v>1461</v>
      </c>
      <c r="I4432" s="10" t="s">
        <v>1462</v>
      </c>
    </row>
    <row r="4433" spans="1:9" s="33" customFormat="1" ht="60">
      <c r="A4433" s="4">
        <v>43556.937361111108</v>
      </c>
      <c r="B4433" s="5" t="str">
        <f>HYPERLINK("https://twitter.com/ZenDenAddison","@ZenDenAddison")</f>
        <v>@ZenDenAddison</v>
      </c>
      <c r="C4433" s="6" t="s">
        <v>1460</v>
      </c>
      <c r="D4433" s="7" t="s">
        <v>12902</v>
      </c>
      <c r="E4433" s="8" t="str">
        <f>HYPERLINK("http://twitter.com","Twitter Web Client")</f>
        <v>Twitter Web Client</v>
      </c>
      <c r="F4433" s="4">
        <v>43544.42591435185</v>
      </c>
      <c r="G4433" s="9" t="s">
        <v>13000</v>
      </c>
      <c r="H4433" s="35" t="s">
        <v>1461</v>
      </c>
      <c r="I4433" s="10" t="s">
        <v>1462</v>
      </c>
    </row>
    <row r="4434" spans="1:9" s="33" customFormat="1" ht="105">
      <c r="A4434" s="12">
        <v>43577.914722222224</v>
      </c>
      <c r="B4434" s="13" t="str">
        <f>HYPERLINK("https://twitter.com/ZenDenAddison","@ZenDenAddison")</f>
        <v>@ZenDenAddison</v>
      </c>
      <c r="C4434" s="14" t="s">
        <v>1460</v>
      </c>
      <c r="D4434" s="15" t="s">
        <v>12903</v>
      </c>
      <c r="E4434" s="16" t="str">
        <f>HYPERLINK("http://twitter.com","Twitter Web Client")</f>
        <v>Twitter Web Client</v>
      </c>
      <c r="F4434" s="12">
        <v>43544.42591435185</v>
      </c>
      <c r="G4434" s="9" t="s">
        <v>13000</v>
      </c>
      <c r="H4434" s="35" t="s">
        <v>1461</v>
      </c>
      <c r="I4434" s="18" t="s">
        <v>1462</v>
      </c>
    </row>
    <row r="4435" spans="1:9" s="33" customFormat="1" ht="60">
      <c r="A4435" s="12">
        <v>43573.429166666669</v>
      </c>
      <c r="B4435" s="13" t="str">
        <f>HYPERLINK("https://twitter.com/SWanaheim","@SWanaheim")</f>
        <v>@SWanaheim</v>
      </c>
      <c r="C4435" s="14" t="s">
        <v>2870</v>
      </c>
      <c r="D4435" s="15" t="s">
        <v>12951</v>
      </c>
      <c r="E4435" s="16" t="str">
        <f>HYPERLINK("https://about.twitter.com/products/tweetdeck","TweetDeck")</f>
        <v>TweetDeck</v>
      </c>
      <c r="F4435" s="12">
        <v>40042.372650462959</v>
      </c>
      <c r="G4435" s="17" t="s">
        <v>13000</v>
      </c>
      <c r="H4435" s="35" t="s">
        <v>2871</v>
      </c>
      <c r="I4435" s="18" t="s">
        <v>2872</v>
      </c>
    </row>
    <row r="4436" spans="1:9" s="33" customFormat="1" ht="45">
      <c r="A4436" s="12">
        <v>43572.429166666669</v>
      </c>
      <c r="B4436" s="13" t="str">
        <f>HYPERLINK("https://twitter.com/SWanaheim","@SWanaheim")</f>
        <v>@SWanaheim</v>
      </c>
      <c r="C4436" s="14" t="s">
        <v>2870</v>
      </c>
      <c r="D4436" s="15" t="s">
        <v>12952</v>
      </c>
      <c r="E4436" s="16" t="str">
        <f>HYPERLINK("https://about.twitter.com/products/tweetdeck","TweetDeck")</f>
        <v>TweetDeck</v>
      </c>
      <c r="F4436" s="12">
        <v>40042.372650462959</v>
      </c>
      <c r="G4436" s="17" t="s">
        <v>13000</v>
      </c>
      <c r="H4436" s="35" t="s">
        <v>2871</v>
      </c>
      <c r="I4436" s="18" t="s">
        <v>2872</v>
      </c>
    </row>
    <row r="4437" spans="1:9" s="33" customFormat="1" ht="60">
      <c r="A4437" s="4">
        <v>43564.306331018517</v>
      </c>
      <c r="B4437" s="5" t="str">
        <f>HYPERLINK("https://twitter.com/ForShowStaging","@ForShowStaging")</f>
        <v>@ForShowStaging</v>
      </c>
      <c r="C4437" s="6" t="s">
        <v>6699</v>
      </c>
      <c r="D4437" s="7" t="s">
        <v>12953</v>
      </c>
      <c r="E4437" s="8" t="str">
        <f>HYPERLINK("http://www.facebook.com/twitter","Facebook")</f>
        <v>Facebook</v>
      </c>
      <c r="F4437" s="4">
        <v>40564.496238425927</v>
      </c>
      <c r="G4437" s="17" t="s">
        <v>13000</v>
      </c>
      <c r="H4437" s="35" t="s">
        <v>6700</v>
      </c>
      <c r="I4437" s="10" t="s">
        <v>6701</v>
      </c>
    </row>
    <row r="4438" spans="1:9" s="33" customFormat="1" ht="30">
      <c r="A4438" s="19">
        <v>43547.906342592592</v>
      </c>
      <c r="B4438" s="20" t="str">
        <f>HYPERLINK("https://twitter.com/sostby0427","@sostby0427")</f>
        <v>@sostby0427</v>
      </c>
      <c r="C4438" s="21" t="s">
        <v>6096</v>
      </c>
      <c r="D4438" s="22" t="s">
        <v>12967</v>
      </c>
      <c r="E4438" s="23" t="str">
        <f>HYPERLINK("http://www.facebook.com/twitter","Facebook")</f>
        <v>Facebook</v>
      </c>
      <c r="F4438" s="19">
        <v>39603.528831018521</v>
      </c>
      <c r="G4438" s="9" t="s">
        <v>13000</v>
      </c>
      <c r="H4438" s="35" t="s">
        <v>6097</v>
      </c>
      <c r="I4438" s="25" t="s">
        <v>6098</v>
      </c>
    </row>
    <row r="4439" spans="1:9" s="33" customFormat="1" ht="45">
      <c r="A4439" s="4">
        <v>43565.426273148143</v>
      </c>
      <c r="B4439" s="5" t="str">
        <f>HYPERLINK("https://twitter.com/sostby0427","@sostby0427")</f>
        <v>@sostby0427</v>
      </c>
      <c r="C4439" s="6" t="s">
        <v>6096</v>
      </c>
      <c r="D4439" s="7" t="s">
        <v>12968</v>
      </c>
      <c r="E4439" s="8" t="str">
        <f>HYPERLINK("http://www.facebook.com/twitter","Facebook")</f>
        <v>Facebook</v>
      </c>
      <c r="F4439" s="4">
        <v>39603.528831018521</v>
      </c>
      <c r="G4439" s="9" t="s">
        <v>13000</v>
      </c>
      <c r="H4439" s="35" t="s">
        <v>6097</v>
      </c>
      <c r="I4439" s="10" t="s">
        <v>6098</v>
      </c>
    </row>
    <row r="4440" spans="1:9" s="33" customFormat="1" ht="45">
      <c r="A4440" s="19">
        <v>43544.79515046296</v>
      </c>
      <c r="B4440" s="20" t="str">
        <f t="shared" ref="B4440:B4450" si="178">HYPERLINK("https://twitter.com/FlyerTalkerinA2","@FlyerTalkerinA2")</f>
        <v>@FlyerTalkerinA2</v>
      </c>
      <c r="C4440" s="21" t="s">
        <v>2446</v>
      </c>
      <c r="D4440" s="22" t="s">
        <v>12969</v>
      </c>
      <c r="E4440" s="23" t="str">
        <f t="shared" ref="E4440:E4450" si="179">HYPERLINK("https://buffer.com","Buffer")</f>
        <v>Buffer</v>
      </c>
      <c r="F4440" s="19">
        <v>39982.873993055553</v>
      </c>
      <c r="G4440" s="9" t="s">
        <v>13000</v>
      </c>
      <c r="H4440" s="35" t="s">
        <v>2447</v>
      </c>
      <c r="I4440" s="25" t="s">
        <v>2448</v>
      </c>
    </row>
    <row r="4441" spans="1:9" s="33" customFormat="1" ht="45">
      <c r="A4441" s="19">
        <v>43542.79515046296</v>
      </c>
      <c r="B4441" s="20" t="str">
        <f t="shared" si="178"/>
        <v>@FlyerTalkerinA2</v>
      </c>
      <c r="C4441" s="21" t="s">
        <v>2446</v>
      </c>
      <c r="D4441" s="22" t="s">
        <v>12969</v>
      </c>
      <c r="E4441" s="23" t="str">
        <f t="shared" si="179"/>
        <v>Buffer</v>
      </c>
      <c r="F4441" s="19">
        <v>39982.873993055553</v>
      </c>
      <c r="G4441" s="9" t="s">
        <v>13000</v>
      </c>
      <c r="H4441" s="35" t="s">
        <v>2447</v>
      </c>
      <c r="I4441" s="25" t="s">
        <v>2448</v>
      </c>
    </row>
    <row r="4442" spans="1:9" s="33" customFormat="1" ht="45">
      <c r="A4442" s="4">
        <v>43565.628506944442</v>
      </c>
      <c r="B4442" s="5" t="str">
        <f t="shared" si="178"/>
        <v>@FlyerTalkerinA2</v>
      </c>
      <c r="C4442" s="6" t="s">
        <v>2446</v>
      </c>
      <c r="D4442" s="7" t="s">
        <v>12969</v>
      </c>
      <c r="E4442" s="8" t="str">
        <f t="shared" si="179"/>
        <v>Buffer</v>
      </c>
      <c r="F4442" s="4">
        <v>39982.873993055553</v>
      </c>
      <c r="G4442" s="9" t="s">
        <v>13000</v>
      </c>
      <c r="H4442" s="35" t="s">
        <v>2447</v>
      </c>
      <c r="I4442" s="10" t="s">
        <v>2448</v>
      </c>
    </row>
    <row r="4443" spans="1:9" s="33" customFormat="1" ht="60">
      <c r="A4443" s="4">
        <v>43564.333680555559</v>
      </c>
      <c r="B4443" s="5" t="str">
        <f t="shared" si="178"/>
        <v>@FlyerTalkerinA2</v>
      </c>
      <c r="C4443" s="6" t="s">
        <v>2446</v>
      </c>
      <c r="D4443" s="7" t="s">
        <v>12970</v>
      </c>
      <c r="E4443" s="8" t="str">
        <f t="shared" si="179"/>
        <v>Buffer</v>
      </c>
      <c r="F4443" s="4">
        <v>39982.873993055553</v>
      </c>
      <c r="G4443" s="9" t="s">
        <v>13000</v>
      </c>
      <c r="H4443" s="35" t="s">
        <v>2447</v>
      </c>
      <c r="I4443" s="10" t="s">
        <v>2448</v>
      </c>
    </row>
    <row r="4444" spans="1:9" s="33" customFormat="1" ht="60">
      <c r="A4444" s="4">
        <v>43563.458356481482</v>
      </c>
      <c r="B4444" s="5" t="str">
        <f t="shared" si="178"/>
        <v>@FlyerTalkerinA2</v>
      </c>
      <c r="C4444" s="6" t="s">
        <v>2446</v>
      </c>
      <c r="D4444" s="7" t="s">
        <v>12970</v>
      </c>
      <c r="E4444" s="8" t="str">
        <f t="shared" si="179"/>
        <v>Buffer</v>
      </c>
      <c r="F4444" s="4">
        <v>39982.873993055553</v>
      </c>
      <c r="G4444" s="9" t="s">
        <v>13000</v>
      </c>
      <c r="H4444" s="35" t="s">
        <v>2447</v>
      </c>
      <c r="I4444" s="10" t="s">
        <v>2448</v>
      </c>
    </row>
    <row r="4445" spans="1:9" s="33" customFormat="1" ht="60">
      <c r="A4445" s="4">
        <v>43562.375289351854</v>
      </c>
      <c r="B4445" s="5" t="str">
        <f t="shared" si="178"/>
        <v>@FlyerTalkerinA2</v>
      </c>
      <c r="C4445" s="6" t="s">
        <v>2446</v>
      </c>
      <c r="D4445" s="7" t="s">
        <v>12970</v>
      </c>
      <c r="E4445" s="8" t="str">
        <f t="shared" si="179"/>
        <v>Buffer</v>
      </c>
      <c r="F4445" s="4">
        <v>39982.873993055553</v>
      </c>
      <c r="G4445" s="9" t="s">
        <v>13000</v>
      </c>
      <c r="H4445" s="35" t="s">
        <v>2447</v>
      </c>
      <c r="I4445" s="10" t="s">
        <v>2448</v>
      </c>
    </row>
    <row r="4446" spans="1:9" s="33" customFormat="1" ht="60">
      <c r="A4446" s="4">
        <v>43561.336817129632</v>
      </c>
      <c r="B4446" s="5" t="str">
        <f t="shared" si="178"/>
        <v>@FlyerTalkerinA2</v>
      </c>
      <c r="C4446" s="6" t="s">
        <v>2446</v>
      </c>
      <c r="D4446" s="7" t="s">
        <v>12970</v>
      </c>
      <c r="E4446" s="8" t="str">
        <f t="shared" si="179"/>
        <v>Buffer</v>
      </c>
      <c r="F4446" s="4">
        <v>39982.873993055553</v>
      </c>
      <c r="G4446" s="9" t="s">
        <v>13000</v>
      </c>
      <c r="H4446" s="35" t="s">
        <v>2447</v>
      </c>
      <c r="I4446" s="10" t="s">
        <v>2448</v>
      </c>
    </row>
    <row r="4447" spans="1:9" s="33" customFormat="1" ht="60">
      <c r="A4447" s="4">
        <v>43559.29515046296</v>
      </c>
      <c r="B4447" s="5" t="str">
        <f t="shared" si="178"/>
        <v>@FlyerTalkerinA2</v>
      </c>
      <c r="C4447" s="6" t="s">
        <v>2446</v>
      </c>
      <c r="D4447" s="7" t="s">
        <v>12970</v>
      </c>
      <c r="E4447" s="8" t="str">
        <f t="shared" si="179"/>
        <v>Buffer</v>
      </c>
      <c r="F4447" s="4">
        <v>39982.873993055553</v>
      </c>
      <c r="G4447" s="9" t="s">
        <v>13000</v>
      </c>
      <c r="H4447" s="35" t="s">
        <v>2447</v>
      </c>
      <c r="I4447" s="10" t="s">
        <v>2448</v>
      </c>
    </row>
    <row r="4448" spans="1:9" s="33" customFormat="1" ht="60">
      <c r="A4448" s="4">
        <v>43556.667071759264</v>
      </c>
      <c r="B4448" s="5" t="str">
        <f t="shared" si="178"/>
        <v>@FlyerTalkerinA2</v>
      </c>
      <c r="C4448" s="6" t="s">
        <v>2446</v>
      </c>
      <c r="D4448" s="7" t="s">
        <v>12970</v>
      </c>
      <c r="E4448" s="8" t="str">
        <f t="shared" si="179"/>
        <v>Buffer</v>
      </c>
      <c r="F4448" s="4">
        <v>39982.873993055553</v>
      </c>
      <c r="G4448" s="9" t="s">
        <v>13000</v>
      </c>
      <c r="H4448" s="35" t="s">
        <v>2447</v>
      </c>
      <c r="I4448" s="10" t="s">
        <v>2448</v>
      </c>
    </row>
    <row r="4449" spans="1:9" s="33" customFormat="1" ht="60">
      <c r="A4449" s="12">
        <v>43574.792013888888</v>
      </c>
      <c r="B4449" s="13" t="str">
        <f t="shared" si="178"/>
        <v>@FlyerTalkerinA2</v>
      </c>
      <c r="C4449" s="14" t="s">
        <v>2446</v>
      </c>
      <c r="D4449" s="15" t="s">
        <v>12970</v>
      </c>
      <c r="E4449" s="16" t="str">
        <f t="shared" si="179"/>
        <v>Buffer</v>
      </c>
      <c r="F4449" s="12">
        <v>39982.873993055553</v>
      </c>
      <c r="G4449" s="9" t="s">
        <v>13000</v>
      </c>
      <c r="H4449" s="35" t="s">
        <v>2447</v>
      </c>
      <c r="I4449" s="18" t="s">
        <v>2448</v>
      </c>
    </row>
    <row r="4450" spans="1:9" s="33" customFormat="1" ht="60">
      <c r="A4450" s="12">
        <v>43570.708680555559</v>
      </c>
      <c r="B4450" s="13" t="str">
        <f t="shared" si="178"/>
        <v>@FlyerTalkerinA2</v>
      </c>
      <c r="C4450" s="14" t="s">
        <v>2446</v>
      </c>
      <c r="D4450" s="15" t="s">
        <v>12970</v>
      </c>
      <c r="E4450" s="16" t="str">
        <f t="shared" si="179"/>
        <v>Buffer</v>
      </c>
      <c r="F4450" s="12">
        <v>39982.873993055553</v>
      </c>
      <c r="G4450" s="9" t="s">
        <v>13000</v>
      </c>
      <c r="H4450" s="35" t="s">
        <v>2447</v>
      </c>
      <c r="I4450" s="18" t="s">
        <v>2448</v>
      </c>
    </row>
    <row r="4451" spans="1:9" s="33" customFormat="1" ht="45">
      <c r="A4451" s="19">
        <v>43546.708402777775</v>
      </c>
      <c r="B4451" s="20" t="str">
        <f>HYPERLINK("https://twitter.com/colin_mshr","@colin_mshr")</f>
        <v>@colin_mshr</v>
      </c>
      <c r="C4451" s="21" t="s">
        <v>2474</v>
      </c>
      <c r="D4451" s="22" t="s">
        <v>2475</v>
      </c>
      <c r="E4451" s="23" t="str">
        <f>HYPERLINK("https://ifttt.com","IFTTT")</f>
        <v>IFTTT</v>
      </c>
      <c r="F4451" s="19">
        <v>39882.843842592592</v>
      </c>
      <c r="G4451" s="17" t="s">
        <v>13000</v>
      </c>
      <c r="H4451" s="35" t="s">
        <v>2476</v>
      </c>
      <c r="I4451" s="25" t="s">
        <v>2477</v>
      </c>
    </row>
    <row r="4452" spans="1:9" s="33" customFormat="1" ht="45">
      <c r="A4452" s="4">
        <v>43560.709340277783</v>
      </c>
      <c r="B4452" s="5" t="str">
        <f>HYPERLINK("https://twitter.com/colin_mshr","@colin_mshr")</f>
        <v>@colin_mshr</v>
      </c>
      <c r="C4452" s="6" t="s">
        <v>2474</v>
      </c>
      <c r="D4452" s="7" t="s">
        <v>2475</v>
      </c>
      <c r="E4452" s="8" t="str">
        <f>HYPERLINK("https://ifttt.com","IFTTT")</f>
        <v>IFTTT</v>
      </c>
      <c r="F4452" s="4">
        <v>39882.843842592592</v>
      </c>
      <c r="G4452" s="17" t="s">
        <v>13000</v>
      </c>
      <c r="H4452" s="35" t="s">
        <v>2476</v>
      </c>
      <c r="I4452" s="10" t="s">
        <v>2477</v>
      </c>
    </row>
    <row r="4453" spans="1:9" s="33" customFormat="1" ht="45">
      <c r="A4453" s="12">
        <v>43574.708761574075</v>
      </c>
      <c r="B4453" s="13" t="str">
        <f>HYPERLINK("https://twitter.com/colin_mshr","@colin_mshr")</f>
        <v>@colin_mshr</v>
      </c>
      <c r="C4453" s="14" t="s">
        <v>2474</v>
      </c>
      <c r="D4453" s="15" t="s">
        <v>2475</v>
      </c>
      <c r="E4453" s="16" t="str">
        <f>HYPERLINK("https://ifttt.com","IFTTT")</f>
        <v>IFTTT</v>
      </c>
      <c r="F4453" s="12">
        <v>39882.843842592592</v>
      </c>
      <c r="G4453" s="17" t="s">
        <v>13000</v>
      </c>
      <c r="H4453" s="35" t="s">
        <v>2476</v>
      </c>
      <c r="I4453" s="18" t="s">
        <v>2477</v>
      </c>
    </row>
    <row r="4454" spans="1:9" s="33" customFormat="1" ht="45">
      <c r="A4454" s="12">
        <v>43567.708483796298</v>
      </c>
      <c r="B4454" s="13" t="str">
        <f>HYPERLINK("https://twitter.com/colin_mshr","@colin_mshr")</f>
        <v>@colin_mshr</v>
      </c>
      <c r="C4454" s="14" t="s">
        <v>2474</v>
      </c>
      <c r="D4454" s="15" t="s">
        <v>2475</v>
      </c>
      <c r="E4454" s="16" t="str">
        <f>HYPERLINK("https://ifttt.com","IFTTT")</f>
        <v>IFTTT</v>
      </c>
      <c r="F4454" s="12">
        <v>39882.843842592592</v>
      </c>
      <c r="G4454" s="17" t="s">
        <v>13000</v>
      </c>
      <c r="H4454" s="35" t="s">
        <v>2476</v>
      </c>
      <c r="I4454" s="18" t="s">
        <v>2477</v>
      </c>
    </row>
    <row r="4455" spans="1:9" s="33" customFormat="1" ht="90">
      <c r="A4455" s="19">
        <v>43551.583506944444</v>
      </c>
      <c r="B4455" s="20" t="str">
        <f>HYPERLINK("https://twitter.com/OpulentAutonomy","@OpulentAutonomy")</f>
        <v>@OpulentAutonomy</v>
      </c>
      <c r="C4455" s="21" t="s">
        <v>3605</v>
      </c>
      <c r="D4455" s="22" t="s">
        <v>7101</v>
      </c>
      <c r="E4455" s="23" t="str">
        <f>HYPERLINK("https://www.hootsuite.com","Hootsuite Inc.")</f>
        <v>Hootsuite Inc.</v>
      </c>
      <c r="F4455" s="19">
        <v>43360.491898148146</v>
      </c>
      <c r="G4455" s="17" t="s">
        <v>13000</v>
      </c>
      <c r="H4455" s="35" t="s">
        <v>1607</v>
      </c>
      <c r="I4455" s="25" t="s">
        <v>3607</v>
      </c>
    </row>
    <row r="4456" spans="1:9" s="33" customFormat="1" ht="75">
      <c r="A4456" s="19">
        <v>43550.33394675926</v>
      </c>
      <c r="B4456" s="20" t="str">
        <f>HYPERLINK("https://twitter.com/OpulentAutonomy","@OpulentAutonomy")</f>
        <v>@OpulentAutonomy</v>
      </c>
      <c r="C4456" s="21" t="s">
        <v>3605</v>
      </c>
      <c r="D4456" s="22" t="s">
        <v>7733</v>
      </c>
      <c r="E4456" s="23" t="str">
        <f>HYPERLINK("https://www.hootsuite.com","Hootsuite Inc.")</f>
        <v>Hootsuite Inc.</v>
      </c>
      <c r="F4456" s="19">
        <v>43360.491898148146</v>
      </c>
      <c r="G4456" s="17" t="s">
        <v>13000</v>
      </c>
      <c r="H4456" s="35" t="s">
        <v>1607</v>
      </c>
      <c r="I4456" s="25" t="s">
        <v>3607</v>
      </c>
    </row>
    <row r="4457" spans="1:9" s="33" customFormat="1" ht="45">
      <c r="A4457" s="19">
        <v>43549.541956018518</v>
      </c>
      <c r="B4457" s="20" t="str">
        <f>HYPERLINK("https://twitter.com/OpulentAutonomy","@OpulentAutonomy")</f>
        <v>@OpulentAutonomy</v>
      </c>
      <c r="C4457" s="21" t="s">
        <v>3605</v>
      </c>
      <c r="D4457" s="22" t="s">
        <v>7991</v>
      </c>
      <c r="E4457" s="23" t="str">
        <f>HYPERLINK("https://www.hootsuite.com","Hootsuite Inc.")</f>
        <v>Hootsuite Inc.</v>
      </c>
      <c r="F4457" s="19">
        <v>43360.491898148146</v>
      </c>
      <c r="G4457" s="17" t="s">
        <v>13000</v>
      </c>
      <c r="H4457" s="35" t="s">
        <v>1607</v>
      </c>
      <c r="I4457" s="25" t="s">
        <v>3607</v>
      </c>
    </row>
    <row r="4458" spans="1:9" s="33" customFormat="1" ht="75">
      <c r="A4458" s="19">
        <v>43546.458692129629</v>
      </c>
      <c r="B4458" s="20" t="str">
        <f>HYPERLINK("https://twitter.com/OpulentAutonomy","@OpulentAutonomy")</f>
        <v>@OpulentAutonomy</v>
      </c>
      <c r="C4458" s="21" t="s">
        <v>3605</v>
      </c>
      <c r="D4458" s="22" t="s">
        <v>8839</v>
      </c>
      <c r="E4458" s="23" t="str">
        <f>HYPERLINK("https://www.hootsuite.com","Hootsuite Inc.")</f>
        <v>Hootsuite Inc.</v>
      </c>
      <c r="F4458" s="19">
        <v>43360.491898148146</v>
      </c>
      <c r="G4458" s="17" t="s">
        <v>13000</v>
      </c>
      <c r="H4458" s="35" t="s">
        <v>1607</v>
      </c>
      <c r="I4458" s="25" t="s">
        <v>3607</v>
      </c>
    </row>
    <row r="4459" spans="1:9" s="33" customFormat="1" ht="75">
      <c r="A4459" s="19">
        <v>43544.779664351852</v>
      </c>
      <c r="B4459" s="20" t="str">
        <f>HYPERLINK("https://twitter.com/pursuethorns","@pursuethorns")</f>
        <v>@pursuethorns</v>
      </c>
      <c r="C4459" s="21" t="s">
        <v>9338</v>
      </c>
      <c r="D4459" s="22" t="s">
        <v>9339</v>
      </c>
      <c r="E4459" s="23" t="str">
        <f>HYPERLINK("http://instagram.com","Instagram")</f>
        <v>Instagram</v>
      </c>
      <c r="F4459" s="19">
        <v>42233.894120370373</v>
      </c>
      <c r="G4459" s="17" t="s">
        <v>13000</v>
      </c>
      <c r="H4459" s="35" t="s">
        <v>1607</v>
      </c>
      <c r="I4459" s="25" t="s">
        <v>9340</v>
      </c>
    </row>
    <row r="4460" spans="1:9" s="33" customFormat="1" ht="75">
      <c r="A4460" s="19">
        <v>43544.541874999995</v>
      </c>
      <c r="B4460" s="20" t="str">
        <f>HYPERLINK("https://twitter.com/OpulentAutonomy","@OpulentAutonomy")</f>
        <v>@OpulentAutonomy</v>
      </c>
      <c r="C4460" s="21" t="s">
        <v>3605</v>
      </c>
      <c r="D4460" s="22" t="s">
        <v>9420</v>
      </c>
      <c r="E4460" s="23" t="str">
        <f>HYPERLINK("https://www.hootsuite.com","Hootsuite Inc.")</f>
        <v>Hootsuite Inc.</v>
      </c>
      <c r="F4460" s="19">
        <v>43360.491898148146</v>
      </c>
      <c r="G4460" s="17" t="s">
        <v>13000</v>
      </c>
      <c r="H4460" s="35" t="s">
        <v>1607</v>
      </c>
      <c r="I4460" s="25" t="s">
        <v>3607</v>
      </c>
    </row>
    <row r="4461" spans="1:9" s="33" customFormat="1" ht="30">
      <c r="A4461" s="19">
        <v>43543.33388888889</v>
      </c>
      <c r="B4461" s="20" t="str">
        <f>HYPERLINK("https://twitter.com/OpulentAutonomy","@OpulentAutonomy")</f>
        <v>@OpulentAutonomy</v>
      </c>
      <c r="C4461" s="21" t="s">
        <v>3605</v>
      </c>
      <c r="D4461" s="22" t="s">
        <v>9864</v>
      </c>
      <c r="E4461" s="23" t="str">
        <f>HYPERLINK("https://www.hootsuite.com","Hootsuite Inc.")</f>
        <v>Hootsuite Inc.</v>
      </c>
      <c r="F4461" s="19">
        <v>43360.491898148146</v>
      </c>
      <c r="G4461" s="17" t="s">
        <v>13000</v>
      </c>
      <c r="H4461" s="35" t="s">
        <v>1607</v>
      </c>
      <c r="I4461" s="25" t="s">
        <v>3607</v>
      </c>
    </row>
    <row r="4462" spans="1:9" s="33" customFormat="1" ht="90">
      <c r="A4462" s="19">
        <v>43542.541874999995</v>
      </c>
      <c r="B4462" s="20" t="str">
        <f>HYPERLINK("https://twitter.com/OpulentAutonomy","@OpulentAutonomy")</f>
        <v>@OpulentAutonomy</v>
      </c>
      <c r="C4462" s="21" t="s">
        <v>3605</v>
      </c>
      <c r="D4462" s="22" t="s">
        <v>10116</v>
      </c>
      <c r="E4462" s="23" t="str">
        <f>HYPERLINK("https://www.hootsuite.com","Hootsuite Inc.")</f>
        <v>Hootsuite Inc.</v>
      </c>
      <c r="F4462" s="19">
        <v>43360.491898148146</v>
      </c>
      <c r="G4462" s="17" t="s">
        <v>13000</v>
      </c>
      <c r="H4462" s="35" t="s">
        <v>1607</v>
      </c>
      <c r="I4462" s="25" t="s">
        <v>3607</v>
      </c>
    </row>
    <row r="4463" spans="1:9" s="33" customFormat="1" ht="60">
      <c r="A4463" s="4">
        <v>43565.458680555559</v>
      </c>
      <c r="B4463" s="5" t="str">
        <f>HYPERLINK("https://twitter.com/OpulentAutonomy","@OpulentAutonomy")</f>
        <v>@OpulentAutonomy</v>
      </c>
      <c r="C4463" s="6" t="s">
        <v>3605</v>
      </c>
      <c r="D4463" s="7" t="s">
        <v>6076</v>
      </c>
      <c r="E4463" s="8" t="str">
        <f>HYPERLINK("https://www.hootsuite.com","Hootsuite Inc.")</f>
        <v>Hootsuite Inc.</v>
      </c>
      <c r="F4463" s="4">
        <v>43360.491898148146</v>
      </c>
      <c r="G4463" s="17" t="s">
        <v>13000</v>
      </c>
      <c r="H4463" s="35" t="s">
        <v>1607</v>
      </c>
      <c r="I4463" s="10" t="s">
        <v>3607</v>
      </c>
    </row>
    <row r="4464" spans="1:9" s="33" customFormat="1" ht="75">
      <c r="A4464" s="4">
        <v>43564.625219907408</v>
      </c>
      <c r="B4464" s="5" t="str">
        <f>HYPERLINK("https://twitter.com/OpulentAutonomy","@OpulentAutonomy")</f>
        <v>@OpulentAutonomy</v>
      </c>
      <c r="C4464" s="6" t="s">
        <v>3605</v>
      </c>
      <c r="D4464" s="7" t="s">
        <v>6490</v>
      </c>
      <c r="E4464" s="8" t="str">
        <f>HYPERLINK("https://www.hootsuite.com","Hootsuite Inc.")</f>
        <v>Hootsuite Inc.</v>
      </c>
      <c r="F4464" s="4">
        <v>43360.491898148146</v>
      </c>
      <c r="G4464" s="17" t="s">
        <v>13000</v>
      </c>
      <c r="H4464" s="35" t="s">
        <v>1607</v>
      </c>
      <c r="I4464" s="10" t="s">
        <v>3607</v>
      </c>
    </row>
    <row r="4465" spans="1:9" s="33" customFormat="1" ht="75">
      <c r="A4465" s="4">
        <v>43564.218055555553</v>
      </c>
      <c r="B4465" s="5" t="str">
        <f>HYPERLINK("https://twitter.com/inventions2mkt","@inventions2mkt")</f>
        <v>@inventions2mkt</v>
      </c>
      <c r="C4465" s="6" t="s">
        <v>6728</v>
      </c>
      <c r="D4465" s="7" t="s">
        <v>6729</v>
      </c>
      <c r="E4465" s="8" t="str">
        <f>HYPERLINK("http://twitter.com","Twitter Web Client")</f>
        <v>Twitter Web Client</v>
      </c>
      <c r="F4465" s="4">
        <v>41300.603564814817</v>
      </c>
      <c r="G4465" s="17" t="s">
        <v>13000</v>
      </c>
      <c r="H4465" s="35" t="s">
        <v>1607</v>
      </c>
      <c r="I4465" s="10" t="s">
        <v>6730</v>
      </c>
    </row>
    <row r="4466" spans="1:9" s="33" customFormat="1" ht="60">
      <c r="A4466" s="4">
        <v>43563.541886574079</v>
      </c>
      <c r="B4466" s="5" t="str">
        <f>HYPERLINK("https://twitter.com/OpulentAutonomy","@OpulentAutonomy")</f>
        <v>@OpulentAutonomy</v>
      </c>
      <c r="C4466" s="6" t="s">
        <v>3605</v>
      </c>
      <c r="D4466" s="7" t="s">
        <v>10241</v>
      </c>
      <c r="E4466" s="8" t="str">
        <f>HYPERLINK("https://www.hootsuite.com","Hootsuite Inc.")</f>
        <v>Hootsuite Inc.</v>
      </c>
      <c r="F4466" s="4">
        <v>43360.491898148146</v>
      </c>
      <c r="G4466" s="17" t="s">
        <v>13000</v>
      </c>
      <c r="H4466" s="35" t="s">
        <v>1607</v>
      </c>
      <c r="I4466" s="10" t="s">
        <v>3607</v>
      </c>
    </row>
    <row r="4467" spans="1:9" s="33" customFormat="1" ht="45">
      <c r="A4467" s="4">
        <v>43560.542465277773</v>
      </c>
      <c r="B4467" s="5" t="str">
        <f>HYPERLINK("https://twitter.com/OpulentAutonomy","@OpulentAutonomy")</f>
        <v>@OpulentAutonomy</v>
      </c>
      <c r="C4467" s="6" t="s">
        <v>3605</v>
      </c>
      <c r="D4467" s="7" t="s">
        <v>11302</v>
      </c>
      <c r="E4467" s="8" t="str">
        <f>HYPERLINK("https://www.hootsuite.com","Hootsuite Inc.")</f>
        <v>Hootsuite Inc.</v>
      </c>
      <c r="F4467" s="4">
        <v>43360.491898148146</v>
      </c>
      <c r="G4467" s="17" t="s">
        <v>13000</v>
      </c>
      <c r="H4467" s="35" t="s">
        <v>1607</v>
      </c>
      <c r="I4467" s="10" t="s">
        <v>3607</v>
      </c>
    </row>
    <row r="4468" spans="1:9" s="33" customFormat="1" ht="60">
      <c r="A4468" s="4">
        <v>43558.458518518513</v>
      </c>
      <c r="B4468" s="5" t="str">
        <f>HYPERLINK("https://twitter.com/OpulentAutonomy","@OpulentAutonomy")</f>
        <v>@OpulentAutonomy</v>
      </c>
      <c r="C4468" s="6" t="s">
        <v>3605</v>
      </c>
      <c r="D4468" s="7" t="s">
        <v>12173</v>
      </c>
      <c r="E4468" s="8" t="str">
        <f>HYPERLINK("https://www.hootsuite.com","Hootsuite Inc.")</f>
        <v>Hootsuite Inc.</v>
      </c>
      <c r="F4468" s="4">
        <v>43360.491898148146</v>
      </c>
      <c r="G4468" s="17" t="s">
        <v>13000</v>
      </c>
      <c r="H4468" s="35" t="s">
        <v>1607</v>
      </c>
      <c r="I4468" s="10" t="s">
        <v>3607</v>
      </c>
    </row>
    <row r="4469" spans="1:9" s="33" customFormat="1" ht="75">
      <c r="A4469" s="4">
        <v>43558.252245370371</v>
      </c>
      <c r="B4469" s="5" t="str">
        <f>HYPERLINK("https://twitter.com/roguebaristaTTV","@roguebaristaTTV")</f>
        <v>@roguebaristaTTV</v>
      </c>
      <c r="C4469" s="6" t="s">
        <v>12260</v>
      </c>
      <c r="D4469" s="7" t="s">
        <v>12261</v>
      </c>
      <c r="E4469" s="8" t="str">
        <f>HYPERLINK("http://twitter.com/download/android","Twitter for Android")</f>
        <v>Twitter for Android</v>
      </c>
      <c r="F4469" s="4">
        <v>43468.503368055557</v>
      </c>
      <c r="G4469" s="17" t="s">
        <v>13000</v>
      </c>
      <c r="H4469" s="35" t="s">
        <v>1607</v>
      </c>
      <c r="I4469" s="10" t="s">
        <v>12262</v>
      </c>
    </row>
    <row r="4470" spans="1:9" s="33" customFormat="1" ht="75">
      <c r="A4470" s="4">
        <v>43557.625243055554</v>
      </c>
      <c r="B4470" s="5" t="str">
        <f>HYPERLINK("https://twitter.com/OpulentAutonomy","@OpulentAutonomy")</f>
        <v>@OpulentAutonomy</v>
      </c>
      <c r="C4470" s="6" t="s">
        <v>3605</v>
      </c>
      <c r="D4470" s="7" t="s">
        <v>12435</v>
      </c>
      <c r="E4470" s="8" t="str">
        <f>HYPERLINK("https://www.hootsuite.com","Hootsuite Inc.")</f>
        <v>Hootsuite Inc.</v>
      </c>
      <c r="F4470" s="4">
        <v>43360.491898148146</v>
      </c>
      <c r="G4470" s="17" t="s">
        <v>13000</v>
      </c>
      <c r="H4470" s="35" t="s">
        <v>1607</v>
      </c>
      <c r="I4470" s="10" t="s">
        <v>3607</v>
      </c>
    </row>
    <row r="4471" spans="1:9" s="33" customFormat="1" ht="75">
      <c r="A4471" s="12">
        <v>43577.478171296301</v>
      </c>
      <c r="B4471" s="13" t="str">
        <f>HYPERLINK("https://twitter.com/VaanTheRaccoon","@VaanTheRaccoon")</f>
        <v>@VaanTheRaccoon</v>
      </c>
      <c r="C4471" s="14" t="s">
        <v>1605</v>
      </c>
      <c r="D4471" s="15" t="s">
        <v>1606</v>
      </c>
      <c r="E4471" s="16" t="str">
        <f>HYPERLINK("http://twitter.com/download/iphone","Twitter for iPhone")</f>
        <v>Twitter for iPhone</v>
      </c>
      <c r="F4471" s="12">
        <v>43452.997523148151</v>
      </c>
      <c r="G4471" s="17" t="s">
        <v>13000</v>
      </c>
      <c r="H4471" s="35" t="s">
        <v>1607</v>
      </c>
      <c r="I4471" s="18" t="s">
        <v>1608</v>
      </c>
    </row>
    <row r="4472" spans="1:9" s="33" customFormat="1" ht="90">
      <c r="A4472" s="12">
        <v>43577.431377314817</v>
      </c>
      <c r="B4472" s="13" t="str">
        <f>HYPERLINK("https://twitter.com/Travel_Life_1","@Travel_Life_1")</f>
        <v>@Travel_Life_1</v>
      </c>
      <c r="C4472" s="14" t="s">
        <v>1636</v>
      </c>
      <c r="D4472" s="15" t="s">
        <v>1637</v>
      </c>
      <c r="E4472" s="16" t="str">
        <f>HYPERLINK("http://twitter.com","Twitter Web Client")</f>
        <v>Twitter Web Client</v>
      </c>
      <c r="F4472" s="12">
        <v>40098.525810185187</v>
      </c>
      <c r="G4472" s="17" t="s">
        <v>13000</v>
      </c>
      <c r="H4472" s="35" t="s">
        <v>1607</v>
      </c>
      <c r="I4472" s="18" t="s">
        <v>1638</v>
      </c>
    </row>
    <row r="4473" spans="1:9" s="33" customFormat="1" ht="60">
      <c r="A4473" s="12">
        <v>43571.625231481477</v>
      </c>
      <c r="B4473" s="13" t="str">
        <f>HYPERLINK("https://twitter.com/OpulentAutonomy","@OpulentAutonomy")</f>
        <v>@OpulentAutonomy</v>
      </c>
      <c r="C4473" s="14" t="s">
        <v>3605</v>
      </c>
      <c r="D4473" s="15" t="s">
        <v>3606</v>
      </c>
      <c r="E4473" s="16" t="str">
        <f>HYPERLINK("https://www.hootsuite.com","Hootsuite Inc.")</f>
        <v>Hootsuite Inc.</v>
      </c>
      <c r="F4473" s="12">
        <v>43360.491898148146</v>
      </c>
      <c r="G4473" s="17" t="s">
        <v>13000</v>
      </c>
      <c r="H4473" s="35" t="s">
        <v>1607</v>
      </c>
      <c r="I4473" s="18" t="s">
        <v>3607</v>
      </c>
    </row>
    <row r="4474" spans="1:9" s="33" customFormat="1" ht="60">
      <c r="A4474" s="12">
        <v>43567.542615740742</v>
      </c>
      <c r="B4474" s="13" t="str">
        <f>HYPERLINK("https://twitter.com/OpulentAutonomy","@OpulentAutonomy")</f>
        <v>@OpulentAutonomy</v>
      </c>
      <c r="C4474" s="14" t="s">
        <v>3605</v>
      </c>
      <c r="D4474" s="15" t="s">
        <v>5057</v>
      </c>
      <c r="E4474" s="16" t="str">
        <f>HYPERLINK("https://www.hootsuite.com","Hootsuite Inc.")</f>
        <v>Hootsuite Inc.</v>
      </c>
      <c r="F4474" s="12">
        <v>43360.491898148146</v>
      </c>
      <c r="G4474" s="17" t="s">
        <v>13000</v>
      </c>
      <c r="H4474" s="35" t="s">
        <v>1607</v>
      </c>
      <c r="I4474" s="18" t="s">
        <v>3607</v>
      </c>
    </row>
    <row r="4475" spans="1:9" s="33" customFormat="1" ht="75">
      <c r="A4475" s="12">
        <v>43566.334062499998</v>
      </c>
      <c r="B4475" s="13" t="str">
        <f>HYPERLINK("https://twitter.com/OpulentAutonomy","@OpulentAutonomy")</f>
        <v>@OpulentAutonomy</v>
      </c>
      <c r="C4475" s="14" t="s">
        <v>3605</v>
      </c>
      <c r="D4475" s="15" t="s">
        <v>5647</v>
      </c>
      <c r="E4475" s="16" t="str">
        <f>HYPERLINK("https://www.hootsuite.com","Hootsuite Inc.")</f>
        <v>Hootsuite Inc.</v>
      </c>
      <c r="F4475" s="12">
        <v>43360.491898148146</v>
      </c>
      <c r="G4475" s="17" t="s">
        <v>13000</v>
      </c>
      <c r="H4475" s="35" t="s">
        <v>1607</v>
      </c>
      <c r="I4475" s="18" t="s">
        <v>3607</v>
      </c>
    </row>
    <row r="4476" spans="1:9" s="33" customFormat="1" ht="45">
      <c r="A4476" s="12">
        <v>43573.831134259264</v>
      </c>
      <c r="B4476" s="13" t="str">
        <f>HYPERLINK("https://twitter.com/ARhynehardt15","@ARhynehardt15")</f>
        <v>@ARhynehardt15</v>
      </c>
      <c r="C4476" s="14" t="s">
        <v>2723</v>
      </c>
      <c r="D4476" s="15" t="s">
        <v>2724</v>
      </c>
      <c r="E4476" s="16" t="str">
        <f>HYPERLINK("http://twitter.com/download/iphone","Twitter for iPhone")</f>
        <v>Twitter for iPhone</v>
      </c>
      <c r="F4476" s="12">
        <v>41997.689618055556</v>
      </c>
      <c r="G4476" s="17" t="s">
        <v>13000</v>
      </c>
      <c r="H4476" s="35" t="s">
        <v>2725</v>
      </c>
      <c r="I4476" s="18" t="s">
        <v>2726</v>
      </c>
    </row>
    <row r="4477" spans="1:9" s="33" customFormat="1" ht="45">
      <c r="A4477" s="12">
        <v>43571.414861111116</v>
      </c>
      <c r="B4477" s="13" t="str">
        <f>HYPERLINK("https://twitter.com/DanaMTedesco","@DanaMTedesco")</f>
        <v>@DanaMTedesco</v>
      </c>
      <c r="C4477" s="14" t="s">
        <v>3677</v>
      </c>
      <c r="D4477" s="15" t="s">
        <v>3678</v>
      </c>
      <c r="E4477" s="16" t="str">
        <f>HYPERLINK("http://postbeyond.com","PostBeyond")</f>
        <v>PostBeyond</v>
      </c>
      <c r="F4477" s="12">
        <v>39944.575914351852</v>
      </c>
      <c r="G4477" s="17" t="s">
        <v>13000</v>
      </c>
      <c r="H4477" s="35" t="s">
        <v>3679</v>
      </c>
      <c r="I4477" s="18" t="s">
        <v>3680</v>
      </c>
    </row>
    <row r="4478" spans="1:9" s="33" customFormat="1" ht="60">
      <c r="A4478" s="4">
        <v>43559.443749999999</v>
      </c>
      <c r="B4478" s="5" t="str">
        <f>HYPERLINK("https://twitter.com/swannroadnv","@swannroadnv")</f>
        <v>@swannroadnv</v>
      </c>
      <c r="C4478" s="6" t="s">
        <v>11834</v>
      </c>
      <c r="D4478" s="7" t="s">
        <v>11835</v>
      </c>
      <c r="E4478" s="8" t="str">
        <f>HYPERLINK("https://about.twitter.com/products/tweetdeck","TweetDeck")</f>
        <v>TweetDeck</v>
      </c>
      <c r="F4478" s="4">
        <v>40068.75372685185</v>
      </c>
      <c r="G4478" s="24" t="s">
        <v>13000</v>
      </c>
      <c r="H4478" s="35" t="s">
        <v>11836</v>
      </c>
      <c r="I4478" s="10" t="s">
        <v>11837</v>
      </c>
    </row>
    <row r="4479" spans="1:9" s="33" customFormat="1" ht="45">
      <c r="A4479" s="4">
        <v>43558.443749999999</v>
      </c>
      <c r="B4479" s="5" t="str">
        <f>HYPERLINK("https://twitter.com/swannroadnv","@swannroadnv")</f>
        <v>@swannroadnv</v>
      </c>
      <c r="C4479" s="6" t="s">
        <v>11834</v>
      </c>
      <c r="D4479" s="7" t="s">
        <v>12188</v>
      </c>
      <c r="E4479" s="8" t="str">
        <f>HYPERLINK("https://about.twitter.com/products/tweetdeck","TweetDeck")</f>
        <v>TweetDeck</v>
      </c>
      <c r="F4479" s="4">
        <v>40068.75372685185</v>
      </c>
      <c r="G4479" s="24" t="s">
        <v>13000</v>
      </c>
      <c r="H4479" s="35" t="s">
        <v>11836</v>
      </c>
      <c r="I4479" s="10" t="s">
        <v>11837</v>
      </c>
    </row>
    <row r="4480" spans="1:9" s="33" customFormat="1" ht="45">
      <c r="A4480" s="19">
        <v>43550.37222222222</v>
      </c>
      <c r="B4480" s="20" t="str">
        <f>HYPERLINK("https://twitter.com/swcraigroadnv","@swcraigroadnv")</f>
        <v>@swcraigroadnv</v>
      </c>
      <c r="C4480" s="21" t="s">
        <v>7701</v>
      </c>
      <c r="D4480" s="22" t="s">
        <v>7702</v>
      </c>
      <c r="E4480" s="23" t="str">
        <f>HYPERLINK("https://about.twitter.com/products/tweetdeck","TweetDeck")</f>
        <v>TweetDeck</v>
      </c>
      <c r="F4480" s="19">
        <v>40069.443969907406</v>
      </c>
      <c r="G4480" s="24" t="s">
        <v>13000</v>
      </c>
      <c r="H4480" s="35" t="s">
        <v>7703</v>
      </c>
      <c r="I4480" s="25" t="s">
        <v>7704</v>
      </c>
    </row>
    <row r="4481" spans="1:9" s="33" customFormat="1" ht="60">
      <c r="A4481" s="4">
        <v>43559.604861111111</v>
      </c>
      <c r="B4481" s="5" t="str">
        <f>HYPERLINK("https://twitter.com/swcentranchnv","@swcentranchnv")</f>
        <v>@swcentranchnv</v>
      </c>
      <c r="C4481" s="6" t="s">
        <v>11745</v>
      </c>
      <c r="D4481" s="7" t="s">
        <v>11746</v>
      </c>
      <c r="E4481" s="8" t="str">
        <f>HYPERLINK("https://about.twitter.com/products/tweetdeck","TweetDeck")</f>
        <v>TweetDeck</v>
      </c>
      <c r="F4481" s="4">
        <v>40069.41479166667</v>
      </c>
      <c r="G4481" s="24" t="s">
        <v>13000</v>
      </c>
      <c r="H4481" s="35" t="s">
        <v>11747</v>
      </c>
      <c r="I4481" s="10" t="s">
        <v>11748</v>
      </c>
    </row>
    <row r="4482" spans="1:9" s="33" customFormat="1" ht="45">
      <c r="A4482" s="4">
        <v>43558.604861111111</v>
      </c>
      <c r="B4482" s="5" t="str">
        <f>HYPERLINK("https://twitter.com/swcentranchnv","@swcentranchnv")</f>
        <v>@swcentranchnv</v>
      </c>
      <c r="C4482" s="6" t="s">
        <v>11745</v>
      </c>
      <c r="D4482" s="7" t="s">
        <v>12102</v>
      </c>
      <c r="E4482" s="8" t="str">
        <f>HYPERLINK("https://about.twitter.com/products/tweetdeck","TweetDeck")</f>
        <v>TweetDeck</v>
      </c>
      <c r="F4482" s="4">
        <v>40069.41479166667</v>
      </c>
      <c r="G4482" s="24" t="s">
        <v>13000</v>
      </c>
      <c r="H4482" s="35" t="s">
        <v>11747</v>
      </c>
      <c r="I4482" s="10" t="s">
        <v>11748</v>
      </c>
    </row>
    <row r="4483" spans="1:9" s="33" customFormat="1" ht="75">
      <c r="A4483" s="19">
        <v>43547.4375</v>
      </c>
      <c r="B4483" s="20" t="str">
        <f>HYPERLINK("https://twitter.com/SRQREALTOR941","@SRQREALTOR941")</f>
        <v>@SRQREALTOR941</v>
      </c>
      <c r="C4483" s="21" t="s">
        <v>8544</v>
      </c>
      <c r="D4483" s="22" t="s">
        <v>8545</v>
      </c>
      <c r="E4483" s="23" t="str">
        <f>HYPERLINK("http://instagram.com","Instagram")</f>
        <v>Instagram</v>
      </c>
      <c r="F4483" s="19">
        <v>42605.804247685184</v>
      </c>
      <c r="G4483" s="24" t="s">
        <v>13000</v>
      </c>
      <c r="H4483" s="35" t="s">
        <v>8546</v>
      </c>
      <c r="I4483" s="25" t="s">
        <v>8547</v>
      </c>
    </row>
    <row r="4484" spans="1:9" s="33" customFormat="1" ht="45">
      <c r="A4484" s="4">
        <v>43563.598437499997</v>
      </c>
      <c r="B4484" s="5" t="str">
        <f>HYPERLINK("https://twitter.com/julia_baillie","@julia_baillie")</f>
        <v>@julia_baillie</v>
      </c>
      <c r="C4484" s="6" t="s">
        <v>6946</v>
      </c>
      <c r="D4484" s="7" t="s">
        <v>6947</v>
      </c>
      <c r="E4484" s="8" t="str">
        <f>HYPERLINK("http://twitter.com","Twitter Web Client")</f>
        <v>Twitter Web Client</v>
      </c>
      <c r="F4484" s="4">
        <v>42537.458680555559</v>
      </c>
      <c r="G4484" s="24" t="s">
        <v>13000</v>
      </c>
      <c r="H4484" s="35" t="s">
        <v>6948</v>
      </c>
      <c r="I4484" s="10" t="s">
        <v>6949</v>
      </c>
    </row>
    <row r="4485" spans="1:9" s="33" customFormat="1" ht="60">
      <c r="A4485" s="19">
        <v>43551.741886574076</v>
      </c>
      <c r="B4485" s="20" t="str">
        <f>HYPERLINK("https://twitter.com/Oliver_Scott","@Oliver_Scott")</f>
        <v>@Oliver_Scott</v>
      </c>
      <c r="C4485" s="21" t="s">
        <v>7012</v>
      </c>
      <c r="D4485" s="22" t="s">
        <v>7013</v>
      </c>
      <c r="E4485" s="23" t="str">
        <f>HYPERLINK("http://instagram.com","Instagram")</f>
        <v>Instagram</v>
      </c>
      <c r="F4485" s="19">
        <v>39757.874606481484</v>
      </c>
      <c r="G4485" s="24" t="s">
        <v>13000</v>
      </c>
      <c r="H4485" s="35" t="s">
        <v>7014</v>
      </c>
      <c r="I4485" s="25" t="s">
        <v>7015</v>
      </c>
    </row>
    <row r="4486" spans="1:9" s="33" customFormat="1" ht="30">
      <c r="A4486" s="19">
        <v>43547.233680555553</v>
      </c>
      <c r="B4486" s="20" t="str">
        <f>HYPERLINK("https://twitter.com/Bobby_Driscoll","@Bobby_Driscoll")</f>
        <v>@Bobby_Driscoll</v>
      </c>
      <c r="C4486" s="21" t="s">
        <v>8621</v>
      </c>
      <c r="D4486" s="22" t="s">
        <v>8622</v>
      </c>
      <c r="E4486" s="23" t="str">
        <f>HYPERLINK("http://instagram.com","Instagram")</f>
        <v>Instagram</v>
      </c>
      <c r="F4486" s="19">
        <v>39743.513252314813</v>
      </c>
      <c r="G4486" s="24" t="s">
        <v>13000</v>
      </c>
      <c r="H4486" s="35" t="s">
        <v>8623</v>
      </c>
      <c r="I4486" s="25" t="s">
        <v>8624</v>
      </c>
    </row>
    <row r="4487" spans="1:9" s="33" customFormat="1" ht="105">
      <c r="A4487" s="4">
        <v>43561.122037037036</v>
      </c>
      <c r="B4487" s="5" t="str">
        <f>HYPERLINK("https://twitter.com/tiniskwerl","@tiniskwerl")</f>
        <v>@tiniskwerl</v>
      </c>
      <c r="C4487" s="6" t="s">
        <v>11060</v>
      </c>
      <c r="D4487" s="7" t="s">
        <v>11061</v>
      </c>
      <c r="E4487" s="8" t="str">
        <f>HYPERLINK("http://twitter.com","Twitter Web Client")</f>
        <v>Twitter Web Client</v>
      </c>
      <c r="F4487" s="4">
        <v>41586.823182870372</v>
      </c>
      <c r="G4487" s="9" t="s">
        <v>13000</v>
      </c>
      <c r="H4487" s="35" t="s">
        <v>11062</v>
      </c>
      <c r="I4487" s="10" t="s">
        <v>11063</v>
      </c>
    </row>
    <row r="4488" spans="1:9" s="33" customFormat="1" ht="60">
      <c r="A4488" s="12">
        <v>43573.796539351853</v>
      </c>
      <c r="B4488" s="13" t="str">
        <f>HYPERLINK("https://twitter.com/TheNWAGuru","@TheNWAGuru")</f>
        <v>@TheNWAGuru</v>
      </c>
      <c r="C4488" s="14" t="s">
        <v>2738</v>
      </c>
      <c r="D4488" s="15" t="s">
        <v>2739</v>
      </c>
      <c r="E4488" s="16" t="str">
        <f>HYPERLINK("https://buffer.com","Buffer")</f>
        <v>Buffer</v>
      </c>
      <c r="F4488" s="12">
        <v>40920.28365740741</v>
      </c>
      <c r="G4488" s="17" t="s">
        <v>13000</v>
      </c>
      <c r="H4488" s="35" t="s">
        <v>2740</v>
      </c>
      <c r="I4488" s="18" t="s">
        <v>2741</v>
      </c>
    </row>
    <row r="4489" spans="1:9" s="33" customFormat="1" ht="60">
      <c r="A4489" s="12">
        <v>43569.796550925923</v>
      </c>
      <c r="B4489" s="13" t="str">
        <f>HYPERLINK("https://twitter.com/TheNWAGuru","@TheNWAGuru")</f>
        <v>@TheNWAGuru</v>
      </c>
      <c r="C4489" s="14" t="s">
        <v>2738</v>
      </c>
      <c r="D4489" s="15" t="s">
        <v>4409</v>
      </c>
      <c r="E4489" s="16" t="str">
        <f>HYPERLINK("https://buffer.com","Buffer")</f>
        <v>Buffer</v>
      </c>
      <c r="F4489" s="12">
        <v>40920.28365740741</v>
      </c>
      <c r="G4489" s="17" t="s">
        <v>13000</v>
      </c>
      <c r="H4489" s="35" t="s">
        <v>2740</v>
      </c>
      <c r="I4489" s="18" t="s">
        <v>2741</v>
      </c>
    </row>
    <row r="4490" spans="1:9" s="33" customFormat="1" ht="45">
      <c r="A4490" s="12">
        <v>43571.381944444445</v>
      </c>
      <c r="B4490" s="13" t="str">
        <f>HYPERLINK("https://twitter.com/CardNotPresent","@CardNotPresent")</f>
        <v>@CardNotPresent</v>
      </c>
      <c r="C4490" s="14" t="s">
        <v>3699</v>
      </c>
      <c r="D4490" s="15" t="s">
        <v>3700</v>
      </c>
      <c r="E4490" s="16" t="str">
        <f>HYPERLINK("http://www.hubspot.com/","HubSpot")</f>
        <v>HubSpot</v>
      </c>
      <c r="F4490" s="12">
        <v>40364.481712962966</v>
      </c>
      <c r="G4490" s="17" t="s">
        <v>13000</v>
      </c>
      <c r="H4490" s="35" t="s">
        <v>3701</v>
      </c>
      <c r="I4490" s="18" t="s">
        <v>3702</v>
      </c>
    </row>
    <row r="4491" spans="1:9" s="33" customFormat="1" ht="120">
      <c r="A4491" s="12">
        <v>43568.287546296298</v>
      </c>
      <c r="B4491" s="13" t="str">
        <f>HYPERLINK("https://twitter.com/LornadEnt","@LornadEnt")</f>
        <v>@LornadEnt</v>
      </c>
      <c r="C4491" s="14" t="s">
        <v>4819</v>
      </c>
      <c r="D4491" s="15" t="s">
        <v>4820</v>
      </c>
      <c r="E4491" s="16" t="str">
        <f>HYPERLINK("http://twitter.com","Twitter Web Client")</f>
        <v>Twitter Web Client</v>
      </c>
      <c r="F4491" s="12">
        <v>40183.832627314812</v>
      </c>
      <c r="G4491" s="9" t="s">
        <v>13000</v>
      </c>
      <c r="H4491" s="35" t="s">
        <v>4821</v>
      </c>
      <c r="I4491" s="18" t="s">
        <v>4822</v>
      </c>
    </row>
    <row r="4492" spans="1:9" s="33" customFormat="1" ht="105">
      <c r="A4492" s="4">
        <v>43556.70175925926</v>
      </c>
      <c r="B4492" s="5" t="str">
        <f>HYPERLINK("https://twitter.com/tabithalco","@tabithalco")</f>
        <v>@tabithalco</v>
      </c>
      <c r="C4492" s="6" t="s">
        <v>12767</v>
      </c>
      <c r="D4492" s="7" t="s">
        <v>12768</v>
      </c>
      <c r="E4492" s="8" t="str">
        <f>HYPERLINK("http://twitter.com/download/iphone","Twitter for iPhone")</f>
        <v>Twitter for iPhone</v>
      </c>
      <c r="F4492" s="4">
        <v>43239.653182870374</v>
      </c>
      <c r="G4492" s="9" t="s">
        <v>13000</v>
      </c>
      <c r="H4492" s="35" t="s">
        <v>12769</v>
      </c>
      <c r="I4492" s="10" t="s">
        <v>12770</v>
      </c>
    </row>
    <row r="4493" spans="1:9" s="33" customFormat="1" ht="60">
      <c r="A4493" s="12">
        <v>43570.429409722223</v>
      </c>
      <c r="B4493" s="13" t="str">
        <f>HYPERLINK("https://twitter.com/G_MgmtOffice","@G_MgmtOffice")</f>
        <v>@G_MgmtOffice</v>
      </c>
      <c r="C4493" s="14" t="s">
        <v>4155</v>
      </c>
      <c r="D4493" s="15" t="s">
        <v>4156</v>
      </c>
      <c r="E4493" s="16" t="str">
        <f>HYPERLINK("http://www.linkedin.com/","LinkedIn")</f>
        <v>LinkedIn</v>
      </c>
      <c r="F4493" s="12">
        <v>39921.349444444444</v>
      </c>
      <c r="G4493" s="17" t="s">
        <v>13000</v>
      </c>
      <c r="H4493" s="35" t="s">
        <v>4157</v>
      </c>
      <c r="I4493" s="18" t="s">
        <v>4158</v>
      </c>
    </row>
    <row r="4494" spans="1:9" s="33" customFormat="1" ht="60">
      <c r="A4494" s="4">
        <v>43560.314236111109</v>
      </c>
      <c r="B4494" s="5" t="str">
        <f>HYPERLINK("https://twitter.com/DayerVikki","@DayerVikki")</f>
        <v>@DayerVikki</v>
      </c>
      <c r="C4494" s="6" t="s">
        <v>11454</v>
      </c>
      <c r="D4494" s="7" t="s">
        <v>11455</v>
      </c>
      <c r="E4494" s="8" t="str">
        <f>HYPERLINK("http://twitter.com","Twitter Web Client")</f>
        <v>Twitter Web Client</v>
      </c>
      <c r="F4494" s="4">
        <v>43557.694988425923</v>
      </c>
      <c r="G4494" s="17" t="s">
        <v>13000</v>
      </c>
      <c r="H4494" s="35" t="s">
        <v>11456</v>
      </c>
      <c r="I4494" s="10" t="s">
        <v>11457</v>
      </c>
    </row>
    <row r="4495" spans="1:9" s="33" customFormat="1" ht="60">
      <c r="A4495" s="12">
        <v>43566.363865740743</v>
      </c>
      <c r="B4495" s="13" t="str">
        <f>HYPERLINK("https://twitter.com/ALLREDToDoRoJo","@ALLREDToDoRoJo")</f>
        <v>@ALLREDToDoRoJo</v>
      </c>
      <c r="C4495" s="14" t="s">
        <v>5612</v>
      </c>
      <c r="D4495" s="15" t="s">
        <v>5613</v>
      </c>
      <c r="E4495" s="16" t="str">
        <f>HYPERLINK("http://twitter.com/download/android","Twitter for Android")</f>
        <v>Twitter for Android</v>
      </c>
      <c r="F4495" s="12">
        <v>40793.545995370368</v>
      </c>
      <c r="G4495" s="17" t="s">
        <v>13000</v>
      </c>
      <c r="H4495" s="35" t="s">
        <v>5614</v>
      </c>
      <c r="I4495" s="18" t="s">
        <v>5615</v>
      </c>
    </row>
    <row r="4496" spans="1:9" s="33" customFormat="1" ht="90">
      <c r="A4496" s="19">
        <v>43549.406377314815</v>
      </c>
      <c r="B4496" s="20" t="str">
        <f>HYPERLINK("https://twitter.com/iamstevenpedigo","@iamstevenpedigo")</f>
        <v>@iamstevenpedigo</v>
      </c>
      <c r="C4496" s="21" t="s">
        <v>8051</v>
      </c>
      <c r="D4496" s="22" t="s">
        <v>8052</v>
      </c>
      <c r="E4496" s="23" t="str">
        <f>HYPERLINK("https://www.hootsuite.com","Hootsuite Inc.")</f>
        <v>Hootsuite Inc.</v>
      </c>
      <c r="F4496" s="19">
        <v>40886.346875000003</v>
      </c>
      <c r="G4496" s="17" t="s">
        <v>13000</v>
      </c>
      <c r="H4496" s="35" t="s">
        <v>10</v>
      </c>
      <c r="I4496" s="25" t="s">
        <v>8053</v>
      </c>
    </row>
    <row r="4497" spans="1:9" s="33" customFormat="1" ht="75">
      <c r="A4497" s="4">
        <v>43562.791365740741</v>
      </c>
      <c r="B4497" s="5" t="str">
        <f>HYPERLINK("https://twitter.com/GregMartinPhoto","@GregMartinPhoto")</f>
        <v>@GregMartinPhoto</v>
      </c>
      <c r="C4497" s="6" t="s">
        <v>1821</v>
      </c>
      <c r="D4497" s="7" t="s">
        <v>10583</v>
      </c>
      <c r="E4497" s="8" t="str">
        <f>HYPERLINK("http://twitter.com/download/android","Twitter for Android")</f>
        <v>Twitter for Android</v>
      </c>
      <c r="F4497" s="4">
        <v>43540.598298611112</v>
      </c>
      <c r="G4497" s="17" t="s">
        <v>13000</v>
      </c>
      <c r="H4497" s="35" t="s">
        <v>10</v>
      </c>
      <c r="I4497" s="10" t="s">
        <v>1823</v>
      </c>
    </row>
    <row r="4498" spans="1:9" s="33" customFormat="1" ht="45">
      <c r="A4498" s="4">
        <v>43560.795798611114</v>
      </c>
      <c r="B4498" s="5" t="str">
        <f>HYPERLINK("https://twitter.com/moughthere","@moughthere")</f>
        <v>@moughthere</v>
      </c>
      <c r="C4498" s="6" t="s">
        <v>3521</v>
      </c>
      <c r="D4498" s="7" t="s">
        <v>11159</v>
      </c>
      <c r="E4498" s="8" t="str">
        <f>HYPERLINK("http://twitter.com/download/iphone","Twitter for iPhone")</f>
        <v>Twitter for iPhone</v>
      </c>
      <c r="F4498" s="4">
        <v>40610.769074074073</v>
      </c>
      <c r="G4498" s="17" t="s">
        <v>13000</v>
      </c>
      <c r="H4498" s="35" t="s">
        <v>10</v>
      </c>
      <c r="I4498" s="10" t="s">
        <v>3523</v>
      </c>
    </row>
    <row r="4499" spans="1:9" s="33" customFormat="1" ht="45">
      <c r="A4499" s="4">
        <v>43560.781030092592</v>
      </c>
      <c r="B4499" s="5" t="str">
        <f>HYPERLINK("https://twitter.com/DesignPolice","@DesignPolice")</f>
        <v>@DesignPolice</v>
      </c>
      <c r="C4499" s="6" t="s">
        <v>11163</v>
      </c>
      <c r="D4499" s="7" t="s">
        <v>11164</v>
      </c>
      <c r="E4499" s="8" t="str">
        <f>HYPERLINK("http://twitter.com/download/iphone","Twitter for iPhone")</f>
        <v>Twitter for iPhone</v>
      </c>
      <c r="F4499" s="4">
        <v>39831.783078703702</v>
      </c>
      <c r="G4499" s="17" t="s">
        <v>13000</v>
      </c>
      <c r="H4499" s="35" t="s">
        <v>10</v>
      </c>
      <c r="I4499" s="10" t="s">
        <v>11165</v>
      </c>
    </row>
    <row r="4500" spans="1:9" s="33" customFormat="1" ht="75">
      <c r="A4500" s="4">
        <v>43560.745601851857</v>
      </c>
      <c r="B4500" s="5" t="str">
        <f>HYPERLINK("https://twitter.com/GregMartinPhoto","@GregMartinPhoto")</f>
        <v>@GregMartinPhoto</v>
      </c>
      <c r="C4500" s="6" t="s">
        <v>1821</v>
      </c>
      <c r="D4500" s="7" t="s">
        <v>11204</v>
      </c>
      <c r="E4500" s="8" t="str">
        <f>HYPERLINK("http://twitter.com/download/android","Twitter for Android")</f>
        <v>Twitter for Android</v>
      </c>
      <c r="F4500" s="4">
        <v>43540.598298611112</v>
      </c>
      <c r="G4500" s="17" t="s">
        <v>13000</v>
      </c>
      <c r="H4500" s="35" t="s">
        <v>10</v>
      </c>
      <c r="I4500" s="10" t="s">
        <v>1823</v>
      </c>
    </row>
    <row r="4501" spans="1:9" s="33" customFormat="1" ht="60">
      <c r="A4501" s="4">
        <v>43559.709398148145</v>
      </c>
      <c r="B4501" s="5" t="str">
        <f>HYPERLINK("https://twitter.com/wolfwellness","@wolfwellness")</f>
        <v>@wolfwellness</v>
      </c>
      <c r="C4501" s="6" t="s">
        <v>11707</v>
      </c>
      <c r="D4501" s="7" t="s">
        <v>11708</v>
      </c>
      <c r="E4501" s="8" t="str">
        <f>HYPERLINK("http://twitter.com/download/iphone","Twitter for iPhone")</f>
        <v>Twitter for iPhone</v>
      </c>
      <c r="F4501" s="4">
        <v>39875.273530092592</v>
      </c>
      <c r="G4501" s="17" t="s">
        <v>13000</v>
      </c>
      <c r="H4501" s="35" t="s">
        <v>10</v>
      </c>
      <c r="I4501" s="10" t="s">
        <v>11709</v>
      </c>
    </row>
    <row r="4502" spans="1:9" s="33" customFormat="1" ht="45">
      <c r="A4502" s="4">
        <v>43557.811041666668</v>
      </c>
      <c r="B4502" s="5" t="str">
        <f>HYPERLINK("https://twitter.com/GregMartinPhoto","@GregMartinPhoto")</f>
        <v>@GregMartinPhoto</v>
      </c>
      <c r="C4502" s="6" t="s">
        <v>1821</v>
      </c>
      <c r="D4502" s="7" t="s">
        <v>12389</v>
      </c>
      <c r="E4502" s="8" t="str">
        <f>HYPERLINK("http://twitter.com/download/android","Twitter for Android")</f>
        <v>Twitter for Android</v>
      </c>
      <c r="F4502" s="4">
        <v>43540.598298611112</v>
      </c>
      <c r="G4502" s="17" t="s">
        <v>13000</v>
      </c>
      <c r="H4502" s="35" t="s">
        <v>10</v>
      </c>
      <c r="I4502" s="10" t="s">
        <v>1823</v>
      </c>
    </row>
    <row r="4503" spans="1:9" s="33" customFormat="1" ht="30">
      <c r="A4503" s="12">
        <v>43580.859525462962</v>
      </c>
      <c r="B4503" s="13" t="str">
        <f>HYPERLINK("https://twitter.com/Jefferson_Locke","@Jefferson_Locke")</f>
        <v>@Jefferson_Locke</v>
      </c>
      <c r="C4503" s="14" t="s">
        <v>8</v>
      </c>
      <c r="D4503" s="15" t="s">
        <v>9</v>
      </c>
      <c r="E4503" s="16" t="str">
        <f>HYPERLINK("http://twitter.com/download/android","Twitter for Android")</f>
        <v>Twitter for Android</v>
      </c>
      <c r="F4503" s="12">
        <v>39876.634143518517</v>
      </c>
      <c r="G4503" s="17" t="s">
        <v>13000</v>
      </c>
      <c r="H4503" s="35" t="s">
        <v>10</v>
      </c>
      <c r="I4503" s="18" t="s">
        <v>11</v>
      </c>
    </row>
    <row r="4504" spans="1:9" s="33" customFormat="1" ht="120">
      <c r="A4504" s="12">
        <v>43576.821493055555</v>
      </c>
      <c r="B4504" s="13" t="str">
        <f>HYPERLINK("https://twitter.com/GregMartinPhoto","@GregMartinPhoto")</f>
        <v>@GregMartinPhoto</v>
      </c>
      <c r="C4504" s="14" t="s">
        <v>1821</v>
      </c>
      <c r="D4504" s="15" t="s">
        <v>1822</v>
      </c>
      <c r="E4504" s="16" t="str">
        <f>HYPERLINK("http://twitter.com/download/android","Twitter for Android")</f>
        <v>Twitter for Android</v>
      </c>
      <c r="F4504" s="12">
        <v>43540.598298611112</v>
      </c>
      <c r="G4504" s="17" t="s">
        <v>13000</v>
      </c>
      <c r="H4504" s="35" t="s">
        <v>10</v>
      </c>
      <c r="I4504" s="18" t="s">
        <v>1823</v>
      </c>
    </row>
    <row r="4505" spans="1:9" s="33" customFormat="1" ht="45">
      <c r="A4505" s="12">
        <v>43571.848240740743</v>
      </c>
      <c r="B4505" s="13" t="str">
        <f>HYPERLINK("https://twitter.com/moughthere","@moughthere")</f>
        <v>@moughthere</v>
      </c>
      <c r="C4505" s="14" t="s">
        <v>3521</v>
      </c>
      <c r="D4505" s="15" t="s">
        <v>3522</v>
      </c>
      <c r="E4505" s="16" t="str">
        <f>HYPERLINK("http://twitter.com/download/iphone","Twitter for iPhone")</f>
        <v>Twitter for iPhone</v>
      </c>
      <c r="F4505" s="12">
        <v>40610.769074074073</v>
      </c>
      <c r="G4505" s="17" t="s">
        <v>13000</v>
      </c>
      <c r="H4505" s="35" t="s">
        <v>10</v>
      </c>
      <c r="I4505" s="18" t="s">
        <v>3523</v>
      </c>
    </row>
    <row r="4506" spans="1:9" s="33" customFormat="1" ht="75">
      <c r="A4506" s="12">
        <v>43568.673321759255</v>
      </c>
      <c r="B4506" s="13" t="str">
        <f>HYPERLINK("https://twitter.com/MagicMaineHerb","@MagicMaineHerb")</f>
        <v>@MagicMaineHerb</v>
      </c>
      <c r="C4506" s="14" t="s">
        <v>4668</v>
      </c>
      <c r="D4506" s="15" t="s">
        <v>4669</v>
      </c>
      <c r="E4506" s="16" t="str">
        <f>HYPERLINK("http://twitter.com","Twitter Web Client")</f>
        <v>Twitter Web Client</v>
      </c>
      <c r="F4506" s="12">
        <v>42921.869039351848</v>
      </c>
      <c r="G4506" s="17" t="s">
        <v>13000</v>
      </c>
      <c r="H4506" s="35" t="s">
        <v>10</v>
      </c>
      <c r="I4506" s="18" t="s">
        <v>4670</v>
      </c>
    </row>
    <row r="4507" spans="1:9" s="33" customFormat="1" ht="90">
      <c r="A4507" s="12">
        <v>43567.285810185189</v>
      </c>
      <c r="B4507" s="13" t="str">
        <f>HYPERLINK("https://twitter.com/BakuExchange","@BakuExchange")</f>
        <v>@BakuExchange</v>
      </c>
      <c r="C4507" s="14" t="s">
        <v>5184</v>
      </c>
      <c r="D4507" s="15" t="s">
        <v>5185</v>
      </c>
      <c r="E4507" s="16" t="str">
        <f t="shared" ref="E4507:E4512" si="180">HYPERLINK("http://twitter.com/download/iphone","Twitter for iPhone")</f>
        <v>Twitter for iPhone</v>
      </c>
      <c r="F4507" s="12">
        <v>40753.377013888887</v>
      </c>
      <c r="G4507" s="17" t="s">
        <v>13000</v>
      </c>
      <c r="H4507" s="35" t="s">
        <v>10</v>
      </c>
      <c r="I4507" s="18" t="s">
        <v>5186</v>
      </c>
    </row>
    <row r="4508" spans="1:9" s="33" customFormat="1" ht="60">
      <c r="A4508" s="19">
        <v>43545.794583333336</v>
      </c>
      <c r="B4508" s="20" t="str">
        <f>HYPERLINK("https://twitter.com/demetriesii","@demetriesii")</f>
        <v>@demetriesii</v>
      </c>
      <c r="C4508" s="21" t="s">
        <v>9047</v>
      </c>
      <c r="D4508" s="22" t="s">
        <v>9048</v>
      </c>
      <c r="E4508" s="23" t="str">
        <f t="shared" si="180"/>
        <v>Twitter for iPhone</v>
      </c>
      <c r="F4508" s="19">
        <v>40564.936608796299</v>
      </c>
      <c r="G4508" s="17" t="s">
        <v>13000</v>
      </c>
      <c r="H4508" s="35" t="s">
        <v>9049</v>
      </c>
      <c r="I4508" s="25" t="s">
        <v>9050</v>
      </c>
    </row>
    <row r="4509" spans="1:9" s="33" customFormat="1" ht="75">
      <c r="A4509" s="12">
        <v>43575.62600694444</v>
      </c>
      <c r="B4509" s="13" t="str">
        <f>HYPERLINK("https://twitter.com/reneefishman","@reneefishman")</f>
        <v>@reneefishman</v>
      </c>
      <c r="C4509" s="14" t="s">
        <v>2157</v>
      </c>
      <c r="D4509" s="15" t="s">
        <v>2158</v>
      </c>
      <c r="E4509" s="16" t="str">
        <f t="shared" si="180"/>
        <v>Twitter for iPhone</v>
      </c>
      <c r="F4509" s="12">
        <v>39886.694976851853</v>
      </c>
      <c r="G4509" s="17" t="s">
        <v>13000</v>
      </c>
      <c r="H4509" s="35" t="s">
        <v>2159</v>
      </c>
      <c r="I4509" s="18" t="s">
        <v>2160</v>
      </c>
    </row>
    <row r="4510" spans="1:9" s="33" customFormat="1" ht="45">
      <c r="A4510" s="12">
        <v>43569.362349537041</v>
      </c>
      <c r="B4510" s="13" t="str">
        <f>HYPERLINK("https://twitter.com/NYCHomesforSale","@NYCHomesforSale")</f>
        <v>@NYCHomesforSale</v>
      </c>
      <c r="C4510" s="14" t="s">
        <v>4537</v>
      </c>
      <c r="D4510" s="15" t="s">
        <v>4538</v>
      </c>
      <c r="E4510" s="16" t="str">
        <f t="shared" si="180"/>
        <v>Twitter for iPhone</v>
      </c>
      <c r="F4510" s="12">
        <v>39751.746527777781</v>
      </c>
      <c r="G4510" s="17" t="s">
        <v>13000</v>
      </c>
      <c r="H4510" s="35" t="s">
        <v>4539</v>
      </c>
      <c r="I4510" s="18" t="s">
        <v>4540</v>
      </c>
    </row>
    <row r="4511" spans="1:9" s="33" customFormat="1" ht="75">
      <c r="A4511" s="12">
        <v>43567.424884259264</v>
      </c>
      <c r="B4511" s="13" t="str">
        <f>HYPERLINK("https://twitter.com/NYCHomesforSale","@NYCHomesforSale")</f>
        <v>@NYCHomesforSale</v>
      </c>
      <c r="C4511" s="14" t="s">
        <v>4537</v>
      </c>
      <c r="D4511" s="15" t="s">
        <v>5107</v>
      </c>
      <c r="E4511" s="16" t="str">
        <f t="shared" si="180"/>
        <v>Twitter for iPhone</v>
      </c>
      <c r="F4511" s="12">
        <v>39751.746527777781</v>
      </c>
      <c r="G4511" s="17" t="s">
        <v>13000</v>
      </c>
      <c r="H4511" s="35" t="s">
        <v>4539</v>
      </c>
      <c r="I4511" s="18" t="s">
        <v>4540</v>
      </c>
    </row>
    <row r="4512" spans="1:9" s="33" customFormat="1" ht="60">
      <c r="A4512" s="12">
        <v>43577.671736111108</v>
      </c>
      <c r="B4512" s="13" t="str">
        <f>HYPERLINK("https://twitter.com/windsorknot","@windsorknot")</f>
        <v>@windsorknot</v>
      </c>
      <c r="C4512" s="14" t="s">
        <v>1527</v>
      </c>
      <c r="D4512" s="15" t="s">
        <v>1528</v>
      </c>
      <c r="E4512" s="16" t="str">
        <f t="shared" si="180"/>
        <v>Twitter for iPhone</v>
      </c>
      <c r="F4512" s="12">
        <v>39192.705324074072</v>
      </c>
      <c r="G4512" s="17" t="s">
        <v>13000</v>
      </c>
      <c r="H4512" s="35" t="s">
        <v>1529</v>
      </c>
      <c r="I4512" s="18" t="s">
        <v>1530</v>
      </c>
    </row>
    <row r="4513" spans="1:9" s="33" customFormat="1" ht="45">
      <c r="A4513" s="19">
        <v>43551.271481481483</v>
      </c>
      <c r="B4513" s="20" t="str">
        <f>HYPERLINK("https://twitter.com/SnowVo","@SnowVo")</f>
        <v>@SnowVo</v>
      </c>
      <c r="C4513" s="21" t="s">
        <v>7362</v>
      </c>
      <c r="D4513" s="22" t="s">
        <v>7363</v>
      </c>
      <c r="E4513" s="23" t="str">
        <f>HYPERLINK("http://twitter.com/download/android","Twitter for Android")</f>
        <v>Twitter for Android</v>
      </c>
      <c r="F4513" s="19">
        <v>40985.849212962959</v>
      </c>
      <c r="G4513" s="17" t="s">
        <v>13000</v>
      </c>
      <c r="H4513" s="35" t="s">
        <v>4127</v>
      </c>
      <c r="I4513" s="25" t="s">
        <v>7364</v>
      </c>
    </row>
    <row r="4514" spans="1:9" s="33" customFormat="1" ht="105">
      <c r="A4514" s="19">
        <v>43549.895694444444</v>
      </c>
      <c r="B4514" s="20" t="str">
        <f>HYPERLINK("https://twitter.com/LBLewisAuthor","@LBLewisAuthor")</f>
        <v>@LBLewisAuthor</v>
      </c>
      <c r="C4514" s="21" t="s">
        <v>7877</v>
      </c>
      <c r="D4514" s="22" t="s">
        <v>7878</v>
      </c>
      <c r="E4514" s="23" t="str">
        <f>HYPERLINK("http://twitter.com","Twitter Web Client")</f>
        <v>Twitter Web Client</v>
      </c>
      <c r="F4514" s="19">
        <v>42486.417858796296</v>
      </c>
      <c r="G4514" s="17" t="s">
        <v>13000</v>
      </c>
      <c r="H4514" s="35" t="s">
        <v>4127</v>
      </c>
      <c r="I4514" s="25" t="s">
        <v>7879</v>
      </c>
    </row>
    <row r="4515" spans="1:9" s="33" customFormat="1" ht="90">
      <c r="A4515" s="19">
        <v>43545.436307870375</v>
      </c>
      <c r="B4515" s="20" t="str">
        <f>HYPERLINK("https://twitter.com/Suiteness","@Suiteness")</f>
        <v>@Suiteness</v>
      </c>
      <c r="C4515" s="21" t="s">
        <v>9131</v>
      </c>
      <c r="D4515" s="22" t="s">
        <v>9132</v>
      </c>
      <c r="E4515" s="23" t="str">
        <f>HYPERLINK("http://twitter.com","Twitter Web Client")</f>
        <v>Twitter Web Client</v>
      </c>
      <c r="F4515" s="19">
        <v>41680.774675925924</v>
      </c>
      <c r="G4515" s="17" t="s">
        <v>13000</v>
      </c>
      <c r="H4515" s="35" t="s">
        <v>4127</v>
      </c>
      <c r="I4515" s="25" t="s">
        <v>9133</v>
      </c>
    </row>
    <row r="4516" spans="1:9" s="33" customFormat="1" ht="75">
      <c r="A4516" s="19">
        <v>43543.62709490741</v>
      </c>
      <c r="B4516" s="20" t="str">
        <f>HYPERLINK("https://twitter.com/CatalystVoices","@CatalystVoices")</f>
        <v>@CatalystVoices</v>
      </c>
      <c r="C4516" s="21" t="s">
        <v>9729</v>
      </c>
      <c r="D4516" s="22" t="s">
        <v>9730</v>
      </c>
      <c r="E4516" s="23" t="str">
        <f>HYPERLINK("https://buffer.com","Buffer")</f>
        <v>Buffer</v>
      </c>
      <c r="F4516" s="19">
        <v>43279.689108796301</v>
      </c>
      <c r="G4516" s="17" t="s">
        <v>13000</v>
      </c>
      <c r="H4516" s="35" t="s">
        <v>4127</v>
      </c>
      <c r="I4516" s="25" t="s">
        <v>9731</v>
      </c>
    </row>
    <row r="4517" spans="1:9" s="33" customFormat="1" ht="75">
      <c r="A4517" s="4">
        <v>43559.616875</v>
      </c>
      <c r="B4517" s="5" t="str">
        <f>HYPERLINK("https://twitter.com/CampReelStories","@CampReelStories")</f>
        <v>@CampReelStories</v>
      </c>
      <c r="C4517" s="6" t="s">
        <v>11733</v>
      </c>
      <c r="D4517" s="7" t="s">
        <v>11734</v>
      </c>
      <c r="E4517" s="8" t="str">
        <f>HYPERLINK("http://twitter.com","Twitter Web Client")</f>
        <v>Twitter Web Client</v>
      </c>
      <c r="F4517" s="4">
        <v>41297.641284722224</v>
      </c>
      <c r="G4517" s="17" t="s">
        <v>13000</v>
      </c>
      <c r="H4517" s="35" t="s">
        <v>4127</v>
      </c>
      <c r="I4517" s="10" t="s">
        <v>11735</v>
      </c>
    </row>
    <row r="4518" spans="1:9" s="33" customFormat="1" ht="30">
      <c r="A4518" s="12">
        <v>43570.467905092592</v>
      </c>
      <c r="B4518" s="13" t="str">
        <f>HYPERLINK("https://twitter.com/b4pbap","@b4pbap")</f>
        <v>@b4pbap</v>
      </c>
      <c r="C4518" s="14" t="s">
        <v>4125</v>
      </c>
      <c r="D4518" s="15" t="s">
        <v>4126</v>
      </c>
      <c r="E4518" s="16" t="str">
        <f>HYPERLINK("http://twitter.com/download/iphone","Twitter for iPhone")</f>
        <v>Twitter for iPhone</v>
      </c>
      <c r="F4518" s="12">
        <v>40729.828657407408</v>
      </c>
      <c r="G4518" s="17" t="s">
        <v>13000</v>
      </c>
      <c r="H4518" s="35" t="s">
        <v>4127</v>
      </c>
      <c r="I4518" s="18" t="s">
        <v>4128</v>
      </c>
    </row>
    <row r="4519" spans="1:9" s="33" customFormat="1" ht="60">
      <c r="A4519" s="12">
        <v>43565.759039351848</v>
      </c>
      <c r="B4519" s="13" t="str">
        <f>HYPERLINK("https://twitter.com/agmedina42","@agmedina42")</f>
        <v>@agmedina42</v>
      </c>
      <c r="C4519" s="14" t="s">
        <v>5912</v>
      </c>
      <c r="D4519" s="15" t="s">
        <v>5913</v>
      </c>
      <c r="E4519" s="16" t="str">
        <f>HYPERLINK("http://twitter.com","Twitter Web Client")</f>
        <v>Twitter Web Client</v>
      </c>
      <c r="F4519" s="12">
        <v>40119.269282407404</v>
      </c>
      <c r="G4519" s="17" t="s">
        <v>13000</v>
      </c>
      <c r="H4519" s="35" t="s">
        <v>5914</v>
      </c>
      <c r="I4519" s="18" t="s">
        <v>5915</v>
      </c>
    </row>
    <row r="4520" spans="1:9" s="33" customFormat="1" ht="60">
      <c r="A4520" s="12">
        <v>43578.739907407406</v>
      </c>
      <c r="B4520" s="13" t="str">
        <f>HYPERLINK("https://twitter.com/FoxGroveFarm","@FoxGroveFarm")</f>
        <v>@FoxGroveFarm</v>
      </c>
      <c r="C4520" s="14" t="s">
        <v>1053</v>
      </c>
      <c r="D4520" s="15" t="s">
        <v>1054</v>
      </c>
      <c r="E4520" s="16" t="str">
        <f>HYPERLINK("http://www.facebook.com/twitter","Facebook")</f>
        <v>Facebook</v>
      </c>
      <c r="F4520" s="12">
        <v>41328.514293981483</v>
      </c>
      <c r="G4520" s="17" t="s">
        <v>13000</v>
      </c>
      <c r="H4520" s="35" t="s">
        <v>1055</v>
      </c>
      <c r="I4520" s="18" t="s">
        <v>1056</v>
      </c>
    </row>
    <row r="4521" spans="1:9" s="33" customFormat="1" ht="60">
      <c r="A4521" s="12">
        <v>43568.500914351855</v>
      </c>
      <c r="B4521" s="13" t="str">
        <f>HYPERLINK("https://twitter.com/FoxGroveFarm","@FoxGroveFarm")</f>
        <v>@FoxGroveFarm</v>
      </c>
      <c r="C4521" s="14" t="s">
        <v>1053</v>
      </c>
      <c r="D4521" s="15" t="s">
        <v>4725</v>
      </c>
      <c r="E4521" s="16" t="str">
        <f>HYPERLINK("http://www.facebook.com/twitter","Facebook")</f>
        <v>Facebook</v>
      </c>
      <c r="F4521" s="12">
        <v>41328.514293981483</v>
      </c>
      <c r="G4521" s="17" t="s">
        <v>13000</v>
      </c>
      <c r="H4521" s="35" t="s">
        <v>1055</v>
      </c>
      <c r="I4521" s="18" t="s">
        <v>1056</v>
      </c>
    </row>
    <row r="4522" spans="1:9" s="33" customFormat="1" ht="75">
      <c r="A4522" s="12">
        <v>43566.323495370365</v>
      </c>
      <c r="B4522" s="13" t="str">
        <f>HYPERLINK("https://twitter.com/FoxGroveFarm","@FoxGroveFarm")</f>
        <v>@FoxGroveFarm</v>
      </c>
      <c r="C4522" s="14" t="s">
        <v>1053</v>
      </c>
      <c r="D4522" s="15" t="s">
        <v>5664</v>
      </c>
      <c r="E4522" s="16" t="str">
        <f>HYPERLINK("http://www.facebook.com/twitter","Facebook")</f>
        <v>Facebook</v>
      </c>
      <c r="F4522" s="12">
        <v>41328.514293981483</v>
      </c>
      <c r="G4522" s="17" t="s">
        <v>13000</v>
      </c>
      <c r="H4522" s="35" t="s">
        <v>1055</v>
      </c>
      <c r="I4522" s="18" t="s">
        <v>1056</v>
      </c>
    </row>
    <row r="4523" spans="1:9" s="33" customFormat="1" ht="30">
      <c r="A4523" s="12">
        <v>43566.31967592593</v>
      </c>
      <c r="B4523" s="13" t="str">
        <f>HYPERLINK("https://twitter.com/mfcdavis","@mfcdavis")</f>
        <v>@mfcdavis</v>
      </c>
      <c r="C4523" s="14" t="s">
        <v>5665</v>
      </c>
      <c r="D4523" s="15" t="s">
        <v>5666</v>
      </c>
      <c r="E4523" s="16" t="str">
        <f>HYPERLINK("http://twitter.com/download/android","Twitter for Android")</f>
        <v>Twitter for Android</v>
      </c>
      <c r="F4523" s="12">
        <v>39939.39644675926</v>
      </c>
      <c r="G4523" s="17" t="s">
        <v>13000</v>
      </c>
      <c r="H4523" s="35" t="s">
        <v>1055</v>
      </c>
      <c r="I4523" s="18" t="s">
        <v>5667</v>
      </c>
    </row>
    <row r="4524" spans="1:9" s="33" customFormat="1" ht="150">
      <c r="A4524" s="4">
        <v>43557.255162037036</v>
      </c>
      <c r="B4524" s="5" t="str">
        <f>HYPERLINK("https://twitter.com/heyduuo","@heyduuo")</f>
        <v>@heyduuo</v>
      </c>
      <c r="C4524" s="6" t="s">
        <v>12599</v>
      </c>
      <c r="D4524" s="7" t="s">
        <v>12600</v>
      </c>
      <c r="E4524" s="8" t="str">
        <f>HYPERLINK("http://twitter.com","Twitter Web Client")</f>
        <v>Twitter Web Client</v>
      </c>
      <c r="F4524" s="4">
        <v>43364.34648148148</v>
      </c>
      <c r="G4524" s="17" t="s">
        <v>13000</v>
      </c>
      <c r="H4524" s="35" t="s">
        <v>12601</v>
      </c>
      <c r="I4524" s="10" t="s">
        <v>12602</v>
      </c>
    </row>
    <row r="4525" spans="1:9" s="33" customFormat="1" ht="90">
      <c r="A4525" s="4">
        <v>43561.645057870366</v>
      </c>
      <c r="B4525" s="5" t="str">
        <f>HYPERLINK("https://twitter.com/PersonalChefLPD","@PersonalChefLPD")</f>
        <v>@PersonalChefLPD</v>
      </c>
      <c r="C4525" s="6" t="s">
        <v>10885</v>
      </c>
      <c r="D4525" s="7" t="s">
        <v>10886</v>
      </c>
      <c r="E4525" s="8" t="str">
        <f>HYPERLINK("http://instagram.com","Instagram")</f>
        <v>Instagram</v>
      </c>
      <c r="F4525" s="4">
        <v>40541.273854166662</v>
      </c>
      <c r="G4525" s="17" t="s">
        <v>13000</v>
      </c>
      <c r="H4525" s="35" t="s">
        <v>10887</v>
      </c>
      <c r="I4525" s="10" t="s">
        <v>10888</v>
      </c>
    </row>
    <row r="4526" spans="1:9" s="33" customFormat="1" ht="45">
      <c r="A4526" s="4">
        <v>43561.641388888893</v>
      </c>
      <c r="B4526" s="5" t="str">
        <f>HYPERLINK("https://twitter.com/PersonalChefLPD","@PersonalChefLPD")</f>
        <v>@PersonalChefLPD</v>
      </c>
      <c r="C4526" s="6" t="s">
        <v>10885</v>
      </c>
      <c r="D4526" s="7" t="s">
        <v>10890</v>
      </c>
      <c r="E4526" s="8" t="str">
        <f>HYPERLINK("http://www.facebook.com/twitter","Facebook")</f>
        <v>Facebook</v>
      </c>
      <c r="F4526" s="4">
        <v>40541.273854166662</v>
      </c>
      <c r="G4526" s="17" t="s">
        <v>13000</v>
      </c>
      <c r="H4526" s="35" t="s">
        <v>10887</v>
      </c>
      <c r="I4526" s="10" t="s">
        <v>10888</v>
      </c>
    </row>
    <row r="4527" spans="1:9" s="33" customFormat="1" ht="75">
      <c r="A4527" s="19">
        <v>43546.732094907406</v>
      </c>
      <c r="B4527" s="20" t="str">
        <f>HYPERLINK("https://twitter.com/LoxleyMartin","@LoxleyMartin")</f>
        <v>@LoxleyMartin</v>
      </c>
      <c r="C4527" s="21" t="s">
        <v>8744</v>
      </c>
      <c r="D4527" s="22" t="s">
        <v>8745</v>
      </c>
      <c r="E4527" s="23" t="str">
        <f>HYPERLINK("http://instagram.com","Instagram")</f>
        <v>Instagram</v>
      </c>
      <c r="F4527" s="19">
        <v>42270.652268518519</v>
      </c>
      <c r="G4527" s="17" t="s">
        <v>13000</v>
      </c>
      <c r="H4527" s="35" t="s">
        <v>8746</v>
      </c>
      <c r="I4527" s="25" t="s">
        <v>8747</v>
      </c>
    </row>
    <row r="4528" spans="1:9" s="33" customFormat="1" ht="105">
      <c r="A4528" s="4">
        <v>43560.817280092597</v>
      </c>
      <c r="B4528" s="5" t="str">
        <f>HYPERLINK("https://twitter.com/buckeyedrone","@buckeyedrone")</f>
        <v>@buckeyedrone</v>
      </c>
      <c r="C4528" s="6" t="s">
        <v>11152</v>
      </c>
      <c r="D4528" s="7" t="s">
        <v>11153</v>
      </c>
      <c r="E4528" s="8" t="str">
        <f>HYPERLINK("http://twitter.com/download/iphone","Twitter for iPhone")</f>
        <v>Twitter for iPhone</v>
      </c>
      <c r="F4528" s="4">
        <v>41712.73746527778</v>
      </c>
      <c r="G4528" s="17" t="s">
        <v>13000</v>
      </c>
      <c r="H4528" s="35" t="s">
        <v>8746</v>
      </c>
      <c r="I4528" s="10" t="s">
        <v>11154</v>
      </c>
    </row>
    <row r="4529" spans="1:9" s="33" customFormat="1" ht="90">
      <c r="A4529" s="12">
        <v>43577.270543981482</v>
      </c>
      <c r="B4529" s="13" t="str">
        <f>HYPERLINK("https://twitter.com/kenleyneufeld","@kenleyneufeld")</f>
        <v>@kenleyneufeld</v>
      </c>
      <c r="C4529" s="14" t="s">
        <v>1685</v>
      </c>
      <c r="D4529" s="15" t="s">
        <v>1686</v>
      </c>
      <c r="E4529" s="16" t="str">
        <f>HYPERLINK("https://twitterrific.com/ios","Twitterrific for iOS")</f>
        <v>Twitterrific for iOS</v>
      </c>
      <c r="F4529" s="12">
        <v>39170.941261574073</v>
      </c>
      <c r="G4529" s="17" t="s">
        <v>13000</v>
      </c>
      <c r="H4529" s="35" t="s">
        <v>1687</v>
      </c>
      <c r="I4529" s="18" t="s">
        <v>1688</v>
      </c>
    </row>
    <row r="4530" spans="1:9" s="33" customFormat="1" ht="45">
      <c r="A4530" s="19">
        <v>43542.587118055555</v>
      </c>
      <c r="B4530" s="20" t="str">
        <f>HYPERLINK("https://twitter.com/ButlerTeam","@ButlerTeam")</f>
        <v>@ButlerTeam</v>
      </c>
      <c r="C4530" s="21" t="s">
        <v>10084</v>
      </c>
      <c r="D4530" s="22" t="s">
        <v>30</v>
      </c>
      <c r="E4530" s="23" t="str">
        <f>HYPERLINK("https://www.circlepix.com/","Circlepix")</f>
        <v>Circlepix</v>
      </c>
      <c r="F4530" s="19">
        <v>39920.604884259257</v>
      </c>
      <c r="G4530" s="9" t="s">
        <v>13000</v>
      </c>
      <c r="H4530" s="35" t="s">
        <v>10085</v>
      </c>
      <c r="I4530" s="25"/>
    </row>
    <row r="4531" spans="1:9" s="33" customFormat="1" ht="75">
      <c r="A4531" s="12">
        <v>43570.583541666667</v>
      </c>
      <c r="B4531" s="13" t="str">
        <f>HYPERLINK("https://twitter.com/SharonEPowers","@SharonEPowers")</f>
        <v>@SharonEPowers</v>
      </c>
      <c r="C4531" s="14" t="s">
        <v>4050</v>
      </c>
      <c r="D4531" s="15" t="s">
        <v>4051</v>
      </c>
      <c r="E4531" s="16" t="str">
        <f>HYPERLINK("http://twitter.com/download/iphone","Twitter for iPhone")</f>
        <v>Twitter for iPhone</v>
      </c>
      <c r="F4531" s="12">
        <v>40994.635451388887</v>
      </c>
      <c r="G4531" s="9" t="s">
        <v>13000</v>
      </c>
      <c r="H4531" s="35" t="s">
        <v>4052</v>
      </c>
      <c r="I4531" s="18" t="s">
        <v>4053</v>
      </c>
    </row>
    <row r="4532" spans="1:9" s="33" customFormat="1" ht="15">
      <c r="A4532" s="12">
        <v>43568.216585648144</v>
      </c>
      <c r="B4532" s="13" t="str">
        <f>HYPERLINK("https://twitter.com/ryanmalm","@ryanmalm")</f>
        <v>@ryanmalm</v>
      </c>
      <c r="C4532" s="14" t="s">
        <v>4840</v>
      </c>
      <c r="D4532" s="15" t="s">
        <v>4841</v>
      </c>
      <c r="E4532" s="16" t="str">
        <f>HYPERLINK("http://twitter.com/download/iphone","Twitter for iPhone")</f>
        <v>Twitter for iPhone</v>
      </c>
      <c r="F4532" s="12">
        <v>39816.66673611111</v>
      </c>
      <c r="G4532" s="9" t="s">
        <v>13000</v>
      </c>
      <c r="H4532" s="35" t="s">
        <v>4842</v>
      </c>
      <c r="I4532" s="18" t="s">
        <v>4843</v>
      </c>
    </row>
    <row r="4533" spans="1:9" s="33" customFormat="1" ht="75">
      <c r="A4533" s="19">
        <v>43545.345960648148</v>
      </c>
      <c r="B4533" s="20" t="str">
        <f>HYPERLINK("https://twitter.com/procksi","@procksi")</f>
        <v>@procksi</v>
      </c>
      <c r="C4533" s="21" t="s">
        <v>9182</v>
      </c>
      <c r="D4533" s="22" t="s">
        <v>9183</v>
      </c>
      <c r="E4533" s="23" t="str">
        <f>HYPERLINK("http://twitter.com","Twitter Web Client")</f>
        <v>Twitter Web Client</v>
      </c>
      <c r="F4533" s="19">
        <v>38996.55709490741</v>
      </c>
      <c r="G4533" s="9" t="s">
        <v>13000</v>
      </c>
      <c r="H4533" s="35" t="s">
        <v>9184</v>
      </c>
      <c r="I4533" s="25" t="s">
        <v>9185</v>
      </c>
    </row>
    <row r="4534" spans="1:9" s="33" customFormat="1" ht="60">
      <c r="A4534" s="4">
        <v>43565.322233796294</v>
      </c>
      <c r="B4534" s="5" t="str">
        <f>HYPERLINK("https://twitter.com/TodayWithBBB","@TodayWithBBB")</f>
        <v>@TodayWithBBB</v>
      </c>
      <c r="C4534" s="6" t="s">
        <v>6171</v>
      </c>
      <c r="D4534" s="7" t="s">
        <v>6172</v>
      </c>
      <c r="E4534" s="8" t="str">
        <f>HYPERLINK("http://twitter.com","Twitter Web Client")</f>
        <v>Twitter Web Client</v>
      </c>
      <c r="F4534" s="4">
        <v>40550.473298611112</v>
      </c>
      <c r="G4534" s="9" t="s">
        <v>13000</v>
      </c>
      <c r="H4534" s="35" t="s">
        <v>6173</v>
      </c>
      <c r="I4534" s="10" t="s">
        <v>6174</v>
      </c>
    </row>
    <row r="4535" spans="1:9" s="33" customFormat="1" ht="30">
      <c r="A4535" s="4">
        <v>43557.723773148144</v>
      </c>
      <c r="B4535" s="5" t="str">
        <f>HYPERLINK("https://twitter.com/cutemaibear","@cutemaibear")</f>
        <v>@cutemaibear</v>
      </c>
      <c r="C4535" s="6" t="s">
        <v>12402</v>
      </c>
      <c r="D4535" s="7" t="s">
        <v>12403</v>
      </c>
      <c r="E4535" s="8" t="str">
        <f>HYPERLINK("http://twitter.com/download/iphone","Twitter for iPhone")</f>
        <v>Twitter for iPhone</v>
      </c>
      <c r="F4535" s="4">
        <v>40066.787152777775</v>
      </c>
      <c r="G4535" s="9" t="s">
        <v>13000</v>
      </c>
      <c r="H4535" s="35" t="s">
        <v>12404</v>
      </c>
      <c r="I4535" s="10" t="s">
        <v>12405</v>
      </c>
    </row>
    <row r="4536" spans="1:9" s="33" customFormat="1" ht="75">
      <c r="A4536" s="19">
        <v>43547.689710648148</v>
      </c>
      <c r="B4536" s="20" t="str">
        <f>HYPERLINK("https://twitter.com/pgiblett","@pgiblett")</f>
        <v>@pgiblett</v>
      </c>
      <c r="C4536" s="21" t="s">
        <v>8485</v>
      </c>
      <c r="D4536" s="22" t="s">
        <v>8486</v>
      </c>
      <c r="E4536" s="23" t="str">
        <f>HYPERLINK("http://www.facebook.com/twitter","Facebook")</f>
        <v>Facebook</v>
      </c>
      <c r="F4536" s="19">
        <v>39700.243275462963</v>
      </c>
      <c r="G4536" s="9" t="s">
        <v>13000</v>
      </c>
      <c r="H4536" s="35" t="s">
        <v>4501</v>
      </c>
      <c r="I4536" s="25" t="s">
        <v>8487</v>
      </c>
    </row>
    <row r="4537" spans="1:9" s="33" customFormat="1" ht="90">
      <c r="A4537" s="19">
        <v>43546.7890625</v>
      </c>
      <c r="B4537" s="20" t="str">
        <f>HYPERLINK("https://twitter.com/winder_gill","@winder_gill")</f>
        <v>@winder_gill</v>
      </c>
      <c r="C4537" s="21" t="s">
        <v>8730</v>
      </c>
      <c r="D4537" s="22" t="s">
        <v>8731</v>
      </c>
      <c r="E4537" s="23" t="str">
        <f>HYPERLINK("http://twitter.com","Twitter Web Client")</f>
        <v>Twitter Web Client</v>
      </c>
      <c r="F4537" s="19">
        <v>41936.319039351853</v>
      </c>
      <c r="G4537" s="9" t="s">
        <v>13000</v>
      </c>
      <c r="H4537" s="35" t="s">
        <v>4501</v>
      </c>
      <c r="I4537" s="25" t="s">
        <v>8732</v>
      </c>
    </row>
    <row r="4538" spans="1:9" s="33" customFormat="1" ht="105">
      <c r="A4538" s="19">
        <v>43543.792384259257</v>
      </c>
      <c r="B4538" s="20" t="str">
        <f>HYPERLINK("https://twitter.com/pgiblett","@pgiblett")</f>
        <v>@pgiblett</v>
      </c>
      <c r="C4538" s="21" t="s">
        <v>8485</v>
      </c>
      <c r="D4538" s="22" t="s">
        <v>9682</v>
      </c>
      <c r="E4538" s="23" t="str">
        <f>HYPERLINK("https://buffer.com","Buffer")</f>
        <v>Buffer</v>
      </c>
      <c r="F4538" s="19">
        <v>39700.243275462963</v>
      </c>
      <c r="G4538" s="9" t="s">
        <v>13000</v>
      </c>
      <c r="H4538" s="35" t="s">
        <v>4501</v>
      </c>
      <c r="I4538" s="25" t="s">
        <v>8487</v>
      </c>
    </row>
    <row r="4539" spans="1:9" s="33" customFormat="1" ht="45">
      <c r="A4539" s="4">
        <v>43561.427430555559</v>
      </c>
      <c r="B4539" s="5" t="str">
        <f>HYPERLINK("https://twitter.com/ExcaliburGroup","@ExcaliburGroup")</f>
        <v>@ExcaliburGroup</v>
      </c>
      <c r="C4539" s="6" t="s">
        <v>10977</v>
      </c>
      <c r="D4539" s="7" t="s">
        <v>10978</v>
      </c>
      <c r="E4539" s="8" t="str">
        <f>HYPERLINK("https://coschedule.com","CoSchedule")</f>
        <v>CoSchedule</v>
      </c>
      <c r="F4539" s="4">
        <v>40301.525439814817</v>
      </c>
      <c r="G4539" s="9" t="s">
        <v>13000</v>
      </c>
      <c r="H4539" s="35" t="s">
        <v>4501</v>
      </c>
      <c r="I4539" s="10" t="s">
        <v>10979</v>
      </c>
    </row>
    <row r="4540" spans="1:9" s="33" customFormat="1" ht="105">
      <c r="A4540" s="4">
        <v>43557.208530092597</v>
      </c>
      <c r="B4540" s="5" t="str">
        <f>HYPERLINK("https://twitter.com/NicoleBuzzing","@NicoleBuzzing")</f>
        <v>@NicoleBuzzing</v>
      </c>
      <c r="C4540" s="6" t="s">
        <v>12616</v>
      </c>
      <c r="D4540" s="7" t="s">
        <v>12617</v>
      </c>
      <c r="E4540" s="8" t="str">
        <f>HYPERLINK("https://buffer.com","Buffer")</f>
        <v>Buffer</v>
      </c>
      <c r="F4540" s="4">
        <v>41452.257523148146</v>
      </c>
      <c r="G4540" s="9" t="s">
        <v>13000</v>
      </c>
      <c r="H4540" s="35" t="s">
        <v>4501</v>
      </c>
      <c r="I4540" s="10" t="s">
        <v>12618</v>
      </c>
    </row>
    <row r="4541" spans="1:9" s="33" customFormat="1" ht="90">
      <c r="A4541" s="12">
        <v>43569.501064814816</v>
      </c>
      <c r="B4541" s="13" t="str">
        <f>HYPERLINK("https://twitter.com/BakerBarbieT","@BakerBarbieT")</f>
        <v>@BakerBarbieT</v>
      </c>
      <c r="C4541" s="14" t="s">
        <v>4499</v>
      </c>
      <c r="D4541" s="15" t="s">
        <v>4500</v>
      </c>
      <c r="E4541" s="16" t="str">
        <f>HYPERLINK("http://twitter.com/download/iphone","Twitter for iPhone")</f>
        <v>Twitter for iPhone</v>
      </c>
      <c r="F4541" s="12">
        <v>42816.670439814814</v>
      </c>
      <c r="G4541" s="9" t="s">
        <v>13000</v>
      </c>
      <c r="H4541" s="35" t="s">
        <v>4501</v>
      </c>
      <c r="I4541" s="18" t="s">
        <v>4502</v>
      </c>
    </row>
    <row r="4542" spans="1:9" s="33" customFormat="1" ht="75">
      <c r="A4542" s="12">
        <v>43567.709965277776</v>
      </c>
      <c r="B4542" s="13" t="str">
        <f>HYPERLINK("https://twitter.com/canadapostrock","@canadapostrock")</f>
        <v>@canadapostrock</v>
      </c>
      <c r="C4542" s="14" t="s">
        <v>4987</v>
      </c>
      <c r="D4542" s="15" t="s">
        <v>4988</v>
      </c>
      <c r="E4542" s="16" t="str">
        <f>HYPERLINK("http://instagram.com","Instagram")</f>
        <v>Instagram</v>
      </c>
      <c r="F4542" s="12">
        <v>39834.429513888885</v>
      </c>
      <c r="G4542" s="9" t="s">
        <v>13000</v>
      </c>
      <c r="H4542" s="35" t="s">
        <v>4989</v>
      </c>
      <c r="I4542" s="18" t="s">
        <v>4990</v>
      </c>
    </row>
    <row r="4543" spans="1:9" s="33" customFormat="1" ht="105">
      <c r="A4543" s="4">
        <v>43559.446481481486</v>
      </c>
      <c r="B4543" s="5" t="str">
        <f>HYPERLINK("https://twitter.com/TheHomeSpin","@TheHomeSpin")</f>
        <v>@TheHomeSpin</v>
      </c>
      <c r="C4543" s="6" t="s">
        <v>11830</v>
      </c>
      <c r="D4543" s="7" t="s">
        <v>11831</v>
      </c>
      <c r="E4543" s="8" t="str">
        <f>HYPERLINK("https://www.hootsuite.com","Hootsuite Inc.")</f>
        <v>Hootsuite Inc.</v>
      </c>
      <c r="F4543" s="4">
        <v>41929.343368055554</v>
      </c>
      <c r="G4543" s="9" t="s">
        <v>13000</v>
      </c>
      <c r="H4543" s="35" t="s">
        <v>11832</v>
      </c>
      <c r="I4543" s="10" t="s">
        <v>11833</v>
      </c>
    </row>
    <row r="4544" spans="1:9" s="33" customFormat="1" ht="75">
      <c r="A4544" s="4">
        <v>43564.500601851847</v>
      </c>
      <c r="B4544" s="5" t="str">
        <f>HYPERLINK("https://twitter.com/Cubebrush","@Cubebrush")</f>
        <v>@Cubebrush</v>
      </c>
      <c r="C4544" s="6" t="s">
        <v>6576</v>
      </c>
      <c r="D4544" s="7" t="s">
        <v>6577</v>
      </c>
      <c r="E4544" s="8" t="str">
        <f>HYPERLINK("https://buffer.com","Buffer")</f>
        <v>Buffer</v>
      </c>
      <c r="F4544" s="4">
        <v>39800.331504629634</v>
      </c>
      <c r="G4544" s="9" t="s">
        <v>13000</v>
      </c>
      <c r="H4544" s="35" t="s">
        <v>6578</v>
      </c>
      <c r="I4544" s="10" t="s">
        <v>6579</v>
      </c>
    </row>
    <row r="4545" spans="1:9" s="33" customFormat="1" ht="45">
      <c r="A4545" s="19">
        <v>43551.398009259261</v>
      </c>
      <c r="B4545" s="20" t="str">
        <f>HYPERLINK("https://twitter.com/boudoirby","@boudoirby")</f>
        <v>@boudoirby</v>
      </c>
      <c r="C4545" s="21" t="s">
        <v>7236</v>
      </c>
      <c r="D4545" s="22" t="s">
        <v>7237</v>
      </c>
      <c r="E4545" s="23" t="str">
        <f>HYPERLINK("http://twitter.com/#!/download/ipad","Twitter for iPad")</f>
        <v>Twitter for iPad</v>
      </c>
      <c r="F4545" s="19">
        <v>39884.379537037035</v>
      </c>
      <c r="G4545" s="9" t="s">
        <v>13000</v>
      </c>
      <c r="H4545" s="35" t="s">
        <v>7238</v>
      </c>
      <c r="I4545" s="25" t="s">
        <v>7239</v>
      </c>
    </row>
    <row r="4546" spans="1:9" s="33" customFormat="1" ht="15">
      <c r="A4546" s="19">
        <v>43547.532962962963</v>
      </c>
      <c r="B4546" s="20" t="str">
        <f>HYPERLINK("https://twitter.com/Kelsey_sGrammar","@Kelsey_sGrammar")</f>
        <v>@Kelsey_sGrammar</v>
      </c>
      <c r="C4546" s="21" t="s">
        <v>8516</v>
      </c>
      <c r="D4546" s="22" t="s">
        <v>8517</v>
      </c>
      <c r="E4546" s="23" t="str">
        <f>HYPERLINK("https://mobile.twitter.com","Twitter Web App")</f>
        <v>Twitter Web App</v>
      </c>
      <c r="F4546" s="19">
        <v>42388.789513888885</v>
      </c>
      <c r="G4546" s="9" t="s">
        <v>13000</v>
      </c>
      <c r="H4546" s="35" t="s">
        <v>8518</v>
      </c>
      <c r="I4546" s="25" t="s">
        <v>8519</v>
      </c>
    </row>
    <row r="4547" spans="1:9" s="33" customFormat="1" ht="45">
      <c r="A4547" s="19">
        <v>43551.701458333337</v>
      </c>
      <c r="B4547" s="20" t="str">
        <f>HYPERLINK("https://twitter.com/Int_Travelers","@Int_Travelers")</f>
        <v>@Int_Travelers</v>
      </c>
      <c r="C4547" s="21" t="s">
        <v>7034</v>
      </c>
      <c r="D4547" s="22" t="s">
        <v>7035</v>
      </c>
      <c r="E4547" s="23" t="str">
        <f>HYPERLINK("https://www.hootsuite.com","Hootsuite Inc.")</f>
        <v>Hootsuite Inc.</v>
      </c>
      <c r="F4547" s="19">
        <v>41752.6484375</v>
      </c>
      <c r="G4547" s="9" t="s">
        <v>13000</v>
      </c>
      <c r="H4547" s="35" t="s">
        <v>7036</v>
      </c>
      <c r="I4547" s="25" t="s">
        <v>7037</v>
      </c>
    </row>
    <row r="4548" spans="1:9" s="33" customFormat="1" ht="30">
      <c r="A4548" s="19">
        <v>43545.422696759255</v>
      </c>
      <c r="B4548" s="20" t="str">
        <f>HYPERLINK("https://twitter.com/Log_School","@Log_School")</f>
        <v>@Log_School</v>
      </c>
      <c r="C4548" s="21" t="s">
        <v>9143</v>
      </c>
      <c r="D4548" s="22" t="s">
        <v>9144</v>
      </c>
      <c r="E4548" s="23" t="str">
        <f>HYPERLINK("http://gainapp.com","Gain App")</f>
        <v>Gain App</v>
      </c>
      <c r="F4548" s="19">
        <v>43462.566631944443</v>
      </c>
      <c r="G4548" s="9" t="s">
        <v>13000</v>
      </c>
      <c r="H4548" s="35" t="s">
        <v>9145</v>
      </c>
      <c r="I4548" s="25" t="s">
        <v>9146</v>
      </c>
    </row>
    <row r="4549" spans="1:9" s="33" customFormat="1" ht="30">
      <c r="A4549" s="19">
        <v>43542.489571759259</v>
      </c>
      <c r="B4549" s="20" t="str">
        <f>HYPERLINK("https://twitter.com/Log_School","@Log_School")</f>
        <v>@Log_School</v>
      </c>
      <c r="C4549" s="21" t="s">
        <v>9143</v>
      </c>
      <c r="D4549" s="22" t="s">
        <v>9144</v>
      </c>
      <c r="E4549" s="23" t="str">
        <f>HYPERLINK("http://gainapp.com","Gain App")</f>
        <v>Gain App</v>
      </c>
      <c r="F4549" s="19">
        <v>43462.566631944443</v>
      </c>
      <c r="G4549" s="9" t="s">
        <v>13000</v>
      </c>
      <c r="H4549" s="35" t="s">
        <v>9145</v>
      </c>
      <c r="I4549" s="25" t="s">
        <v>9146</v>
      </c>
    </row>
    <row r="4550" spans="1:9" s="33" customFormat="1" ht="75">
      <c r="A4550" s="4">
        <v>43560.603090277778</v>
      </c>
      <c r="B4550" s="5" t="str">
        <f>HYPERLINK("https://twitter.com/SawyerOnBlast","@SawyerOnBlast")</f>
        <v>@SawyerOnBlast</v>
      </c>
      <c r="C4550" s="6" t="s">
        <v>11259</v>
      </c>
      <c r="D4550" s="7" t="s">
        <v>11260</v>
      </c>
      <c r="E4550" s="8" t="str">
        <f>HYPERLINK("http://twitter.com","Twitter Web Client")</f>
        <v>Twitter Web Client</v>
      </c>
      <c r="F4550" s="4">
        <v>43398.577361111107</v>
      </c>
      <c r="G4550" s="9" t="s">
        <v>13000</v>
      </c>
      <c r="H4550" s="35" t="s">
        <v>9145</v>
      </c>
      <c r="I4550" s="10" t="s">
        <v>11261</v>
      </c>
    </row>
    <row r="4551" spans="1:9" s="33" customFormat="1" ht="60">
      <c r="A4551" s="19">
        <v>43543.212141203709</v>
      </c>
      <c r="B4551" s="20" t="str">
        <f>HYPERLINK("https://twitter.com/MrJulesMckenzie","@MrJulesMckenzie")</f>
        <v>@MrJulesMckenzie</v>
      </c>
      <c r="C4551" s="21" t="s">
        <v>2647</v>
      </c>
      <c r="D4551" s="22" t="s">
        <v>9901</v>
      </c>
      <c r="E4551" s="23" t="str">
        <f>HYPERLINK("http://twitter.com","Twitter Web Client")</f>
        <v>Twitter Web Client</v>
      </c>
      <c r="F4551" s="19">
        <v>40849.6799537037</v>
      </c>
      <c r="G4551" s="9" t="s">
        <v>13000</v>
      </c>
      <c r="H4551" s="35" t="s">
        <v>2649</v>
      </c>
      <c r="I4551" s="25" t="s">
        <v>2650</v>
      </c>
    </row>
    <row r="4552" spans="1:9" s="33" customFormat="1" ht="60">
      <c r="A4552" s="4">
        <v>43563.538252314815</v>
      </c>
      <c r="B4552" s="5" t="str">
        <f>HYPERLINK("https://twitter.com/MrJulesMckenzie","@MrJulesMckenzie")</f>
        <v>@MrJulesMckenzie</v>
      </c>
      <c r="C4552" s="6" t="s">
        <v>2647</v>
      </c>
      <c r="D4552" s="7" t="s">
        <v>10245</v>
      </c>
      <c r="E4552" s="8" t="str">
        <f>HYPERLINK("http://twitter.com","Twitter Web Client")</f>
        <v>Twitter Web Client</v>
      </c>
      <c r="F4552" s="4">
        <v>40849.6799537037</v>
      </c>
      <c r="G4552" s="9" t="s">
        <v>13000</v>
      </c>
      <c r="H4552" s="35" t="s">
        <v>2649</v>
      </c>
      <c r="I4552" s="10" t="s">
        <v>2650</v>
      </c>
    </row>
    <row r="4553" spans="1:9" s="33" customFormat="1" ht="105">
      <c r="A4553" s="12">
        <v>43574.225740740745</v>
      </c>
      <c r="B4553" s="13" t="str">
        <f>HYPERLINK("https://twitter.com/MrJulesMckenzie","@MrJulesMckenzie")</f>
        <v>@MrJulesMckenzie</v>
      </c>
      <c r="C4553" s="14" t="s">
        <v>2647</v>
      </c>
      <c r="D4553" s="15" t="s">
        <v>2648</v>
      </c>
      <c r="E4553" s="16" t="str">
        <f>HYPERLINK("http://twitter.com","Twitter Web Client")</f>
        <v>Twitter Web Client</v>
      </c>
      <c r="F4553" s="12">
        <v>40849.6799537037</v>
      </c>
      <c r="G4553" s="9" t="s">
        <v>13000</v>
      </c>
      <c r="H4553" s="35" t="s">
        <v>2649</v>
      </c>
      <c r="I4553" s="18" t="s">
        <v>2650</v>
      </c>
    </row>
    <row r="4554" spans="1:9" s="33" customFormat="1" ht="45">
      <c r="A4554" s="12">
        <v>43579.239583333328</v>
      </c>
      <c r="B4554" s="13" t="str">
        <f>HYPERLINK("https://twitter.com/WFTV","@WFTV")</f>
        <v>@WFTV</v>
      </c>
      <c r="C4554" s="14" t="s">
        <v>826</v>
      </c>
      <c r="D4554" s="15" t="s">
        <v>827</v>
      </c>
      <c r="E4554" s="16" t="str">
        <f>HYPERLINK("https://about.twitter.com/products/tweetdeck","TweetDeck")</f>
        <v>TweetDeck</v>
      </c>
      <c r="F4554" s="12">
        <v>39668.540150462963</v>
      </c>
      <c r="G4554" s="9" t="s">
        <v>13000</v>
      </c>
      <c r="H4554" s="35" t="s">
        <v>828</v>
      </c>
      <c r="I4554" s="18" t="s">
        <v>829</v>
      </c>
    </row>
    <row r="4555" spans="1:9" s="33" customFormat="1" ht="135">
      <c r="A4555" s="4">
        <v>43564.454710648148</v>
      </c>
      <c r="B4555" s="5" t="str">
        <f>HYPERLINK("https://twitter.com/CiiRUSVRS","@CiiRUSVRS")</f>
        <v>@CiiRUSVRS</v>
      </c>
      <c r="C4555" s="6" t="s">
        <v>2530</v>
      </c>
      <c r="D4555" s="7" t="s">
        <v>6602</v>
      </c>
      <c r="E4555" s="8" t="str">
        <f>HYPERLINK("https://www.sharpspring.com","Sharpspring")</f>
        <v>Sharpspring</v>
      </c>
      <c r="F4555" s="4">
        <v>41701.302129629628</v>
      </c>
      <c r="G4555" s="9" t="s">
        <v>13000</v>
      </c>
      <c r="H4555" s="35" t="s">
        <v>2520</v>
      </c>
      <c r="I4555" s="10" t="s">
        <v>2532</v>
      </c>
    </row>
    <row r="4556" spans="1:9" s="33" customFormat="1" ht="75">
      <c r="A4556" s="4">
        <v>43563.454861111109</v>
      </c>
      <c r="B4556" s="5" t="str">
        <f>HYPERLINK("https://twitter.com/news6wkmg","@news6wkmg")</f>
        <v>@news6wkmg</v>
      </c>
      <c r="C4556" s="6" t="s">
        <v>10281</v>
      </c>
      <c r="D4556" s="7" t="s">
        <v>10282</v>
      </c>
      <c r="E4556" s="8" t="str">
        <f>HYPERLINK("http://www.socialnewsdesk.com","SocialNewsDesk")</f>
        <v>SocialNewsDesk</v>
      </c>
      <c r="F4556" s="4">
        <v>39794.447858796295</v>
      </c>
      <c r="G4556" s="9" t="s">
        <v>13000</v>
      </c>
      <c r="H4556" s="35" t="s">
        <v>2520</v>
      </c>
      <c r="I4556" s="10" t="s">
        <v>10283</v>
      </c>
    </row>
    <row r="4557" spans="1:9" s="33" customFormat="1" ht="60">
      <c r="A4557" s="12">
        <v>43574.556342592594</v>
      </c>
      <c r="B4557" s="13" t="str">
        <f>HYPERLINK("https://twitter.com/martinecomas","@martinecomas")</f>
        <v>@martinecomas</v>
      </c>
      <c r="C4557" s="14" t="s">
        <v>2518</v>
      </c>
      <c r="D4557" s="15" t="s">
        <v>2519</v>
      </c>
      <c r="E4557" s="16" t="str">
        <f>HYPERLINK("http://twitter.com","Twitter Web Client")</f>
        <v>Twitter Web Client</v>
      </c>
      <c r="F4557" s="12">
        <v>39750.51939814815</v>
      </c>
      <c r="G4557" s="9" t="s">
        <v>13000</v>
      </c>
      <c r="H4557" s="35" t="s">
        <v>2520</v>
      </c>
      <c r="I4557" s="18" t="s">
        <v>2521</v>
      </c>
    </row>
    <row r="4558" spans="1:9" s="33" customFormat="1" ht="90">
      <c r="A4558" s="12">
        <v>43574.482361111106</v>
      </c>
      <c r="B4558" s="13" t="str">
        <f>HYPERLINK("https://twitter.com/CiiRUSVRS","@CiiRUSVRS")</f>
        <v>@CiiRUSVRS</v>
      </c>
      <c r="C4558" s="14" t="s">
        <v>2530</v>
      </c>
      <c r="D4558" s="15" t="s">
        <v>2531</v>
      </c>
      <c r="E4558" s="16" t="str">
        <f>HYPERLINK("https://www.sharpspring.com","Sharpspring")</f>
        <v>Sharpspring</v>
      </c>
      <c r="F4558" s="12">
        <v>41701.302129629628</v>
      </c>
      <c r="G4558" s="9" t="s">
        <v>13000</v>
      </c>
      <c r="H4558" s="35" t="s">
        <v>2520</v>
      </c>
      <c r="I4558" s="18" t="s">
        <v>2532</v>
      </c>
    </row>
    <row r="4559" spans="1:9" s="33" customFormat="1" ht="120">
      <c r="A4559" s="12">
        <v>43570.460150462968</v>
      </c>
      <c r="B4559" s="13" t="str">
        <f>HYPERLINK("https://twitter.com/management407","@management407")</f>
        <v>@management407</v>
      </c>
      <c r="C4559" s="14" t="s">
        <v>4129</v>
      </c>
      <c r="D4559" s="15" t="s">
        <v>4130</v>
      </c>
      <c r="E4559" s="16" t="str">
        <f>HYPERLINK("http://twitter.com/download/iphone","Twitter for iPhone")</f>
        <v>Twitter for iPhone</v>
      </c>
      <c r="F4559" s="12">
        <v>42481.380740740744</v>
      </c>
      <c r="G4559" s="9" t="s">
        <v>13000</v>
      </c>
      <c r="H4559" s="35" t="s">
        <v>2520</v>
      </c>
      <c r="I4559" s="18" t="s">
        <v>4131</v>
      </c>
    </row>
    <row r="4560" spans="1:9" s="33" customFormat="1" ht="120">
      <c r="A4560" s="12">
        <v>43567.598912037036</v>
      </c>
      <c r="B4560" s="13" t="str">
        <f>HYPERLINK("https://twitter.com/management407","@management407")</f>
        <v>@management407</v>
      </c>
      <c r="C4560" s="14" t="s">
        <v>4129</v>
      </c>
      <c r="D4560" s="15" t="s">
        <v>5034</v>
      </c>
      <c r="E4560" s="16" t="str">
        <f>HYPERLINK("http://twitter.com/download/iphone","Twitter for iPhone")</f>
        <v>Twitter for iPhone</v>
      </c>
      <c r="F4560" s="12">
        <v>42481.380740740744</v>
      </c>
      <c r="G4560" s="9" t="s">
        <v>13000</v>
      </c>
      <c r="H4560" s="35" t="s">
        <v>2520</v>
      </c>
      <c r="I4560" s="18" t="s">
        <v>4131</v>
      </c>
    </row>
    <row r="4561" spans="1:9" s="33" customFormat="1" ht="120">
      <c r="A4561" s="12">
        <v>43566.512523148151</v>
      </c>
      <c r="B4561" s="13" t="str">
        <f>HYPERLINK("https://twitter.com/management407","@management407")</f>
        <v>@management407</v>
      </c>
      <c r="C4561" s="14" t="s">
        <v>4129</v>
      </c>
      <c r="D4561" s="15" t="s">
        <v>5471</v>
      </c>
      <c r="E4561" s="16" t="str">
        <f>HYPERLINK("http://twitter.com/download/iphone","Twitter for iPhone")</f>
        <v>Twitter for iPhone</v>
      </c>
      <c r="F4561" s="12">
        <v>42481.380740740744</v>
      </c>
      <c r="G4561" s="9" t="s">
        <v>13000</v>
      </c>
      <c r="H4561" s="35" t="s">
        <v>2520</v>
      </c>
      <c r="I4561" s="18" t="s">
        <v>4131</v>
      </c>
    </row>
    <row r="4562" spans="1:9" s="33" customFormat="1" ht="45">
      <c r="A4562" s="4">
        <v>43562.354502314818</v>
      </c>
      <c r="B4562" s="5" t="str">
        <f>HYPERLINK("https://twitter.com/AttyJustinClark","@AttyJustinClark")</f>
        <v>@AttyJustinClark</v>
      </c>
      <c r="C4562" s="6" t="s">
        <v>10696</v>
      </c>
      <c r="D4562" s="7" t="s">
        <v>10697</v>
      </c>
      <c r="E4562" s="8" t="str">
        <f>HYPERLINK("https://www.hootsuite.com","Hootsuite Inc.")</f>
        <v>Hootsuite Inc.</v>
      </c>
      <c r="F4562" s="4">
        <v>41666.28392361111</v>
      </c>
      <c r="G4562" s="9" t="s">
        <v>13000</v>
      </c>
      <c r="H4562" s="35" t="s">
        <v>10698</v>
      </c>
      <c r="I4562" s="10" t="s">
        <v>10699</v>
      </c>
    </row>
    <row r="4563" spans="1:9" s="33" customFormat="1" ht="60">
      <c r="A4563" s="12">
        <v>43578.324606481481</v>
      </c>
      <c r="B4563" s="13" t="str">
        <f>HYPERLINK("https://twitter.com/MisterOttawa","@MisterOttawa")</f>
        <v>@MisterOttawa</v>
      </c>
      <c r="C4563" s="14" t="s">
        <v>1288</v>
      </c>
      <c r="D4563" s="15" t="s">
        <v>1289</v>
      </c>
      <c r="E4563" s="16" t="str">
        <f>HYPERLINK("http://twitter.com","Twitter Web Client")</f>
        <v>Twitter Web Client</v>
      </c>
      <c r="F4563" s="12">
        <v>41427.72755787037</v>
      </c>
      <c r="G4563" s="17" t="s">
        <v>13000</v>
      </c>
      <c r="H4563" s="35" t="s">
        <v>1290</v>
      </c>
      <c r="I4563" s="18" t="s">
        <v>1291</v>
      </c>
    </row>
    <row r="4564" spans="1:9" s="33" customFormat="1" ht="45">
      <c r="A4564" s="12">
        <v>43573.464606481481</v>
      </c>
      <c r="B4564" s="13" t="str">
        <f>HYPERLINK("https://twitter.com/thesocialreine","@thesocialreine")</f>
        <v>@thesocialreine</v>
      </c>
      <c r="C4564" s="14" t="s">
        <v>2842</v>
      </c>
      <c r="D4564" s="15" t="s">
        <v>2843</v>
      </c>
      <c r="E4564" s="16" t="str">
        <f>HYPERLINK("http://twitter.com/download/android","Twitter for Android")</f>
        <v>Twitter for Android</v>
      </c>
      <c r="F4564" s="12">
        <v>40136.525289351848</v>
      </c>
      <c r="G4564" s="17" t="s">
        <v>13000</v>
      </c>
      <c r="H4564" s="35" t="s">
        <v>1290</v>
      </c>
      <c r="I4564" s="18" t="s">
        <v>2844</v>
      </c>
    </row>
    <row r="4565" spans="1:9" s="33" customFormat="1" ht="45">
      <c r="A4565" s="19">
        <v>43551.40556712963</v>
      </c>
      <c r="B4565" s="20" t="str">
        <f>HYPERLINK("https://twitter.com/RichSavarie","@RichSavarie")</f>
        <v>@RichSavarie</v>
      </c>
      <c r="C4565" s="21" t="s">
        <v>7224</v>
      </c>
      <c r="D4565" s="22" t="s">
        <v>7225</v>
      </c>
      <c r="E4565" s="23" t="str">
        <f>HYPERLINK("http://twitter.com/download/android","Twitter for Android")</f>
        <v>Twitter for Android</v>
      </c>
      <c r="F4565" s="19">
        <v>40341.640405092592</v>
      </c>
      <c r="G4565" s="17" t="s">
        <v>13000</v>
      </c>
      <c r="H4565" s="35" t="s">
        <v>4755</v>
      </c>
      <c r="I4565" s="25" t="s">
        <v>7226</v>
      </c>
    </row>
    <row r="4566" spans="1:9" s="33" customFormat="1" ht="105">
      <c r="A4566" s="19">
        <v>43544.588136574079</v>
      </c>
      <c r="B4566" s="20" t="str">
        <f>HYPERLINK("https://twitter.com/vasalloum","@vasalloum")</f>
        <v>@vasalloum</v>
      </c>
      <c r="C4566" s="21" t="s">
        <v>9405</v>
      </c>
      <c r="D4566" s="22" t="s">
        <v>9406</v>
      </c>
      <c r="E4566" s="23" t="str">
        <f>HYPERLINK("https://mobile.twitter.com","Twitter Web App")</f>
        <v>Twitter Web App</v>
      </c>
      <c r="F4566" s="19">
        <v>42502.475798611107</v>
      </c>
      <c r="G4566" s="17" t="s">
        <v>13000</v>
      </c>
      <c r="H4566" s="35" t="s">
        <v>4755</v>
      </c>
      <c r="I4566" s="25" t="s">
        <v>9407</v>
      </c>
    </row>
    <row r="4567" spans="1:9" s="33" customFormat="1" ht="105">
      <c r="A4567" s="19">
        <v>43543.675011574072</v>
      </c>
      <c r="B4567" s="20" t="str">
        <f>HYPERLINK("https://twitter.com/LadyMaidService","@LadyMaidService")</f>
        <v>@LadyMaidService</v>
      </c>
      <c r="C4567" s="21" t="s">
        <v>9709</v>
      </c>
      <c r="D4567" s="22" t="s">
        <v>9710</v>
      </c>
      <c r="E4567" s="23" t="str">
        <f>HYPERLINK("http://twitter.com/download/iphone","Twitter for iPhone")</f>
        <v>Twitter for iPhone</v>
      </c>
      <c r="F4567" s="19">
        <v>42630.78628472222</v>
      </c>
      <c r="G4567" s="17" t="s">
        <v>13000</v>
      </c>
      <c r="H4567" s="35" t="s">
        <v>4755</v>
      </c>
      <c r="I4567" s="25" t="s">
        <v>9711</v>
      </c>
    </row>
    <row r="4568" spans="1:9" s="33" customFormat="1" ht="90">
      <c r="A4568" s="19">
        <v>43543.247754629629</v>
      </c>
      <c r="B4568" s="20" t="str">
        <f>HYPERLINK("https://twitter.com/DISLAT","@DISLAT")</f>
        <v>@DISLAT</v>
      </c>
      <c r="C4568" s="21" t="s">
        <v>9883</v>
      </c>
      <c r="D4568" s="22" t="s">
        <v>9884</v>
      </c>
      <c r="E4568" s="23" t="str">
        <f>HYPERLINK("http://twitter.com/download/iphone","Twitter for iPhone")</f>
        <v>Twitter for iPhone</v>
      </c>
      <c r="F4568" s="19">
        <v>40066.36917824074</v>
      </c>
      <c r="G4568" s="17" t="s">
        <v>13000</v>
      </c>
      <c r="H4568" s="35" t="s">
        <v>4755</v>
      </c>
      <c r="I4568" s="25" t="s">
        <v>9885</v>
      </c>
    </row>
    <row r="4569" spans="1:9" s="33" customFormat="1" ht="90">
      <c r="A4569" s="4">
        <v>43565.263182870374</v>
      </c>
      <c r="B4569" s="5" t="str">
        <f>HYPERLINK("https://twitter.com/AlanaBaker_HAC","@AlanaBaker_HAC")</f>
        <v>@AlanaBaker_HAC</v>
      </c>
      <c r="C4569" s="6" t="s">
        <v>6204</v>
      </c>
      <c r="D4569" s="7" t="s">
        <v>6205</v>
      </c>
      <c r="E4569" s="8" t="str">
        <f>HYPERLINK("http://twitter.com","Twitter Web Client")</f>
        <v>Twitter Web Client</v>
      </c>
      <c r="F4569" s="4">
        <v>42851.260393518518</v>
      </c>
      <c r="G4569" s="17" t="s">
        <v>13000</v>
      </c>
      <c r="H4569" s="35" t="s">
        <v>4755</v>
      </c>
      <c r="I4569" s="10" t="s">
        <v>6206</v>
      </c>
    </row>
    <row r="4570" spans="1:9" s="33" customFormat="1" ht="75">
      <c r="A4570" s="4">
        <v>43564.586770833332</v>
      </c>
      <c r="B4570" s="5" t="str">
        <f>HYPERLINK("https://twitter.com/AlanaBaker_HAC","@AlanaBaker_HAC")</f>
        <v>@AlanaBaker_HAC</v>
      </c>
      <c r="C4570" s="6" t="s">
        <v>6204</v>
      </c>
      <c r="D4570" s="7" t="s">
        <v>6527</v>
      </c>
      <c r="E4570" s="8" t="str">
        <f>HYPERLINK("http://twitter.com","Twitter Web Client")</f>
        <v>Twitter Web Client</v>
      </c>
      <c r="F4570" s="4">
        <v>42851.260393518518</v>
      </c>
      <c r="G4570" s="17" t="s">
        <v>13000</v>
      </c>
      <c r="H4570" s="35" t="s">
        <v>4755</v>
      </c>
      <c r="I4570" s="10" t="s">
        <v>6206</v>
      </c>
    </row>
    <row r="4571" spans="1:9" s="33" customFormat="1" ht="105">
      <c r="A4571" s="4">
        <v>43564.284282407403</v>
      </c>
      <c r="B4571" s="5" t="str">
        <f>HYPERLINK("https://twitter.com/AlanaBaker_HAC","@AlanaBaker_HAC")</f>
        <v>@AlanaBaker_HAC</v>
      </c>
      <c r="C4571" s="6" t="s">
        <v>6204</v>
      </c>
      <c r="D4571" s="7" t="s">
        <v>6705</v>
      </c>
      <c r="E4571" s="8" t="str">
        <f>HYPERLINK("http://twitter.com","Twitter Web Client")</f>
        <v>Twitter Web Client</v>
      </c>
      <c r="F4571" s="4">
        <v>42851.260393518518</v>
      </c>
      <c r="G4571" s="17" t="s">
        <v>13000</v>
      </c>
      <c r="H4571" s="35" t="s">
        <v>4755</v>
      </c>
      <c r="I4571" s="10" t="s">
        <v>6206</v>
      </c>
    </row>
    <row r="4572" spans="1:9" s="33" customFormat="1" ht="90">
      <c r="A4572" s="4">
        <v>43563.254155092596</v>
      </c>
      <c r="B4572" s="5" t="str">
        <f>HYPERLINK("https://twitter.com/AlanaBaker_HAC","@AlanaBaker_HAC")</f>
        <v>@AlanaBaker_HAC</v>
      </c>
      <c r="C4572" s="6" t="s">
        <v>6204</v>
      </c>
      <c r="D4572" s="7" t="s">
        <v>10420</v>
      </c>
      <c r="E4572" s="8" t="str">
        <f>HYPERLINK("http://twitter.com","Twitter Web Client")</f>
        <v>Twitter Web Client</v>
      </c>
      <c r="F4572" s="4">
        <v>42851.260393518518</v>
      </c>
      <c r="G4572" s="17" t="s">
        <v>13000</v>
      </c>
      <c r="H4572" s="35" t="s">
        <v>4755</v>
      </c>
      <c r="I4572" s="10" t="s">
        <v>6206</v>
      </c>
    </row>
    <row r="4573" spans="1:9" s="33" customFormat="1" ht="150">
      <c r="A4573" s="4">
        <v>43561.728414351848</v>
      </c>
      <c r="B4573" s="5" t="str">
        <f>HYPERLINK("https://twitter.com/AlanaBaker_HAC","@AlanaBaker_HAC")</f>
        <v>@AlanaBaker_HAC</v>
      </c>
      <c r="C4573" s="6" t="s">
        <v>6204</v>
      </c>
      <c r="D4573" s="7" t="s">
        <v>10849</v>
      </c>
      <c r="E4573" s="8" t="str">
        <f>HYPERLINK("http://twitter.com/download/iphone","Twitter for iPhone")</f>
        <v>Twitter for iPhone</v>
      </c>
      <c r="F4573" s="4">
        <v>42851.260393518518</v>
      </c>
      <c r="G4573" s="17" t="s">
        <v>13000</v>
      </c>
      <c r="H4573" s="35" t="s">
        <v>4755</v>
      </c>
      <c r="I4573" s="10" t="s">
        <v>6206</v>
      </c>
    </row>
    <row r="4574" spans="1:9" s="33" customFormat="1" ht="45">
      <c r="A4574" s="4">
        <v>43561.124745370369</v>
      </c>
      <c r="B4574" s="5" t="str">
        <f>HYPERLINK("https://twitter.com/OttLegalRebels","@OttLegalRebels")</f>
        <v>@OttLegalRebels</v>
      </c>
      <c r="C4574" s="6" t="s">
        <v>11057</v>
      </c>
      <c r="D4574" s="7" t="s">
        <v>11058</v>
      </c>
      <c r="E4574" s="8" t="str">
        <f>HYPERLINK("http://twitter.com","Twitter Web Client")</f>
        <v>Twitter Web Client</v>
      </c>
      <c r="F4574" s="4">
        <v>41474.172627314816</v>
      </c>
      <c r="G4574" s="17" t="s">
        <v>13000</v>
      </c>
      <c r="H4574" s="35" t="s">
        <v>4755</v>
      </c>
      <c r="I4574" s="10" t="s">
        <v>11059</v>
      </c>
    </row>
    <row r="4575" spans="1:9" s="33" customFormat="1" ht="60">
      <c r="A4575" s="4">
        <v>43557.248252314814</v>
      </c>
      <c r="B4575" s="5" t="str">
        <f>HYPERLINK("https://twitter.com/AlanaBaker_HAC","@AlanaBaker_HAC")</f>
        <v>@AlanaBaker_HAC</v>
      </c>
      <c r="C4575" s="6" t="s">
        <v>6204</v>
      </c>
      <c r="D4575" s="7" t="s">
        <v>12607</v>
      </c>
      <c r="E4575" s="8" t="str">
        <f>HYPERLINK("http://twitter.com","Twitter Web Client")</f>
        <v>Twitter Web Client</v>
      </c>
      <c r="F4575" s="4">
        <v>42851.260393518518</v>
      </c>
      <c r="G4575" s="17" t="s">
        <v>13000</v>
      </c>
      <c r="H4575" s="35" t="s">
        <v>4755</v>
      </c>
      <c r="I4575" s="10" t="s">
        <v>6206</v>
      </c>
    </row>
    <row r="4576" spans="1:9" s="33" customFormat="1" ht="75">
      <c r="A4576" s="12">
        <v>43568.463865740741</v>
      </c>
      <c r="B4576" s="13" t="str">
        <f>HYPERLINK("https://twitter.com/jwpainting_2017","@jwpainting_2017")</f>
        <v>@jwpainting_2017</v>
      </c>
      <c r="C4576" s="14" t="s">
        <v>4753</v>
      </c>
      <c r="D4576" s="15" t="s">
        <v>4754</v>
      </c>
      <c r="E4576" s="16" t="str">
        <f>HYPERLINK("http://instagram.com","Instagram")</f>
        <v>Instagram</v>
      </c>
      <c r="F4576" s="12">
        <v>43100.941944444443</v>
      </c>
      <c r="G4576" s="17" t="s">
        <v>13000</v>
      </c>
      <c r="H4576" s="35" t="s">
        <v>4755</v>
      </c>
      <c r="I4576" s="18" t="s">
        <v>4756</v>
      </c>
    </row>
    <row r="4577" spans="1:9" s="33" customFormat="1" ht="75">
      <c r="A4577" s="12">
        <v>43566.603958333333</v>
      </c>
      <c r="B4577" s="13" t="str">
        <f>HYPERLINK("https://twitter.com/thejohncastle","@thejohncastle")</f>
        <v>@thejohncastle</v>
      </c>
      <c r="C4577" s="14" t="s">
        <v>5407</v>
      </c>
      <c r="D4577" s="15" t="s">
        <v>5408</v>
      </c>
      <c r="E4577" s="16" t="str">
        <f>HYPERLINK("http://twitter.com/download/android","Twitter for Android")</f>
        <v>Twitter for Android</v>
      </c>
      <c r="F4577" s="12">
        <v>43532.79074074074</v>
      </c>
      <c r="G4577" s="17" t="s">
        <v>13000</v>
      </c>
      <c r="H4577" s="35" t="s">
        <v>4755</v>
      </c>
      <c r="I4577" s="18" t="s">
        <v>5409</v>
      </c>
    </row>
    <row r="4578" spans="1:9" s="33" customFormat="1" ht="45">
      <c r="A4578" s="12">
        <v>43578.777650462958</v>
      </c>
      <c r="B4578" s="13" t="str">
        <f>HYPERLINK("https://twitter.com/DDesBaillets","@DDesBaillets")</f>
        <v>@DDesBaillets</v>
      </c>
      <c r="C4578" s="14" t="s">
        <v>1034</v>
      </c>
      <c r="D4578" s="15" t="s">
        <v>1035</v>
      </c>
      <c r="E4578" s="16" t="str">
        <f>HYPERLINK("http://twitter.com","Twitter Web Client")</f>
        <v>Twitter Web Client</v>
      </c>
      <c r="F4578" s="12">
        <v>41017.817245370374</v>
      </c>
      <c r="G4578" s="17" t="s">
        <v>13000</v>
      </c>
      <c r="H4578" s="35" t="s">
        <v>1036</v>
      </c>
      <c r="I4578" s="18" t="s">
        <v>1037</v>
      </c>
    </row>
    <row r="4579" spans="1:9" s="33" customFormat="1" ht="45">
      <c r="A4579" s="19">
        <v>43551.758993055555</v>
      </c>
      <c r="B4579" s="20" t="str">
        <f>HYPERLINK("https://twitter.com/ifixith","@ifixith")</f>
        <v>@ifixith</v>
      </c>
      <c r="C4579" s="21" t="s">
        <v>7004</v>
      </c>
      <c r="D4579" s="22" t="s">
        <v>7005</v>
      </c>
      <c r="E4579" s="23" t="str">
        <f t="shared" ref="E4579:E4584" si="181">HYPERLINK("http://instagram.com","Instagram")</f>
        <v>Instagram</v>
      </c>
      <c r="F4579" s="19">
        <v>41902.660069444442</v>
      </c>
      <c r="G4579" s="9" t="s">
        <v>13000</v>
      </c>
      <c r="H4579" s="35" t="s">
        <v>7006</v>
      </c>
      <c r="I4579" s="25" t="s">
        <v>7007</v>
      </c>
    </row>
    <row r="4580" spans="1:9" s="33" customFormat="1" ht="75">
      <c r="A4580" s="19">
        <v>43545.699849537035</v>
      </c>
      <c r="B4580" s="20" t="str">
        <f>HYPERLINK("https://twitter.com/challengedtoo","@challengedtoo")</f>
        <v>@challengedtoo</v>
      </c>
      <c r="C4580" s="21" t="s">
        <v>9069</v>
      </c>
      <c r="D4580" s="22" t="s">
        <v>9070</v>
      </c>
      <c r="E4580" s="23" t="str">
        <f t="shared" si="181"/>
        <v>Instagram</v>
      </c>
      <c r="F4580" s="19">
        <v>39896.945347222223</v>
      </c>
      <c r="G4580" s="9" t="s">
        <v>13000</v>
      </c>
      <c r="H4580" s="35" t="s">
        <v>9071</v>
      </c>
      <c r="I4580" s="25" t="s">
        <v>9072</v>
      </c>
    </row>
    <row r="4581" spans="1:9" s="33" customFormat="1" ht="75">
      <c r="A4581" s="4">
        <v>43557.82675925926</v>
      </c>
      <c r="B4581" s="5" t="str">
        <f>HYPERLINK("https://twitter.com/TheHngryHswives","@TheHngryHswives")</f>
        <v>@TheHngryHswives</v>
      </c>
      <c r="C4581" s="6" t="s">
        <v>2088</v>
      </c>
      <c r="D4581" s="7" t="s">
        <v>12387</v>
      </c>
      <c r="E4581" s="8" t="str">
        <f t="shared" si="181"/>
        <v>Instagram</v>
      </c>
      <c r="F4581" s="4">
        <v>39990.835150462961</v>
      </c>
      <c r="G4581" s="9" t="s">
        <v>13000</v>
      </c>
      <c r="H4581" s="35" t="s">
        <v>2090</v>
      </c>
      <c r="I4581" s="10" t="s">
        <v>2091</v>
      </c>
    </row>
    <row r="4582" spans="1:9" s="33" customFormat="1" ht="75">
      <c r="A4582" s="12">
        <v>43575.952951388885</v>
      </c>
      <c r="B4582" s="13" t="str">
        <f>HYPERLINK("https://twitter.com/TheHngryHswives","@TheHngryHswives")</f>
        <v>@TheHngryHswives</v>
      </c>
      <c r="C4582" s="14" t="s">
        <v>2088</v>
      </c>
      <c r="D4582" s="15" t="s">
        <v>2089</v>
      </c>
      <c r="E4582" s="16" t="str">
        <f t="shared" si="181"/>
        <v>Instagram</v>
      </c>
      <c r="F4582" s="12">
        <v>39990.835150462961</v>
      </c>
      <c r="G4582" s="9" t="s">
        <v>13000</v>
      </c>
      <c r="H4582" s="35" t="s">
        <v>2090</v>
      </c>
      <c r="I4582" s="18" t="s">
        <v>2091</v>
      </c>
    </row>
    <row r="4583" spans="1:9" s="33" customFormat="1" ht="75">
      <c r="A4583" s="12">
        <v>43569.968842592592</v>
      </c>
      <c r="B4583" s="13" t="str">
        <f>HYPERLINK("https://twitter.com/TheHngryHswives","@TheHngryHswives")</f>
        <v>@TheHngryHswives</v>
      </c>
      <c r="C4583" s="14" t="s">
        <v>2088</v>
      </c>
      <c r="D4583" s="15" t="s">
        <v>4369</v>
      </c>
      <c r="E4583" s="16" t="str">
        <f t="shared" si="181"/>
        <v>Instagram</v>
      </c>
      <c r="F4583" s="12">
        <v>39990.835150462961</v>
      </c>
      <c r="G4583" s="9" t="s">
        <v>13000</v>
      </c>
      <c r="H4583" s="35" t="s">
        <v>2090</v>
      </c>
      <c r="I4583" s="18" t="s">
        <v>2091</v>
      </c>
    </row>
    <row r="4584" spans="1:9" s="33" customFormat="1" ht="75">
      <c r="A4584" s="12">
        <v>43569.83530092593</v>
      </c>
      <c r="B4584" s="13" t="str">
        <f>HYPERLINK("https://twitter.com/TheHngryHswives","@TheHngryHswives")</f>
        <v>@TheHngryHswives</v>
      </c>
      <c r="C4584" s="14" t="s">
        <v>2088</v>
      </c>
      <c r="D4584" s="15" t="s">
        <v>4388</v>
      </c>
      <c r="E4584" s="16" t="str">
        <f t="shared" si="181"/>
        <v>Instagram</v>
      </c>
      <c r="F4584" s="12">
        <v>39990.835150462961</v>
      </c>
      <c r="G4584" s="9" t="s">
        <v>13000</v>
      </c>
      <c r="H4584" s="35" t="s">
        <v>2090</v>
      </c>
      <c r="I4584" s="18" t="s">
        <v>2091</v>
      </c>
    </row>
    <row r="4585" spans="1:9" s="33" customFormat="1" ht="90">
      <c r="A4585" s="19">
        <v>43548.472141203703</v>
      </c>
      <c r="B4585" s="20" t="str">
        <f>HYPERLINK("https://twitter.com/QudsNen","@QudsNen")</f>
        <v>@QudsNen</v>
      </c>
      <c r="C4585" s="21" t="s">
        <v>8305</v>
      </c>
      <c r="D4585" s="22" t="s">
        <v>8304</v>
      </c>
      <c r="E4585" s="23" t="str">
        <f>HYPERLINK("https://studio.twitter.com","Twitter Media Studio")</f>
        <v>Twitter Media Studio</v>
      </c>
      <c r="F4585" s="19">
        <v>40982.725370370368</v>
      </c>
      <c r="G4585" s="9" t="s">
        <v>13000</v>
      </c>
      <c r="H4585" s="35" t="s">
        <v>5943</v>
      </c>
      <c r="I4585" s="25" t="s">
        <v>8306</v>
      </c>
    </row>
    <row r="4586" spans="1:9" s="33" customFormat="1" ht="75">
      <c r="A4586" s="4">
        <v>43565.695729166662</v>
      </c>
      <c r="B4586" s="5" t="str">
        <f>HYPERLINK("https://twitter.com/USACBI","@USACBI")</f>
        <v>@USACBI</v>
      </c>
      <c r="C4586" s="6" t="s">
        <v>5942</v>
      </c>
      <c r="D4586" s="7" t="s">
        <v>5940</v>
      </c>
      <c r="E4586" s="8" t="str">
        <f>HYPERLINK("http://www.facebook.com/twitter","Facebook")</f>
        <v>Facebook</v>
      </c>
      <c r="F4586" s="4">
        <v>39885.063923611109</v>
      </c>
      <c r="G4586" s="9" t="s">
        <v>13000</v>
      </c>
      <c r="H4586" s="35" t="s">
        <v>5943</v>
      </c>
      <c r="I4586" s="10" t="s">
        <v>5944</v>
      </c>
    </row>
    <row r="4587" spans="1:9" s="33" customFormat="1" ht="90">
      <c r="A4587" s="19">
        <v>43548.478020833332</v>
      </c>
      <c r="B4587" s="20" t="str">
        <f>HYPERLINK("https://twitter.com/Taghreeba","@Taghreeba")</f>
        <v>@Taghreeba</v>
      </c>
      <c r="C4587" s="21" t="s">
        <v>5354</v>
      </c>
      <c r="D4587" s="22" t="s">
        <v>8304</v>
      </c>
      <c r="E4587" s="23" t="str">
        <f>HYPERLINK("https://ifttt.com","IFTTT")</f>
        <v>IFTTT</v>
      </c>
      <c r="F4587" s="19">
        <v>39884.278252314813</v>
      </c>
      <c r="G4587" s="9" t="s">
        <v>13000</v>
      </c>
      <c r="H4587" s="35" t="s">
        <v>5356</v>
      </c>
      <c r="I4587" s="25" t="s">
        <v>5357</v>
      </c>
    </row>
    <row r="4588" spans="1:9" s="33" customFormat="1" ht="90">
      <c r="A4588" s="19">
        <v>43548.150104166663</v>
      </c>
      <c r="B4588" s="20" t="str">
        <f>HYPERLINK("https://twitter.com/Taghreeba","@Taghreeba")</f>
        <v>@Taghreeba</v>
      </c>
      <c r="C4588" s="21" t="s">
        <v>5354</v>
      </c>
      <c r="D4588" s="22" t="s">
        <v>8394</v>
      </c>
      <c r="E4588" s="23" t="str">
        <f>HYPERLINK("https://ifttt.com","IFTTT")</f>
        <v>IFTTT</v>
      </c>
      <c r="F4588" s="19">
        <v>39884.278252314813</v>
      </c>
      <c r="G4588" s="9" t="s">
        <v>13000</v>
      </c>
      <c r="H4588" s="35" t="s">
        <v>5356</v>
      </c>
      <c r="I4588" s="25" t="s">
        <v>5357</v>
      </c>
    </row>
    <row r="4589" spans="1:9" s="33" customFormat="1" ht="90">
      <c r="A4589" s="4">
        <v>43558.096701388888</v>
      </c>
      <c r="B4589" s="5" t="str">
        <f>HYPERLINK("https://twitter.com/Taghreeba","@Taghreeba")</f>
        <v>@Taghreeba</v>
      </c>
      <c r="C4589" s="6" t="s">
        <v>5354</v>
      </c>
      <c r="D4589" s="7" t="s">
        <v>12322</v>
      </c>
      <c r="E4589" s="8" t="str">
        <f>HYPERLINK("https://ifttt.com","IFTTT")</f>
        <v>IFTTT</v>
      </c>
      <c r="F4589" s="4">
        <v>39884.278252314813</v>
      </c>
      <c r="G4589" s="9" t="s">
        <v>13000</v>
      </c>
      <c r="H4589" s="35" t="s">
        <v>5356</v>
      </c>
      <c r="I4589" s="10" t="s">
        <v>5357</v>
      </c>
    </row>
    <row r="4590" spans="1:9" s="33" customFormat="1" ht="90">
      <c r="A4590" s="12">
        <v>43566.752870370372</v>
      </c>
      <c r="B4590" s="13" t="str">
        <f>HYPERLINK("https://twitter.com/Taghreeba","@Taghreeba")</f>
        <v>@Taghreeba</v>
      </c>
      <c r="C4590" s="14" t="s">
        <v>5354</v>
      </c>
      <c r="D4590" s="15" t="s">
        <v>5355</v>
      </c>
      <c r="E4590" s="16" t="str">
        <f>HYPERLINK("https://ifttt.com","IFTTT")</f>
        <v>IFTTT</v>
      </c>
      <c r="F4590" s="12">
        <v>39884.278252314813</v>
      </c>
      <c r="G4590" s="9" t="s">
        <v>13000</v>
      </c>
      <c r="H4590" s="35" t="s">
        <v>5356</v>
      </c>
      <c r="I4590" s="18" t="s">
        <v>5357</v>
      </c>
    </row>
    <row r="4591" spans="1:9" s="33" customFormat="1" ht="75">
      <c r="A4591" s="12">
        <v>43574.877534722225</v>
      </c>
      <c r="B4591" s="13" t="str">
        <f>HYPERLINK("https://twitter.com/PSDavid","@PSDavid")</f>
        <v>@PSDavid</v>
      </c>
      <c r="C4591" s="14" t="s">
        <v>2406</v>
      </c>
      <c r="D4591" s="15" t="s">
        <v>2407</v>
      </c>
      <c r="E4591" s="16" t="str">
        <f>HYPERLINK("http://instagram.com","Instagram")</f>
        <v>Instagram</v>
      </c>
      <c r="F4591" s="12">
        <v>39889.641203703708</v>
      </c>
      <c r="G4591" s="9" t="s">
        <v>13000</v>
      </c>
      <c r="H4591" s="35" t="s">
        <v>2408</v>
      </c>
      <c r="I4591" s="18" t="s">
        <v>2409</v>
      </c>
    </row>
    <row r="4592" spans="1:9" s="33" customFormat="1" ht="120">
      <c r="A4592" s="4">
        <v>43557.732777777783</v>
      </c>
      <c r="B4592" s="5" t="str">
        <f>HYPERLINK("https://twitter.com/BruceJamesPhoto","@BruceJamesPhoto")</f>
        <v>@BruceJamesPhoto</v>
      </c>
      <c r="C4592" s="6" t="s">
        <v>12398</v>
      </c>
      <c r="D4592" s="7" t="s">
        <v>12399</v>
      </c>
      <c r="E4592" s="8" t="str">
        <f>HYPERLINK("http://twitter.com/download/iphone","Twitter for iPhone")</f>
        <v>Twitter for iPhone</v>
      </c>
      <c r="F4592" s="4">
        <v>43550.81350694444</v>
      </c>
      <c r="G4592" s="9" t="s">
        <v>13000</v>
      </c>
      <c r="H4592" s="35" t="s">
        <v>4924</v>
      </c>
      <c r="I4592" s="10" t="s">
        <v>12400</v>
      </c>
    </row>
    <row r="4593" spans="1:9" s="33" customFormat="1" ht="120">
      <c r="A4593" s="4">
        <v>43556.755648148144</v>
      </c>
      <c r="B4593" s="5" t="str">
        <f>HYPERLINK("https://twitter.com/BruceJamesPhoto","@BruceJamesPhoto")</f>
        <v>@BruceJamesPhoto</v>
      </c>
      <c r="C4593" s="6" t="s">
        <v>12398</v>
      </c>
      <c r="D4593" s="7" t="s">
        <v>12752</v>
      </c>
      <c r="E4593" s="8" t="str">
        <f>HYPERLINK("http://twitter.com/download/iphone","Twitter for iPhone")</f>
        <v>Twitter for iPhone</v>
      </c>
      <c r="F4593" s="4">
        <v>43550.81350694444</v>
      </c>
      <c r="G4593" s="9" t="s">
        <v>13000</v>
      </c>
      <c r="H4593" s="35" t="s">
        <v>4924</v>
      </c>
      <c r="I4593" s="10" t="s">
        <v>12400</v>
      </c>
    </row>
    <row r="4594" spans="1:9" s="33" customFormat="1" ht="45">
      <c r="A4594" s="12">
        <v>43567.889930555553</v>
      </c>
      <c r="B4594" s="13" t="str">
        <f>HYPERLINK("https://twitter.com/PSVacationHouse","@PSVacationHouse")</f>
        <v>@PSVacationHouse</v>
      </c>
      <c r="C4594" s="13" t="s">
        <v>4922</v>
      </c>
      <c r="D4594" s="15" t="s">
        <v>4923</v>
      </c>
      <c r="E4594" s="16" t="str">
        <f>HYPERLINK("http://twitter.com/download/iphone","Twitter for iPhone")</f>
        <v>Twitter for iPhone</v>
      </c>
      <c r="F4594" s="12">
        <v>42430.829293981486</v>
      </c>
      <c r="G4594" s="9" t="s">
        <v>13000</v>
      </c>
      <c r="H4594" s="35" t="s">
        <v>4924</v>
      </c>
      <c r="I4594" s="18" t="s">
        <v>4925</v>
      </c>
    </row>
    <row r="4595" spans="1:9" s="33" customFormat="1" ht="45">
      <c r="A4595" s="12">
        <v>43567.558495370366</v>
      </c>
      <c r="B4595" s="13" t="str">
        <f>HYPERLINK("https://twitter.com/PSVacationHouse","@PSVacationHouse")</f>
        <v>@PSVacationHouse</v>
      </c>
      <c r="C4595" s="13" t="s">
        <v>4922</v>
      </c>
      <c r="D4595" s="15" t="s">
        <v>5056</v>
      </c>
      <c r="E4595" s="16" t="str">
        <f>HYPERLINK("http://twitter.com/download/iphone","Twitter for iPhone")</f>
        <v>Twitter for iPhone</v>
      </c>
      <c r="F4595" s="12">
        <v>42430.829293981486</v>
      </c>
      <c r="G4595" s="9" t="s">
        <v>13000</v>
      </c>
      <c r="H4595" s="35" t="s">
        <v>4924</v>
      </c>
      <c r="I4595" s="18" t="s">
        <v>4925</v>
      </c>
    </row>
    <row r="4596" spans="1:9" s="33" customFormat="1" ht="45">
      <c r="A4596" s="12">
        <v>43566.016180555554</v>
      </c>
      <c r="B4596" s="13" t="str">
        <f>HYPERLINK("https://twitter.com/PSVacationHouse","@PSVacationHouse")</f>
        <v>@PSVacationHouse</v>
      </c>
      <c r="C4596" s="13" t="s">
        <v>4922</v>
      </c>
      <c r="D4596" s="15" t="s">
        <v>5825</v>
      </c>
      <c r="E4596" s="16" t="str">
        <f>HYPERLINK("http://twitter.com/download/iphone","Twitter for iPhone")</f>
        <v>Twitter for iPhone</v>
      </c>
      <c r="F4596" s="12">
        <v>42430.829293981486</v>
      </c>
      <c r="G4596" s="9" t="s">
        <v>13000</v>
      </c>
      <c r="H4596" s="35" t="s">
        <v>4924</v>
      </c>
      <c r="I4596" s="18" t="s">
        <v>4925</v>
      </c>
    </row>
    <row r="4597" spans="1:9" s="33" customFormat="1" ht="105">
      <c r="A4597" s="4">
        <v>43561.655578703707</v>
      </c>
      <c r="B4597" s="5" t="str">
        <f>HYPERLINK("https://twitter.com/palmspringslife","@palmspringslife")</f>
        <v>@palmspringslife</v>
      </c>
      <c r="C4597" s="6" t="s">
        <v>10879</v>
      </c>
      <c r="D4597" s="7" t="s">
        <v>10880</v>
      </c>
      <c r="E4597" s="8" t="str">
        <f>HYPERLINK("https://coschedule.com","CoSchedule")</f>
        <v>CoSchedule</v>
      </c>
      <c r="F4597" s="4">
        <v>39912.367511574077</v>
      </c>
      <c r="G4597" s="9" t="s">
        <v>13000</v>
      </c>
      <c r="H4597" s="35" t="s">
        <v>10881</v>
      </c>
      <c r="I4597" s="10" t="s">
        <v>10882</v>
      </c>
    </row>
    <row r="4598" spans="1:9" s="33" customFormat="1" ht="45">
      <c r="A4598" s="4">
        <v>43563.525891203702</v>
      </c>
      <c r="B4598" s="5" t="str">
        <f>HYPERLINK("https://twitter.com/TeamZottiRE","@TeamZottiRE")</f>
        <v>@TeamZottiRE</v>
      </c>
      <c r="C4598" s="6" t="s">
        <v>10249</v>
      </c>
      <c r="D4598" s="7" t="s">
        <v>10250</v>
      </c>
      <c r="E4598" s="8" t="str">
        <f>HYPERLINK("https://www.circlepix.com/","Circlepix")</f>
        <v>Circlepix</v>
      </c>
      <c r="F4598" s="4">
        <v>41801.648020833338</v>
      </c>
      <c r="G4598" s="9" t="s">
        <v>13000</v>
      </c>
      <c r="H4598" s="35" t="s">
        <v>10251</v>
      </c>
      <c r="I4598" s="10" t="s">
        <v>10252</v>
      </c>
    </row>
    <row r="4599" spans="1:9" s="33" customFormat="1" ht="90">
      <c r="A4599" s="19">
        <v>43544.504965277782</v>
      </c>
      <c r="B4599" s="20" t="str">
        <f>HYPERLINK("https://twitter.com/felixkitty","@felixkitty")</f>
        <v>@felixkitty</v>
      </c>
      <c r="C4599" s="21" t="s">
        <v>9431</v>
      </c>
      <c r="D4599" s="22" t="s">
        <v>9432</v>
      </c>
      <c r="E4599" s="23" t="str">
        <f>HYPERLINK("http://twitter.com","Twitter Web Client")</f>
        <v>Twitter Web Client</v>
      </c>
      <c r="F4599" s="19">
        <v>39652.831550925926</v>
      </c>
      <c r="G4599" s="9" t="s">
        <v>13000</v>
      </c>
      <c r="H4599" s="35" t="s">
        <v>9433</v>
      </c>
      <c r="I4599" s="25" t="s">
        <v>9434</v>
      </c>
    </row>
    <row r="4600" spans="1:9" s="33" customFormat="1" ht="105">
      <c r="A4600" s="19">
        <v>43544.50167824074</v>
      </c>
      <c r="B4600" s="20" t="str">
        <f>HYPERLINK("https://twitter.com/felixkitty","@felixkitty")</f>
        <v>@felixkitty</v>
      </c>
      <c r="C4600" s="21" t="s">
        <v>9431</v>
      </c>
      <c r="D4600" s="22" t="s">
        <v>9435</v>
      </c>
      <c r="E4600" s="23" t="str">
        <f>HYPERLINK("http://twitter.com","Twitter Web Client")</f>
        <v>Twitter Web Client</v>
      </c>
      <c r="F4600" s="19">
        <v>39652.831550925926</v>
      </c>
      <c r="G4600" s="9" t="s">
        <v>13000</v>
      </c>
      <c r="H4600" s="35" t="s">
        <v>9433</v>
      </c>
      <c r="I4600" s="25" t="s">
        <v>9434</v>
      </c>
    </row>
    <row r="4601" spans="1:9" s="33" customFormat="1" ht="60">
      <c r="A4601" s="19">
        <v>43546.486250000002</v>
      </c>
      <c r="B4601" s="20" t="str">
        <f>HYPERLINK("https://twitter.com/cabstartup","@cabstartup")</f>
        <v>@cabstartup</v>
      </c>
      <c r="C4601" s="21" t="s">
        <v>8827</v>
      </c>
      <c r="D4601" s="22" t="s">
        <v>8828</v>
      </c>
      <c r="E4601" s="23" t="str">
        <f>HYPERLINK("https://www.hootsuite.com","Hootsuite Inc.")</f>
        <v>Hootsuite Inc.</v>
      </c>
      <c r="F4601" s="19">
        <v>41995.061111111107</v>
      </c>
      <c r="G4601" s="9" t="s">
        <v>13000</v>
      </c>
      <c r="H4601" s="35" t="s">
        <v>8829</v>
      </c>
      <c r="I4601" s="25" t="s">
        <v>8830</v>
      </c>
    </row>
    <row r="4602" spans="1:9" s="33" customFormat="1" ht="105">
      <c r="A4602" s="19">
        <v>43544.468773148154</v>
      </c>
      <c r="B4602" s="20" t="str">
        <f>HYPERLINK("https://twitter.com/emacityusa","@emacityusa")</f>
        <v>@emacityusa</v>
      </c>
      <c r="C4602" s="20" t="s">
        <v>9445</v>
      </c>
      <c r="D4602" s="22" t="s">
        <v>9446</v>
      </c>
      <c r="E4602" s="23" t="str">
        <f>HYPERLINK("http://www.prebuiltmarketing.com","PreBuilt Marketing")</f>
        <v>PreBuilt Marketing</v>
      </c>
      <c r="F4602" s="19">
        <v>42720.630208333328</v>
      </c>
      <c r="G4602" s="9" t="s">
        <v>13000</v>
      </c>
      <c r="H4602" s="35" t="s">
        <v>8829</v>
      </c>
      <c r="I4602" s="25" t="s">
        <v>9447</v>
      </c>
    </row>
    <row r="4603" spans="1:9" s="33" customFormat="1" ht="105">
      <c r="A4603" s="19">
        <v>43543.427152777775</v>
      </c>
      <c r="B4603" s="20" t="str">
        <f>HYPERLINK("https://twitter.com/emacityusa","@emacityusa")</f>
        <v>@emacityusa</v>
      </c>
      <c r="C4603" s="20" t="s">
        <v>9445</v>
      </c>
      <c r="D4603" s="22" t="s">
        <v>9811</v>
      </c>
      <c r="E4603" s="23" t="str">
        <f>HYPERLINK("http://www.prebuiltmarketing.com","PreBuilt Marketing")</f>
        <v>PreBuilt Marketing</v>
      </c>
      <c r="F4603" s="19">
        <v>42720.630208333328</v>
      </c>
      <c r="G4603" s="9" t="s">
        <v>13000</v>
      </c>
      <c r="H4603" s="35" t="s">
        <v>8829</v>
      </c>
      <c r="I4603" s="25" t="s">
        <v>9447</v>
      </c>
    </row>
    <row r="4604" spans="1:9" s="33" customFormat="1" ht="45">
      <c r="A4604" s="4">
        <v>43562.001643518517</v>
      </c>
      <c r="B4604" s="5" t="str">
        <f>HYPERLINK("https://twitter.com/jephM","@jephM")</f>
        <v>@jephM</v>
      </c>
      <c r="C4604" s="6" t="s">
        <v>10779</v>
      </c>
      <c r="D4604" s="7" t="s">
        <v>10780</v>
      </c>
      <c r="E4604" s="8" t="str">
        <f>HYPERLINK("http://twitter.com/download/android","Twitter for Android")</f>
        <v>Twitter for Android</v>
      </c>
      <c r="F4604" s="4">
        <v>39887.675567129627</v>
      </c>
      <c r="G4604" s="9" t="s">
        <v>13000</v>
      </c>
      <c r="H4604" s="35" t="s">
        <v>8829</v>
      </c>
      <c r="I4604" s="10" t="s">
        <v>10781</v>
      </c>
    </row>
    <row r="4605" spans="1:9" s="33" customFormat="1" ht="90">
      <c r="A4605" s="19">
        <v>43545.011412037042</v>
      </c>
      <c r="B4605" s="20" t="str">
        <f>HYPERLINK("https://twitter.com/nickmlittlejohn","@nickmlittlejohn")</f>
        <v>@nickmlittlejohn</v>
      </c>
      <c r="C4605" s="21" t="s">
        <v>9299</v>
      </c>
      <c r="D4605" s="22" t="s">
        <v>9300</v>
      </c>
      <c r="E4605" s="23" t="str">
        <f>HYPERLINK("http://twitter.com","Twitter Web Client")</f>
        <v>Twitter Web Client</v>
      </c>
      <c r="F4605" s="19">
        <v>39694.483240740738</v>
      </c>
      <c r="G4605" s="9" t="s">
        <v>13000</v>
      </c>
      <c r="H4605" s="35" t="s">
        <v>9301</v>
      </c>
      <c r="I4605" s="25" t="s">
        <v>9302</v>
      </c>
    </row>
    <row r="4606" spans="1:9" s="33" customFormat="1" ht="90">
      <c r="A4606" s="4">
        <v>43564.590902777782</v>
      </c>
      <c r="B4606" s="5" t="str">
        <f>HYPERLINK("https://twitter.com/StopBullyingIsr","@StopBullyingIsr")</f>
        <v>@StopBullyingIsr</v>
      </c>
      <c r="C4606" s="6" t="s">
        <v>6523</v>
      </c>
      <c r="D4606" s="7" t="s">
        <v>6524</v>
      </c>
      <c r="E4606" s="8" t="str">
        <f>HYPERLINK("http://twitter.com/download/android","Twitter for Android")</f>
        <v>Twitter for Android</v>
      </c>
      <c r="F4606" s="4">
        <v>41702.861261574071</v>
      </c>
      <c r="G4606" s="24" t="s">
        <v>13000</v>
      </c>
      <c r="H4606" s="35" t="s">
        <v>6525</v>
      </c>
      <c r="I4606" s="10" t="s">
        <v>6526</v>
      </c>
    </row>
    <row r="4607" spans="1:9" s="33" customFormat="1" ht="60">
      <c r="A4607" s="19">
        <v>43544.765335648146</v>
      </c>
      <c r="B4607" s="20" t="str">
        <f>HYPERLINK("https://twitter.com/pcbcleaning","@pcbcleaning")</f>
        <v>@pcbcleaning</v>
      </c>
      <c r="C4607" s="21" t="s">
        <v>9346</v>
      </c>
      <c r="D4607" s="22" t="s">
        <v>9347</v>
      </c>
      <c r="E4607" s="23" t="str">
        <f>HYPERLINK("http://twitter.com","Twitter Web Client")</f>
        <v>Twitter Web Client</v>
      </c>
      <c r="F4607" s="19">
        <v>42229.732152777782</v>
      </c>
      <c r="G4607" s="24" t="s">
        <v>13000</v>
      </c>
      <c r="H4607" s="35" t="s">
        <v>9348</v>
      </c>
      <c r="I4607" s="25" t="s">
        <v>9349</v>
      </c>
    </row>
    <row r="4608" spans="1:9" s="33" customFormat="1" ht="75">
      <c r="A4608" s="19">
        <v>43544.751493055555</v>
      </c>
      <c r="B4608" s="20" t="str">
        <f>HYPERLINK("https://twitter.com/TMurph94","@TMurph94")</f>
        <v>@TMurph94</v>
      </c>
      <c r="C4608" s="21" t="s">
        <v>9356</v>
      </c>
      <c r="D4608" s="22" t="s">
        <v>9357</v>
      </c>
      <c r="E4608" s="23" t="str">
        <f>HYPERLINK("https://ifttt.com","IFTTT")</f>
        <v>IFTTT</v>
      </c>
      <c r="F4608" s="19">
        <v>40021.290150462963</v>
      </c>
      <c r="G4608" s="24" t="s">
        <v>13000</v>
      </c>
      <c r="H4608" s="35" t="s">
        <v>9358</v>
      </c>
      <c r="I4608" s="25" t="s">
        <v>9359</v>
      </c>
    </row>
    <row r="4609" spans="1:9" s="33" customFormat="1" ht="30">
      <c r="A4609" s="4">
        <v>43558.451666666668</v>
      </c>
      <c r="B4609" s="5" t="str">
        <f>HYPERLINK("https://twitter.com/ThatgirlChelley","@ThatgirlChelley")</f>
        <v>@ThatgirlChelley</v>
      </c>
      <c r="C4609" s="6" t="s">
        <v>12180</v>
      </c>
      <c r="D4609" s="7" t="s">
        <v>12181</v>
      </c>
      <c r="E4609" s="8" t="str">
        <f>HYPERLINK("http://twitter.com/download/iphone","Twitter for iPhone")</f>
        <v>Twitter for iPhone</v>
      </c>
      <c r="F4609" s="4">
        <v>40325.405439814815</v>
      </c>
      <c r="G4609" s="17" t="s">
        <v>13000</v>
      </c>
      <c r="H4609" s="35" t="s">
        <v>12182</v>
      </c>
      <c r="I4609" s="10" t="s">
        <v>12183</v>
      </c>
    </row>
    <row r="4610" spans="1:9" s="33" customFormat="1" ht="75">
      <c r="A4610" s="12">
        <v>43566.586481481485</v>
      </c>
      <c r="B4610" s="13" t="str">
        <f>HYPERLINK("https://twitter.com/HeartlessMerc28","@HeartlessMerc28")</f>
        <v>@HeartlessMerc28</v>
      </c>
      <c r="C4610" s="14" t="s">
        <v>5425</v>
      </c>
      <c r="D4610" s="15" t="s">
        <v>5426</v>
      </c>
      <c r="E4610" s="16" t="str">
        <f>HYPERLINK("http://instagram.com","Instagram")</f>
        <v>Instagram</v>
      </c>
      <c r="F4610" s="12">
        <v>40012.934421296297</v>
      </c>
      <c r="G4610" s="17" t="s">
        <v>13000</v>
      </c>
      <c r="H4610" s="35" t="s">
        <v>5427</v>
      </c>
      <c r="I4610" s="18" t="s">
        <v>5428</v>
      </c>
    </row>
    <row r="4611" spans="1:9" s="33" customFormat="1" ht="75">
      <c r="A4611" s="12">
        <v>43566.085474537038</v>
      </c>
      <c r="B4611" s="13" t="str">
        <f>HYPERLINK("https://twitter.com/HeartlessMerc28","@HeartlessMerc28")</f>
        <v>@HeartlessMerc28</v>
      </c>
      <c r="C4611" s="14" t="s">
        <v>5425</v>
      </c>
      <c r="D4611" s="15" t="s">
        <v>5804</v>
      </c>
      <c r="E4611" s="16" t="str">
        <f>HYPERLINK("http://instagram.com","Instagram")</f>
        <v>Instagram</v>
      </c>
      <c r="F4611" s="12">
        <v>40012.934421296297</v>
      </c>
      <c r="G4611" s="17" t="s">
        <v>13000</v>
      </c>
      <c r="H4611" s="35" t="s">
        <v>5427</v>
      </c>
      <c r="I4611" s="18" t="s">
        <v>5428</v>
      </c>
    </row>
    <row r="4612" spans="1:9" s="33" customFormat="1" ht="45">
      <c r="A4612" s="19">
        <v>43550.234502314815</v>
      </c>
      <c r="B4612" s="20" t="str">
        <f>HYPERLINK("https://twitter.com/REOZakaONEnONLY","@REOZakaONEnONLY")</f>
        <v>@REOZakaONEnONLY</v>
      </c>
      <c r="C4612" s="21" t="s">
        <v>7780</v>
      </c>
      <c r="D4612" s="22" t="s">
        <v>7781</v>
      </c>
      <c r="E4612" s="23" t="str">
        <f>HYPERLINK("http://twitter.com/download/iphone","Twitter for iPhone")</f>
        <v>Twitter for iPhone</v>
      </c>
      <c r="F4612" s="19">
        <v>43515.041145833333</v>
      </c>
      <c r="G4612" s="17" t="s">
        <v>13000</v>
      </c>
      <c r="H4612" s="35" t="s">
        <v>7782</v>
      </c>
      <c r="I4612" s="25" t="s">
        <v>7783</v>
      </c>
    </row>
    <row r="4613" spans="1:9" s="33" customFormat="1" ht="105">
      <c r="A4613" s="19">
        <v>43547.767395833333</v>
      </c>
      <c r="B4613" s="20" t="str">
        <f>HYPERLINK("https://twitter.com/barakahfarm","@barakahfarm")</f>
        <v>@barakahfarm</v>
      </c>
      <c r="C4613" s="21" t="s">
        <v>2120</v>
      </c>
      <c r="D4613" s="22" t="s">
        <v>2121</v>
      </c>
      <c r="E4613" s="23" t="str">
        <f>HYPERLINK("https://crowdfireapp.com","Crowdfire App")</f>
        <v>Crowdfire App</v>
      </c>
      <c r="F4613" s="19">
        <v>40053.624456018515</v>
      </c>
      <c r="G4613" s="17" t="s">
        <v>13000</v>
      </c>
      <c r="H4613" s="35" t="s">
        <v>2122</v>
      </c>
      <c r="I4613" s="25" t="s">
        <v>2123</v>
      </c>
    </row>
    <row r="4614" spans="1:9" s="33" customFormat="1" ht="105">
      <c r="A4614" s="4">
        <v>43561.770902777775</v>
      </c>
      <c r="B4614" s="5" t="str">
        <f>HYPERLINK("https://twitter.com/barakahfarm","@barakahfarm")</f>
        <v>@barakahfarm</v>
      </c>
      <c r="C4614" s="6" t="s">
        <v>2120</v>
      </c>
      <c r="D4614" s="7" t="s">
        <v>2121</v>
      </c>
      <c r="E4614" s="8" t="str">
        <f>HYPERLINK("https://crowdfireapp.com","Crowdfire App")</f>
        <v>Crowdfire App</v>
      </c>
      <c r="F4614" s="4">
        <v>40053.624456018515</v>
      </c>
      <c r="G4614" s="17" t="s">
        <v>13000</v>
      </c>
      <c r="H4614" s="35" t="s">
        <v>2122</v>
      </c>
      <c r="I4614" s="10" t="s">
        <v>2123</v>
      </c>
    </row>
    <row r="4615" spans="1:9" s="33" customFormat="1" ht="45">
      <c r="A4615" s="4">
        <v>43561.597719907411</v>
      </c>
      <c r="B4615" s="5" t="str">
        <f>HYPERLINK("https://twitter.com/tkashpm","@tkashpm")</f>
        <v>@tkashpm</v>
      </c>
      <c r="C4615" s="6" t="s">
        <v>10916</v>
      </c>
      <c r="D4615" s="7" t="s">
        <v>10917</v>
      </c>
      <c r="E4615" s="8" t="str">
        <f>HYPERLINK("http://twitter.com","Twitter Web Client")</f>
        <v>Twitter Web Client</v>
      </c>
      <c r="F4615" s="4">
        <v>43554.5237037037</v>
      </c>
      <c r="G4615" s="17" t="s">
        <v>13000</v>
      </c>
      <c r="H4615" s="35" t="s">
        <v>2122</v>
      </c>
      <c r="I4615" s="10" t="s">
        <v>10918</v>
      </c>
    </row>
    <row r="4616" spans="1:9" s="33" customFormat="1" ht="105">
      <c r="A4616" s="12">
        <v>43575.774340277778</v>
      </c>
      <c r="B4616" s="13" t="str">
        <f>HYPERLINK("https://twitter.com/barakahfarm","@barakahfarm")</f>
        <v>@barakahfarm</v>
      </c>
      <c r="C4616" s="14" t="s">
        <v>2120</v>
      </c>
      <c r="D4616" s="15" t="s">
        <v>2121</v>
      </c>
      <c r="E4616" s="16" t="str">
        <f>HYPERLINK("https://crowdfireapp.com","Crowdfire App")</f>
        <v>Crowdfire App</v>
      </c>
      <c r="F4616" s="12">
        <v>40053.624456018515</v>
      </c>
      <c r="G4616" s="17" t="s">
        <v>13000</v>
      </c>
      <c r="H4616" s="35" t="s">
        <v>2122</v>
      </c>
      <c r="I4616" s="18" t="s">
        <v>2123</v>
      </c>
    </row>
    <row r="4617" spans="1:9" s="33" customFormat="1" ht="105">
      <c r="A4617" s="12">
        <v>43568.770902777775</v>
      </c>
      <c r="B4617" s="13" t="str">
        <f>HYPERLINK("https://twitter.com/barakahfarm","@barakahfarm")</f>
        <v>@barakahfarm</v>
      </c>
      <c r="C4617" s="14" t="s">
        <v>2120</v>
      </c>
      <c r="D4617" s="15" t="s">
        <v>2121</v>
      </c>
      <c r="E4617" s="16" t="str">
        <f>HYPERLINK("https://crowdfireapp.com","Crowdfire App")</f>
        <v>Crowdfire App</v>
      </c>
      <c r="F4617" s="12">
        <v>40053.624456018515</v>
      </c>
      <c r="G4617" s="17" t="s">
        <v>13000</v>
      </c>
      <c r="H4617" s="35" t="s">
        <v>2122</v>
      </c>
      <c r="I4617" s="18" t="s">
        <v>2123</v>
      </c>
    </row>
    <row r="4618" spans="1:9" s="33" customFormat="1" ht="105">
      <c r="A4618" s="12">
        <v>43567.535266203704</v>
      </c>
      <c r="B4618" s="13" t="str">
        <f>HYPERLINK("https://twitter.com/RedTH_BandB","@RedTH_BandB")</f>
        <v>@RedTH_BandB</v>
      </c>
      <c r="C4618" s="14" t="s">
        <v>5063</v>
      </c>
      <c r="D4618" s="15" t="s">
        <v>5064</v>
      </c>
      <c r="E4618" s="16" t="str">
        <f>HYPERLINK("http://twitter.com/#!/download/ipad","Twitter for iPad")</f>
        <v>Twitter for iPad</v>
      </c>
      <c r="F4618" s="12">
        <v>40100.551550925928</v>
      </c>
      <c r="G4618" s="17" t="s">
        <v>13000</v>
      </c>
      <c r="H4618" s="35" t="s">
        <v>5065</v>
      </c>
      <c r="I4618" s="18" t="s">
        <v>5066</v>
      </c>
    </row>
    <row r="4619" spans="1:9" s="33" customFormat="1" ht="60">
      <c r="A4619" s="4">
        <v>43558.245208333334</v>
      </c>
      <c r="B4619" s="5" t="str">
        <f>HYPERLINK("https://twitter.com/rcl97863984","@rcl97863984")</f>
        <v>@rcl97863984</v>
      </c>
      <c r="C4619" s="6" t="s">
        <v>3621</v>
      </c>
      <c r="D4619" s="7" t="s">
        <v>12274</v>
      </c>
      <c r="E4619" s="8" t="str">
        <f>HYPERLINK("http://twitter.com/download/iphone","Twitter for iPhone")</f>
        <v>Twitter for iPhone</v>
      </c>
      <c r="F4619" s="4">
        <v>43548.513888888891</v>
      </c>
      <c r="G4619" s="17" t="s">
        <v>13000</v>
      </c>
      <c r="H4619" s="35" t="s">
        <v>3623</v>
      </c>
      <c r="I4619" s="10" t="s">
        <v>12275</v>
      </c>
    </row>
    <row r="4620" spans="1:9" s="33" customFormat="1" ht="75">
      <c r="A4620" s="12">
        <v>43571.601261574076</v>
      </c>
      <c r="B4620" s="13" t="str">
        <f>HYPERLINK("https://twitter.com/rcl97863984","@rcl97863984")</f>
        <v>@rcl97863984</v>
      </c>
      <c r="C4620" s="14" t="s">
        <v>3621</v>
      </c>
      <c r="D4620" s="15" t="s">
        <v>3622</v>
      </c>
      <c r="E4620" s="16" t="str">
        <f>HYPERLINK("http://twitter.com/download/iphone","Twitter for iPhone")</f>
        <v>Twitter for iPhone</v>
      </c>
      <c r="F4620" s="12">
        <v>43548.513888888891</v>
      </c>
      <c r="G4620" s="17" t="s">
        <v>13000</v>
      </c>
      <c r="H4620" s="35" t="s">
        <v>3623</v>
      </c>
      <c r="I4620" s="18" t="s">
        <v>3624</v>
      </c>
    </row>
    <row r="4621" spans="1:9" s="33" customFormat="1" ht="60">
      <c r="A4621" s="12">
        <v>43570.667928240742</v>
      </c>
      <c r="B4621" s="13" t="str">
        <f>HYPERLINK("https://twitter.com/rcl97863984","@rcl97863984")</f>
        <v>@rcl97863984</v>
      </c>
      <c r="C4621" s="14" t="s">
        <v>3621</v>
      </c>
      <c r="D4621" s="15" t="s">
        <v>4007</v>
      </c>
      <c r="E4621" s="16" t="str">
        <f>HYPERLINK("http://twitter.com/download/iphone","Twitter for iPhone")</f>
        <v>Twitter for iPhone</v>
      </c>
      <c r="F4621" s="12">
        <v>43548.513888888891</v>
      </c>
      <c r="G4621" s="17" t="s">
        <v>13000</v>
      </c>
      <c r="H4621" s="35" t="s">
        <v>3623</v>
      </c>
      <c r="I4621" s="18" t="s">
        <v>3624</v>
      </c>
    </row>
    <row r="4622" spans="1:9" s="33" customFormat="1" ht="75">
      <c r="A4622" s="12">
        <v>43570.372025462959</v>
      </c>
      <c r="B4622" s="13" t="str">
        <f>HYPERLINK("https://twitter.com/rcl97863984","@rcl97863984")</f>
        <v>@rcl97863984</v>
      </c>
      <c r="C4622" s="14" t="s">
        <v>3621</v>
      </c>
      <c r="D4622" s="15" t="s">
        <v>4203</v>
      </c>
      <c r="E4622" s="16" t="str">
        <f>HYPERLINK("http://twitter.com/download/iphone","Twitter for iPhone")</f>
        <v>Twitter for iPhone</v>
      </c>
      <c r="F4622" s="12">
        <v>43548.513888888891</v>
      </c>
      <c r="G4622" s="17" t="s">
        <v>13000</v>
      </c>
      <c r="H4622" s="35" t="s">
        <v>3623</v>
      </c>
      <c r="I4622" s="18" t="s">
        <v>3624</v>
      </c>
    </row>
    <row r="4623" spans="1:9" s="33" customFormat="1" ht="75">
      <c r="A4623" s="19">
        <v>43544.563993055555</v>
      </c>
      <c r="B4623" s="20" t="str">
        <f t="shared" ref="B4623:B4630" si="182">HYPERLINK("https://twitter.com/aSuiteCollab","@aSuiteCollab")</f>
        <v>@aSuiteCollab</v>
      </c>
      <c r="C4623" s="21" t="s">
        <v>2191</v>
      </c>
      <c r="D4623" s="22" t="s">
        <v>9412</v>
      </c>
      <c r="E4623" s="23" t="str">
        <f t="shared" ref="E4623:E4630" si="183">HYPERLINK("http://www.facebook.com/twitter","Facebook")</f>
        <v>Facebook</v>
      </c>
      <c r="F4623" s="19">
        <v>41591.695405092592</v>
      </c>
      <c r="G4623" s="17" t="s">
        <v>13000</v>
      </c>
      <c r="H4623" s="35" t="s">
        <v>2193</v>
      </c>
      <c r="I4623" s="25" t="s">
        <v>2194</v>
      </c>
    </row>
    <row r="4624" spans="1:9" s="33" customFormat="1" ht="75">
      <c r="A4624" s="4">
        <v>43558.453240740739</v>
      </c>
      <c r="B4624" s="5" t="str">
        <f t="shared" si="182"/>
        <v>@aSuiteCollab</v>
      </c>
      <c r="C4624" s="6" t="s">
        <v>2191</v>
      </c>
      <c r="D4624" s="7" t="s">
        <v>12175</v>
      </c>
      <c r="E4624" s="8" t="str">
        <f t="shared" si="183"/>
        <v>Facebook</v>
      </c>
      <c r="F4624" s="4">
        <v>41591.695405092592</v>
      </c>
      <c r="G4624" s="17" t="s">
        <v>13000</v>
      </c>
      <c r="H4624" s="35" t="s">
        <v>2193</v>
      </c>
      <c r="I4624" s="10" t="s">
        <v>2194</v>
      </c>
    </row>
    <row r="4625" spans="1:9" s="33" customFormat="1" ht="75">
      <c r="A4625" s="12">
        <v>43575.494618055556</v>
      </c>
      <c r="B4625" s="13" t="str">
        <f t="shared" si="182"/>
        <v>@aSuiteCollab</v>
      </c>
      <c r="C4625" s="14" t="s">
        <v>2191</v>
      </c>
      <c r="D4625" s="15" t="s">
        <v>2192</v>
      </c>
      <c r="E4625" s="16" t="str">
        <f t="shared" si="183"/>
        <v>Facebook</v>
      </c>
      <c r="F4625" s="12">
        <v>41591.695405092592</v>
      </c>
      <c r="G4625" s="17" t="s">
        <v>13000</v>
      </c>
      <c r="H4625" s="35" t="s">
        <v>2193</v>
      </c>
      <c r="I4625" s="18" t="s">
        <v>2194</v>
      </c>
    </row>
    <row r="4626" spans="1:9" s="33" customFormat="1" ht="75">
      <c r="A4626" s="12">
        <v>43575.492673611108</v>
      </c>
      <c r="B4626" s="13" t="str">
        <f t="shared" si="182"/>
        <v>@aSuiteCollab</v>
      </c>
      <c r="C4626" s="14" t="s">
        <v>2191</v>
      </c>
      <c r="D4626" s="15" t="s">
        <v>2192</v>
      </c>
      <c r="E4626" s="16" t="str">
        <f t="shared" si="183"/>
        <v>Facebook</v>
      </c>
      <c r="F4626" s="12">
        <v>41591.695405092592</v>
      </c>
      <c r="G4626" s="17" t="s">
        <v>13000</v>
      </c>
      <c r="H4626" s="35" t="s">
        <v>2193</v>
      </c>
      <c r="I4626" s="18" t="s">
        <v>2194</v>
      </c>
    </row>
    <row r="4627" spans="1:9" s="33" customFormat="1" ht="60">
      <c r="A4627" s="12">
        <v>43572.512997685189</v>
      </c>
      <c r="B4627" s="13" t="str">
        <f t="shared" si="182"/>
        <v>@aSuiteCollab</v>
      </c>
      <c r="C4627" s="14" t="s">
        <v>2191</v>
      </c>
      <c r="D4627" s="15" t="s">
        <v>3199</v>
      </c>
      <c r="E4627" s="16" t="str">
        <f t="shared" si="183"/>
        <v>Facebook</v>
      </c>
      <c r="F4627" s="12">
        <v>41591.695405092592</v>
      </c>
      <c r="G4627" s="17" t="s">
        <v>13000</v>
      </c>
      <c r="H4627" s="35" t="s">
        <v>2193</v>
      </c>
      <c r="I4627" s="18" t="s">
        <v>2194</v>
      </c>
    </row>
    <row r="4628" spans="1:9" s="33" customFormat="1" ht="90">
      <c r="A4628" s="12">
        <v>43571.679178240738</v>
      </c>
      <c r="B4628" s="13" t="str">
        <f t="shared" si="182"/>
        <v>@aSuiteCollab</v>
      </c>
      <c r="C4628" s="14" t="s">
        <v>2191</v>
      </c>
      <c r="D4628" s="15" t="s">
        <v>3591</v>
      </c>
      <c r="E4628" s="16" t="str">
        <f t="shared" si="183"/>
        <v>Facebook</v>
      </c>
      <c r="F4628" s="12">
        <v>41591.695405092592</v>
      </c>
      <c r="G4628" s="17" t="s">
        <v>13000</v>
      </c>
      <c r="H4628" s="35" t="s">
        <v>2193</v>
      </c>
      <c r="I4628" s="18" t="s">
        <v>2194</v>
      </c>
    </row>
    <row r="4629" spans="1:9" s="33" customFormat="1" ht="90">
      <c r="A4629" s="12">
        <v>43569.553194444445</v>
      </c>
      <c r="B4629" s="13" t="str">
        <f t="shared" si="182"/>
        <v>@aSuiteCollab</v>
      </c>
      <c r="C4629" s="14" t="s">
        <v>2191</v>
      </c>
      <c r="D4629" s="15" t="s">
        <v>4486</v>
      </c>
      <c r="E4629" s="16" t="str">
        <f t="shared" si="183"/>
        <v>Facebook</v>
      </c>
      <c r="F4629" s="12">
        <v>41591.695405092592</v>
      </c>
      <c r="G4629" s="17" t="s">
        <v>13000</v>
      </c>
      <c r="H4629" s="35" t="s">
        <v>2193</v>
      </c>
      <c r="I4629" s="18" t="s">
        <v>2194</v>
      </c>
    </row>
    <row r="4630" spans="1:9" s="33" customFormat="1" ht="90">
      <c r="A4630" s="12">
        <v>43567.531319444446</v>
      </c>
      <c r="B4630" s="13" t="str">
        <f t="shared" si="182"/>
        <v>@aSuiteCollab</v>
      </c>
      <c r="C4630" s="14" t="s">
        <v>2191</v>
      </c>
      <c r="D4630" s="15" t="s">
        <v>5070</v>
      </c>
      <c r="E4630" s="16" t="str">
        <f t="shared" si="183"/>
        <v>Facebook</v>
      </c>
      <c r="F4630" s="12">
        <v>41591.695405092592</v>
      </c>
      <c r="G4630" s="17" t="s">
        <v>13000</v>
      </c>
      <c r="H4630" s="35" t="s">
        <v>2193</v>
      </c>
      <c r="I4630" s="18" t="s">
        <v>2194</v>
      </c>
    </row>
    <row r="4631" spans="1:9" s="33" customFormat="1" ht="60">
      <c r="A4631" s="19">
        <v>43545.533217592594</v>
      </c>
      <c r="B4631" s="20" t="str">
        <f>HYPERLINK("https://twitter.com/jasoncenteno","@jasoncenteno")</f>
        <v>@jasoncenteno</v>
      </c>
      <c r="C4631" s="21" t="s">
        <v>6193</v>
      </c>
      <c r="D4631" s="22" t="s">
        <v>9106</v>
      </c>
      <c r="E4631" s="23" t="str">
        <f>HYPERLINK("http://instagram.com","Instagram")</f>
        <v>Instagram</v>
      </c>
      <c r="F4631" s="19">
        <v>39624.502800925926</v>
      </c>
      <c r="G4631" s="24" t="s">
        <v>13000</v>
      </c>
      <c r="H4631" s="35" t="s">
        <v>6195</v>
      </c>
      <c r="I4631" s="25" t="s">
        <v>6196</v>
      </c>
    </row>
    <row r="4632" spans="1:9" s="33" customFormat="1" ht="60">
      <c r="A4632" s="4">
        <v>43565.296354166669</v>
      </c>
      <c r="B4632" s="5" t="str">
        <f>HYPERLINK("https://twitter.com/jasoncenteno","@jasoncenteno")</f>
        <v>@jasoncenteno</v>
      </c>
      <c r="C4632" s="6" t="s">
        <v>6193</v>
      </c>
      <c r="D4632" s="7" t="s">
        <v>6194</v>
      </c>
      <c r="E4632" s="8" t="str">
        <f>HYPERLINK("http://instagram.com","Instagram")</f>
        <v>Instagram</v>
      </c>
      <c r="F4632" s="4">
        <v>39624.502800925926</v>
      </c>
      <c r="G4632" s="24" t="s">
        <v>13000</v>
      </c>
      <c r="H4632" s="35" t="s">
        <v>6195</v>
      </c>
      <c r="I4632" s="10" t="s">
        <v>6196</v>
      </c>
    </row>
    <row r="4633" spans="1:9" s="33" customFormat="1" ht="45">
      <c r="A4633" s="4">
        <v>43564.65725694444</v>
      </c>
      <c r="B4633" s="5" t="str">
        <f>HYPERLINK("https://twitter.com/SocialSola","@SocialSola")</f>
        <v>@SocialSola</v>
      </c>
      <c r="C4633" s="6" t="s">
        <v>6471</v>
      </c>
      <c r="D4633" s="7" t="s">
        <v>6472</v>
      </c>
      <c r="E4633" s="8" t="str">
        <f>HYPERLINK("http://instagram.com","Instagram")</f>
        <v>Instagram</v>
      </c>
      <c r="F4633" s="4">
        <v>39861.468726851854</v>
      </c>
      <c r="G4633" s="24" t="s">
        <v>13000</v>
      </c>
      <c r="H4633" s="35" t="s">
        <v>6195</v>
      </c>
      <c r="I4633" s="10" t="s">
        <v>6473</v>
      </c>
    </row>
    <row r="4634" spans="1:9" s="33" customFormat="1" ht="60">
      <c r="A4634" s="4">
        <v>43559.376574074078</v>
      </c>
      <c r="B4634" s="5" t="str">
        <f>HYPERLINK("https://twitter.com/jasoncenteno","@jasoncenteno")</f>
        <v>@jasoncenteno</v>
      </c>
      <c r="C4634" s="6" t="s">
        <v>6193</v>
      </c>
      <c r="D4634" s="7" t="s">
        <v>11864</v>
      </c>
      <c r="E4634" s="8" t="str">
        <f>HYPERLINK("http://instagram.com","Instagram")</f>
        <v>Instagram</v>
      </c>
      <c r="F4634" s="4">
        <v>39624.502800925926</v>
      </c>
      <c r="G4634" s="24" t="s">
        <v>13000</v>
      </c>
      <c r="H4634" s="35" t="s">
        <v>6195</v>
      </c>
      <c r="I4634" s="10" t="s">
        <v>6196</v>
      </c>
    </row>
    <row r="4635" spans="1:9" s="33" customFormat="1" ht="45">
      <c r="A4635" s="19">
        <v>43551.479201388887</v>
      </c>
      <c r="B4635" s="20" t="str">
        <f>HYPERLINK("https://twitter.com/juliadentphoto","@juliadentphoto")</f>
        <v>@juliadentphoto</v>
      </c>
      <c r="C4635" s="21" t="s">
        <v>6002</v>
      </c>
      <c r="D4635" s="22" t="s">
        <v>6003</v>
      </c>
      <c r="E4635" s="23" t="str">
        <f>HYPERLINK("https://buffer.com","Buffer")</f>
        <v>Buffer</v>
      </c>
      <c r="F4635" s="19">
        <v>41774.424525462964</v>
      </c>
      <c r="G4635" s="24" t="s">
        <v>13000</v>
      </c>
      <c r="H4635" s="35" t="s">
        <v>1074</v>
      </c>
      <c r="I4635" s="25" t="s">
        <v>6004</v>
      </c>
    </row>
    <row r="4636" spans="1:9" s="33" customFormat="1" ht="45">
      <c r="A4636" s="19">
        <v>43550.740613425922</v>
      </c>
      <c r="B4636" s="20" t="str">
        <f>HYPERLINK("https://twitter.com/bnbantiques","@bnbantiques")</f>
        <v>@bnbantiques</v>
      </c>
      <c r="C4636" s="21" t="s">
        <v>7522</v>
      </c>
      <c r="D4636" s="22" t="s">
        <v>7523</v>
      </c>
      <c r="E4636" s="23" t="str">
        <f>HYPERLINK("http://twitter.com","Twitter Web Client")</f>
        <v>Twitter Web Client</v>
      </c>
      <c r="F4636" s="19">
        <v>40964.521435185183</v>
      </c>
      <c r="G4636" s="24" t="s">
        <v>13000</v>
      </c>
      <c r="H4636" s="35" t="s">
        <v>1074</v>
      </c>
      <c r="I4636" s="25" t="s">
        <v>7524</v>
      </c>
    </row>
    <row r="4637" spans="1:9" s="33" customFormat="1" ht="60">
      <c r="A4637" s="19">
        <v>43550.57335648148</v>
      </c>
      <c r="B4637" s="20" t="str">
        <f>HYPERLINK("https://twitter.com/TidyHost","@TidyHost")</f>
        <v>@TidyHost</v>
      </c>
      <c r="C4637" s="21" t="s">
        <v>1072</v>
      </c>
      <c r="D4637" s="22" t="s">
        <v>7610</v>
      </c>
      <c r="E4637" s="23" t="str">
        <f>HYPERLINK("http://twitter.com/download/android","Twitter for Android")</f>
        <v>Twitter for Android</v>
      </c>
      <c r="F4637" s="19">
        <v>42912.65587962963</v>
      </c>
      <c r="G4637" s="24" t="s">
        <v>13000</v>
      </c>
      <c r="H4637" s="35" t="s">
        <v>1074</v>
      </c>
      <c r="I4637" s="25" t="s">
        <v>1075</v>
      </c>
    </row>
    <row r="4638" spans="1:9" s="33" customFormat="1" ht="60">
      <c r="A4638" s="19">
        <v>43544.41710648148</v>
      </c>
      <c r="B4638" s="20" t="str">
        <f>HYPERLINK("https://twitter.com/docholly","@docholly")</f>
        <v>@docholly</v>
      </c>
      <c r="C4638" s="21" t="s">
        <v>9472</v>
      </c>
      <c r="D4638" s="22" t="s">
        <v>9473</v>
      </c>
      <c r="E4638" s="23" t="str">
        <f>HYPERLINK("http://twitter.com/download/android","Twitter for Android")</f>
        <v>Twitter for Android</v>
      </c>
      <c r="F4638" s="19">
        <v>39281.713495370372</v>
      </c>
      <c r="G4638" s="24" t="s">
        <v>13000</v>
      </c>
      <c r="H4638" s="35" t="s">
        <v>1074</v>
      </c>
      <c r="I4638" s="25" t="s">
        <v>9474</v>
      </c>
    </row>
    <row r="4639" spans="1:9" s="33" customFormat="1" ht="75">
      <c r="A4639" s="19">
        <v>43544.215555555551</v>
      </c>
      <c r="B4639" s="20" t="str">
        <f>HYPERLINK("https://twitter.com/TidyHost","@TidyHost")</f>
        <v>@TidyHost</v>
      </c>
      <c r="C4639" s="21" t="s">
        <v>1072</v>
      </c>
      <c r="D4639" s="22" t="s">
        <v>9580</v>
      </c>
      <c r="E4639" s="23" t="str">
        <f>HYPERLINK("http://twitter.com","Twitter Web Client")</f>
        <v>Twitter Web Client</v>
      </c>
      <c r="F4639" s="19">
        <v>42912.65587962963</v>
      </c>
      <c r="G4639" s="24" t="s">
        <v>13000</v>
      </c>
      <c r="H4639" s="35" t="s">
        <v>1074</v>
      </c>
      <c r="I4639" s="25" t="s">
        <v>1075</v>
      </c>
    </row>
    <row r="4640" spans="1:9" s="33" customFormat="1" ht="45">
      <c r="A4640" s="4">
        <v>43565.604178240741</v>
      </c>
      <c r="B4640" s="5" t="str">
        <f>HYPERLINK("https://twitter.com/juliadentphoto","@juliadentphoto")</f>
        <v>@juliadentphoto</v>
      </c>
      <c r="C4640" s="6" t="s">
        <v>6002</v>
      </c>
      <c r="D4640" s="7" t="s">
        <v>6003</v>
      </c>
      <c r="E4640" s="8" t="str">
        <f>HYPERLINK("https://buffer.com","Buffer")</f>
        <v>Buffer</v>
      </c>
      <c r="F4640" s="4">
        <v>41774.424525462964</v>
      </c>
      <c r="G4640" s="24" t="s">
        <v>13000</v>
      </c>
      <c r="H4640" s="35" t="s">
        <v>1074</v>
      </c>
      <c r="I4640" s="10" t="s">
        <v>6004</v>
      </c>
    </row>
    <row r="4641" spans="1:9" s="33" customFormat="1" ht="30">
      <c r="A4641" s="4">
        <v>43564.672824074078</v>
      </c>
      <c r="B4641" s="5" t="str">
        <f>HYPERLINK("https://twitter.com/TidyHost","@TidyHost")</f>
        <v>@TidyHost</v>
      </c>
      <c r="C4641" s="6" t="s">
        <v>1072</v>
      </c>
      <c r="D4641" s="7" t="s">
        <v>6457</v>
      </c>
      <c r="E4641" s="8" t="str">
        <f>HYPERLINK("http://twitter.com/download/android","Twitter for Android")</f>
        <v>Twitter for Android</v>
      </c>
      <c r="F4641" s="4">
        <v>42912.65587962963</v>
      </c>
      <c r="G4641" s="24" t="s">
        <v>13000</v>
      </c>
      <c r="H4641" s="35" t="s">
        <v>1074</v>
      </c>
      <c r="I4641" s="10" t="s">
        <v>1075</v>
      </c>
    </row>
    <row r="4642" spans="1:9" s="33" customFormat="1" ht="30">
      <c r="A4642" s="4">
        <v>43564.167222222226</v>
      </c>
      <c r="B4642" s="5" t="str">
        <f>HYPERLINK("https://twitter.com/RealtyPhilly","@RealtyPhilly")</f>
        <v>@RealtyPhilly</v>
      </c>
      <c r="C4642" s="6" t="s">
        <v>6756</v>
      </c>
      <c r="D4642" s="7" t="s">
        <v>6757</v>
      </c>
      <c r="E4642" s="8" t="str">
        <f>HYPERLINK("https://www.socialoomph.com","SocialOomph")</f>
        <v>SocialOomph</v>
      </c>
      <c r="F4642" s="4">
        <v>41958.891157407408</v>
      </c>
      <c r="G4642" s="24" t="s">
        <v>13000</v>
      </c>
      <c r="H4642" s="35" t="s">
        <v>1074</v>
      </c>
      <c r="I4642" s="10" t="s">
        <v>6758</v>
      </c>
    </row>
    <row r="4643" spans="1:9" s="33" customFormat="1" ht="45">
      <c r="A4643" s="4">
        <v>43563.322025462963</v>
      </c>
      <c r="B4643" s="5" t="str">
        <f>HYPERLINK("https://twitter.com/vancebell","@vancebell")</f>
        <v>@vancebell</v>
      </c>
      <c r="C4643" s="6" t="s">
        <v>10369</v>
      </c>
      <c r="D4643" s="7" t="s">
        <v>10370</v>
      </c>
      <c r="E4643" s="8" t="str">
        <f>HYPERLINK("https://www.hootsuite.com","Hootsuite Inc.")</f>
        <v>Hootsuite Inc.</v>
      </c>
      <c r="F4643" s="4">
        <v>39869.849097222221</v>
      </c>
      <c r="G4643" s="24" t="s">
        <v>13000</v>
      </c>
      <c r="H4643" s="35" t="s">
        <v>1074</v>
      </c>
      <c r="I4643" s="10" t="s">
        <v>10371</v>
      </c>
    </row>
    <row r="4644" spans="1:9" s="33" customFormat="1" ht="45">
      <c r="A4644" s="4">
        <v>43559.147106481483</v>
      </c>
      <c r="B4644" s="5" t="str">
        <f>HYPERLINK("https://twitter.com/TidyHost","@TidyHost")</f>
        <v>@TidyHost</v>
      </c>
      <c r="C4644" s="6" t="s">
        <v>1072</v>
      </c>
      <c r="D4644" s="7" t="s">
        <v>11934</v>
      </c>
      <c r="E4644" s="8" t="str">
        <f>HYPERLINK("http://twitter.com/download/android","Twitter for Android")</f>
        <v>Twitter for Android</v>
      </c>
      <c r="F4644" s="4">
        <v>42912.65587962963</v>
      </c>
      <c r="G4644" s="24" t="s">
        <v>13000</v>
      </c>
      <c r="H4644" s="35" t="s">
        <v>1074</v>
      </c>
      <c r="I4644" s="10" t="s">
        <v>1075</v>
      </c>
    </row>
    <row r="4645" spans="1:9" s="33" customFormat="1" ht="45">
      <c r="A4645" s="4">
        <v>43557.97934027778</v>
      </c>
      <c r="B4645" s="5" t="str">
        <f>HYPERLINK("https://twitter.com/juliadentphoto","@juliadentphoto")</f>
        <v>@juliadentphoto</v>
      </c>
      <c r="C4645" s="6" t="s">
        <v>6002</v>
      </c>
      <c r="D4645" s="7" t="s">
        <v>6003</v>
      </c>
      <c r="E4645" s="8" t="str">
        <f>HYPERLINK("https://buffer.com","Buffer")</f>
        <v>Buffer</v>
      </c>
      <c r="F4645" s="4">
        <v>41774.424525462964</v>
      </c>
      <c r="G4645" s="24" t="s">
        <v>13000</v>
      </c>
      <c r="H4645" s="35" t="s">
        <v>1074</v>
      </c>
      <c r="I4645" s="10" t="s">
        <v>6004</v>
      </c>
    </row>
    <row r="4646" spans="1:9" s="33" customFormat="1" ht="60">
      <c r="A4646" s="12">
        <v>43578.720659722225</v>
      </c>
      <c r="B4646" s="13" t="str">
        <f>HYPERLINK("https://twitter.com/TidyHost","@TidyHost")</f>
        <v>@TidyHost</v>
      </c>
      <c r="C4646" s="14" t="s">
        <v>1072</v>
      </c>
      <c r="D4646" s="15" t="s">
        <v>1073</v>
      </c>
      <c r="E4646" s="16" t="str">
        <f>HYPERLINK("http://twitter.com/download/android","Twitter for Android")</f>
        <v>Twitter for Android</v>
      </c>
      <c r="F4646" s="12">
        <v>42912.65587962963</v>
      </c>
      <c r="G4646" s="24" t="s">
        <v>13000</v>
      </c>
      <c r="H4646" s="35" t="s">
        <v>1074</v>
      </c>
      <c r="I4646" s="18" t="s">
        <v>1075</v>
      </c>
    </row>
    <row r="4647" spans="1:9" s="33" customFormat="1" ht="30">
      <c r="A4647" s="12">
        <v>43575.402997685189</v>
      </c>
      <c r="B4647" s="13" t="str">
        <f>HYPERLINK("https://twitter.com/rorstill","@rorstill")</f>
        <v>@rorstill</v>
      </c>
      <c r="C4647" s="14" t="s">
        <v>2233</v>
      </c>
      <c r="D4647" s="15" t="s">
        <v>2234</v>
      </c>
      <c r="E4647" s="16" t="str">
        <f>HYPERLINK("http://instagram.com","Instagram")</f>
        <v>Instagram</v>
      </c>
      <c r="F4647" s="12">
        <v>40062.831805555557</v>
      </c>
      <c r="G4647" s="24" t="s">
        <v>13000</v>
      </c>
      <c r="H4647" s="35" t="s">
        <v>1074</v>
      </c>
      <c r="I4647" s="18" t="s">
        <v>2235</v>
      </c>
    </row>
    <row r="4648" spans="1:9" s="33" customFormat="1" ht="45">
      <c r="A4648" s="12">
        <v>43573.655659722222</v>
      </c>
      <c r="B4648" s="13" t="str">
        <f>HYPERLINK("https://twitter.com/TidyHost","@TidyHost")</f>
        <v>@TidyHost</v>
      </c>
      <c r="C4648" s="14" t="s">
        <v>1072</v>
      </c>
      <c r="D4648" s="15" t="s">
        <v>2790</v>
      </c>
      <c r="E4648" s="16" t="str">
        <f>HYPERLINK("http://twitter.com","Twitter Web Client")</f>
        <v>Twitter Web Client</v>
      </c>
      <c r="F4648" s="12">
        <v>42912.65587962963</v>
      </c>
      <c r="G4648" s="24" t="s">
        <v>13000</v>
      </c>
      <c r="H4648" s="35" t="s">
        <v>1074</v>
      </c>
      <c r="I4648" s="18" t="s">
        <v>1075</v>
      </c>
    </row>
    <row r="4649" spans="1:9" s="33" customFormat="1" ht="60">
      <c r="A4649" s="12">
        <v>43573.368761574078</v>
      </c>
      <c r="B4649" s="13" t="str">
        <f>HYPERLINK("https://twitter.com/gmendiratta","@gmendiratta")</f>
        <v>@gmendiratta</v>
      </c>
      <c r="C4649" s="14" t="s">
        <v>2914</v>
      </c>
      <c r="D4649" s="15" t="s">
        <v>405</v>
      </c>
      <c r="E4649" s="16" t="str">
        <f>HYPERLINK("https://buffer.com","Buffer")</f>
        <v>Buffer</v>
      </c>
      <c r="F4649" s="12">
        <v>39873.403958333336</v>
      </c>
      <c r="G4649" s="24" t="s">
        <v>13000</v>
      </c>
      <c r="H4649" s="35" t="s">
        <v>1074</v>
      </c>
      <c r="I4649" s="18" t="s">
        <v>2915</v>
      </c>
    </row>
    <row r="4650" spans="1:9" s="33" customFormat="1" ht="60">
      <c r="A4650" s="12">
        <v>43569.749259259261</v>
      </c>
      <c r="B4650" s="13" t="str">
        <f>HYPERLINK("https://twitter.com/TidyHost","@TidyHost")</f>
        <v>@TidyHost</v>
      </c>
      <c r="C4650" s="14" t="s">
        <v>1072</v>
      </c>
      <c r="D4650" s="15" t="s">
        <v>4416</v>
      </c>
      <c r="E4650" s="16" t="str">
        <f>HYPERLINK("http://twitter.com/download/android","Twitter for Android")</f>
        <v>Twitter for Android</v>
      </c>
      <c r="F4650" s="12">
        <v>42912.65587962963</v>
      </c>
      <c r="G4650" s="24" t="s">
        <v>13000</v>
      </c>
      <c r="H4650" s="35" t="s">
        <v>1074</v>
      </c>
      <c r="I4650" s="18" t="s">
        <v>1075</v>
      </c>
    </row>
    <row r="4651" spans="1:9" s="33" customFormat="1" ht="195">
      <c r="A4651" s="19">
        <v>43545.272777777776</v>
      </c>
      <c r="B4651" s="20" t="str">
        <f>HYPERLINK("https://twitter.com/NochumsonPC","@NochumsonPC")</f>
        <v>@NochumsonPC</v>
      </c>
      <c r="C4651" s="21" t="s">
        <v>9218</v>
      </c>
      <c r="D4651" s="22" t="s">
        <v>9219</v>
      </c>
      <c r="E4651" s="23" t="str">
        <f>HYPERLINK("http://twitter.com","Twitter Web Client")</f>
        <v>Twitter Web Client</v>
      </c>
      <c r="F4651" s="19">
        <v>41532.232453703706</v>
      </c>
      <c r="G4651" s="24" t="s">
        <v>13000</v>
      </c>
      <c r="H4651" s="35" t="s">
        <v>9220</v>
      </c>
      <c r="I4651" s="25" t="s">
        <v>9221</v>
      </c>
    </row>
    <row r="4652" spans="1:9" s="33" customFormat="1" ht="105">
      <c r="A4652" s="19">
        <v>43548.036377314813</v>
      </c>
      <c r="B4652" s="20" t="str">
        <f>HYPERLINK("https://twitter.com/bridgesatharris","@bridgesatharris")</f>
        <v>@bridgesatharris</v>
      </c>
      <c r="C4652" s="21" t="s">
        <v>3944</v>
      </c>
      <c r="D4652" s="22" t="s">
        <v>8424</v>
      </c>
      <c r="E4652" s="23" t="str">
        <f>HYPERLINK("http://twitter.com/download/iphone","Twitter for iPhone")</f>
        <v>Twitter for iPhone</v>
      </c>
      <c r="F4652" s="19">
        <v>43466.927812499998</v>
      </c>
      <c r="G4652" s="17" t="s">
        <v>13000</v>
      </c>
      <c r="H4652" s="35" t="s">
        <v>3946</v>
      </c>
      <c r="I4652" s="25" t="s">
        <v>3947</v>
      </c>
    </row>
    <row r="4653" spans="1:9" s="33" customFormat="1" ht="120">
      <c r="A4653" s="4">
        <v>43565.58211805555</v>
      </c>
      <c r="B4653" s="5" t="str">
        <f>HYPERLINK("https://twitter.com/bridgesatharris","@bridgesatharris")</f>
        <v>@bridgesatharris</v>
      </c>
      <c r="C4653" s="6" t="s">
        <v>3944</v>
      </c>
      <c r="D4653" s="7" t="s">
        <v>6017</v>
      </c>
      <c r="E4653" s="8" t="str">
        <f>HYPERLINK("http://twitter.com/download/iphone","Twitter for iPhone")</f>
        <v>Twitter for iPhone</v>
      </c>
      <c r="F4653" s="4">
        <v>43466.927812499998</v>
      </c>
      <c r="G4653" s="17" t="s">
        <v>13000</v>
      </c>
      <c r="H4653" s="35" t="s">
        <v>3946</v>
      </c>
      <c r="I4653" s="10" t="s">
        <v>3947</v>
      </c>
    </row>
    <row r="4654" spans="1:9" s="33" customFormat="1" ht="90">
      <c r="A4654" s="12">
        <v>43570.902268518519</v>
      </c>
      <c r="B4654" s="13" t="str">
        <f>HYPERLINK("https://twitter.com/bridgesatharris","@bridgesatharris")</f>
        <v>@bridgesatharris</v>
      </c>
      <c r="C4654" s="14" t="s">
        <v>3944</v>
      </c>
      <c r="D4654" s="15" t="s">
        <v>3945</v>
      </c>
      <c r="E4654" s="16" t="str">
        <f>HYPERLINK("http://twitter.com/download/iphone","Twitter for iPhone")</f>
        <v>Twitter for iPhone</v>
      </c>
      <c r="F4654" s="12">
        <v>43466.927812499998</v>
      </c>
      <c r="G4654" s="17" t="s">
        <v>13000</v>
      </c>
      <c r="H4654" s="35" t="s">
        <v>3946</v>
      </c>
      <c r="I4654" s="18" t="s">
        <v>3947</v>
      </c>
    </row>
    <row r="4655" spans="1:9" s="33" customFormat="1" ht="105">
      <c r="A4655" s="19">
        <v>43551.380578703705</v>
      </c>
      <c r="B4655" s="20" t="str">
        <f>HYPERLINK("https://twitter.com/fixitphinney","@fixitphinney")</f>
        <v>@fixitphinney</v>
      </c>
      <c r="C4655" s="21" t="s">
        <v>7259</v>
      </c>
      <c r="D4655" s="22" t="s">
        <v>7260</v>
      </c>
      <c r="E4655" s="23" t="str">
        <f>HYPERLINK("http://twitter.com/download/iphone","Twitter for iPhone")</f>
        <v>Twitter for iPhone</v>
      </c>
      <c r="F4655" s="19">
        <v>43434.392881944441</v>
      </c>
      <c r="G4655" s="17" t="s">
        <v>13000</v>
      </c>
      <c r="H4655" s="35" t="s">
        <v>7261</v>
      </c>
      <c r="I4655" s="25" t="s">
        <v>7262</v>
      </c>
    </row>
    <row r="4656" spans="1:9" s="33" customFormat="1" ht="45">
      <c r="A4656" s="4">
        <v>43563.544108796297</v>
      </c>
      <c r="B4656" s="5" t="str">
        <f>HYPERLINK("https://twitter.com/JohninPhoenix","@JohninPhoenix")</f>
        <v>@JohninPhoenix</v>
      </c>
      <c r="C4656" s="6" t="s">
        <v>10233</v>
      </c>
      <c r="D4656" s="7" t="s">
        <v>10234</v>
      </c>
      <c r="E4656" s="8" t="str">
        <f>HYPERLINK("https://missinglettr.com","Missinglettr")</f>
        <v>Missinglettr</v>
      </c>
      <c r="F4656" s="4">
        <v>40829.469675925924</v>
      </c>
      <c r="G4656" s="17" t="s">
        <v>13000</v>
      </c>
      <c r="H4656" s="35" t="s">
        <v>10235</v>
      </c>
      <c r="I4656" s="10"/>
    </row>
    <row r="4657" spans="1:9" s="33" customFormat="1" ht="30">
      <c r="A4657" s="19">
        <v>43549.951550925922</v>
      </c>
      <c r="B4657" s="20" t="str">
        <f>HYPERLINK("https://twitter.com/foreverfreebies","@foreverfreebies")</f>
        <v>@foreverfreebies</v>
      </c>
      <c r="C4657" s="21" t="s">
        <v>1720</v>
      </c>
      <c r="D4657" s="22" t="s">
        <v>1718</v>
      </c>
      <c r="E4657" s="23" t="str">
        <f>HYPERLINK("http://twitter.com","Twitter Web Client")</f>
        <v>Twitter Web Client</v>
      </c>
      <c r="F4657" s="19">
        <v>42682.489074074074</v>
      </c>
      <c r="G4657" s="17" t="s">
        <v>13000</v>
      </c>
      <c r="H4657" s="35" t="s">
        <v>406</v>
      </c>
      <c r="I4657" s="25" t="s">
        <v>1722</v>
      </c>
    </row>
    <row r="4658" spans="1:9" s="33" customFormat="1" ht="30">
      <c r="A4658" s="19">
        <v>43548.840555555551</v>
      </c>
      <c r="B4658" s="20" t="str">
        <f>HYPERLINK("https://twitter.com/foreverfreebies","@foreverfreebies")</f>
        <v>@foreverfreebies</v>
      </c>
      <c r="C4658" s="21" t="s">
        <v>1720</v>
      </c>
      <c r="D4658" s="22" t="s">
        <v>8214</v>
      </c>
      <c r="E4658" s="23" t="str">
        <f>HYPERLINK("http://twitter.com","Twitter Web Client")</f>
        <v>Twitter Web Client</v>
      </c>
      <c r="F4658" s="19">
        <v>42682.489074074074</v>
      </c>
      <c r="G4658" s="17" t="s">
        <v>13000</v>
      </c>
      <c r="H4658" s="35" t="s">
        <v>406</v>
      </c>
      <c r="I4658" s="25" t="s">
        <v>1722</v>
      </c>
    </row>
    <row r="4659" spans="1:9" s="33" customFormat="1" ht="45">
      <c r="A4659" s="19">
        <v>43546.292025462964</v>
      </c>
      <c r="B4659" s="20" t="str">
        <f>HYPERLINK("https://twitter.com/foreverfreebies","@foreverfreebies")</f>
        <v>@foreverfreebies</v>
      </c>
      <c r="C4659" s="21" t="s">
        <v>1720</v>
      </c>
      <c r="D4659" s="22" t="s">
        <v>8917</v>
      </c>
      <c r="E4659" s="23" t="str">
        <f>HYPERLINK("http://twitter.com","Twitter Web Client")</f>
        <v>Twitter Web Client</v>
      </c>
      <c r="F4659" s="19">
        <v>42682.489074074074</v>
      </c>
      <c r="G4659" s="17" t="s">
        <v>13000</v>
      </c>
      <c r="H4659" s="35" t="s">
        <v>406</v>
      </c>
      <c r="I4659" s="25" t="s">
        <v>1722</v>
      </c>
    </row>
    <row r="4660" spans="1:9" s="33" customFormat="1" ht="45">
      <c r="A4660" s="19">
        <v>43543.680636574078</v>
      </c>
      <c r="B4660" s="20" t="str">
        <f>HYPERLINK("https://twitter.com/azatty","@azatty")</f>
        <v>@azatty</v>
      </c>
      <c r="C4660" s="21" t="s">
        <v>9706</v>
      </c>
      <c r="D4660" s="22" t="s">
        <v>9707</v>
      </c>
      <c r="E4660" s="23" t="str">
        <f>HYPERLINK("https://www.hootsuite.com","Hootsuite Inc.")</f>
        <v>Hootsuite Inc.</v>
      </c>
      <c r="F4660" s="19">
        <v>39820.496238425927</v>
      </c>
      <c r="G4660" s="17" t="s">
        <v>13000</v>
      </c>
      <c r="H4660" s="35" t="s">
        <v>406</v>
      </c>
      <c r="I4660" s="25" t="s">
        <v>9708</v>
      </c>
    </row>
    <row r="4661" spans="1:9" s="33" customFormat="1" ht="75">
      <c r="A4661" s="19">
        <v>43543.540231481486</v>
      </c>
      <c r="B4661" s="20" t="str">
        <f>HYPERLINK("https://twitter.com/EliteRvRentals1","@EliteRvRentals1")</f>
        <v>@EliteRvRentals1</v>
      </c>
      <c r="C4661" s="21" t="s">
        <v>9762</v>
      </c>
      <c r="D4661" s="22" t="s">
        <v>9763</v>
      </c>
      <c r="E4661" s="23" t="str">
        <f>HYPERLINK("http://twitter.com/download/iphone","Twitter for iPhone")</f>
        <v>Twitter for iPhone</v>
      </c>
      <c r="F4661" s="19">
        <v>43543.515127314815</v>
      </c>
      <c r="G4661" s="17" t="s">
        <v>13000</v>
      </c>
      <c r="H4661" s="35" t="s">
        <v>406</v>
      </c>
      <c r="I4661" s="25" t="s">
        <v>9764</v>
      </c>
    </row>
    <row r="4662" spans="1:9" s="33" customFormat="1" ht="165">
      <c r="A4662" s="4">
        <v>43563.753333333334</v>
      </c>
      <c r="B4662" s="5" t="str">
        <f>HYPERLINK("https://twitter.com/AnthonyKirlew","@AnthonyKirlew")</f>
        <v>@AnthonyKirlew</v>
      </c>
      <c r="C4662" s="6" t="s">
        <v>6897</v>
      </c>
      <c r="D4662" s="7" t="s">
        <v>6898</v>
      </c>
      <c r="E4662" s="8" t="str">
        <f>HYPERLINK("http://twitter.com","Twitter Web Client")</f>
        <v>Twitter Web Client</v>
      </c>
      <c r="F4662" s="4">
        <v>40546.295081018521</v>
      </c>
      <c r="G4662" s="17" t="s">
        <v>13000</v>
      </c>
      <c r="H4662" s="35" t="s">
        <v>406</v>
      </c>
      <c r="I4662" s="10" t="s">
        <v>6899</v>
      </c>
    </row>
    <row r="4663" spans="1:9" s="33" customFormat="1" ht="45">
      <c r="A4663" s="4">
        <v>43562.541956018518</v>
      </c>
      <c r="B4663" s="5" t="str">
        <f>HYPERLINK("https://twitter.com/foreverfreebies","@foreverfreebies")</f>
        <v>@foreverfreebies</v>
      </c>
      <c r="C4663" s="6" t="s">
        <v>1720</v>
      </c>
      <c r="D4663" s="7" t="s">
        <v>4814</v>
      </c>
      <c r="E4663" s="8" t="str">
        <f>HYPERLINK("http://twitter.com","Twitter Web Client")</f>
        <v>Twitter Web Client</v>
      </c>
      <c r="F4663" s="4">
        <v>42682.489074074074</v>
      </c>
      <c r="G4663" s="17" t="s">
        <v>13000</v>
      </c>
      <c r="H4663" s="35" t="s">
        <v>406</v>
      </c>
      <c r="I4663" s="10" t="s">
        <v>1722</v>
      </c>
    </row>
    <row r="4664" spans="1:9" s="33" customFormat="1" ht="105">
      <c r="A4664" s="4">
        <v>43561.36346064815</v>
      </c>
      <c r="B4664" s="5" t="str">
        <f>HYPERLINK("https://twitter.com/containerpedia","@containerpedia")</f>
        <v>@containerpedia</v>
      </c>
      <c r="C4664" s="6" t="s">
        <v>10999</v>
      </c>
      <c r="D4664" s="7" t="s">
        <v>11000</v>
      </c>
      <c r="E4664" s="8" t="str">
        <f>HYPERLINK("http://twitter.com/download/android","Twitter for Android")</f>
        <v>Twitter for Android</v>
      </c>
      <c r="F4664" s="4">
        <v>43083.782986111109</v>
      </c>
      <c r="G4664" s="17" t="s">
        <v>13000</v>
      </c>
      <c r="H4664" s="35" t="s">
        <v>406</v>
      </c>
      <c r="I4664" s="10" t="s">
        <v>11001</v>
      </c>
    </row>
    <row r="4665" spans="1:9" s="33" customFormat="1" ht="30">
      <c r="A4665" s="4">
        <v>43558.903773148151</v>
      </c>
      <c r="B4665" s="5" t="str">
        <f>HYPERLINK("https://twitter.com/foreverfreebies","@foreverfreebies")</f>
        <v>@foreverfreebies</v>
      </c>
      <c r="C4665" s="6" t="s">
        <v>1720</v>
      </c>
      <c r="D4665" s="7" t="s">
        <v>2498</v>
      </c>
      <c r="E4665" s="8" t="str">
        <f>HYPERLINK("http://twitter.com","Twitter Web Client")</f>
        <v>Twitter Web Client</v>
      </c>
      <c r="F4665" s="4">
        <v>42682.489074074074</v>
      </c>
      <c r="G4665" s="17" t="s">
        <v>13000</v>
      </c>
      <c r="H4665" s="35" t="s">
        <v>406</v>
      </c>
      <c r="I4665" s="10" t="s">
        <v>1722</v>
      </c>
    </row>
    <row r="4666" spans="1:9" s="33" customFormat="1" ht="30">
      <c r="A4666" s="4">
        <v>43558.266134259262</v>
      </c>
      <c r="B4666" s="5" t="str">
        <f>HYPERLINK("https://twitter.com/foreverfreebies","@foreverfreebies")</f>
        <v>@foreverfreebies</v>
      </c>
      <c r="C4666" s="6" t="s">
        <v>1720</v>
      </c>
      <c r="D4666" s="7" t="s">
        <v>8214</v>
      </c>
      <c r="E4666" s="8" t="str">
        <f>HYPERLINK("http://twitter.com","Twitter Web Client")</f>
        <v>Twitter Web Client</v>
      </c>
      <c r="F4666" s="4">
        <v>42682.489074074074</v>
      </c>
      <c r="G4666" s="17" t="s">
        <v>13000</v>
      </c>
      <c r="H4666" s="35" t="s">
        <v>406</v>
      </c>
      <c r="I4666" s="10" t="s">
        <v>1722</v>
      </c>
    </row>
    <row r="4667" spans="1:9" s="33" customFormat="1" ht="30">
      <c r="A4667" s="4">
        <v>43556.835775462961</v>
      </c>
      <c r="B4667" s="5" t="str">
        <f>HYPERLINK("https://twitter.com/foreverfreebies","@foreverfreebies")</f>
        <v>@foreverfreebies</v>
      </c>
      <c r="C4667" s="6" t="s">
        <v>1720</v>
      </c>
      <c r="D4667" s="7" t="s">
        <v>12729</v>
      </c>
      <c r="E4667" s="8" t="str">
        <f>HYPERLINK("http://twitter.com","Twitter Web Client")</f>
        <v>Twitter Web Client</v>
      </c>
      <c r="F4667" s="4">
        <v>42682.489074074074</v>
      </c>
      <c r="G4667" s="17" t="s">
        <v>13000</v>
      </c>
      <c r="H4667" s="35" t="s">
        <v>406</v>
      </c>
      <c r="I4667" s="10" t="s">
        <v>1722</v>
      </c>
    </row>
    <row r="4668" spans="1:9" s="33" customFormat="1" ht="60">
      <c r="A4668" s="12">
        <v>43579.896539351852</v>
      </c>
      <c r="B4668" s="13" t="str">
        <f>HYPERLINK("https://twitter.com/SociallySynced","@SociallySynced")</f>
        <v>@SociallySynced</v>
      </c>
      <c r="C4668" s="14" t="s">
        <v>404</v>
      </c>
      <c r="D4668" s="15" t="s">
        <v>405</v>
      </c>
      <c r="E4668" s="16" t="str">
        <f>HYPERLINK("https://buffer.com","Buffer")</f>
        <v>Buffer</v>
      </c>
      <c r="F4668" s="12">
        <v>42577.988553240742</v>
      </c>
      <c r="G4668" s="17" t="s">
        <v>13000</v>
      </c>
      <c r="H4668" s="35" t="s">
        <v>406</v>
      </c>
      <c r="I4668" s="18" t="s">
        <v>407</v>
      </c>
    </row>
    <row r="4669" spans="1:9" s="33" customFormat="1" ht="45">
      <c r="A4669" s="12">
        <v>43577.184108796297</v>
      </c>
      <c r="B4669" s="13" t="str">
        <f>HYPERLINK("https://twitter.com/foreverfreebies","@foreverfreebies")</f>
        <v>@foreverfreebies</v>
      </c>
      <c r="C4669" s="14" t="s">
        <v>1720</v>
      </c>
      <c r="D4669" s="15" t="s">
        <v>1721</v>
      </c>
      <c r="E4669" s="16" t="str">
        <f>HYPERLINK("http://twitter.com","Twitter Web Client")</f>
        <v>Twitter Web Client</v>
      </c>
      <c r="F4669" s="12">
        <v>42682.489074074074</v>
      </c>
      <c r="G4669" s="17" t="s">
        <v>13000</v>
      </c>
      <c r="H4669" s="35" t="s">
        <v>406</v>
      </c>
      <c r="I4669" s="18" t="s">
        <v>1722</v>
      </c>
    </row>
    <row r="4670" spans="1:9" s="33" customFormat="1" ht="30">
      <c r="A4670" s="12">
        <v>43575.465428240743</v>
      </c>
      <c r="B4670" s="13" t="str">
        <f>HYPERLINK("https://twitter.com/foreverfreebies","@foreverfreebies")</f>
        <v>@foreverfreebies</v>
      </c>
      <c r="C4670" s="14" t="s">
        <v>1720</v>
      </c>
      <c r="D4670" s="15" t="s">
        <v>2209</v>
      </c>
      <c r="E4670" s="16" t="str">
        <f>HYPERLINK("http://twitter.com","Twitter Web Client")</f>
        <v>Twitter Web Client</v>
      </c>
      <c r="F4670" s="12">
        <v>42682.489074074074</v>
      </c>
      <c r="G4670" s="17" t="s">
        <v>13000</v>
      </c>
      <c r="H4670" s="35" t="s">
        <v>406</v>
      </c>
      <c r="I4670" s="18" t="s">
        <v>1722</v>
      </c>
    </row>
    <row r="4671" spans="1:9" s="33" customFormat="1" ht="30">
      <c r="A4671" s="12">
        <v>43574.599236111113</v>
      </c>
      <c r="B4671" s="13" t="str">
        <f>HYPERLINK("https://twitter.com/foreverfreebies","@foreverfreebies")</f>
        <v>@foreverfreebies</v>
      </c>
      <c r="C4671" s="14" t="s">
        <v>1720</v>
      </c>
      <c r="D4671" s="15" t="s">
        <v>2498</v>
      </c>
      <c r="E4671" s="16" t="str">
        <f>HYPERLINK("http://twitter.com","Twitter Web Client")</f>
        <v>Twitter Web Client</v>
      </c>
      <c r="F4671" s="12">
        <v>42682.489074074074</v>
      </c>
      <c r="G4671" s="17" t="s">
        <v>13000</v>
      </c>
      <c r="H4671" s="35" t="s">
        <v>406</v>
      </c>
      <c r="I4671" s="18" t="s">
        <v>1722</v>
      </c>
    </row>
    <row r="4672" spans="1:9" s="33" customFormat="1" ht="45">
      <c r="A4672" s="12">
        <v>43572.57166666667</v>
      </c>
      <c r="B4672" s="13" t="str">
        <f>HYPERLINK("https://twitter.com/foreverfreebies","@foreverfreebies")</f>
        <v>@foreverfreebies</v>
      </c>
      <c r="C4672" s="14" t="s">
        <v>1720</v>
      </c>
      <c r="D4672" s="15" t="s">
        <v>3158</v>
      </c>
      <c r="E4672" s="16" t="str">
        <f>HYPERLINK("http://twitter.com","Twitter Web Client")</f>
        <v>Twitter Web Client</v>
      </c>
      <c r="F4672" s="12">
        <v>42682.489074074074</v>
      </c>
      <c r="G4672" s="17" t="s">
        <v>13000</v>
      </c>
      <c r="H4672" s="35" t="s">
        <v>406</v>
      </c>
      <c r="I4672" s="18" t="s">
        <v>1722</v>
      </c>
    </row>
    <row r="4673" spans="1:9" s="33" customFormat="1" ht="75">
      <c r="A4673" s="12">
        <v>43570.585416666669</v>
      </c>
      <c r="B4673" s="13" t="str">
        <f>HYPERLINK("https://twitter.com/SWlowerbuckeye","@SWlowerbuckeye")</f>
        <v>@SWlowerbuckeye</v>
      </c>
      <c r="C4673" s="14" t="s">
        <v>4046</v>
      </c>
      <c r="D4673" s="15" t="s">
        <v>4047</v>
      </c>
      <c r="E4673" s="16" t="str">
        <f>HYPERLINK("https://about.twitter.com/products/tweetdeck","TweetDeck")</f>
        <v>TweetDeck</v>
      </c>
      <c r="F4673" s="12">
        <v>41457.392638888887</v>
      </c>
      <c r="G4673" s="17" t="s">
        <v>13000</v>
      </c>
      <c r="H4673" s="35" t="s">
        <v>406</v>
      </c>
      <c r="I4673" s="18" t="s">
        <v>4048</v>
      </c>
    </row>
    <row r="4674" spans="1:9" s="33" customFormat="1" ht="45">
      <c r="A4674" s="12">
        <v>43570.281782407408</v>
      </c>
      <c r="B4674" s="13" t="str">
        <f>HYPERLINK("https://twitter.com/foreverfreebies","@foreverfreebies")</f>
        <v>@foreverfreebies</v>
      </c>
      <c r="C4674" s="14" t="s">
        <v>1720</v>
      </c>
      <c r="D4674" s="15" t="s">
        <v>4263</v>
      </c>
      <c r="E4674" s="16" t="str">
        <f>HYPERLINK("http://twitter.com","Twitter Web Client")</f>
        <v>Twitter Web Client</v>
      </c>
      <c r="F4674" s="12">
        <v>42682.489074074074</v>
      </c>
      <c r="G4674" s="17" t="s">
        <v>13000</v>
      </c>
      <c r="H4674" s="35" t="s">
        <v>406</v>
      </c>
      <c r="I4674" s="18" t="s">
        <v>1722</v>
      </c>
    </row>
    <row r="4675" spans="1:9" s="33" customFormat="1" ht="30">
      <c r="A4675" s="12">
        <v>43568.305162037039</v>
      </c>
      <c r="B4675" s="13" t="str">
        <f>HYPERLINK("https://twitter.com/foreverfreebies","@foreverfreebies")</f>
        <v>@foreverfreebies</v>
      </c>
      <c r="C4675" s="14" t="s">
        <v>1720</v>
      </c>
      <c r="D4675" s="15" t="s">
        <v>4815</v>
      </c>
      <c r="E4675" s="16" t="str">
        <f>HYPERLINK("http://twitter.com","Twitter Web Client")</f>
        <v>Twitter Web Client</v>
      </c>
      <c r="F4675" s="12">
        <v>42682.489074074074</v>
      </c>
      <c r="G4675" s="17" t="s">
        <v>13000</v>
      </c>
      <c r="H4675" s="35" t="s">
        <v>406</v>
      </c>
      <c r="I4675" s="18" t="s">
        <v>1722</v>
      </c>
    </row>
    <row r="4676" spans="1:9" s="33" customFormat="1" ht="75">
      <c r="A4676" s="12">
        <v>43566.372361111113</v>
      </c>
      <c r="B4676" s="13" t="str">
        <f>HYPERLINK("https://twitter.com/TheSocialHome","@TheSocialHome")</f>
        <v>@TheSocialHome</v>
      </c>
      <c r="C4676" s="14" t="s">
        <v>5598</v>
      </c>
      <c r="D4676" s="15" t="s">
        <v>5599</v>
      </c>
      <c r="E4676" s="16" t="str">
        <f>HYPERLINK("http://twitter.com","Twitter Web Client")</f>
        <v>Twitter Web Client</v>
      </c>
      <c r="F4676" s="12">
        <v>43515.640243055561</v>
      </c>
      <c r="G4676" s="17" t="s">
        <v>13000</v>
      </c>
      <c r="H4676" s="35" t="s">
        <v>406</v>
      </c>
      <c r="I4676" s="18" t="s">
        <v>5600</v>
      </c>
    </row>
    <row r="4677" spans="1:9" s="33" customFormat="1" ht="60">
      <c r="A4677" s="19">
        <v>43551.456250000003</v>
      </c>
      <c r="B4677" s="20" t="str">
        <f>HYPERLINK("https://twitter.com/SWglendale","@SWglendale")</f>
        <v>@SWglendale</v>
      </c>
      <c r="C4677" s="21" t="s">
        <v>2849</v>
      </c>
      <c r="D4677" s="22" t="s">
        <v>7191</v>
      </c>
      <c r="E4677" s="23" t="str">
        <f>HYPERLINK("https://about.twitter.com/products/tweetdeck","TweetDeck")</f>
        <v>TweetDeck</v>
      </c>
      <c r="F4677" s="19">
        <v>40056.515752314815</v>
      </c>
      <c r="G4677" s="17" t="s">
        <v>13000</v>
      </c>
      <c r="H4677" s="35" t="s">
        <v>7192</v>
      </c>
      <c r="I4677" s="25" t="s">
        <v>7193</v>
      </c>
    </row>
    <row r="4678" spans="1:9" s="33" customFormat="1" ht="45">
      <c r="A4678" s="19">
        <v>43549.455555555556</v>
      </c>
      <c r="B4678" s="20" t="str">
        <f>HYPERLINK("https://twitter.com/SWglendale","@SWglendale")</f>
        <v>@SWglendale</v>
      </c>
      <c r="C4678" s="21" t="s">
        <v>2849</v>
      </c>
      <c r="D4678" s="22" t="s">
        <v>8026</v>
      </c>
      <c r="E4678" s="23" t="str">
        <f>HYPERLINK("https://about.twitter.com/products/tweetdeck","TweetDeck")</f>
        <v>TweetDeck</v>
      </c>
      <c r="F4678" s="19">
        <v>40056.515752314815</v>
      </c>
      <c r="G4678" s="17" t="s">
        <v>13000</v>
      </c>
      <c r="H4678" s="35" t="s">
        <v>7192</v>
      </c>
      <c r="I4678" s="25" t="s">
        <v>7193</v>
      </c>
    </row>
    <row r="4679" spans="1:9" s="33" customFormat="1" ht="45">
      <c r="A4679" s="4">
        <v>43560.488888888889</v>
      </c>
      <c r="B4679" s="5" t="str">
        <f>HYPERLINK("https://twitter.com/SWphoenixaz","@SWphoenixaz")</f>
        <v>@SWphoenixaz</v>
      </c>
      <c r="C4679" s="6" t="s">
        <v>11331</v>
      </c>
      <c r="D4679" s="7" t="s">
        <v>11332</v>
      </c>
      <c r="E4679" s="8" t="str">
        <f>HYPERLINK("https://about.twitter.com/products/tweetdeck","TweetDeck")</f>
        <v>TweetDeck</v>
      </c>
      <c r="F4679" s="4">
        <v>40056.578564814816</v>
      </c>
      <c r="G4679" s="17" t="s">
        <v>13000</v>
      </c>
      <c r="H4679" s="35" t="s">
        <v>11333</v>
      </c>
      <c r="I4679" s="10" t="s">
        <v>11334</v>
      </c>
    </row>
    <row r="4680" spans="1:9" s="33" customFormat="1" ht="90">
      <c r="A4680" s="4">
        <v>43558.086180555554</v>
      </c>
      <c r="B4680" s="5" t="str">
        <f>HYPERLINK("https://twitter.com/kimkomando","@kimkomando")</f>
        <v>@kimkomando</v>
      </c>
      <c r="C4680" s="6" t="s">
        <v>12326</v>
      </c>
      <c r="D4680" s="7" t="s">
        <v>12327</v>
      </c>
      <c r="E4680" s="8" t="str">
        <f>HYPERLINK("https://www.libsyn.com/","Libsyn On-Publish")</f>
        <v>Libsyn On-Publish</v>
      </c>
      <c r="F4680" s="4">
        <v>39871.569537037038</v>
      </c>
      <c r="G4680" s="17" t="s">
        <v>13000</v>
      </c>
      <c r="H4680" s="35" t="s">
        <v>12328</v>
      </c>
      <c r="I4680" s="10" t="s">
        <v>12329</v>
      </c>
    </row>
    <row r="4681" spans="1:9" s="33" customFormat="1" ht="45">
      <c r="A4681" s="19">
        <v>43544.317858796298</v>
      </c>
      <c r="B4681" s="20" t="str">
        <f>HYPERLINK("https://twitter.com/JasonNark","@JasonNark")</f>
        <v>@JasonNark</v>
      </c>
      <c r="C4681" s="21" t="s">
        <v>9528</v>
      </c>
      <c r="D4681" s="22" t="s">
        <v>9529</v>
      </c>
      <c r="E4681" s="23" t="str">
        <f>HYPERLINK("http://twitter.com","Twitter Web Client")</f>
        <v>Twitter Web Client</v>
      </c>
      <c r="F4681" s="19">
        <v>39541.36273148148</v>
      </c>
      <c r="G4681" s="17" t="s">
        <v>13000</v>
      </c>
      <c r="H4681" s="35" t="s">
        <v>9530</v>
      </c>
      <c r="I4681" s="25" t="s">
        <v>9531</v>
      </c>
    </row>
    <row r="4682" spans="1:9" s="33" customFormat="1" ht="60">
      <c r="A4682" s="12">
        <v>43566.497164351851</v>
      </c>
      <c r="B4682" s="13" t="str">
        <f>HYPERLINK("https://twitter.com/BreakingBurgh","@BreakingBurgh")</f>
        <v>@BreakingBurgh</v>
      </c>
      <c r="C4682" s="14" t="s">
        <v>5480</v>
      </c>
      <c r="D4682" s="15" t="s">
        <v>5481</v>
      </c>
      <c r="E4682" s="16" t="str">
        <f>HYPERLINK("http://twitter.com","Twitter Web Client")</f>
        <v>Twitter Web Client</v>
      </c>
      <c r="F4682" s="12">
        <v>42016.588449074072</v>
      </c>
      <c r="G4682" s="17" t="s">
        <v>13000</v>
      </c>
      <c r="H4682" s="35" t="s">
        <v>5482</v>
      </c>
      <c r="I4682" s="18" t="s">
        <v>5483</v>
      </c>
    </row>
    <row r="4683" spans="1:9" s="33" customFormat="1" ht="45">
      <c r="A4683" s="4">
        <v>43559.197974537034</v>
      </c>
      <c r="B4683" s="5" t="str">
        <f>HYPERLINK("https://twitter.com/burghrent","@burghrent")</f>
        <v>@burghrent</v>
      </c>
      <c r="C4683" s="6" t="s">
        <v>11910</v>
      </c>
      <c r="D4683" s="7" t="s">
        <v>11911</v>
      </c>
      <c r="E4683" s="8" t="str">
        <f>HYPERLINK("https://buffer.com","Buffer")</f>
        <v>Buffer</v>
      </c>
      <c r="F4683" s="4">
        <v>42567.902129629627</v>
      </c>
      <c r="G4683" s="17" t="s">
        <v>13000</v>
      </c>
      <c r="H4683" s="35" t="s">
        <v>2170</v>
      </c>
      <c r="I4683" s="10" t="s">
        <v>11912</v>
      </c>
    </row>
    <row r="4684" spans="1:9" s="33" customFormat="1" ht="60">
      <c r="A4684" s="12">
        <v>43576.392384259263</v>
      </c>
      <c r="B4684" s="13" t="str">
        <f>HYPERLINK("https://twitter.com/mattlucasDOTme","@mattlucasDOTme")</f>
        <v>@mattlucasDOTme</v>
      </c>
      <c r="C4684" s="14" t="s">
        <v>1963</v>
      </c>
      <c r="D4684" s="15" t="s">
        <v>1964</v>
      </c>
      <c r="E4684" s="16" t="str">
        <f>HYPERLINK("https://coschedule.com","CoSchedule")</f>
        <v>CoSchedule</v>
      </c>
      <c r="F4684" s="12">
        <v>40686.661412037036</v>
      </c>
      <c r="G4684" s="17" t="s">
        <v>13000</v>
      </c>
      <c r="H4684" s="35" t="s">
        <v>1965</v>
      </c>
      <c r="I4684" s="18" t="s">
        <v>1966</v>
      </c>
    </row>
    <row r="4685" spans="1:9" s="33" customFormat="1" ht="90">
      <c r="A4685" s="12">
        <v>43575.535393518519</v>
      </c>
      <c r="B4685" s="13" t="str">
        <f>HYPERLINK("https://twitter.com/icantfindmarta","@icantfindmarta")</f>
        <v>@icantfindmarta</v>
      </c>
      <c r="C4685" s="14" t="s">
        <v>2168</v>
      </c>
      <c r="D4685" s="15" t="s">
        <v>2169</v>
      </c>
      <c r="E4685" s="16" t="str">
        <f>HYPERLINK("http://twitter.com/download/iphone","Twitter for iPhone")</f>
        <v>Twitter for iPhone</v>
      </c>
      <c r="F4685" s="12">
        <v>40299.849270833336</v>
      </c>
      <c r="G4685" s="17" t="s">
        <v>13000</v>
      </c>
      <c r="H4685" s="35" t="s">
        <v>2170</v>
      </c>
      <c r="I4685" s="18" t="s">
        <v>2171</v>
      </c>
    </row>
    <row r="4686" spans="1:9" s="33" customFormat="1" ht="105">
      <c r="A4686" s="12">
        <v>43574.465497685189</v>
      </c>
      <c r="B4686" s="13" t="str">
        <f>HYPERLINK("https://twitter.com/icantfindmarta","@icantfindmarta")</f>
        <v>@icantfindmarta</v>
      </c>
      <c r="C4686" s="14" t="s">
        <v>2168</v>
      </c>
      <c r="D4686" s="15" t="s">
        <v>2542</v>
      </c>
      <c r="E4686" s="16" t="str">
        <f>HYPERLINK("http://twitter.com/download/iphone","Twitter for iPhone")</f>
        <v>Twitter for iPhone</v>
      </c>
      <c r="F4686" s="12">
        <v>40299.849270833336</v>
      </c>
      <c r="G4686" s="17" t="s">
        <v>13000</v>
      </c>
      <c r="H4686" s="35" t="s">
        <v>2170</v>
      </c>
      <c r="I4686" s="18" t="s">
        <v>2171</v>
      </c>
    </row>
    <row r="4687" spans="1:9" s="33" customFormat="1" ht="60">
      <c r="A4687" s="12">
        <v>43572.42969907407</v>
      </c>
      <c r="B4687" s="13" t="str">
        <f>HYPERLINK("https://twitter.com/icantfindmarta","@icantfindmarta")</f>
        <v>@icantfindmarta</v>
      </c>
      <c r="C4687" s="14" t="s">
        <v>2168</v>
      </c>
      <c r="D4687" s="15" t="s">
        <v>3252</v>
      </c>
      <c r="E4687" s="16" t="str">
        <f>HYPERLINK("http://twitter.com/download/iphone","Twitter for iPhone")</f>
        <v>Twitter for iPhone</v>
      </c>
      <c r="F4687" s="12">
        <v>40299.849270833336</v>
      </c>
      <c r="G4687" s="17" t="s">
        <v>13000</v>
      </c>
      <c r="H4687" s="35" t="s">
        <v>2170</v>
      </c>
      <c r="I4687" s="18" t="s">
        <v>2171</v>
      </c>
    </row>
    <row r="4688" spans="1:9" s="33" customFormat="1" ht="60">
      <c r="A4688" s="12">
        <v>43570.688310185185</v>
      </c>
      <c r="B4688" s="13" t="str">
        <f>HYPERLINK("https://twitter.com/KauaiOUTSIDE","@KauaiOUTSIDE")</f>
        <v>@KauaiOUTSIDE</v>
      </c>
      <c r="C4688" s="14" t="s">
        <v>3995</v>
      </c>
      <c r="D4688" s="15" t="s">
        <v>3996</v>
      </c>
      <c r="E4688" s="16" t="str">
        <f>HYPERLINK("http://twitter.com","Twitter Web Client")</f>
        <v>Twitter Web Client</v>
      </c>
      <c r="F4688" s="12">
        <v>41954.352766203709</v>
      </c>
      <c r="G4688" s="17" t="s">
        <v>13000</v>
      </c>
      <c r="H4688" s="35" t="s">
        <v>3997</v>
      </c>
      <c r="I4688" s="18" t="s">
        <v>3998</v>
      </c>
    </row>
    <row r="4689" spans="1:9" s="33" customFormat="1" ht="90">
      <c r="A4689" s="19">
        <v>43549.562708333338</v>
      </c>
      <c r="B4689" s="20" t="str">
        <f>HYPERLINK("https://twitter.com/TradeStation","@TradeStation")</f>
        <v>@TradeStation</v>
      </c>
      <c r="C4689" s="21" t="s">
        <v>7986</v>
      </c>
      <c r="D4689" s="22" t="s">
        <v>7987</v>
      </c>
      <c r="E4689" s="23" t="str">
        <f>HYPERLINK("https://sproutsocial.com","Sprout Social")</f>
        <v>Sprout Social</v>
      </c>
      <c r="F4689" s="19">
        <v>40934.608043981483</v>
      </c>
      <c r="G4689" s="17" t="s">
        <v>13000</v>
      </c>
      <c r="H4689" s="35" t="s">
        <v>7988</v>
      </c>
      <c r="I4689" s="25" t="s">
        <v>7989</v>
      </c>
    </row>
    <row r="4690" spans="1:9" s="33" customFormat="1" ht="105">
      <c r="A4690" s="19">
        <v>43548.580370370371</v>
      </c>
      <c r="B4690" s="20" t="str">
        <f>HYPERLINK("https://twitter.com/SuitesFenicia","@SuitesFenicia")</f>
        <v>@SuitesFenicia</v>
      </c>
      <c r="C4690" s="21" t="s">
        <v>1930</v>
      </c>
      <c r="D4690" s="22" t="s">
        <v>8274</v>
      </c>
      <c r="E4690" s="23" t="str">
        <f>HYPERLINK("http://twitter.com/download/iphone","Twitter for iPhone")</f>
        <v>Twitter for iPhone</v>
      </c>
      <c r="F4690" s="19">
        <v>40979.533449074072</v>
      </c>
      <c r="G4690" s="17" t="s">
        <v>13000</v>
      </c>
      <c r="H4690" s="35" t="s">
        <v>1932</v>
      </c>
      <c r="I4690" s="25" t="s">
        <v>1933</v>
      </c>
    </row>
    <row r="4691" spans="1:9" s="33" customFormat="1" ht="120">
      <c r="A4691" s="12">
        <v>43576.474791666667</v>
      </c>
      <c r="B4691" s="13" t="str">
        <f>HYPERLINK("https://twitter.com/SuitesFenicia","@SuitesFenicia")</f>
        <v>@SuitesFenicia</v>
      </c>
      <c r="C4691" s="14" t="s">
        <v>1930</v>
      </c>
      <c r="D4691" s="15" t="s">
        <v>1931</v>
      </c>
      <c r="E4691" s="16" t="str">
        <f>HYPERLINK("http://twitter.com/download/iphone","Twitter for iPhone")</f>
        <v>Twitter for iPhone</v>
      </c>
      <c r="F4691" s="12">
        <v>40979.533449074072</v>
      </c>
      <c r="G4691" s="17" t="s">
        <v>13000</v>
      </c>
      <c r="H4691" s="35" t="s">
        <v>1932</v>
      </c>
      <c r="I4691" s="18" t="s">
        <v>1933</v>
      </c>
    </row>
    <row r="4692" spans="1:9" s="33" customFormat="1" ht="105">
      <c r="A4692" s="12">
        <v>43570.179918981477</v>
      </c>
      <c r="B4692" s="13" t="str">
        <f>HYPERLINK("https://twitter.com/SuitesFenicia","@SuitesFenicia")</f>
        <v>@SuitesFenicia</v>
      </c>
      <c r="C4692" s="14" t="s">
        <v>1930</v>
      </c>
      <c r="D4692" s="15" t="s">
        <v>4305</v>
      </c>
      <c r="E4692" s="16" t="str">
        <f>HYPERLINK("http://twitter.com/download/iphone","Twitter for iPhone")</f>
        <v>Twitter for iPhone</v>
      </c>
      <c r="F4692" s="12">
        <v>40979.533449074072</v>
      </c>
      <c r="G4692" s="17" t="s">
        <v>13000</v>
      </c>
      <c r="H4692" s="35" t="s">
        <v>1932</v>
      </c>
      <c r="I4692" s="18" t="s">
        <v>1933</v>
      </c>
    </row>
    <row r="4693" spans="1:9" s="33" customFormat="1" ht="75">
      <c r="A4693" s="19">
        <v>43542.678483796291</v>
      </c>
      <c r="B4693" s="20" t="str">
        <f>HYPERLINK("https://twitter.com/KHBorgstrom","@KHBorgstrom")</f>
        <v>@KHBorgstrom</v>
      </c>
      <c r="C4693" s="21" t="s">
        <v>10032</v>
      </c>
      <c r="D4693" s="22" t="s">
        <v>10033</v>
      </c>
      <c r="E4693" s="23" t="str">
        <f>HYPERLINK("http://instagram.com","Instagram")</f>
        <v>Instagram</v>
      </c>
      <c r="F4693" s="19">
        <v>41536.627627314811</v>
      </c>
      <c r="G4693" s="17" t="s">
        <v>13000</v>
      </c>
      <c r="H4693" s="35" t="s">
        <v>10034</v>
      </c>
      <c r="I4693" s="25" t="s">
        <v>10035</v>
      </c>
    </row>
    <row r="4694" spans="1:9" s="33" customFormat="1" ht="75">
      <c r="A4694" s="12">
        <v>43575.323749999996</v>
      </c>
      <c r="B4694" s="13" t="str">
        <f>HYPERLINK("https://twitter.com/Casita_MARyPOSA","@Casita_MARyPOSA")</f>
        <v>@Casita_MARyPOSA</v>
      </c>
      <c r="C4694" s="14" t="s">
        <v>2292</v>
      </c>
      <c r="D4694" s="15" t="s">
        <v>2293</v>
      </c>
      <c r="E4694" s="16" t="str">
        <f>HYPERLINK("http://instagram.com","Instagram")</f>
        <v>Instagram</v>
      </c>
      <c r="F4694" s="12">
        <v>40807.893333333333</v>
      </c>
      <c r="G4694" s="17" t="s">
        <v>13000</v>
      </c>
      <c r="H4694" s="35" t="s">
        <v>2294</v>
      </c>
      <c r="I4694" s="18" t="s">
        <v>2295</v>
      </c>
    </row>
    <row r="4695" spans="1:9" s="33" customFormat="1" ht="75">
      <c r="A4695" s="12">
        <v>43569.608402777776</v>
      </c>
      <c r="B4695" s="13" t="str">
        <f>HYPERLINK("https://twitter.com/Casita_MARyPOSA","@Casita_MARyPOSA")</f>
        <v>@Casita_MARyPOSA</v>
      </c>
      <c r="C4695" s="14" t="s">
        <v>2292</v>
      </c>
      <c r="D4695" s="15" t="s">
        <v>4461</v>
      </c>
      <c r="E4695" s="16" t="str">
        <f>HYPERLINK("http://instagram.com","Instagram")</f>
        <v>Instagram</v>
      </c>
      <c r="F4695" s="12">
        <v>40807.893333333333</v>
      </c>
      <c r="G4695" s="17" t="s">
        <v>13000</v>
      </c>
      <c r="H4695" s="35" t="s">
        <v>2294</v>
      </c>
      <c r="I4695" s="18" t="s">
        <v>2295</v>
      </c>
    </row>
    <row r="4696" spans="1:9" s="33" customFormat="1" ht="90">
      <c r="A4696" s="12">
        <v>43568.505972222221</v>
      </c>
      <c r="B4696" s="13" t="str">
        <f>HYPERLINK("https://twitter.com/Casita_MARyPOSA","@Casita_MARyPOSA")</f>
        <v>@Casita_MARyPOSA</v>
      </c>
      <c r="C4696" s="14" t="s">
        <v>2292</v>
      </c>
      <c r="D4696" s="15" t="s">
        <v>4724</v>
      </c>
      <c r="E4696" s="16" t="str">
        <f>HYPERLINK("http://instagram.com","Instagram")</f>
        <v>Instagram</v>
      </c>
      <c r="F4696" s="12">
        <v>40807.893333333333</v>
      </c>
      <c r="G4696" s="17" t="s">
        <v>13000</v>
      </c>
      <c r="H4696" s="35" t="s">
        <v>2294</v>
      </c>
      <c r="I4696" s="18" t="s">
        <v>2295</v>
      </c>
    </row>
    <row r="4697" spans="1:9" s="33" customFormat="1" ht="75">
      <c r="A4697" s="19">
        <v>43549.684085648143</v>
      </c>
      <c r="B4697" s="20" t="str">
        <f>HYPERLINK("https://twitter.com/LivingPocono","@LivingPocono")</f>
        <v>@LivingPocono</v>
      </c>
      <c r="C4697" s="21" t="s">
        <v>7946</v>
      </c>
      <c r="D4697" s="22" t="s">
        <v>7947</v>
      </c>
      <c r="E4697" s="23" t="str">
        <f>HYPERLINK("https://www.hootsuite.com","Hootsuite Inc.")</f>
        <v>Hootsuite Inc.</v>
      </c>
      <c r="F4697" s="19">
        <v>41992.909918981481</v>
      </c>
      <c r="G4697" s="17" t="s">
        <v>13000</v>
      </c>
      <c r="H4697" s="35" t="s">
        <v>7948</v>
      </c>
      <c r="I4697" s="25" t="s">
        <v>7949</v>
      </c>
    </row>
    <row r="4698" spans="1:9" s="33" customFormat="1" ht="90">
      <c r="A4698" s="19">
        <v>43545.251226851848</v>
      </c>
      <c r="B4698" s="20" t="str">
        <f>HYPERLINK("https://twitter.com/linchikwok","@linchikwok")</f>
        <v>@linchikwok</v>
      </c>
      <c r="C4698" s="21" t="s">
        <v>9234</v>
      </c>
      <c r="D4698" s="22" t="s">
        <v>9235</v>
      </c>
      <c r="E4698" s="23" t="str">
        <f>HYPERLINK("http://www.facebook.com/twitter","Facebook")</f>
        <v>Facebook</v>
      </c>
      <c r="F4698" s="19">
        <v>40209.502500000002</v>
      </c>
      <c r="G4698" s="17" t="s">
        <v>13000</v>
      </c>
      <c r="H4698" s="35" t="s">
        <v>9236</v>
      </c>
      <c r="I4698" s="25" t="s">
        <v>9237</v>
      </c>
    </row>
    <row r="4699" spans="1:9" s="33" customFormat="1" ht="90">
      <c r="A4699" s="4">
        <v>43558.251898148148</v>
      </c>
      <c r="B4699" s="5" t="str">
        <f>HYPERLINK("https://twitter.com/linchikwok","@linchikwok")</f>
        <v>@linchikwok</v>
      </c>
      <c r="C4699" s="6" t="s">
        <v>9234</v>
      </c>
      <c r="D4699" s="7" t="s">
        <v>12263</v>
      </c>
      <c r="E4699" s="8" t="str">
        <f>HYPERLINK("http://www.facebook.com/twitter","Facebook")</f>
        <v>Facebook</v>
      </c>
      <c r="F4699" s="4">
        <v>40209.502500000002</v>
      </c>
      <c r="G4699" s="17" t="s">
        <v>13000</v>
      </c>
      <c r="H4699" s="35" t="s">
        <v>9236</v>
      </c>
      <c r="I4699" s="10" t="s">
        <v>9237</v>
      </c>
    </row>
    <row r="4700" spans="1:9" s="33" customFormat="1" ht="60">
      <c r="A4700" s="12">
        <v>43573.862511574072</v>
      </c>
      <c r="B4700" s="13" t="str">
        <f>HYPERLINK("https://twitter.com/city_ponca","@city_ponca")</f>
        <v>@city_ponca</v>
      </c>
      <c r="C4700" s="14" t="s">
        <v>2718</v>
      </c>
      <c r="D4700" s="15" t="s">
        <v>2719</v>
      </c>
      <c r="E4700" s="16" t="str">
        <f>HYPERLINK("http://twitter.com/download/iphone","Twitter for iPhone")</f>
        <v>Twitter for iPhone</v>
      </c>
      <c r="F4700" s="12">
        <v>43573.831053240741</v>
      </c>
      <c r="G4700" s="17" t="s">
        <v>13000</v>
      </c>
      <c r="H4700" s="35" t="s">
        <v>2720</v>
      </c>
      <c r="I4700" s="18" t="s">
        <v>2721</v>
      </c>
    </row>
    <row r="4701" spans="1:9" s="33" customFormat="1" ht="105">
      <c r="A4701" s="12">
        <v>43567.729305555556</v>
      </c>
      <c r="B4701" s="13" t="str">
        <f>HYPERLINK("https://twitter.com/GreenBlaster1","@GreenBlaster1")</f>
        <v>@GreenBlaster1</v>
      </c>
      <c r="C4701" s="14" t="s">
        <v>4973</v>
      </c>
      <c r="D4701" s="15" t="s">
        <v>4974</v>
      </c>
      <c r="E4701" s="16" t="str">
        <f>HYPERLINK("https://buffer.com","Buffer")</f>
        <v>Buffer</v>
      </c>
      <c r="F4701" s="12">
        <v>43357.526377314818</v>
      </c>
      <c r="G4701" s="24" t="s">
        <v>13000</v>
      </c>
      <c r="H4701" s="35" t="s">
        <v>4975</v>
      </c>
      <c r="I4701" s="18" t="s">
        <v>4976</v>
      </c>
    </row>
    <row r="4702" spans="1:9" s="33" customFormat="1" ht="60">
      <c r="A4702" s="12">
        <v>43579.728900462964</v>
      </c>
      <c r="B4702" s="13" t="str">
        <f>HYPERLINK("https://twitter.com/PortHouseNia","@PortHouseNia")</f>
        <v>@PortHouseNia</v>
      </c>
      <c r="C4702" s="14" t="s">
        <v>480</v>
      </c>
      <c r="D4702" s="15" t="s">
        <v>481</v>
      </c>
      <c r="E4702" s="16" t="str">
        <f>HYPERLINK("http://twitter.com/download/iphone","Twitter for iPhone")</f>
        <v>Twitter for iPhone</v>
      </c>
      <c r="F4702" s="12">
        <v>42985.459236111114</v>
      </c>
      <c r="G4702" s="24" t="s">
        <v>13000</v>
      </c>
      <c r="H4702" s="35" t="s">
        <v>482</v>
      </c>
      <c r="I4702" s="18" t="s">
        <v>483</v>
      </c>
    </row>
    <row r="4703" spans="1:9" s="33" customFormat="1" ht="75">
      <c r="A4703" s="12">
        <v>43575.516863425924</v>
      </c>
      <c r="B4703" s="13" t="str">
        <f>HYPERLINK("https://twitter.com/farm_retreat","@farm_retreat")</f>
        <v>@farm_retreat</v>
      </c>
      <c r="C4703" s="14" t="s">
        <v>2174</v>
      </c>
      <c r="D4703" s="15" t="s">
        <v>2175</v>
      </c>
      <c r="E4703" s="16" t="str">
        <f>HYPERLINK("http://instagram.com","Instagram")</f>
        <v>Instagram</v>
      </c>
      <c r="F4703" s="12">
        <v>43198.644282407404</v>
      </c>
      <c r="G4703" s="24" t="s">
        <v>13000</v>
      </c>
      <c r="H4703" s="35" t="s">
        <v>2176</v>
      </c>
      <c r="I4703" s="18" t="s">
        <v>2177</v>
      </c>
    </row>
    <row r="4704" spans="1:9" s="33" customFormat="1" ht="45">
      <c r="A4704" s="12">
        <v>43572.518182870372</v>
      </c>
      <c r="B4704" s="13" t="str">
        <f>HYPERLINK("https://twitter.com/Chicago_Scanner","@Chicago_Scanner")</f>
        <v>@Chicago_Scanner</v>
      </c>
      <c r="C4704" s="14" t="s">
        <v>3191</v>
      </c>
      <c r="D4704" s="15" t="s">
        <v>3192</v>
      </c>
      <c r="E4704" s="16" t="str">
        <f>HYPERLINK("http://twitter.com/download/android","Twitter for Android")</f>
        <v>Twitter for Android</v>
      </c>
      <c r="F4704" s="12">
        <v>40980.034537037034</v>
      </c>
      <c r="G4704" s="24" t="s">
        <v>13000</v>
      </c>
      <c r="H4704" s="35" t="s">
        <v>3193</v>
      </c>
      <c r="I4704" s="18" t="s">
        <v>3194</v>
      </c>
    </row>
    <row r="4705" spans="1:9" s="33" customFormat="1" ht="45">
      <c r="A4705" s="4">
        <v>43560.36446759259</v>
      </c>
      <c r="B4705" s="5" t="str">
        <f>HYPERLINK("https://twitter.com/12MileGeo","@12MileGeo")</f>
        <v>@12MileGeo</v>
      </c>
      <c r="C4705" s="6" t="s">
        <v>11424</v>
      </c>
      <c r="D4705" s="7" t="s">
        <v>11425</v>
      </c>
      <c r="E4705" s="8" t="str">
        <f>HYPERLINK("http://twitter.com/download/android","Twitter for Android")</f>
        <v>Twitter for Android</v>
      </c>
      <c r="F4705" s="4">
        <v>41406.408333333333</v>
      </c>
      <c r="G4705" s="24" t="s">
        <v>13000</v>
      </c>
      <c r="H4705" s="35" t="s">
        <v>11426</v>
      </c>
      <c r="I4705" s="10" t="s">
        <v>11427</v>
      </c>
    </row>
    <row r="4706" spans="1:9" s="33" customFormat="1" ht="45">
      <c r="A4706" s="19">
        <v>43544.717650462961</v>
      </c>
      <c r="B4706" s="20" t="str">
        <f>HYPERLINK("https://twitter.com/HimanshuHJ","@HimanshuHJ")</f>
        <v>@HimanshuHJ</v>
      </c>
      <c r="C4706" s="21" t="s">
        <v>9366</v>
      </c>
      <c r="D4706" s="22" t="s">
        <v>9367</v>
      </c>
      <c r="E4706" s="23" t="str">
        <f>HYPERLINK("http://twitter.com/download/iphone","Twitter for iPhone")</f>
        <v>Twitter for iPhone</v>
      </c>
      <c r="F4706" s="19">
        <v>40714.499537037038</v>
      </c>
      <c r="G4706" s="24" t="s">
        <v>13000</v>
      </c>
      <c r="H4706" s="35" t="s">
        <v>4063</v>
      </c>
      <c r="I4706" s="25" t="s">
        <v>9368</v>
      </c>
    </row>
    <row r="4707" spans="1:9" s="33" customFormat="1" ht="30">
      <c r="A4707" s="4">
        <v>43564.465219907404</v>
      </c>
      <c r="B4707" s="5" t="str">
        <f>HYPERLINK("https://twitter.com/SarahBott","@SarahBott")</f>
        <v>@SarahBott</v>
      </c>
      <c r="C4707" s="6" t="s">
        <v>6591</v>
      </c>
      <c r="D4707" s="7" t="s">
        <v>6592</v>
      </c>
      <c r="E4707" s="8" t="str">
        <f>HYPERLINK("http://twitter.com/#!/download/ipad","Twitter for iPad")</f>
        <v>Twitter for iPad</v>
      </c>
      <c r="F4707" s="4">
        <v>41855.802847222221</v>
      </c>
      <c r="G4707" s="24" t="s">
        <v>13000</v>
      </c>
      <c r="H4707" s="35" t="s">
        <v>4063</v>
      </c>
      <c r="I4707" s="10" t="s">
        <v>10212</v>
      </c>
    </row>
    <row r="4708" spans="1:9" s="33" customFormat="1" ht="75">
      <c r="A4708" s="4">
        <v>43563.411597222221</v>
      </c>
      <c r="B4708" s="5" t="str">
        <f>HYPERLINK("https://twitter.com/JamieLSchultz","@JamieLSchultz")</f>
        <v>@JamieLSchultz</v>
      </c>
      <c r="C4708" s="6" t="s">
        <v>10301</v>
      </c>
      <c r="D4708" s="7" t="s">
        <v>10302</v>
      </c>
      <c r="E4708" s="8" t="str">
        <f>HYPERLINK("http://twitter.com","Twitter Web Client")</f>
        <v>Twitter Web Client</v>
      </c>
      <c r="F4708" s="4">
        <v>39882.003576388888</v>
      </c>
      <c r="G4708" s="24" t="s">
        <v>13000</v>
      </c>
      <c r="H4708" s="35" t="s">
        <v>4063</v>
      </c>
      <c r="I4708" s="10" t="s">
        <v>10303</v>
      </c>
    </row>
    <row r="4709" spans="1:9" s="33" customFormat="1" ht="105">
      <c r="A4709" s="4">
        <v>43562.182303240741</v>
      </c>
      <c r="B4709" s="5" t="str">
        <f>HYPERLINK("https://twitter.com/NmotionTravel","@NmotionTravel")</f>
        <v>@NmotionTravel</v>
      </c>
      <c r="C4709" s="6" t="s">
        <v>10732</v>
      </c>
      <c r="D4709" s="7" t="s">
        <v>10733</v>
      </c>
      <c r="E4709" s="8" t="str">
        <f>HYPERLINK("http://twitter.com/download/iphone","Twitter for iPhone")</f>
        <v>Twitter for iPhone</v>
      </c>
      <c r="F4709" s="4">
        <v>42648.495439814811</v>
      </c>
      <c r="G4709" s="24" t="s">
        <v>13000</v>
      </c>
      <c r="H4709" s="35" t="s">
        <v>4063</v>
      </c>
      <c r="I4709" s="10" t="s">
        <v>10734</v>
      </c>
    </row>
    <row r="4710" spans="1:9" s="33" customFormat="1" ht="45">
      <c r="A4710" s="12">
        <v>43570.573587962965</v>
      </c>
      <c r="B4710" s="13" t="str">
        <f>HYPERLINK("https://twitter.com/PortlandFoodAdv","@PortlandFoodAdv")</f>
        <v>@PortlandFoodAdv</v>
      </c>
      <c r="C4710" s="14" t="s">
        <v>4061</v>
      </c>
      <c r="D4710" s="15" t="s">
        <v>4062</v>
      </c>
      <c r="E4710" s="16" t="str">
        <f>HYPERLINK("http://instagram.com","Instagram")</f>
        <v>Instagram</v>
      </c>
      <c r="F4710" s="12">
        <v>40258.33053240741</v>
      </c>
      <c r="G4710" s="24" t="s">
        <v>13000</v>
      </c>
      <c r="H4710" s="35" t="s">
        <v>4063</v>
      </c>
      <c r="I4710" s="18" t="s">
        <v>4064</v>
      </c>
    </row>
    <row r="4711" spans="1:9" s="33" customFormat="1" ht="105">
      <c r="A4711" s="12">
        <v>43567.534097222218</v>
      </c>
      <c r="B4711" s="13" t="str">
        <f>HYPERLINK("https://twitter.com/DavidsonHGroup","@DavidsonHGroup")</f>
        <v>@DavidsonHGroup</v>
      </c>
      <c r="C4711" s="14" t="s">
        <v>5067</v>
      </c>
      <c r="D4711" s="15" t="s">
        <v>5068</v>
      </c>
      <c r="E4711" s="16" t="str">
        <f>HYPERLINK("http://twitter.com","Twitter Web Client")</f>
        <v>Twitter Web Client</v>
      </c>
      <c r="F4711" s="12">
        <v>42430.765034722222</v>
      </c>
      <c r="G4711" s="24" t="s">
        <v>13000</v>
      </c>
      <c r="H4711" s="35" t="s">
        <v>4063</v>
      </c>
      <c r="I4711" s="18" t="s">
        <v>5069</v>
      </c>
    </row>
    <row r="4712" spans="1:9" s="33" customFormat="1" ht="30">
      <c r="A4712" s="12">
        <v>43564.465219907404</v>
      </c>
      <c r="B4712" s="13" t="str">
        <f>HYPERLINK("https://twitter.com/SarahBott","@SarahBott")</f>
        <v>@SarahBott</v>
      </c>
      <c r="C4712" s="14" t="s">
        <v>6591</v>
      </c>
      <c r="D4712" s="15" t="s">
        <v>6592</v>
      </c>
      <c r="E4712" s="16" t="str">
        <f>HYPERLINK("http://twitter.com/#!/download/ipad","Twitter for iPad")</f>
        <v>Twitter for iPad</v>
      </c>
      <c r="F4712" s="12">
        <v>41855.802847222221</v>
      </c>
      <c r="G4712" s="24" t="s">
        <v>13000</v>
      </c>
      <c r="H4712" s="35" t="s">
        <v>4063</v>
      </c>
      <c r="I4712" s="18" t="s">
        <v>6593</v>
      </c>
    </row>
    <row r="4713" spans="1:9" s="33" customFormat="1" ht="105">
      <c r="A4713" s="12">
        <v>43567.541828703703</v>
      </c>
      <c r="B4713" s="13" t="str">
        <f>HYPERLINK("https://twitter.com/Jesssica_Rabbit","@Jesssica_Rabbit")</f>
        <v>@Jesssica_Rabbit</v>
      </c>
      <c r="C4713" s="14" t="s">
        <v>5058</v>
      </c>
      <c r="D4713" s="15" t="s">
        <v>5059</v>
      </c>
      <c r="E4713" s="16" t="str">
        <f>HYPERLINK("http://twitter.com/download/android","Twitter for Android")</f>
        <v>Twitter for Android</v>
      </c>
      <c r="F4713" s="12">
        <v>39744.814062500001</v>
      </c>
      <c r="G4713" s="24" t="s">
        <v>13000</v>
      </c>
      <c r="H4713" s="35" t="s">
        <v>5060</v>
      </c>
      <c r="I4713" s="18" t="s">
        <v>5061</v>
      </c>
    </row>
    <row r="4714" spans="1:9" s="33" customFormat="1" ht="45">
      <c r="A4714" s="19">
        <v>43550.762997685189</v>
      </c>
      <c r="B4714" s="20" t="str">
        <f>HYPERLINK("https://twitter.com/CarriBugbee","@CarriBugbee")</f>
        <v>@CarriBugbee</v>
      </c>
      <c r="C4714" s="21" t="s">
        <v>7517</v>
      </c>
      <c r="D4714" s="22" t="s">
        <v>7518</v>
      </c>
      <c r="E4714" s="23" t="str">
        <f>HYPERLINK("https://www.hootsuite.com","Hootsuite Inc.")</f>
        <v>Hootsuite Inc.</v>
      </c>
      <c r="F4714" s="19">
        <v>39497.006388888891</v>
      </c>
      <c r="G4714" s="24" t="s">
        <v>13000</v>
      </c>
      <c r="H4714" s="35" t="s">
        <v>7519</v>
      </c>
      <c r="I4714" s="25" t="s">
        <v>7520</v>
      </c>
    </row>
    <row r="4715" spans="1:9" s="33" customFormat="1" ht="45">
      <c r="A4715" s="12">
        <v>43575.362222222218</v>
      </c>
      <c r="B4715" s="13" t="str">
        <f>HYPERLINK("https://twitter.com/county_country","@county_country")</f>
        <v>@county_country</v>
      </c>
      <c r="C4715" s="14" t="s">
        <v>2257</v>
      </c>
      <c r="D4715" s="15" t="s">
        <v>2258</v>
      </c>
      <c r="E4715" s="16" t="str">
        <f>HYPERLINK("http://twitter.com/download/android","Twitter for Android")</f>
        <v>Twitter for Android</v>
      </c>
      <c r="F4715" s="12">
        <v>41524.494756944448</v>
      </c>
      <c r="G4715" s="9" t="s">
        <v>13000</v>
      </c>
      <c r="H4715" s="35" t="s">
        <v>2259</v>
      </c>
      <c r="I4715" s="18" t="s">
        <v>2260</v>
      </c>
    </row>
    <row r="4716" spans="1:9" s="33" customFormat="1" ht="90">
      <c r="A4716" s="4">
        <v>43563.506678240738</v>
      </c>
      <c r="B4716" s="5" t="str">
        <f>HYPERLINK("https://twitter.com/AssistAmerica","@AssistAmerica")</f>
        <v>@AssistAmerica</v>
      </c>
      <c r="C4716" s="6" t="s">
        <v>10255</v>
      </c>
      <c r="D4716" s="7" t="s">
        <v>10253</v>
      </c>
      <c r="E4716" s="8" t="str">
        <f>HYPERLINK("https://www.hootsuite.com","Hootsuite Inc.")</f>
        <v>Hootsuite Inc.</v>
      </c>
      <c r="F4716" s="4">
        <v>39897.467291666668</v>
      </c>
      <c r="G4716" s="9" t="s">
        <v>13000</v>
      </c>
      <c r="H4716" s="35" t="s">
        <v>10256</v>
      </c>
      <c r="I4716" s="10" t="s">
        <v>10257</v>
      </c>
    </row>
    <row r="4717" spans="1:9" s="33" customFormat="1" ht="15">
      <c r="A4717" s="12">
        <v>43579.383391203708</v>
      </c>
      <c r="B4717" s="13" t="str">
        <f>HYPERLINK("https://twitter.com/Visit_Veronika","@Visit_Veronika")</f>
        <v>@Visit_Veronika</v>
      </c>
      <c r="C4717" s="14" t="s">
        <v>705</v>
      </c>
      <c r="D4717" s="15" t="s">
        <v>706</v>
      </c>
      <c r="E4717" s="16" t="str">
        <f>HYPERLINK("http://www.facebook.com/twitter","Facebook")</f>
        <v>Facebook</v>
      </c>
      <c r="F4717" s="12">
        <v>41218.708182870367</v>
      </c>
      <c r="G4717" s="17" t="s">
        <v>13000</v>
      </c>
      <c r="H4717" s="35" t="s">
        <v>707</v>
      </c>
      <c r="I4717" s="18" t="s">
        <v>708</v>
      </c>
    </row>
    <row r="4718" spans="1:9" s="33" customFormat="1" ht="120">
      <c r="A4718" s="19">
        <v>43548.662314814814</v>
      </c>
      <c r="B4718" s="20" t="str">
        <f t="shared" ref="B4718:B4746" si="184">HYPERLINK("https://twitter.com/CasaViajeros","@CasaViajeros")</f>
        <v>@CasaViajeros</v>
      </c>
      <c r="C4718" s="21" t="s">
        <v>496</v>
      </c>
      <c r="D4718" s="22" t="s">
        <v>8253</v>
      </c>
      <c r="E4718" s="23" t="str">
        <f t="shared" ref="E4718:E4746" si="185">HYPERLINK("https://ifttt.com","IFTTT")</f>
        <v>IFTTT</v>
      </c>
      <c r="F4718" s="19">
        <v>41035.422175925924</v>
      </c>
      <c r="G4718" s="17" t="s">
        <v>13000</v>
      </c>
      <c r="H4718" s="35" t="s">
        <v>498</v>
      </c>
      <c r="I4718" s="25" t="s">
        <v>499</v>
      </c>
    </row>
    <row r="4719" spans="1:9" s="33" customFormat="1" ht="105">
      <c r="A4719" s="19">
        <v>43548.643634259264</v>
      </c>
      <c r="B4719" s="20" t="str">
        <f t="shared" si="184"/>
        <v>@CasaViajeros</v>
      </c>
      <c r="C4719" s="21" t="s">
        <v>496</v>
      </c>
      <c r="D4719" s="22" t="s">
        <v>8255</v>
      </c>
      <c r="E4719" s="23" t="str">
        <f t="shared" si="185"/>
        <v>IFTTT</v>
      </c>
      <c r="F4719" s="19">
        <v>41035.422175925924</v>
      </c>
      <c r="G4719" s="17" t="s">
        <v>13000</v>
      </c>
      <c r="H4719" s="35" t="s">
        <v>498</v>
      </c>
      <c r="I4719" s="25" t="s">
        <v>499</v>
      </c>
    </row>
    <row r="4720" spans="1:9" s="33" customFormat="1" ht="105">
      <c r="A4720" s="19">
        <v>43547.310208333336</v>
      </c>
      <c r="B4720" s="20" t="str">
        <f t="shared" si="184"/>
        <v>@CasaViajeros</v>
      </c>
      <c r="C4720" s="21" t="s">
        <v>496</v>
      </c>
      <c r="D4720" s="22" t="s">
        <v>8593</v>
      </c>
      <c r="E4720" s="23" t="str">
        <f t="shared" si="185"/>
        <v>IFTTT</v>
      </c>
      <c r="F4720" s="19">
        <v>41035.422175925924</v>
      </c>
      <c r="G4720" s="17" t="s">
        <v>13000</v>
      </c>
      <c r="H4720" s="35" t="s">
        <v>498</v>
      </c>
      <c r="I4720" s="25" t="s">
        <v>499</v>
      </c>
    </row>
    <row r="4721" spans="1:9" s="33" customFormat="1" ht="120">
      <c r="A4721" s="19">
        <v>43547.287499999999</v>
      </c>
      <c r="B4721" s="20" t="str">
        <f t="shared" si="184"/>
        <v>@CasaViajeros</v>
      </c>
      <c r="C4721" s="21" t="s">
        <v>496</v>
      </c>
      <c r="D4721" s="22" t="s">
        <v>8598</v>
      </c>
      <c r="E4721" s="23" t="str">
        <f t="shared" si="185"/>
        <v>IFTTT</v>
      </c>
      <c r="F4721" s="19">
        <v>41035.422175925924</v>
      </c>
      <c r="G4721" s="17" t="s">
        <v>13000</v>
      </c>
      <c r="H4721" s="35" t="s">
        <v>498</v>
      </c>
      <c r="I4721" s="25" t="s">
        <v>499</v>
      </c>
    </row>
    <row r="4722" spans="1:9" s="33" customFormat="1" ht="120">
      <c r="A4722" s="4">
        <v>43565.745717592596</v>
      </c>
      <c r="B4722" s="5" t="str">
        <f t="shared" si="184"/>
        <v>@CasaViajeros</v>
      </c>
      <c r="C4722" s="6" t="s">
        <v>496</v>
      </c>
      <c r="D4722" s="7" t="s">
        <v>5917</v>
      </c>
      <c r="E4722" s="8" t="str">
        <f t="shared" si="185"/>
        <v>IFTTT</v>
      </c>
      <c r="F4722" s="4">
        <v>41035.422175925924</v>
      </c>
      <c r="G4722" s="17" t="s">
        <v>13000</v>
      </c>
      <c r="H4722" s="35" t="s">
        <v>498</v>
      </c>
      <c r="I4722" s="10" t="s">
        <v>499</v>
      </c>
    </row>
    <row r="4723" spans="1:9" s="33" customFormat="1" ht="120">
      <c r="A4723" s="4">
        <v>43565.727546296301</v>
      </c>
      <c r="B4723" s="5" t="str">
        <f t="shared" si="184"/>
        <v>@CasaViajeros</v>
      </c>
      <c r="C4723" s="6" t="s">
        <v>496</v>
      </c>
      <c r="D4723" s="7" t="s">
        <v>5935</v>
      </c>
      <c r="E4723" s="8" t="str">
        <f t="shared" si="185"/>
        <v>IFTTT</v>
      </c>
      <c r="F4723" s="4">
        <v>41035.422175925924</v>
      </c>
      <c r="G4723" s="17" t="s">
        <v>13000</v>
      </c>
      <c r="H4723" s="35" t="s">
        <v>498</v>
      </c>
      <c r="I4723" s="10" t="s">
        <v>499</v>
      </c>
    </row>
    <row r="4724" spans="1:9" s="33" customFormat="1" ht="105">
      <c r="A4724" s="4">
        <v>43564.394097222219</v>
      </c>
      <c r="B4724" s="5" t="str">
        <f t="shared" si="184"/>
        <v>@CasaViajeros</v>
      </c>
      <c r="C4724" s="6" t="s">
        <v>496</v>
      </c>
      <c r="D4724" s="7" t="s">
        <v>6633</v>
      </c>
      <c r="E4724" s="8" t="str">
        <f t="shared" si="185"/>
        <v>IFTTT</v>
      </c>
      <c r="F4724" s="4">
        <v>41035.422175925924</v>
      </c>
      <c r="G4724" s="17" t="s">
        <v>13000</v>
      </c>
      <c r="H4724" s="35" t="s">
        <v>498</v>
      </c>
      <c r="I4724" s="10" t="s">
        <v>499</v>
      </c>
    </row>
    <row r="4725" spans="1:9" s="33" customFormat="1" ht="120">
      <c r="A4725" s="4">
        <v>43564.371504629627</v>
      </c>
      <c r="B4725" s="5" t="str">
        <f t="shared" si="184"/>
        <v>@CasaViajeros</v>
      </c>
      <c r="C4725" s="6" t="s">
        <v>496</v>
      </c>
      <c r="D4725" s="7" t="s">
        <v>6656</v>
      </c>
      <c r="E4725" s="8" t="str">
        <f t="shared" si="185"/>
        <v>IFTTT</v>
      </c>
      <c r="F4725" s="4">
        <v>41035.422175925924</v>
      </c>
      <c r="G4725" s="17" t="s">
        <v>13000</v>
      </c>
      <c r="H4725" s="35" t="s">
        <v>498</v>
      </c>
      <c r="I4725" s="10" t="s">
        <v>499</v>
      </c>
    </row>
    <row r="4726" spans="1:9" s="33" customFormat="1" ht="105">
      <c r="A4726" s="4">
        <v>43563.643692129626</v>
      </c>
      <c r="B4726" s="5" t="str">
        <f t="shared" si="184"/>
        <v>@CasaViajeros</v>
      </c>
      <c r="C4726" s="6" t="s">
        <v>496</v>
      </c>
      <c r="D4726" s="7" t="s">
        <v>6932</v>
      </c>
      <c r="E4726" s="8" t="str">
        <f t="shared" si="185"/>
        <v>IFTTT</v>
      </c>
      <c r="F4726" s="4">
        <v>41035.422175925924</v>
      </c>
      <c r="G4726" s="17" t="s">
        <v>13000</v>
      </c>
      <c r="H4726" s="35" t="s">
        <v>498</v>
      </c>
      <c r="I4726" s="10" t="s">
        <v>499</v>
      </c>
    </row>
    <row r="4727" spans="1:9" s="33" customFormat="1" ht="120">
      <c r="A4727" s="4">
        <v>43563.62091435185</v>
      </c>
      <c r="B4727" s="5" t="str">
        <f t="shared" si="184"/>
        <v>@CasaViajeros</v>
      </c>
      <c r="C4727" s="6" t="s">
        <v>496</v>
      </c>
      <c r="D4727" s="7" t="s">
        <v>6937</v>
      </c>
      <c r="E4727" s="8" t="str">
        <f t="shared" si="185"/>
        <v>IFTTT</v>
      </c>
      <c r="F4727" s="4">
        <v>41035.422175925924</v>
      </c>
      <c r="G4727" s="17" t="s">
        <v>13000</v>
      </c>
      <c r="H4727" s="35" t="s">
        <v>498</v>
      </c>
      <c r="I4727" s="10" t="s">
        <v>499</v>
      </c>
    </row>
    <row r="4728" spans="1:9" s="33" customFormat="1" ht="105">
      <c r="A4728" s="4">
        <v>43562.66233796296</v>
      </c>
      <c r="B4728" s="5" t="str">
        <f t="shared" si="184"/>
        <v>@CasaViajeros</v>
      </c>
      <c r="C4728" s="6" t="s">
        <v>496</v>
      </c>
      <c r="D4728" s="7" t="s">
        <v>10623</v>
      </c>
      <c r="E4728" s="8" t="str">
        <f t="shared" si="185"/>
        <v>IFTTT</v>
      </c>
      <c r="F4728" s="4">
        <v>41035.422175925924</v>
      </c>
      <c r="G4728" s="17" t="s">
        <v>13000</v>
      </c>
      <c r="H4728" s="35" t="s">
        <v>498</v>
      </c>
      <c r="I4728" s="10" t="s">
        <v>499</v>
      </c>
    </row>
    <row r="4729" spans="1:9" s="33" customFormat="1" ht="90">
      <c r="A4729" s="4">
        <v>43562.643969907411</v>
      </c>
      <c r="B4729" s="5" t="str">
        <f t="shared" si="184"/>
        <v>@CasaViajeros</v>
      </c>
      <c r="C4729" s="6" t="s">
        <v>496</v>
      </c>
      <c r="D4729" s="7" t="s">
        <v>10629</v>
      </c>
      <c r="E4729" s="8" t="str">
        <f t="shared" si="185"/>
        <v>IFTTT</v>
      </c>
      <c r="F4729" s="4">
        <v>41035.422175925924</v>
      </c>
      <c r="G4729" s="17" t="s">
        <v>13000</v>
      </c>
      <c r="H4729" s="35" t="s">
        <v>498</v>
      </c>
      <c r="I4729" s="10" t="s">
        <v>499</v>
      </c>
    </row>
    <row r="4730" spans="1:9" s="33" customFormat="1" ht="120">
      <c r="A4730" s="4">
        <v>43560.745775462958</v>
      </c>
      <c r="B4730" s="5" t="str">
        <f t="shared" si="184"/>
        <v>@CasaViajeros</v>
      </c>
      <c r="C4730" s="6" t="s">
        <v>496</v>
      </c>
      <c r="D4730" s="7" t="s">
        <v>11203</v>
      </c>
      <c r="E4730" s="8" t="str">
        <f t="shared" si="185"/>
        <v>IFTTT</v>
      </c>
      <c r="F4730" s="4">
        <v>41035.422175925924</v>
      </c>
      <c r="G4730" s="17" t="s">
        <v>13000</v>
      </c>
      <c r="H4730" s="35" t="s">
        <v>498</v>
      </c>
      <c r="I4730" s="10" t="s">
        <v>499</v>
      </c>
    </row>
    <row r="4731" spans="1:9" s="33" customFormat="1" ht="105">
      <c r="A4731" s="4">
        <v>43560.726990740739</v>
      </c>
      <c r="B4731" s="5" t="str">
        <f t="shared" si="184"/>
        <v>@CasaViajeros</v>
      </c>
      <c r="C4731" s="6" t="s">
        <v>496</v>
      </c>
      <c r="D4731" s="7" t="s">
        <v>11210</v>
      </c>
      <c r="E4731" s="8" t="str">
        <f t="shared" si="185"/>
        <v>IFTTT</v>
      </c>
      <c r="F4731" s="4">
        <v>41035.422175925924</v>
      </c>
      <c r="G4731" s="17" t="s">
        <v>13000</v>
      </c>
      <c r="H4731" s="35" t="s">
        <v>498</v>
      </c>
      <c r="I4731" s="10" t="s">
        <v>499</v>
      </c>
    </row>
    <row r="4732" spans="1:9" s="33" customFormat="1" ht="120">
      <c r="A4732" s="4">
        <v>43560.287858796291</v>
      </c>
      <c r="B4732" s="5" t="str">
        <f t="shared" si="184"/>
        <v>@CasaViajeros</v>
      </c>
      <c r="C4732" s="6" t="s">
        <v>496</v>
      </c>
      <c r="D4732" s="7" t="s">
        <v>11507</v>
      </c>
      <c r="E4732" s="8" t="str">
        <f t="shared" si="185"/>
        <v>IFTTT</v>
      </c>
      <c r="F4732" s="4">
        <v>41035.422175925924</v>
      </c>
      <c r="G4732" s="17" t="s">
        <v>13000</v>
      </c>
      <c r="H4732" s="35" t="s">
        <v>498</v>
      </c>
      <c r="I4732" s="10" t="s">
        <v>499</v>
      </c>
    </row>
    <row r="4733" spans="1:9" s="33" customFormat="1" ht="120">
      <c r="A4733" s="4">
        <v>43558.435706018514</v>
      </c>
      <c r="B4733" s="5" t="str">
        <f t="shared" si="184"/>
        <v>@CasaViajeros</v>
      </c>
      <c r="C4733" s="6" t="s">
        <v>496</v>
      </c>
      <c r="D4733" s="7" t="s">
        <v>12190</v>
      </c>
      <c r="E4733" s="8" t="str">
        <f t="shared" si="185"/>
        <v>IFTTT</v>
      </c>
      <c r="F4733" s="4">
        <v>41035.422175925924</v>
      </c>
      <c r="G4733" s="17" t="s">
        <v>13000</v>
      </c>
      <c r="H4733" s="35" t="s">
        <v>498</v>
      </c>
      <c r="I4733" s="10" t="s">
        <v>499</v>
      </c>
    </row>
    <row r="4734" spans="1:9" s="33" customFormat="1" ht="120">
      <c r="A4734" s="4">
        <v>43558.413171296299</v>
      </c>
      <c r="B4734" s="5" t="str">
        <f t="shared" si="184"/>
        <v>@CasaViajeros</v>
      </c>
      <c r="C4734" s="6" t="s">
        <v>496</v>
      </c>
      <c r="D4734" s="7" t="s">
        <v>12204</v>
      </c>
      <c r="E4734" s="8" t="str">
        <f t="shared" si="185"/>
        <v>IFTTT</v>
      </c>
      <c r="F4734" s="4">
        <v>41035.422175925924</v>
      </c>
      <c r="G4734" s="17" t="s">
        <v>13000</v>
      </c>
      <c r="H4734" s="35" t="s">
        <v>498</v>
      </c>
      <c r="I4734" s="10" t="s">
        <v>499</v>
      </c>
    </row>
    <row r="4735" spans="1:9" s="33" customFormat="1" ht="105">
      <c r="A4735" s="4">
        <v>43557.454432870371</v>
      </c>
      <c r="B4735" s="5" t="str">
        <f t="shared" si="184"/>
        <v>@CasaViajeros</v>
      </c>
      <c r="C4735" s="6" t="s">
        <v>496</v>
      </c>
      <c r="D4735" s="7" t="s">
        <v>12511</v>
      </c>
      <c r="E4735" s="8" t="str">
        <f t="shared" si="185"/>
        <v>IFTTT</v>
      </c>
      <c r="F4735" s="4">
        <v>41035.422175925924</v>
      </c>
      <c r="G4735" s="17" t="s">
        <v>13000</v>
      </c>
      <c r="H4735" s="35" t="s">
        <v>498</v>
      </c>
      <c r="I4735" s="10" t="s">
        <v>499</v>
      </c>
    </row>
    <row r="4736" spans="1:9" s="33" customFormat="1" ht="105">
      <c r="A4736" s="4">
        <v>43557.435312500005</v>
      </c>
      <c r="B4736" s="5" t="str">
        <f t="shared" si="184"/>
        <v>@CasaViajeros</v>
      </c>
      <c r="C4736" s="6" t="s">
        <v>496</v>
      </c>
      <c r="D4736" s="7" t="s">
        <v>12513</v>
      </c>
      <c r="E4736" s="8" t="str">
        <f t="shared" si="185"/>
        <v>IFTTT</v>
      </c>
      <c r="F4736" s="4">
        <v>41035.422175925924</v>
      </c>
      <c r="G4736" s="17" t="s">
        <v>13000</v>
      </c>
      <c r="H4736" s="35" t="s">
        <v>498</v>
      </c>
      <c r="I4736" s="10" t="s">
        <v>499</v>
      </c>
    </row>
    <row r="4737" spans="1:9" s="33" customFormat="1" ht="120">
      <c r="A4737" s="12">
        <v>43579.70412037037</v>
      </c>
      <c r="B4737" s="13" t="str">
        <f t="shared" si="184"/>
        <v>@CasaViajeros</v>
      </c>
      <c r="C4737" s="14" t="s">
        <v>496</v>
      </c>
      <c r="D4737" s="15" t="s">
        <v>497</v>
      </c>
      <c r="E4737" s="16" t="str">
        <f t="shared" si="185"/>
        <v>IFTTT</v>
      </c>
      <c r="F4737" s="12">
        <v>41035.422175925924</v>
      </c>
      <c r="G4737" s="17" t="s">
        <v>13000</v>
      </c>
      <c r="H4737" s="35" t="s">
        <v>498</v>
      </c>
      <c r="I4737" s="18" t="s">
        <v>499</v>
      </c>
    </row>
    <row r="4738" spans="1:9" s="33" customFormat="1" ht="105">
      <c r="A4738" s="12">
        <v>43579.685324074075</v>
      </c>
      <c r="B4738" s="13" t="str">
        <f t="shared" si="184"/>
        <v>@CasaViajeros</v>
      </c>
      <c r="C4738" s="14" t="s">
        <v>496</v>
      </c>
      <c r="D4738" s="15" t="s">
        <v>514</v>
      </c>
      <c r="E4738" s="16" t="str">
        <f t="shared" si="185"/>
        <v>IFTTT</v>
      </c>
      <c r="F4738" s="12">
        <v>41035.422175925924</v>
      </c>
      <c r="G4738" s="17" t="s">
        <v>13000</v>
      </c>
      <c r="H4738" s="35" t="s">
        <v>498</v>
      </c>
      <c r="I4738" s="18" t="s">
        <v>499</v>
      </c>
    </row>
    <row r="4739" spans="1:9" s="33" customFormat="1" ht="105">
      <c r="A4739" s="12">
        <v>43576.810381944444</v>
      </c>
      <c r="B4739" s="13" t="str">
        <f t="shared" si="184"/>
        <v>@CasaViajeros</v>
      </c>
      <c r="C4739" s="14" t="s">
        <v>496</v>
      </c>
      <c r="D4739" s="15" t="s">
        <v>1824</v>
      </c>
      <c r="E4739" s="16" t="str">
        <f t="shared" si="185"/>
        <v>IFTTT</v>
      </c>
      <c r="F4739" s="12">
        <v>41035.422175925924</v>
      </c>
      <c r="G4739" s="17" t="s">
        <v>13000</v>
      </c>
      <c r="H4739" s="35" t="s">
        <v>498</v>
      </c>
      <c r="I4739" s="18" t="s">
        <v>499</v>
      </c>
    </row>
    <row r="4740" spans="1:9" s="33" customFormat="1" ht="120">
      <c r="A4740" s="12">
        <v>43576.787314814814</v>
      </c>
      <c r="B4740" s="13" t="str">
        <f t="shared" si="184"/>
        <v>@CasaViajeros</v>
      </c>
      <c r="C4740" s="14" t="s">
        <v>496</v>
      </c>
      <c r="D4740" s="15" t="s">
        <v>1838</v>
      </c>
      <c r="E4740" s="16" t="str">
        <f t="shared" si="185"/>
        <v>IFTTT</v>
      </c>
      <c r="F4740" s="12">
        <v>41035.422175925924</v>
      </c>
      <c r="G4740" s="17" t="s">
        <v>13000</v>
      </c>
      <c r="H4740" s="35" t="s">
        <v>498</v>
      </c>
      <c r="I4740" s="18" t="s">
        <v>499</v>
      </c>
    </row>
    <row r="4741" spans="1:9" s="33" customFormat="1" ht="120">
      <c r="A4741" s="12">
        <v>43575.454062500001</v>
      </c>
      <c r="B4741" s="13" t="str">
        <f t="shared" si="184"/>
        <v>@CasaViajeros</v>
      </c>
      <c r="C4741" s="14" t="s">
        <v>496</v>
      </c>
      <c r="D4741" s="15" t="s">
        <v>2216</v>
      </c>
      <c r="E4741" s="16" t="str">
        <f t="shared" si="185"/>
        <v>IFTTT</v>
      </c>
      <c r="F4741" s="12">
        <v>41035.422175925924</v>
      </c>
      <c r="G4741" s="17" t="s">
        <v>13000</v>
      </c>
      <c r="H4741" s="35" t="s">
        <v>498</v>
      </c>
      <c r="I4741" s="18" t="s">
        <v>499</v>
      </c>
    </row>
    <row r="4742" spans="1:9" s="33" customFormat="1" ht="105">
      <c r="A4742" s="12">
        <v>43575.43550925926</v>
      </c>
      <c r="B4742" s="13" t="str">
        <f t="shared" si="184"/>
        <v>@CasaViajeros</v>
      </c>
      <c r="C4742" s="14" t="s">
        <v>496</v>
      </c>
      <c r="D4742" s="15" t="s">
        <v>2225</v>
      </c>
      <c r="E4742" s="16" t="str">
        <f t="shared" si="185"/>
        <v>IFTTT</v>
      </c>
      <c r="F4742" s="12">
        <v>41035.422175925924</v>
      </c>
      <c r="G4742" s="17" t="s">
        <v>13000</v>
      </c>
      <c r="H4742" s="35" t="s">
        <v>498</v>
      </c>
      <c r="I4742" s="18" t="s">
        <v>499</v>
      </c>
    </row>
    <row r="4743" spans="1:9" s="33" customFormat="1" ht="120">
      <c r="A4743" s="12">
        <v>43572.371238425927</v>
      </c>
      <c r="B4743" s="13" t="str">
        <f t="shared" si="184"/>
        <v>@CasaViajeros</v>
      </c>
      <c r="C4743" s="14" t="s">
        <v>496</v>
      </c>
      <c r="D4743" s="15" t="s">
        <v>3292</v>
      </c>
      <c r="E4743" s="16" t="str">
        <f t="shared" si="185"/>
        <v>IFTTT</v>
      </c>
      <c r="F4743" s="12">
        <v>41035.422175925924</v>
      </c>
      <c r="G4743" s="17" t="s">
        <v>13000</v>
      </c>
      <c r="H4743" s="35" t="s">
        <v>498</v>
      </c>
      <c r="I4743" s="18" t="s">
        <v>499</v>
      </c>
    </row>
    <row r="4744" spans="1:9" s="33" customFormat="1" ht="105">
      <c r="A4744" s="12">
        <v>43572.352384259255</v>
      </c>
      <c r="B4744" s="13" t="str">
        <f t="shared" si="184"/>
        <v>@CasaViajeros</v>
      </c>
      <c r="C4744" s="14" t="s">
        <v>496</v>
      </c>
      <c r="D4744" s="15" t="s">
        <v>3305</v>
      </c>
      <c r="E4744" s="16" t="str">
        <f t="shared" si="185"/>
        <v>IFTTT</v>
      </c>
      <c r="F4744" s="12">
        <v>41035.422175925924</v>
      </c>
      <c r="G4744" s="17" t="s">
        <v>13000</v>
      </c>
      <c r="H4744" s="35" t="s">
        <v>498</v>
      </c>
      <c r="I4744" s="18" t="s">
        <v>499</v>
      </c>
    </row>
    <row r="4745" spans="1:9" s="33" customFormat="1" ht="105">
      <c r="A4745" s="12">
        <v>43570.477013888885</v>
      </c>
      <c r="B4745" s="13" t="str">
        <f t="shared" si="184"/>
        <v>@CasaViajeros</v>
      </c>
      <c r="C4745" s="14" t="s">
        <v>496</v>
      </c>
      <c r="D4745" s="15" t="s">
        <v>4124</v>
      </c>
      <c r="E4745" s="16" t="str">
        <f t="shared" si="185"/>
        <v>IFTTT</v>
      </c>
      <c r="F4745" s="12">
        <v>41035.422175925924</v>
      </c>
      <c r="G4745" s="17" t="s">
        <v>13000</v>
      </c>
      <c r="H4745" s="35" t="s">
        <v>498</v>
      </c>
      <c r="I4745" s="18" t="s">
        <v>499</v>
      </c>
    </row>
    <row r="4746" spans="1:9" s="33" customFormat="1" ht="120">
      <c r="A4746" s="12">
        <v>43570.454039351855</v>
      </c>
      <c r="B4746" s="13" t="str">
        <f t="shared" si="184"/>
        <v>@CasaViajeros</v>
      </c>
      <c r="C4746" s="14" t="s">
        <v>496</v>
      </c>
      <c r="D4746" s="15" t="s">
        <v>4142</v>
      </c>
      <c r="E4746" s="16" t="str">
        <f t="shared" si="185"/>
        <v>IFTTT</v>
      </c>
      <c r="F4746" s="12">
        <v>41035.422175925924</v>
      </c>
      <c r="G4746" s="17" t="s">
        <v>13000</v>
      </c>
      <c r="H4746" s="35" t="s">
        <v>498</v>
      </c>
      <c r="I4746" s="18" t="s">
        <v>499</v>
      </c>
    </row>
    <row r="4747" spans="1:9" s="33" customFormat="1" ht="45">
      <c r="A4747" s="12">
        <v>43567.496458333335</v>
      </c>
      <c r="B4747" s="13" t="str">
        <f>HYPERLINK("https://twitter.com/therealdhagen","@therealdhagen")</f>
        <v>@therealdhagen</v>
      </c>
      <c r="C4747" s="14" t="s">
        <v>5086</v>
      </c>
      <c r="D4747" s="15" t="s">
        <v>5087</v>
      </c>
      <c r="E4747" s="16" t="str">
        <f>HYPERLINK("http://twitter.com/download/iphone","Twitter for iPhone")</f>
        <v>Twitter for iPhone</v>
      </c>
      <c r="F4747" s="12">
        <v>42757.753414351857</v>
      </c>
      <c r="G4747" s="17" t="s">
        <v>13000</v>
      </c>
      <c r="H4747" s="35" t="s">
        <v>5088</v>
      </c>
      <c r="I4747" s="18" t="s">
        <v>5089</v>
      </c>
    </row>
    <row r="4748" spans="1:9" s="33" customFormat="1" ht="75">
      <c r="A4748" s="19">
        <v>43544.325983796298</v>
      </c>
      <c r="B4748" s="20" t="str">
        <f>HYPERLINK("https://twitter.com/fer7480","@fer7480")</f>
        <v>@fer7480</v>
      </c>
      <c r="C4748" s="21" t="s">
        <v>5592</v>
      </c>
      <c r="D4748" s="22" t="s">
        <v>9524</v>
      </c>
      <c r="E4748" s="23" t="str">
        <f>HYPERLINK("http://twitter.com/download/iphone","Twitter for iPhone")</f>
        <v>Twitter for iPhone</v>
      </c>
      <c r="F4748" s="19">
        <v>40071.700115740743</v>
      </c>
      <c r="G4748" s="17" t="s">
        <v>13000</v>
      </c>
      <c r="H4748" s="35" t="s">
        <v>870</v>
      </c>
      <c r="I4748" s="25" t="s">
        <v>5594</v>
      </c>
    </row>
    <row r="4749" spans="1:9" s="33" customFormat="1" ht="75">
      <c r="A4749" s="19">
        <v>43543.274201388893</v>
      </c>
      <c r="B4749" s="20" t="str">
        <f>HYPERLINK("https://twitter.com/Fresno_Famous","@Fresno_Famous")</f>
        <v>@Fresno_Famous</v>
      </c>
      <c r="C4749" s="21" t="s">
        <v>9876</v>
      </c>
      <c r="D4749" s="22" t="s">
        <v>9877</v>
      </c>
      <c r="E4749" s="23" t="str">
        <f>HYPERLINK("http://twitter.com","Twitter Web Client")</f>
        <v>Twitter Web Client</v>
      </c>
      <c r="F4749" s="19">
        <v>39892.95716435185</v>
      </c>
      <c r="G4749" s="17" t="s">
        <v>13000</v>
      </c>
      <c r="H4749" s="35" t="s">
        <v>870</v>
      </c>
      <c r="I4749" s="25" t="s">
        <v>9878</v>
      </c>
    </row>
    <row r="4750" spans="1:9" s="33" customFormat="1" ht="75">
      <c r="A4750" s="19">
        <v>43543.273483796293</v>
      </c>
      <c r="B4750" s="20" t="str">
        <f>HYPERLINK("https://twitter.com/Fresno_Famous","@Fresno_Famous")</f>
        <v>@Fresno_Famous</v>
      </c>
      <c r="C4750" s="21" t="s">
        <v>9876</v>
      </c>
      <c r="D4750" s="22" t="s">
        <v>9879</v>
      </c>
      <c r="E4750" s="23" t="str">
        <f>HYPERLINK("http://twitter.com","Twitter Web Client")</f>
        <v>Twitter Web Client</v>
      </c>
      <c r="F4750" s="19">
        <v>39892.95716435185</v>
      </c>
      <c r="G4750" s="17" t="s">
        <v>13000</v>
      </c>
      <c r="H4750" s="35" t="s">
        <v>870</v>
      </c>
      <c r="I4750" s="25" t="s">
        <v>9878</v>
      </c>
    </row>
    <row r="4751" spans="1:9" s="33" customFormat="1" ht="45">
      <c r="A4751" s="12">
        <v>43579.190289351856</v>
      </c>
      <c r="B4751" s="13" t="str">
        <f>HYPERLINK("https://twitter.com/thelagoonhouse","@thelagoonhouse")</f>
        <v>@thelagoonhouse</v>
      </c>
      <c r="C4751" s="14" t="s">
        <v>868</v>
      </c>
      <c r="D4751" s="15" t="s">
        <v>869</v>
      </c>
      <c r="E4751" s="16" t="str">
        <f>HYPERLINK("https://buffer.com","Buffer")</f>
        <v>Buffer</v>
      </c>
      <c r="F4751" s="12">
        <v>42770.686898148153</v>
      </c>
      <c r="G4751" s="17" t="s">
        <v>13000</v>
      </c>
      <c r="H4751" s="35" t="s">
        <v>870</v>
      </c>
      <c r="I4751" s="18" t="s">
        <v>871</v>
      </c>
    </row>
    <row r="4752" spans="1:9" s="33" customFormat="1" ht="45">
      <c r="A4752" s="12">
        <v>43577.190289351856</v>
      </c>
      <c r="B4752" s="13" t="str">
        <f>HYPERLINK("https://twitter.com/thelagoonhouse","@thelagoonhouse")</f>
        <v>@thelagoonhouse</v>
      </c>
      <c r="C4752" s="14" t="s">
        <v>868</v>
      </c>
      <c r="D4752" s="15" t="s">
        <v>1711</v>
      </c>
      <c r="E4752" s="16" t="str">
        <f>HYPERLINK("https://buffer.com","Buffer")</f>
        <v>Buffer</v>
      </c>
      <c r="F4752" s="12">
        <v>42770.686898148153</v>
      </c>
      <c r="G4752" s="17" t="s">
        <v>13000</v>
      </c>
      <c r="H4752" s="35" t="s">
        <v>870</v>
      </c>
      <c r="I4752" s="18" t="s">
        <v>871</v>
      </c>
    </row>
    <row r="4753" spans="1:9" s="33" customFormat="1" ht="45">
      <c r="A4753" s="12">
        <v>43573.613900462966</v>
      </c>
      <c r="B4753" s="13" t="str">
        <f>HYPERLINK("https://twitter.com/thelagoonhouse","@thelagoonhouse")</f>
        <v>@thelagoonhouse</v>
      </c>
      <c r="C4753" s="14" t="s">
        <v>868</v>
      </c>
      <c r="D4753" s="15" t="s">
        <v>1711</v>
      </c>
      <c r="E4753" s="16" t="str">
        <f>HYPERLINK("https://buffer.com","Buffer")</f>
        <v>Buffer</v>
      </c>
      <c r="F4753" s="12">
        <v>42770.686898148153</v>
      </c>
      <c r="G4753" s="17" t="s">
        <v>13000</v>
      </c>
      <c r="H4753" s="35" t="s">
        <v>870</v>
      </c>
      <c r="I4753" s="18" t="s">
        <v>871</v>
      </c>
    </row>
    <row r="4754" spans="1:9" s="33" customFormat="1" ht="90">
      <c r="A4754" s="12">
        <v>43566.3753587963</v>
      </c>
      <c r="B4754" s="13" t="str">
        <f>HYPERLINK("https://twitter.com/fer7480","@fer7480")</f>
        <v>@fer7480</v>
      </c>
      <c r="C4754" s="14" t="s">
        <v>5592</v>
      </c>
      <c r="D4754" s="15" t="s">
        <v>5593</v>
      </c>
      <c r="E4754" s="16" t="str">
        <f>HYPERLINK("http://twitter.com/download/iphone","Twitter for iPhone")</f>
        <v>Twitter for iPhone</v>
      </c>
      <c r="F4754" s="12">
        <v>40071.700115740743</v>
      </c>
      <c r="G4754" s="17" t="s">
        <v>13000</v>
      </c>
      <c r="H4754" s="35" t="s">
        <v>870</v>
      </c>
      <c r="I4754" s="18" t="s">
        <v>5594</v>
      </c>
    </row>
    <row r="4755" spans="1:9" s="33" customFormat="1" ht="75">
      <c r="A4755" s="19">
        <v>43551.506423611107</v>
      </c>
      <c r="B4755" s="20" t="str">
        <f>HYPERLINK("https://twitter.com/VallartaStays","@VallartaStays")</f>
        <v>@VallartaStays</v>
      </c>
      <c r="C4755" s="21" t="s">
        <v>7145</v>
      </c>
      <c r="D4755" s="22" t="s">
        <v>7146</v>
      </c>
      <c r="E4755" s="23" t="str">
        <f>HYPERLINK("http://twitter.com","Twitter Web Client")</f>
        <v>Twitter Web Client</v>
      </c>
      <c r="F4755" s="19">
        <v>42496.728263888886</v>
      </c>
      <c r="G4755" s="17" t="s">
        <v>13000</v>
      </c>
      <c r="H4755" s="35" t="s">
        <v>5535</v>
      </c>
      <c r="I4755" s="25" t="s">
        <v>7147</v>
      </c>
    </row>
    <row r="4756" spans="1:9" s="33" customFormat="1" ht="90">
      <c r="A4756" s="19">
        <v>43551.425821759258</v>
      </c>
      <c r="B4756" s="20" t="str">
        <f>HYPERLINK("https://twitter.com/VallartaStays","@VallartaStays")</f>
        <v>@VallartaStays</v>
      </c>
      <c r="C4756" s="21" t="s">
        <v>7145</v>
      </c>
      <c r="D4756" s="22" t="s">
        <v>7204</v>
      </c>
      <c r="E4756" s="23" t="str">
        <f>HYPERLINK("http://twitter.com","Twitter Web Client")</f>
        <v>Twitter Web Client</v>
      </c>
      <c r="F4756" s="19">
        <v>42496.728263888886</v>
      </c>
      <c r="G4756" s="17" t="s">
        <v>13000</v>
      </c>
      <c r="H4756" s="35" t="s">
        <v>5535</v>
      </c>
      <c r="I4756" s="25" t="s">
        <v>7147</v>
      </c>
    </row>
    <row r="4757" spans="1:9" s="33" customFormat="1" ht="105">
      <c r="A4757" s="19">
        <v>43550.929444444446</v>
      </c>
      <c r="B4757" s="20" t="str">
        <f>HYPERLINK("https://twitter.com/VallartaStays","@VallartaStays")</f>
        <v>@VallartaStays</v>
      </c>
      <c r="C4757" s="21" t="s">
        <v>7145</v>
      </c>
      <c r="D4757" s="22" t="s">
        <v>7469</v>
      </c>
      <c r="E4757" s="23" t="str">
        <f>HYPERLINK("http://twitter.com","Twitter Web Client")</f>
        <v>Twitter Web Client</v>
      </c>
      <c r="F4757" s="19">
        <v>42496.728263888886</v>
      </c>
      <c r="G4757" s="17" t="s">
        <v>13000</v>
      </c>
      <c r="H4757" s="35" t="s">
        <v>5535</v>
      </c>
      <c r="I4757" s="25" t="s">
        <v>7147</v>
      </c>
    </row>
    <row r="4758" spans="1:9" s="33" customFormat="1" ht="120">
      <c r="A4758" s="19">
        <v>43550.439444444448</v>
      </c>
      <c r="B4758" s="20" t="str">
        <f>HYPERLINK("https://twitter.com/alila_pv","@alila_pv")</f>
        <v>@alila_pv</v>
      </c>
      <c r="C4758" s="21" t="s">
        <v>7662</v>
      </c>
      <c r="D4758" s="22" t="s">
        <v>7663</v>
      </c>
      <c r="E4758" s="23" t="str">
        <f>HYPERLINK("http://twitter.com","Twitter Web Client")</f>
        <v>Twitter Web Client</v>
      </c>
      <c r="F4758" s="19">
        <v>42769.368043981478</v>
      </c>
      <c r="G4758" s="17" t="s">
        <v>13000</v>
      </c>
      <c r="H4758" s="35" t="s">
        <v>5535</v>
      </c>
      <c r="I4758" s="25" t="s">
        <v>7664</v>
      </c>
    </row>
    <row r="4759" spans="1:9" s="33" customFormat="1" ht="120">
      <c r="A4759" s="19">
        <v>43549.65797453704</v>
      </c>
      <c r="B4759" s="20" t="str">
        <f>HYPERLINK("https://twitter.com/VallartaStays","@VallartaStays")</f>
        <v>@VallartaStays</v>
      </c>
      <c r="C4759" s="21" t="s">
        <v>7145</v>
      </c>
      <c r="D4759" s="22" t="s">
        <v>7956</v>
      </c>
      <c r="E4759" s="23" t="str">
        <f>HYPERLINK("http://twitter.com","Twitter Web Client")</f>
        <v>Twitter Web Client</v>
      </c>
      <c r="F4759" s="19">
        <v>42496.728263888886</v>
      </c>
      <c r="G4759" s="17" t="s">
        <v>13000</v>
      </c>
      <c r="H4759" s="35" t="s">
        <v>5535</v>
      </c>
      <c r="I4759" s="25" t="s">
        <v>7147</v>
      </c>
    </row>
    <row r="4760" spans="1:9" s="33" customFormat="1" ht="105">
      <c r="A4760" s="19">
        <v>43549.548773148148</v>
      </c>
      <c r="B4760" s="20" t="str">
        <f>HYPERLINK("https://twitter.com/VallartaStays","@VallartaStays")</f>
        <v>@VallartaStays</v>
      </c>
      <c r="C4760" s="21" t="s">
        <v>7145</v>
      </c>
      <c r="D4760" s="22" t="s">
        <v>7990</v>
      </c>
      <c r="E4760" s="23" t="str">
        <f>HYPERLINK("http://twitter.com/download/iphone","Twitter for iPhone")</f>
        <v>Twitter for iPhone</v>
      </c>
      <c r="F4760" s="19">
        <v>42496.728263888886</v>
      </c>
      <c r="G4760" s="17" t="s">
        <v>13000</v>
      </c>
      <c r="H4760" s="35" t="s">
        <v>5535</v>
      </c>
      <c r="I4760" s="25" t="s">
        <v>7147</v>
      </c>
    </row>
    <row r="4761" spans="1:9" s="33" customFormat="1" ht="90">
      <c r="A4761" s="19">
        <v>43546.520567129628</v>
      </c>
      <c r="B4761" s="20" t="str">
        <f>HYPERLINK("https://twitter.com/VallartaStays","@VallartaStays")</f>
        <v>@VallartaStays</v>
      </c>
      <c r="C4761" s="21" t="s">
        <v>7145</v>
      </c>
      <c r="D4761" s="22" t="s">
        <v>8816</v>
      </c>
      <c r="E4761" s="23" t="str">
        <f>HYPERLINK("http://twitter.com","Twitter Web Client")</f>
        <v>Twitter Web Client</v>
      </c>
      <c r="F4761" s="19">
        <v>42496.728263888886</v>
      </c>
      <c r="G4761" s="17" t="s">
        <v>13000</v>
      </c>
      <c r="H4761" s="35" t="s">
        <v>5535</v>
      </c>
      <c r="I4761" s="25" t="s">
        <v>7147</v>
      </c>
    </row>
    <row r="4762" spans="1:9" s="33" customFormat="1" ht="120">
      <c r="A4762" s="19">
        <v>43546.33657407407</v>
      </c>
      <c r="B4762" s="20" t="str">
        <f>HYPERLINK("https://twitter.com/VallartaStays","@VallartaStays")</f>
        <v>@VallartaStays</v>
      </c>
      <c r="C4762" s="21" t="s">
        <v>7145</v>
      </c>
      <c r="D4762" s="22" t="s">
        <v>8906</v>
      </c>
      <c r="E4762" s="23" t="str">
        <f>HYPERLINK("http://twitter.com","Twitter Web Client")</f>
        <v>Twitter Web Client</v>
      </c>
      <c r="F4762" s="19">
        <v>42496.728263888886</v>
      </c>
      <c r="G4762" s="17" t="s">
        <v>13000</v>
      </c>
      <c r="H4762" s="35" t="s">
        <v>5535</v>
      </c>
      <c r="I4762" s="25" t="s">
        <v>7147</v>
      </c>
    </row>
    <row r="4763" spans="1:9" s="33" customFormat="1" ht="120">
      <c r="A4763" s="19">
        <v>43543.520856481482</v>
      </c>
      <c r="B4763" s="20" t="str">
        <f>HYPERLINK("https://twitter.com/VallartaStays","@VallartaStays")</f>
        <v>@VallartaStays</v>
      </c>
      <c r="C4763" s="21" t="s">
        <v>7145</v>
      </c>
      <c r="D4763" s="22" t="s">
        <v>9775</v>
      </c>
      <c r="E4763" s="23" t="str">
        <f>HYPERLINK("http://twitter.com/download/iphone","Twitter for iPhone")</f>
        <v>Twitter for iPhone</v>
      </c>
      <c r="F4763" s="19">
        <v>42496.728263888886</v>
      </c>
      <c r="G4763" s="17" t="s">
        <v>13000</v>
      </c>
      <c r="H4763" s="35" t="s">
        <v>5535</v>
      </c>
      <c r="I4763" s="25" t="s">
        <v>7147</v>
      </c>
    </row>
    <row r="4764" spans="1:9" s="33" customFormat="1" ht="75">
      <c r="A4764" s="12">
        <v>43566.435150462959</v>
      </c>
      <c r="B4764" s="13" t="str">
        <f>HYPERLINK("https://twitter.com/LeadingConcierg","@LeadingConcierg")</f>
        <v>@LeadingConcierg</v>
      </c>
      <c r="C4764" s="14" t="s">
        <v>5533</v>
      </c>
      <c r="D4764" s="15" t="s">
        <v>5534</v>
      </c>
      <c r="E4764" s="16" t="str">
        <f>HYPERLINK("http://twitter.com/download/iphone","Twitter for iPhone")</f>
        <v>Twitter for iPhone</v>
      </c>
      <c r="F4764" s="12">
        <v>42273.843310185184</v>
      </c>
      <c r="G4764" s="17" t="s">
        <v>13000</v>
      </c>
      <c r="H4764" s="35" t="s">
        <v>5535</v>
      </c>
      <c r="I4764" s="18" t="s">
        <v>5536</v>
      </c>
    </row>
    <row r="4765" spans="1:9" s="33" customFormat="1" ht="75">
      <c r="A4765" s="19">
        <v>43551.666134259256</v>
      </c>
      <c r="B4765" s="20" t="str">
        <f>HYPERLINK("https://twitter.com/murakamiwood","@murakamiwood")</f>
        <v>@murakamiwood</v>
      </c>
      <c r="C4765" s="21" t="s">
        <v>7060</v>
      </c>
      <c r="D4765" s="22" t="s">
        <v>7061</v>
      </c>
      <c r="E4765" s="23" t="str">
        <f>HYPERLINK("http://twitter.com","Twitter Web Client")</f>
        <v>Twitter Web Client</v>
      </c>
      <c r="F4765" s="19">
        <v>41476.715150462966</v>
      </c>
      <c r="G4765" s="17" t="s">
        <v>13000</v>
      </c>
      <c r="H4765" s="35" t="s">
        <v>7062</v>
      </c>
      <c r="I4765" s="25" t="s">
        <v>7063</v>
      </c>
    </row>
    <row r="4766" spans="1:9" s="33" customFormat="1" ht="75">
      <c r="A4766" s="12">
        <v>43571.712337962963</v>
      </c>
      <c r="B4766" s="13" t="str">
        <f>HYPERLINK("https://twitter.com/thekevinwang","@thekevinwang")</f>
        <v>@thekevinwang</v>
      </c>
      <c r="C4766" s="14" t="s">
        <v>3580</v>
      </c>
      <c r="D4766" s="15" t="s">
        <v>3581</v>
      </c>
      <c r="E4766" s="16" t="str">
        <f>HYPERLINK("http://twitter.com","Twitter Web Client")</f>
        <v>Twitter Web Client</v>
      </c>
      <c r="F4766" s="12">
        <v>40090.845034722224</v>
      </c>
      <c r="G4766" s="17" t="s">
        <v>13000</v>
      </c>
      <c r="H4766" s="35" t="s">
        <v>3582</v>
      </c>
      <c r="I4766" s="18" t="s">
        <v>3583</v>
      </c>
    </row>
    <row r="4767" spans="1:9" s="33" customFormat="1" ht="180">
      <c r="A4767" s="19">
        <v>43550.383379629631</v>
      </c>
      <c r="B4767" s="20" t="str">
        <f>HYPERLINK("https://twitter.com/TimSmit38591643","@TimSmit38591643")</f>
        <v>@TimSmit38591643</v>
      </c>
      <c r="C4767" s="21" t="s">
        <v>7693</v>
      </c>
      <c r="D4767" s="22" t="s">
        <v>7694</v>
      </c>
      <c r="E4767" s="23" t="str">
        <f>HYPERLINK("http://twitter.com","Twitter Web Client")</f>
        <v>Twitter Web Client</v>
      </c>
      <c r="F4767" s="19">
        <v>43495.311689814815</v>
      </c>
      <c r="G4767" s="24" t="s">
        <v>13000</v>
      </c>
      <c r="H4767" s="35" t="s">
        <v>7695</v>
      </c>
      <c r="I4767" s="25" t="s">
        <v>7696</v>
      </c>
    </row>
    <row r="4768" spans="1:9" s="33" customFormat="1" ht="30">
      <c r="A4768" s="4">
        <v>43564.59884259259</v>
      </c>
      <c r="B4768" s="5" t="str">
        <f>HYPERLINK("https://twitter.com/yychawksacademy","@yychawksacademy")</f>
        <v>@yychawksacademy</v>
      </c>
      <c r="C4768" s="6" t="s">
        <v>6519</v>
      </c>
      <c r="D4768" s="7" t="s">
        <v>6520</v>
      </c>
      <c r="E4768" s="8" t="str">
        <f>HYPERLINK("http://twitter.com/download/android","Twitter for Android")</f>
        <v>Twitter for Android</v>
      </c>
      <c r="F4768" s="4">
        <v>42855.043240740742</v>
      </c>
      <c r="G4768" s="17" t="s">
        <v>13000</v>
      </c>
      <c r="H4768" s="35" t="s">
        <v>6521</v>
      </c>
      <c r="I4768" s="10" t="s">
        <v>6522</v>
      </c>
    </row>
    <row r="4769" spans="1:9" s="33" customFormat="1" ht="30">
      <c r="A4769" s="4">
        <v>43561.742488425924</v>
      </c>
      <c r="B4769" s="5" t="str">
        <f>HYPERLINK("https://twitter.com/Jaycee_McC","@Jaycee_McC")</f>
        <v>@Jaycee_McC</v>
      </c>
      <c r="C4769" s="6" t="s">
        <v>10845</v>
      </c>
      <c r="D4769" s="7" t="s">
        <v>10846</v>
      </c>
      <c r="E4769" s="8" t="str">
        <f>HYPERLINK("http://twitter.com/download/iphone","Twitter for iPhone")</f>
        <v>Twitter for iPhone</v>
      </c>
      <c r="F4769" s="4">
        <v>40012.302465277782</v>
      </c>
      <c r="G4769" s="17" t="s">
        <v>13000</v>
      </c>
      <c r="H4769" s="35" t="s">
        <v>10847</v>
      </c>
      <c r="I4769" s="10" t="s">
        <v>10848</v>
      </c>
    </row>
    <row r="4770" spans="1:9" s="33" customFormat="1" ht="45">
      <c r="A4770" s="19">
        <v>43551.468055555553</v>
      </c>
      <c r="B4770" s="20" t="str">
        <f>HYPERLINK("https://twitter.com/GCFLearnFree","@GCFLearnFree")</f>
        <v>@GCFLearnFree</v>
      </c>
      <c r="C4770" s="21" t="s">
        <v>7177</v>
      </c>
      <c r="D4770" s="22" t="s">
        <v>7178</v>
      </c>
      <c r="E4770" s="23" t="str">
        <f>HYPERLINK("https://about.twitter.com/products/tweetdeck","TweetDeck")</f>
        <v>TweetDeck</v>
      </c>
      <c r="F4770" s="19">
        <v>39638.435624999998</v>
      </c>
      <c r="G4770" s="17" t="s">
        <v>13000</v>
      </c>
      <c r="H4770" s="35" t="s">
        <v>1893</v>
      </c>
      <c r="I4770" s="25" t="s">
        <v>7179</v>
      </c>
    </row>
    <row r="4771" spans="1:9" s="33" customFormat="1" ht="165">
      <c r="A4771" s="19">
        <v>43551.418634259258</v>
      </c>
      <c r="B4771" s="20" t="str">
        <f>HYPERLINK("https://twitter.com/OlenIII","@OlenIII")</f>
        <v>@OlenIII</v>
      </c>
      <c r="C4771" s="21" t="s">
        <v>7209</v>
      </c>
      <c r="D4771" s="22" t="s">
        <v>7210</v>
      </c>
      <c r="E4771" s="23" t="str">
        <f>HYPERLINK("http://twitter.com/download/android","Twitter for Android")</f>
        <v>Twitter for Android</v>
      </c>
      <c r="F4771" s="19">
        <v>41281.398888888885</v>
      </c>
      <c r="G4771" s="17" t="s">
        <v>13000</v>
      </c>
      <c r="H4771" s="35" t="s">
        <v>1893</v>
      </c>
      <c r="I4771" s="25" t="s">
        <v>7211</v>
      </c>
    </row>
    <row r="4772" spans="1:9" s="33" customFormat="1" ht="165">
      <c r="A4772" s="4">
        <v>43564.780405092592</v>
      </c>
      <c r="B4772" s="5" t="str">
        <f>HYPERLINK("https://twitter.com/CreateGreatArt","@CreateGreatArt")</f>
        <v>@CreateGreatArt</v>
      </c>
      <c r="C4772" s="6" t="s">
        <v>6410</v>
      </c>
      <c r="D4772" s="7" t="s">
        <v>6411</v>
      </c>
      <c r="E4772" s="8" t="str">
        <f>HYPERLINK("http://twitter.com/download/iphone","Twitter for iPhone")</f>
        <v>Twitter for iPhone</v>
      </c>
      <c r="F4772" s="4">
        <v>40189.695636574077</v>
      </c>
      <c r="G4772" s="17" t="s">
        <v>13000</v>
      </c>
      <c r="H4772" s="35" t="s">
        <v>1893</v>
      </c>
      <c r="I4772" s="10" t="s">
        <v>6412</v>
      </c>
    </row>
    <row r="4773" spans="1:9" s="33" customFormat="1" ht="45">
      <c r="A4773" s="4">
        <v>43560.441458333335</v>
      </c>
      <c r="B4773" s="5" t="str">
        <f>HYPERLINK("https://twitter.com/Adam12Sweathog","@Adam12Sweathog")</f>
        <v>@Adam12Sweathog</v>
      </c>
      <c r="C4773" s="6" t="s">
        <v>11369</v>
      </c>
      <c r="D4773" s="7" t="s">
        <v>11370</v>
      </c>
      <c r="E4773" s="8" t="str">
        <f>HYPERLINK("http://twitter.com/download/iphone","Twitter for iPhone")</f>
        <v>Twitter for iPhone</v>
      </c>
      <c r="F4773" s="4">
        <v>39908.822453703702</v>
      </c>
      <c r="G4773" s="17" t="s">
        <v>13000</v>
      </c>
      <c r="H4773" s="35" t="s">
        <v>1893</v>
      </c>
      <c r="I4773" s="10" t="s">
        <v>11371</v>
      </c>
    </row>
    <row r="4774" spans="1:9" s="33" customFormat="1" ht="60">
      <c r="A4774" s="12">
        <v>43576.618055555555</v>
      </c>
      <c r="B4774" s="13" t="str">
        <f>HYPERLINK("https://twitter.com/Allen_Coin","@Allen_Coin")</f>
        <v>@Allen_Coin</v>
      </c>
      <c r="C4774" s="14" t="s">
        <v>1892</v>
      </c>
      <c r="D4774" s="15" t="s">
        <v>405</v>
      </c>
      <c r="E4774" s="16" t="str">
        <f>HYPERLINK("https://buffer.com","Buffer")</f>
        <v>Buffer</v>
      </c>
      <c r="F4774" s="12">
        <v>43436.379027777773</v>
      </c>
      <c r="G4774" s="17" t="s">
        <v>13000</v>
      </c>
      <c r="H4774" s="35" t="s">
        <v>1893</v>
      </c>
      <c r="I4774" s="18" t="s">
        <v>1894</v>
      </c>
    </row>
    <row r="4775" spans="1:9" s="33" customFormat="1" ht="60">
      <c r="A4775" s="19">
        <v>43549.572222222225</v>
      </c>
      <c r="B4775" s="20" t="str">
        <f>HYPERLINK("https://twitter.com/SWrancho","@SWrancho")</f>
        <v>@SWrancho</v>
      </c>
      <c r="C4775" s="21" t="s">
        <v>7981</v>
      </c>
      <c r="D4775" s="22" t="s">
        <v>7982</v>
      </c>
      <c r="E4775" s="23" t="str">
        <f>HYPERLINK("https://about.twitter.com/products/tweetdeck","TweetDeck")</f>
        <v>TweetDeck</v>
      </c>
      <c r="F4775" s="19">
        <v>40051.679108796292</v>
      </c>
      <c r="G4775" s="17" t="s">
        <v>13000</v>
      </c>
      <c r="H4775" s="35" t="s">
        <v>7983</v>
      </c>
      <c r="I4775" s="25" t="s">
        <v>7984</v>
      </c>
    </row>
    <row r="4776" spans="1:9" s="33" customFormat="1" ht="75">
      <c r="A4776" s="19">
        <v>43548.572222222225</v>
      </c>
      <c r="B4776" s="20" t="str">
        <f>HYPERLINK("https://twitter.com/SWrancho","@SWrancho")</f>
        <v>@SWrancho</v>
      </c>
      <c r="C4776" s="21" t="s">
        <v>7981</v>
      </c>
      <c r="D4776" s="22" t="s">
        <v>8275</v>
      </c>
      <c r="E4776" s="23" t="str">
        <f>HYPERLINK("https://about.twitter.com/products/tweetdeck","TweetDeck")</f>
        <v>TweetDeck</v>
      </c>
      <c r="F4776" s="19">
        <v>40051.679108796292</v>
      </c>
      <c r="G4776" s="17" t="s">
        <v>13000</v>
      </c>
      <c r="H4776" s="35" t="s">
        <v>7983</v>
      </c>
      <c r="I4776" s="25" t="s">
        <v>7984</v>
      </c>
    </row>
    <row r="4777" spans="1:9" s="33" customFormat="1" ht="120">
      <c r="A4777" s="12">
        <v>43576.310902777783</v>
      </c>
      <c r="B4777" s="13" t="str">
        <f>HYPERLINK("https://twitter.com/SoldByCarolyne","@SoldByCarolyne")</f>
        <v>@SoldByCarolyne</v>
      </c>
      <c r="C4777" s="14" t="s">
        <v>2001</v>
      </c>
      <c r="D4777" s="15" t="s">
        <v>2002</v>
      </c>
      <c r="E4777" s="16" t="str">
        <f>HYPERLINK("http://twitter.com/download/iphone","Twitter for iPhone")</f>
        <v>Twitter for iPhone</v>
      </c>
      <c r="F4777" s="12">
        <v>40613.711712962962</v>
      </c>
      <c r="G4777" s="17" t="s">
        <v>13000</v>
      </c>
      <c r="H4777" s="35" t="s">
        <v>2003</v>
      </c>
      <c r="I4777" s="18" t="s">
        <v>2004</v>
      </c>
    </row>
    <row r="4778" spans="1:9" s="33" customFormat="1" ht="60">
      <c r="A4778" s="12">
        <v>43572.531944444447</v>
      </c>
      <c r="B4778" s="13" t="str">
        <f>HYPERLINK("https://twitter.com/swcucamonga","@swcucamonga")</f>
        <v>@swcucamonga</v>
      </c>
      <c r="C4778" s="14" t="s">
        <v>3185</v>
      </c>
      <c r="D4778" s="15" t="s">
        <v>3186</v>
      </c>
      <c r="E4778" s="16" t="str">
        <f>HYPERLINK("https://about.twitter.com/products/tweetdeck","TweetDeck")</f>
        <v>TweetDeck</v>
      </c>
      <c r="F4778" s="12">
        <v>40068.71199074074</v>
      </c>
      <c r="G4778" s="17" t="s">
        <v>13000</v>
      </c>
      <c r="H4778" s="35" t="s">
        <v>3187</v>
      </c>
      <c r="I4778" s="18" t="s">
        <v>3188</v>
      </c>
    </row>
    <row r="4779" spans="1:9" s="33" customFormat="1" ht="75">
      <c r="A4779" s="12">
        <v>43570.53125</v>
      </c>
      <c r="B4779" s="13" t="str">
        <f>HYPERLINK("https://twitter.com/swcucamonga","@swcucamonga")</f>
        <v>@swcucamonga</v>
      </c>
      <c r="C4779" s="14" t="s">
        <v>3185</v>
      </c>
      <c r="D4779" s="15" t="s">
        <v>4086</v>
      </c>
      <c r="E4779" s="16" t="str">
        <f>HYPERLINK("https://about.twitter.com/products/tweetdeck","TweetDeck")</f>
        <v>TweetDeck</v>
      </c>
      <c r="F4779" s="12">
        <v>40068.71199074074</v>
      </c>
      <c r="G4779" s="17" t="s">
        <v>13000</v>
      </c>
      <c r="H4779" s="35" t="s">
        <v>3187</v>
      </c>
      <c r="I4779" s="18" t="s">
        <v>3188</v>
      </c>
    </row>
    <row r="4780" spans="1:9" s="33" customFormat="1" ht="60">
      <c r="A4780" s="19">
        <v>43543.849756944444</v>
      </c>
      <c r="B4780" s="20" t="str">
        <f>HYPERLINK("https://twitter.com/Susan_Foster_","@Susan_Foster_")</f>
        <v>@Susan_Foster_</v>
      </c>
      <c r="C4780" s="21" t="s">
        <v>9671</v>
      </c>
      <c r="D4780" s="22" t="s">
        <v>9672</v>
      </c>
      <c r="E4780" s="23" t="str">
        <f>HYPERLINK("http://twitter.com","Twitter Web Client")</f>
        <v>Twitter Web Client</v>
      </c>
      <c r="F4780" s="19">
        <v>42749.362349537041</v>
      </c>
      <c r="G4780" s="17" t="s">
        <v>13000</v>
      </c>
      <c r="H4780" s="35" t="s">
        <v>9673</v>
      </c>
      <c r="I4780" s="25" t="s">
        <v>9674</v>
      </c>
    </row>
    <row r="4781" spans="1:9" s="33" customFormat="1" ht="45">
      <c r="A4781" s="12">
        <v>43578.264016203699</v>
      </c>
      <c r="B4781" s="13" t="str">
        <f>HYPERLINK("https://twitter.com/rodolfoguillenu","@rodolfoguillenu")</f>
        <v>@rodolfoguillenu</v>
      </c>
      <c r="C4781" s="14" t="s">
        <v>1339</v>
      </c>
      <c r="D4781" s="15" t="s">
        <v>1340</v>
      </c>
      <c r="E4781" s="16" t="str">
        <f>HYPERLINK("https://www.circlepix.com/","Circlepix")</f>
        <v>Circlepix</v>
      </c>
      <c r="F4781" s="12">
        <v>40240.416932870372</v>
      </c>
      <c r="G4781" s="17" t="s">
        <v>13000</v>
      </c>
      <c r="H4781" s="35" t="s">
        <v>1341</v>
      </c>
      <c r="I4781" s="18" t="s">
        <v>1342</v>
      </c>
    </row>
    <row r="4782" spans="1:9" s="33" customFormat="1" ht="45">
      <c r="A4782" s="12">
        <v>43569.73501157407</v>
      </c>
      <c r="B4782" s="13" t="str">
        <f>HYPERLINK("https://twitter.com/DanielKearsey","@DanielKearsey")</f>
        <v>@DanielKearsey</v>
      </c>
      <c r="C4782" s="14" t="s">
        <v>4418</v>
      </c>
      <c r="D4782" s="15" t="s">
        <v>4419</v>
      </c>
      <c r="E4782" s="16" t="str">
        <f>HYPERLINK("http://twitter.com/download/iphone","Twitter for iPhone")</f>
        <v>Twitter for iPhone</v>
      </c>
      <c r="F4782" s="12">
        <v>42741.284201388888</v>
      </c>
      <c r="G4782" s="17" t="s">
        <v>13000</v>
      </c>
      <c r="H4782" s="35" t="s">
        <v>4420</v>
      </c>
      <c r="I4782" s="18" t="s">
        <v>4421</v>
      </c>
    </row>
    <row r="4783" spans="1:9" s="33" customFormat="1" ht="75">
      <c r="A4783" s="4">
        <v>43560.549398148149</v>
      </c>
      <c r="B4783" s="5" t="str">
        <f>HYPERLINK("https://twitter.com/CORE_rdg","@CORE_rdg")</f>
        <v>@CORE_rdg</v>
      </c>
      <c r="C4783" s="6" t="s">
        <v>11293</v>
      </c>
      <c r="D4783" s="7" t="s">
        <v>11294</v>
      </c>
      <c r="E4783" s="8" t="str">
        <f>HYPERLINK("http://instagram.com","Instagram")</f>
        <v>Instagram</v>
      </c>
      <c r="F4783" s="4">
        <v>42754.313113425931</v>
      </c>
      <c r="G4783" s="9" t="s">
        <v>13000</v>
      </c>
      <c r="H4783" s="35" t="s">
        <v>11295</v>
      </c>
      <c r="I4783" s="10" t="s">
        <v>11296</v>
      </c>
    </row>
    <row r="4784" spans="1:9" s="33" customFormat="1" ht="60">
      <c r="A4784" s="12">
        <v>43579.233287037037</v>
      </c>
      <c r="B4784" s="13" t="str">
        <f>HYPERLINK("https://twitter.com/poonisms","@poonisms")</f>
        <v>@poonisms</v>
      </c>
      <c r="C4784" s="14" t="s">
        <v>836</v>
      </c>
      <c r="D4784" s="15" t="s">
        <v>837</v>
      </c>
      <c r="E4784" s="16" t="str">
        <f>HYPERLINK("http://twitter.com","Twitter Web Client")</f>
        <v>Twitter Web Client</v>
      </c>
      <c r="F4784" s="12">
        <v>40479.692337962959</v>
      </c>
      <c r="G4784" s="17" t="s">
        <v>13000</v>
      </c>
      <c r="H4784" s="35" t="s">
        <v>838</v>
      </c>
      <c r="I4784" s="18" t="s">
        <v>839</v>
      </c>
    </row>
    <row r="4785" spans="1:9" s="33" customFormat="1" ht="75">
      <c r="A4785" s="4">
        <v>43560.86917824074</v>
      </c>
      <c r="B4785" s="5" t="str">
        <f>HYPERLINK("https://twitter.com/KatherineHermes","@KatherineHermes")</f>
        <v>@KatherineHermes</v>
      </c>
      <c r="C4785" s="6" t="s">
        <v>11135</v>
      </c>
      <c r="D4785" s="7" t="s">
        <v>11136</v>
      </c>
      <c r="E4785" s="8" t="str">
        <f>HYPERLINK("http://twitter.com/#!/download/ipad","Twitter for iPad")</f>
        <v>Twitter for iPad</v>
      </c>
      <c r="F4785" s="4">
        <v>41608.210717592592</v>
      </c>
      <c r="G4785" s="17" t="s">
        <v>13000</v>
      </c>
      <c r="H4785" s="35" t="s">
        <v>11137</v>
      </c>
      <c r="I4785" s="10" t="s">
        <v>11138</v>
      </c>
    </row>
    <row r="4786" spans="1:9" s="33" customFormat="1" ht="60">
      <c r="A4786" s="19">
        <v>43551.372673611113</v>
      </c>
      <c r="B4786" s="20" t="str">
        <f>HYPERLINK("https://twitter.com/thedancingspiri","@thedancingspiri")</f>
        <v>@thedancingspiri</v>
      </c>
      <c r="C4786" s="21" t="s">
        <v>7266</v>
      </c>
      <c r="D4786" s="22" t="s">
        <v>7267</v>
      </c>
      <c r="E4786" s="23" t="str">
        <f>HYPERLINK("http://instagram.com","Instagram")</f>
        <v>Instagram</v>
      </c>
      <c r="F4786" s="19">
        <v>39922.308252314819</v>
      </c>
      <c r="G4786" s="17" t="s">
        <v>13000</v>
      </c>
      <c r="H4786" s="35" t="s">
        <v>7268</v>
      </c>
      <c r="I4786" s="25" t="s">
        <v>7269</v>
      </c>
    </row>
    <row r="4787" spans="1:9" s="33" customFormat="1" ht="30">
      <c r="A4787" s="19">
        <v>43546.560925925922</v>
      </c>
      <c r="B4787" s="20" t="str">
        <f>HYPERLINK("https://twitter.com/JSQUAREDRVA","@JSQUAREDRVA")</f>
        <v>@JSQUAREDRVA</v>
      </c>
      <c r="C4787" s="21" t="s">
        <v>8805</v>
      </c>
      <c r="D4787" s="22" t="s">
        <v>8806</v>
      </c>
      <c r="E4787" s="23" t="str">
        <f>HYPERLINK("https://ifttt.com","IFTTT")</f>
        <v>IFTTT</v>
      </c>
      <c r="F4787" s="19">
        <v>41919.791388888887</v>
      </c>
      <c r="G4787" s="17" t="s">
        <v>13000</v>
      </c>
      <c r="H4787" s="35" t="s">
        <v>1059</v>
      </c>
      <c r="I4787" s="25" t="s">
        <v>8807</v>
      </c>
    </row>
    <row r="4788" spans="1:9" s="33" customFormat="1" ht="75">
      <c r="A4788" s="12">
        <v>43578.731898148151</v>
      </c>
      <c r="B4788" s="13" t="str">
        <f>HYPERLINK("https://twitter.com/investforever","@investforever")</f>
        <v>@investforever</v>
      </c>
      <c r="C4788" s="14" t="s">
        <v>1057</v>
      </c>
      <c r="D4788" s="15" t="s">
        <v>1058</v>
      </c>
      <c r="E4788" s="16" t="str">
        <f>HYPERLINK("http://twitter.com","Twitter Web Client")</f>
        <v>Twitter Web Client</v>
      </c>
      <c r="F4788" s="12">
        <v>39889.603900462964</v>
      </c>
      <c r="G4788" s="17" t="s">
        <v>13000</v>
      </c>
      <c r="H4788" s="35" t="s">
        <v>1059</v>
      </c>
      <c r="I4788" s="18" t="s">
        <v>1060</v>
      </c>
    </row>
    <row r="4789" spans="1:9" s="33" customFormat="1" ht="90">
      <c r="A4789" s="12">
        <v>43570.525752314818</v>
      </c>
      <c r="B4789" s="13" t="str">
        <f>HYPERLINK("https://twitter.com/Missyfish930","@Missyfish930")</f>
        <v>@Missyfish930</v>
      </c>
      <c r="C4789" s="14" t="s">
        <v>4087</v>
      </c>
      <c r="D4789" s="15" t="s">
        <v>4088</v>
      </c>
      <c r="E4789" s="16" t="str">
        <f>HYPERLINK("http://app.sendblur.com","Social Media Publisher App ")</f>
        <v xml:space="preserve">Social Media Publisher App </v>
      </c>
      <c r="F4789" s="12">
        <v>40847.697291666671</v>
      </c>
      <c r="G4789" s="17" t="s">
        <v>13000</v>
      </c>
      <c r="H4789" s="35" t="s">
        <v>1059</v>
      </c>
      <c r="I4789" s="18"/>
    </row>
    <row r="4790" spans="1:9" s="33" customFormat="1" ht="30">
      <c r="A4790" s="4">
        <v>43561.984259259261</v>
      </c>
      <c r="B4790" s="5" t="str">
        <f>HYPERLINK("https://twitter.com/marlisaaaaaa_","@marlisaaaaaa_")</f>
        <v>@marlisaaaaaa_</v>
      </c>
      <c r="C4790" s="6" t="s">
        <v>10786</v>
      </c>
      <c r="D4790" s="7" t="s">
        <v>10787</v>
      </c>
      <c r="E4790" s="8" t="str">
        <f>HYPERLINK("http://twitter.com/download/iphone","Twitter for iPhone")</f>
        <v>Twitter for iPhone</v>
      </c>
      <c r="F4790" s="4">
        <v>41524.942326388889</v>
      </c>
      <c r="G4790" s="17" t="s">
        <v>13000</v>
      </c>
      <c r="H4790" s="35" t="s">
        <v>10788</v>
      </c>
      <c r="I4790" s="10" t="s">
        <v>10789</v>
      </c>
    </row>
    <row r="4791" spans="1:9" s="33" customFormat="1" ht="150">
      <c r="A4791" s="12">
        <v>43578.560150462959</v>
      </c>
      <c r="B4791" s="13" t="str">
        <f>HYPERLINK("https://twitter.com/boese_brett","@boese_brett")</f>
        <v>@boese_brett</v>
      </c>
      <c r="C4791" s="14" t="s">
        <v>1151</v>
      </c>
      <c r="D4791" s="15" t="s">
        <v>1152</v>
      </c>
      <c r="E4791" s="16" t="str">
        <f>HYPERLINK("http://twitter.com/download/iphone","Twitter for iPhone")</f>
        <v>Twitter for iPhone</v>
      </c>
      <c r="F4791" s="12">
        <v>40276.385289351849</v>
      </c>
      <c r="G4791" s="17" t="s">
        <v>13000</v>
      </c>
      <c r="H4791" s="35" t="s">
        <v>1153</v>
      </c>
      <c r="I4791" s="18" t="s">
        <v>1154</v>
      </c>
    </row>
    <row r="4792" spans="1:9" s="33" customFormat="1" ht="90">
      <c r="A4792" s="12">
        <v>43570.498333333337</v>
      </c>
      <c r="B4792" s="13" t="str">
        <f>HYPERLINK("https://twitter.com/boese_brett","@boese_brett")</f>
        <v>@boese_brett</v>
      </c>
      <c r="C4792" s="14" t="s">
        <v>1151</v>
      </c>
      <c r="D4792" s="15" t="s">
        <v>4113</v>
      </c>
      <c r="E4792" s="16" t="str">
        <f>HYPERLINK("http://twitter.com/download/iphone","Twitter for iPhone")</f>
        <v>Twitter for iPhone</v>
      </c>
      <c r="F4792" s="12">
        <v>40276.385289351849</v>
      </c>
      <c r="G4792" s="17" t="s">
        <v>13000</v>
      </c>
      <c r="H4792" s="35" t="s">
        <v>1153</v>
      </c>
      <c r="I4792" s="18" t="s">
        <v>1154</v>
      </c>
    </row>
    <row r="4793" spans="1:9" s="33" customFormat="1" ht="15">
      <c r="A4793" s="12">
        <v>43566.387824074074</v>
      </c>
      <c r="B4793" s="13" t="str">
        <f>HYPERLINK("https://twitter.com/boese_brett","@boese_brett")</f>
        <v>@boese_brett</v>
      </c>
      <c r="C4793" s="14" t="s">
        <v>1151</v>
      </c>
      <c r="D4793" s="15" t="s">
        <v>5569</v>
      </c>
      <c r="E4793" s="16" t="str">
        <f>HYPERLINK("http://twitter.com/download/iphone","Twitter for iPhone")</f>
        <v>Twitter for iPhone</v>
      </c>
      <c r="F4793" s="12">
        <v>40276.385289351849</v>
      </c>
      <c r="G4793" s="17" t="s">
        <v>13000</v>
      </c>
      <c r="H4793" s="35" t="s">
        <v>1153</v>
      </c>
      <c r="I4793" s="18" t="s">
        <v>1154</v>
      </c>
    </row>
    <row r="4794" spans="1:9" s="33" customFormat="1" ht="45">
      <c r="A4794" s="19">
        <v>43551.292557870373</v>
      </c>
      <c r="B4794" s="20" t="str">
        <f>HYPERLINK("https://twitter.com/e_moriuchi","@e_moriuchi")</f>
        <v>@e_moriuchi</v>
      </c>
      <c r="C4794" s="21" t="s">
        <v>7345</v>
      </c>
      <c r="D4794" s="22" t="s">
        <v>7346</v>
      </c>
      <c r="E4794" s="23" t="str">
        <f>HYPERLINK("https://www.hootsuite.com","Hootsuite Inc.")</f>
        <v>Hootsuite Inc.</v>
      </c>
      <c r="F4794" s="19">
        <v>42054.415706018517</v>
      </c>
      <c r="G4794" s="17" t="s">
        <v>13000</v>
      </c>
      <c r="H4794" s="35" t="s">
        <v>3242</v>
      </c>
      <c r="I4794" s="25" t="s">
        <v>7347</v>
      </c>
    </row>
    <row r="4795" spans="1:9" s="33" customFormat="1" ht="45">
      <c r="A4795" s="19">
        <v>43545.423692129625</v>
      </c>
      <c r="B4795" s="20" t="str">
        <f>HYPERLINK("https://twitter.com/e_moriuchi","@e_moriuchi")</f>
        <v>@e_moriuchi</v>
      </c>
      <c r="C4795" s="21" t="s">
        <v>7345</v>
      </c>
      <c r="D4795" s="22" t="s">
        <v>9142</v>
      </c>
      <c r="E4795" s="23" t="str">
        <f>HYPERLINK("https://www.hootsuite.com","Hootsuite Inc.")</f>
        <v>Hootsuite Inc.</v>
      </c>
      <c r="F4795" s="19">
        <v>42054.415706018517</v>
      </c>
      <c r="G4795" s="17" t="s">
        <v>13000</v>
      </c>
      <c r="H4795" s="35" t="s">
        <v>3242</v>
      </c>
      <c r="I4795" s="25" t="s">
        <v>7347</v>
      </c>
    </row>
    <row r="4796" spans="1:9" s="33" customFormat="1" ht="30">
      <c r="A4796" s="12">
        <v>43572.445023148146</v>
      </c>
      <c r="B4796" s="13" t="str">
        <f>HYPERLINK("https://twitter.com/HaleeWithaFlair","@HaleeWithaFlair")</f>
        <v>@HaleeWithaFlair</v>
      </c>
      <c r="C4796" s="14" t="s">
        <v>3240</v>
      </c>
      <c r="D4796" s="15" t="s">
        <v>3241</v>
      </c>
      <c r="E4796" s="16" t="str">
        <f>HYPERLINK("https://periscope.tv","Periscope")</f>
        <v>Periscope</v>
      </c>
      <c r="F4796" s="12">
        <v>42191.476944444439</v>
      </c>
      <c r="G4796" s="17" t="s">
        <v>13000</v>
      </c>
      <c r="H4796" s="35" t="s">
        <v>3242</v>
      </c>
      <c r="I4796" s="18" t="s">
        <v>3243</v>
      </c>
    </row>
    <row r="4797" spans="1:9" s="33" customFormat="1" ht="30">
      <c r="A4797" s="12">
        <v>43570.198136574079</v>
      </c>
      <c r="B4797" s="13" t="str">
        <f>HYPERLINK("https://twitter.com/HaleeWithaFlair","@HaleeWithaFlair")</f>
        <v>@HaleeWithaFlair</v>
      </c>
      <c r="C4797" s="14" t="s">
        <v>3240</v>
      </c>
      <c r="D4797" s="15" t="s">
        <v>4300</v>
      </c>
      <c r="E4797" s="16" t="str">
        <f>HYPERLINK("https://periscope.tv","Periscope")</f>
        <v>Periscope</v>
      </c>
      <c r="F4797" s="12">
        <v>42191.476944444439</v>
      </c>
      <c r="G4797" s="17" t="s">
        <v>13000</v>
      </c>
      <c r="H4797" s="35" t="s">
        <v>3242</v>
      </c>
      <c r="I4797" s="18" t="s">
        <v>3243</v>
      </c>
    </row>
    <row r="4798" spans="1:9" s="33" customFormat="1" ht="60">
      <c r="A4798" s="12">
        <v>43569.800833333335</v>
      </c>
      <c r="B4798" s="13" t="str">
        <f>HYPERLINK("https://twitter.com/Hkula1191","@Hkula1191")</f>
        <v>@Hkula1191</v>
      </c>
      <c r="C4798" s="14" t="s">
        <v>4406</v>
      </c>
      <c r="D4798" s="15" t="s">
        <v>4407</v>
      </c>
      <c r="E4798" s="16" t="str">
        <f>HYPERLINK("http://twitter.com","Twitter Web Client")</f>
        <v>Twitter Web Client</v>
      </c>
      <c r="F4798" s="12">
        <v>40505.224664351852</v>
      </c>
      <c r="G4798" s="17" t="s">
        <v>13000</v>
      </c>
      <c r="H4798" s="35" t="s">
        <v>3242</v>
      </c>
      <c r="I4798" s="18" t="s">
        <v>4408</v>
      </c>
    </row>
    <row r="4799" spans="1:9" s="33" customFormat="1" ht="30">
      <c r="A4799" s="12">
        <v>43568.39508101852</v>
      </c>
      <c r="B4799" s="13" t="str">
        <f>HYPERLINK("https://twitter.com/HaleeWithaFlair","@HaleeWithaFlair")</f>
        <v>@HaleeWithaFlair</v>
      </c>
      <c r="C4799" s="14" t="s">
        <v>3240</v>
      </c>
      <c r="D4799" s="15" t="s">
        <v>4800</v>
      </c>
      <c r="E4799" s="16" t="str">
        <f>HYPERLINK("https://periscope.tv","Periscope")</f>
        <v>Periscope</v>
      </c>
      <c r="F4799" s="12">
        <v>42191.476944444439</v>
      </c>
      <c r="G4799" s="17" t="s">
        <v>13000</v>
      </c>
      <c r="H4799" s="35" t="s">
        <v>3242</v>
      </c>
      <c r="I4799" s="18" t="s">
        <v>3243</v>
      </c>
    </row>
    <row r="4800" spans="1:9" s="33" customFormat="1" ht="105">
      <c r="A4800" s="12">
        <v>43579.380891203706</v>
      </c>
      <c r="B4800" s="13" t="str">
        <f>HYPERLINK("https://twitter.com/FinneganRealto1","@FinneganRealto1")</f>
        <v>@FinneganRealto1</v>
      </c>
      <c r="C4800" s="14" t="s">
        <v>713</v>
      </c>
      <c r="D4800" s="15" t="s">
        <v>714</v>
      </c>
      <c r="E4800" s="16" t="str">
        <f>HYPERLINK("http://twitter.com/download/android","Twitter for Android")</f>
        <v>Twitter for Android</v>
      </c>
      <c r="F4800" s="12">
        <v>43230.427789351852</v>
      </c>
      <c r="G4800" s="17" t="s">
        <v>13000</v>
      </c>
      <c r="H4800" s="35" t="s">
        <v>715</v>
      </c>
      <c r="I4800" s="18" t="s">
        <v>716</v>
      </c>
    </row>
    <row r="4801" spans="1:9" s="33" customFormat="1" ht="45">
      <c r="A4801" s="19">
        <v>43551.002175925925</v>
      </c>
      <c r="B4801" s="20" t="str">
        <f>HYPERLINK("https://twitter.com/TheIotWarehouse","@TheIotWarehouse")</f>
        <v>@TheIotWarehouse</v>
      </c>
      <c r="C4801" s="21" t="s">
        <v>7455</v>
      </c>
      <c r="D4801" s="22" t="s">
        <v>7456</v>
      </c>
      <c r="E4801" s="23" t="str">
        <f>HYPERLINK("https://ifttt.com","IFTTT")</f>
        <v>IFTTT</v>
      </c>
      <c r="F4801" s="19">
        <v>40915.730011574073</v>
      </c>
      <c r="G4801" s="9" t="s">
        <v>13000</v>
      </c>
      <c r="H4801" s="35" t="s">
        <v>7457</v>
      </c>
      <c r="I4801" s="25" t="s">
        <v>7458</v>
      </c>
    </row>
    <row r="4802" spans="1:9" s="33" customFormat="1" ht="45">
      <c r="A4802" s="4">
        <v>43563.000405092593</v>
      </c>
      <c r="B4802" s="5" t="str">
        <f>HYPERLINK("https://twitter.com/TheIotWarehouse","@TheIotWarehouse")</f>
        <v>@TheIotWarehouse</v>
      </c>
      <c r="C4802" s="6" t="s">
        <v>7455</v>
      </c>
      <c r="D4802" s="7" t="s">
        <v>10513</v>
      </c>
      <c r="E4802" s="8" t="str">
        <f>HYPERLINK("https://ifttt.com","IFTTT")</f>
        <v>IFTTT</v>
      </c>
      <c r="F4802" s="4">
        <v>40915.730011574073</v>
      </c>
      <c r="G4802" s="9" t="s">
        <v>13000</v>
      </c>
      <c r="H4802" s="35" t="s">
        <v>7457</v>
      </c>
      <c r="I4802" s="10" t="s">
        <v>7458</v>
      </c>
    </row>
    <row r="4803" spans="1:9" s="33" customFormat="1" ht="75">
      <c r="A4803" s="12">
        <v>43578.311712962968</v>
      </c>
      <c r="B4803" s="13" t="str">
        <f>HYPERLINK("https://twitter.com/bw254981","@bw254981")</f>
        <v>@bw254981</v>
      </c>
      <c r="C4803" s="14" t="s">
        <v>1305</v>
      </c>
      <c r="D4803" s="15" t="s">
        <v>1306</v>
      </c>
      <c r="E4803" s="16" t="str">
        <f>HYPERLINK("http://instagram.com","Instagram")</f>
        <v>Instagram</v>
      </c>
      <c r="F4803" s="12">
        <v>41599.303703703699</v>
      </c>
      <c r="G4803" s="17" t="s">
        <v>13000</v>
      </c>
      <c r="H4803" s="35" t="s">
        <v>1307</v>
      </c>
      <c r="I4803" s="18" t="s">
        <v>1308</v>
      </c>
    </row>
    <row r="4804" spans="1:9" s="33" customFormat="1" ht="60">
      <c r="A4804" s="4">
        <v>43558.421331018515</v>
      </c>
      <c r="B4804" s="5" t="str">
        <f>HYPERLINK("https://twitter.com/RealFakeMattK","@RealFakeMattK")</f>
        <v>@RealFakeMattK</v>
      </c>
      <c r="C4804" s="6" t="s">
        <v>12197</v>
      </c>
      <c r="D4804" s="7" t="s">
        <v>12198</v>
      </c>
      <c r="E4804" s="8" t="str">
        <f>HYPERLINK("http://twitter.com/download/iphone","Twitter for iPhone")</f>
        <v>Twitter for iPhone</v>
      </c>
      <c r="F4804" s="4">
        <v>42698.66024305555</v>
      </c>
      <c r="G4804" s="9" t="s">
        <v>13000</v>
      </c>
      <c r="H4804" s="35" t="s">
        <v>12199</v>
      </c>
      <c r="I4804" s="10" t="s">
        <v>12200</v>
      </c>
    </row>
    <row r="4805" spans="1:9" s="33" customFormat="1" ht="45">
      <c r="A4805" s="4">
        <v>43564.35836805556</v>
      </c>
      <c r="B4805" s="5" t="str">
        <f>HYPERLINK("https://twitter.com/mickfromsvg","@mickfromsvg")</f>
        <v>@mickfromsvg</v>
      </c>
      <c r="C4805" s="6" t="s">
        <v>6662</v>
      </c>
      <c r="D4805" s="7" t="s">
        <v>6663</v>
      </c>
      <c r="E4805" s="8" t="str">
        <f>HYPERLINK("http://twitter.com","Twitter Web Client")</f>
        <v>Twitter Web Client</v>
      </c>
      <c r="F4805" s="4">
        <v>42326.421805555554</v>
      </c>
      <c r="G4805" s="17" t="s">
        <v>13000</v>
      </c>
      <c r="H4805" s="35" t="s">
        <v>6664</v>
      </c>
      <c r="I4805" s="10" t="s">
        <v>6665</v>
      </c>
    </row>
    <row r="4806" spans="1:9" s="33" customFormat="1" ht="45">
      <c r="A4806" s="12">
        <v>43572.311412037037</v>
      </c>
      <c r="B4806" s="13" t="str">
        <f>HYPERLINK("https://twitter.com/TheWhiteHouseS2","@TheWhiteHouseS2")</f>
        <v>@TheWhiteHouseS2</v>
      </c>
      <c r="C4806" s="14" t="s">
        <v>3340</v>
      </c>
      <c r="D4806" s="15" t="s">
        <v>3341</v>
      </c>
      <c r="E4806" s="16" t="str">
        <f>HYPERLINK("http://twitter.com/download/android","Twitter for Android")</f>
        <v>Twitter for Android</v>
      </c>
      <c r="F4806" s="12">
        <v>43369.184155092589</v>
      </c>
      <c r="G4806" s="17" t="s">
        <v>13000</v>
      </c>
      <c r="H4806" s="35" t="s">
        <v>3342</v>
      </c>
      <c r="I4806" s="18" t="s">
        <v>3343</v>
      </c>
    </row>
    <row r="4807" spans="1:9" s="33" customFormat="1" ht="75">
      <c r="A4807" s="12">
        <v>43567.239803240736</v>
      </c>
      <c r="B4807" s="13" t="str">
        <f>HYPERLINK("https://twitter.com/HH_Magazine","@HH_Magazine")</f>
        <v>@HH_Magazine</v>
      </c>
      <c r="C4807" s="14" t="s">
        <v>5203</v>
      </c>
      <c r="D4807" s="15" t="s">
        <v>5204</v>
      </c>
      <c r="E4807" s="16" t="str">
        <f>HYPERLINK("https://www.hootsuite.com","Hootsuite Inc.")</f>
        <v>Hootsuite Inc.</v>
      </c>
      <c r="F4807" s="12">
        <v>40716.536192129628</v>
      </c>
      <c r="G4807" s="17" t="s">
        <v>13000</v>
      </c>
      <c r="H4807" s="35" t="s">
        <v>5205</v>
      </c>
      <c r="I4807" s="18" t="s">
        <v>5206</v>
      </c>
    </row>
    <row r="4808" spans="1:9" s="33" customFormat="1" ht="60">
      <c r="A4808" s="19">
        <v>43546.92569444445</v>
      </c>
      <c r="B4808" s="20" t="str">
        <f>HYPERLINK("https://twitter.com/ChimarraoMate","@ChimarraoMate")</f>
        <v>@ChimarraoMate</v>
      </c>
      <c r="C4808" s="21" t="s">
        <v>8700</v>
      </c>
      <c r="D4808" s="22" t="s">
        <v>8701</v>
      </c>
      <c r="E4808" s="23" t="str">
        <f>HYPERLINK("http://instagram.com","Instagram")</f>
        <v>Instagram</v>
      </c>
      <c r="F4808" s="19">
        <v>40186.379780092597</v>
      </c>
      <c r="G4808" s="17" t="s">
        <v>13000</v>
      </c>
      <c r="H4808" s="35" t="s">
        <v>8702</v>
      </c>
      <c r="I4808" s="25" t="s">
        <v>8703</v>
      </c>
    </row>
    <row r="4809" spans="1:9" s="33" customFormat="1" ht="75">
      <c r="A4809" s="4">
        <v>43558.285370370373</v>
      </c>
      <c r="B4809" s="5" t="str">
        <f>HYPERLINK("https://twitter.com/daniel_sellers","@daniel_sellers")</f>
        <v>@daniel_sellers</v>
      </c>
      <c r="C4809" s="6" t="s">
        <v>12247</v>
      </c>
      <c r="D4809" s="7" t="s">
        <v>12248</v>
      </c>
      <c r="E4809" s="8" t="str">
        <f>HYPERLINK("http://instagram.com","Instagram")</f>
        <v>Instagram</v>
      </c>
      <c r="F4809" s="4">
        <v>39878.245486111111</v>
      </c>
      <c r="G4809" s="17" t="s">
        <v>13000</v>
      </c>
      <c r="H4809" s="35" t="s">
        <v>5277</v>
      </c>
      <c r="I4809" s="10" t="s">
        <v>12249</v>
      </c>
    </row>
    <row r="4810" spans="1:9" s="33" customFormat="1" ht="60">
      <c r="A4810" s="12">
        <v>43567.013368055559</v>
      </c>
      <c r="B4810" s="13" t="str">
        <f>HYPERLINK("https://twitter.com/Ross_Quintana","@Ross_Quintana")</f>
        <v>@Ross_Quintana</v>
      </c>
      <c r="C4810" s="14" t="s">
        <v>5275</v>
      </c>
      <c r="D4810" s="15" t="s">
        <v>5276</v>
      </c>
      <c r="E4810" s="16" t="str">
        <f>HYPERLINK("https://smarterqueue.com","SmarterQueue")</f>
        <v>SmarterQueue</v>
      </c>
      <c r="F4810" s="12">
        <v>40860.644641203704</v>
      </c>
      <c r="G4810" s="17" t="s">
        <v>13000</v>
      </c>
      <c r="H4810" s="35" t="s">
        <v>5277</v>
      </c>
      <c r="I4810" s="18" t="s">
        <v>5278</v>
      </c>
    </row>
    <row r="4811" spans="1:9" s="33" customFormat="1" ht="75">
      <c r="A4811" s="12">
        <v>43566.39565972222</v>
      </c>
      <c r="B4811" s="13" t="str">
        <f>HYPERLINK("https://twitter.com/Ross_Quintana","@Ross_Quintana")</f>
        <v>@Ross_Quintana</v>
      </c>
      <c r="C4811" s="14" t="s">
        <v>5275</v>
      </c>
      <c r="D4811" s="15" t="s">
        <v>5565</v>
      </c>
      <c r="E4811" s="16" t="str">
        <f>HYPERLINK("http://twitter.com","Twitter Web Client")</f>
        <v>Twitter Web Client</v>
      </c>
      <c r="F4811" s="12">
        <v>40860.644641203704</v>
      </c>
      <c r="G4811" s="17" t="s">
        <v>13000</v>
      </c>
      <c r="H4811" s="35" t="s">
        <v>5277</v>
      </c>
      <c r="I4811" s="18" t="s">
        <v>5278</v>
      </c>
    </row>
    <row r="4812" spans="1:9" s="33" customFormat="1" ht="45">
      <c r="A4812" s="12">
        <v>43565.312997685185</v>
      </c>
      <c r="B4812" s="13" t="str">
        <f>HYPERLINK("https://twitter.com/WebCamSafety","@WebCamSafety")</f>
        <v>@WebCamSafety</v>
      </c>
      <c r="C4812" s="14" t="s">
        <v>6180</v>
      </c>
      <c r="D4812" s="15" t="s">
        <v>6181</v>
      </c>
      <c r="E4812" s="16" t="str">
        <f>HYPERLINK("http://publicize.wp.com/","WordPress.com")</f>
        <v>WordPress.com</v>
      </c>
      <c r="F4812" s="12">
        <v>42675.26295138889</v>
      </c>
      <c r="G4812" s="17" t="s">
        <v>13000</v>
      </c>
      <c r="H4812" s="35" t="s">
        <v>5277</v>
      </c>
      <c r="I4812" s="18" t="s">
        <v>6182</v>
      </c>
    </row>
    <row r="4813" spans="1:9" s="33" customFormat="1" ht="45">
      <c r="A4813" s="12">
        <v>43573.429872685185</v>
      </c>
      <c r="B4813" s="13" t="str">
        <f>HYPERLINK("https://twitter.com/Werkin_Artist","@Werkin_Artist")</f>
        <v>@Werkin_Artist</v>
      </c>
      <c r="C4813" s="14" t="s">
        <v>2866</v>
      </c>
      <c r="D4813" s="15" t="s">
        <v>2867</v>
      </c>
      <c r="E4813" s="16" t="str">
        <f>HYPERLINK("http://twitter.com/download/android","Twitter for Android")</f>
        <v>Twitter for Android</v>
      </c>
      <c r="F4813" s="12">
        <v>39862.392546296294</v>
      </c>
      <c r="G4813" s="17" t="s">
        <v>13000</v>
      </c>
      <c r="H4813" s="35" t="s">
        <v>2868</v>
      </c>
      <c r="I4813" s="18" t="s">
        <v>2869</v>
      </c>
    </row>
    <row r="4814" spans="1:9" s="33" customFormat="1" ht="75">
      <c r="A4814" s="19">
        <v>43543.582442129627</v>
      </c>
      <c r="B4814" s="20" t="str">
        <f>HYPERLINK("https://twitter.com/thetraveledchef","@thetraveledchef")</f>
        <v>@thetraveledchef</v>
      </c>
      <c r="C4814" s="21" t="s">
        <v>9749</v>
      </c>
      <c r="D4814" s="22" t="s">
        <v>9750</v>
      </c>
      <c r="E4814" s="23" t="str">
        <f>HYPERLINK("http://instagram.com","Instagram")</f>
        <v>Instagram</v>
      </c>
      <c r="F4814" s="19">
        <v>40442.701990740738</v>
      </c>
      <c r="G4814" s="17" t="s">
        <v>13000</v>
      </c>
      <c r="H4814" s="35" t="s">
        <v>9751</v>
      </c>
      <c r="I4814" s="25" t="s">
        <v>9752</v>
      </c>
    </row>
    <row r="4815" spans="1:9" s="33" customFormat="1" ht="75">
      <c r="A4815" s="19">
        <v>43543.559837962966</v>
      </c>
      <c r="B4815" s="20" t="str">
        <f>HYPERLINK("https://twitter.com/thetraveledchef","@thetraveledchef")</f>
        <v>@thetraveledchef</v>
      </c>
      <c r="C4815" s="21" t="s">
        <v>9749</v>
      </c>
      <c r="D4815" s="22" t="s">
        <v>9758</v>
      </c>
      <c r="E4815" s="23" t="str">
        <f>HYPERLINK("http://instagram.com","Instagram")</f>
        <v>Instagram</v>
      </c>
      <c r="F4815" s="19">
        <v>40442.701990740738</v>
      </c>
      <c r="G4815" s="17" t="s">
        <v>13000</v>
      </c>
      <c r="H4815" s="35" t="s">
        <v>9751</v>
      </c>
      <c r="I4815" s="25" t="s">
        <v>9752</v>
      </c>
    </row>
    <row r="4816" spans="1:9" s="33" customFormat="1" ht="105">
      <c r="A4816" s="4">
        <v>43563.54215277778</v>
      </c>
      <c r="B4816" s="5" t="str">
        <f>HYPERLINK("https://twitter.com/MCrashpad","@MCrashpad")</f>
        <v>@MCrashpad</v>
      </c>
      <c r="C4816" s="6" t="s">
        <v>1559</v>
      </c>
      <c r="D4816" s="7" t="s">
        <v>10240</v>
      </c>
      <c r="E4816" s="8" t="str">
        <f>HYPERLINK("https://www.later.com","LaterMedia")</f>
        <v>LaterMedia</v>
      </c>
      <c r="F4816" s="4">
        <v>42259.23704861111</v>
      </c>
      <c r="G4816" s="17" t="s">
        <v>13000</v>
      </c>
      <c r="H4816" s="35" t="s">
        <v>1561</v>
      </c>
      <c r="I4816" s="10"/>
    </row>
    <row r="4817" spans="1:9" s="33" customFormat="1" ht="120">
      <c r="A4817" s="4">
        <v>43560.542025462964</v>
      </c>
      <c r="B4817" s="5" t="str">
        <f>HYPERLINK("https://twitter.com/MCrashpad","@MCrashpad")</f>
        <v>@MCrashpad</v>
      </c>
      <c r="C4817" s="6" t="s">
        <v>1559</v>
      </c>
      <c r="D4817" s="7" t="s">
        <v>11307</v>
      </c>
      <c r="E4817" s="8" t="str">
        <f>HYPERLINK("https://www.later.com","LaterMedia")</f>
        <v>LaterMedia</v>
      </c>
      <c r="F4817" s="4">
        <v>42259.23704861111</v>
      </c>
      <c r="G4817" s="17" t="s">
        <v>13000</v>
      </c>
      <c r="H4817" s="35" t="s">
        <v>1561</v>
      </c>
      <c r="I4817" s="10"/>
    </row>
    <row r="4818" spans="1:9" s="33" customFormat="1" ht="120">
      <c r="A4818" s="4">
        <v>43560.542013888888</v>
      </c>
      <c r="B4818" s="5" t="str">
        <f>HYPERLINK("https://twitter.com/MCrashpad","@MCrashpad")</f>
        <v>@MCrashpad</v>
      </c>
      <c r="C4818" s="6" t="s">
        <v>1559</v>
      </c>
      <c r="D4818" s="7" t="s">
        <v>11308</v>
      </c>
      <c r="E4818" s="8" t="str">
        <f>HYPERLINK("https://www.later.com","LaterMedia")</f>
        <v>LaterMedia</v>
      </c>
      <c r="F4818" s="4">
        <v>42259.23704861111</v>
      </c>
      <c r="G4818" s="17" t="s">
        <v>13000</v>
      </c>
      <c r="H4818" s="35" t="s">
        <v>1561</v>
      </c>
      <c r="I4818" s="10"/>
    </row>
    <row r="4819" spans="1:9" s="33" customFormat="1" ht="195">
      <c r="A4819" s="4">
        <v>43559.928981481484</v>
      </c>
      <c r="B4819" s="5" t="str">
        <f>HYPERLINK("https://twitter.com/KKnightRealtor","@KKnightRealtor")</f>
        <v>@KKnightRealtor</v>
      </c>
      <c r="C4819" s="6" t="s">
        <v>11660</v>
      </c>
      <c r="D4819" s="7" t="s">
        <v>11661</v>
      </c>
      <c r="E4819" s="8" t="str">
        <f>HYPERLINK("http://twitter.com/download/iphone","Twitter for iPhone")</f>
        <v>Twitter for iPhone</v>
      </c>
      <c r="F4819" s="4">
        <v>40778.918854166666</v>
      </c>
      <c r="G4819" s="17" t="s">
        <v>13000</v>
      </c>
      <c r="H4819" s="35" t="s">
        <v>1561</v>
      </c>
      <c r="I4819" s="10" t="s">
        <v>11662</v>
      </c>
    </row>
    <row r="4820" spans="1:9" s="33" customFormat="1" ht="105">
      <c r="A4820" s="4">
        <v>43559.799432870372</v>
      </c>
      <c r="B4820" s="5" t="str">
        <f>HYPERLINK("https://twitter.com/KKnightRealtor","@KKnightRealtor")</f>
        <v>@KKnightRealtor</v>
      </c>
      <c r="C4820" s="6" t="s">
        <v>11660</v>
      </c>
      <c r="D4820" s="7" t="s">
        <v>11694</v>
      </c>
      <c r="E4820" s="8" t="str">
        <f>HYPERLINK("http://twitter.com/download/iphone","Twitter for iPhone")</f>
        <v>Twitter for iPhone</v>
      </c>
      <c r="F4820" s="4">
        <v>40778.918854166666</v>
      </c>
      <c r="G4820" s="17" t="s">
        <v>13000</v>
      </c>
      <c r="H4820" s="35" t="s">
        <v>1561</v>
      </c>
      <c r="I4820" s="10" t="s">
        <v>11662</v>
      </c>
    </row>
    <row r="4821" spans="1:9" s="33" customFormat="1" ht="90">
      <c r="A4821" s="4">
        <v>43559.542094907403</v>
      </c>
      <c r="B4821" s="5" t="str">
        <f>HYPERLINK("https://twitter.com/MCrashpad","@MCrashpad")</f>
        <v>@MCrashpad</v>
      </c>
      <c r="C4821" s="6" t="s">
        <v>1559</v>
      </c>
      <c r="D4821" s="7" t="s">
        <v>11773</v>
      </c>
      <c r="E4821" s="8" t="str">
        <f>HYPERLINK("https://www.later.com","LaterMedia")</f>
        <v>LaterMedia</v>
      </c>
      <c r="F4821" s="4">
        <v>42259.23704861111</v>
      </c>
      <c r="G4821" s="17" t="s">
        <v>13000</v>
      </c>
      <c r="H4821" s="35" t="s">
        <v>1561</v>
      </c>
      <c r="I4821" s="10"/>
    </row>
    <row r="4822" spans="1:9" s="33" customFormat="1" ht="75">
      <c r="A4822" s="12">
        <v>43577.593807870369</v>
      </c>
      <c r="B4822" s="13" t="str">
        <f>HYPERLINK("https://twitter.com/MCrashpad","@MCrashpad")</f>
        <v>@MCrashpad</v>
      </c>
      <c r="C4822" s="14" t="s">
        <v>1559</v>
      </c>
      <c r="D4822" s="15" t="s">
        <v>1560</v>
      </c>
      <c r="E4822" s="16" t="str">
        <f>HYPERLINK("https://www.later.com","LaterMedia")</f>
        <v>LaterMedia</v>
      </c>
      <c r="F4822" s="12">
        <v>42259.23704861111</v>
      </c>
      <c r="G4822" s="17" t="s">
        <v>13000</v>
      </c>
      <c r="H4822" s="35" t="s">
        <v>1561</v>
      </c>
      <c r="I4822" s="18"/>
    </row>
    <row r="4823" spans="1:9" s="33" customFormat="1" ht="105">
      <c r="A4823" s="12">
        <v>43575.427106481482</v>
      </c>
      <c r="B4823" s="13" t="str">
        <f>HYPERLINK("https://twitter.com/MCrashpad","@MCrashpad")</f>
        <v>@MCrashpad</v>
      </c>
      <c r="C4823" s="14" t="s">
        <v>1559</v>
      </c>
      <c r="D4823" s="15" t="s">
        <v>2226</v>
      </c>
      <c r="E4823" s="16" t="str">
        <f>HYPERLINK("https://www.later.com","LaterMedia")</f>
        <v>LaterMedia</v>
      </c>
      <c r="F4823" s="12">
        <v>42259.23704861111</v>
      </c>
      <c r="G4823" s="17" t="s">
        <v>13000</v>
      </c>
      <c r="H4823" s="35" t="s">
        <v>1561</v>
      </c>
      <c r="I4823" s="18"/>
    </row>
    <row r="4824" spans="1:9" s="33" customFormat="1" ht="105">
      <c r="A4824" s="12">
        <v>43574.312604166669</v>
      </c>
      <c r="B4824" s="13" t="str">
        <f>HYPERLINK("https://twitter.com/MCrashpad","@MCrashpad")</f>
        <v>@MCrashpad</v>
      </c>
      <c r="C4824" s="14" t="s">
        <v>1559</v>
      </c>
      <c r="D4824" s="15" t="s">
        <v>2605</v>
      </c>
      <c r="E4824" s="16" t="str">
        <f>HYPERLINK("https://www.later.com","LaterMedia")</f>
        <v>LaterMedia</v>
      </c>
      <c r="F4824" s="12">
        <v>42259.23704861111</v>
      </c>
      <c r="G4824" s="17" t="s">
        <v>13000</v>
      </c>
      <c r="H4824" s="35" t="s">
        <v>1561</v>
      </c>
      <c r="I4824" s="18"/>
    </row>
    <row r="4825" spans="1:9" s="33" customFormat="1" ht="105">
      <c r="A4825" s="12">
        <v>43571.395925925928</v>
      </c>
      <c r="B4825" s="13" t="str">
        <f>HYPERLINK("https://twitter.com/MCrashpad","@MCrashpad")</f>
        <v>@MCrashpad</v>
      </c>
      <c r="C4825" s="14" t="s">
        <v>1559</v>
      </c>
      <c r="D4825" s="15" t="s">
        <v>3692</v>
      </c>
      <c r="E4825" s="16" t="str">
        <f>HYPERLINK("https://www.later.com","LaterMedia")</f>
        <v>LaterMedia</v>
      </c>
      <c r="F4825" s="12">
        <v>42259.23704861111</v>
      </c>
      <c r="G4825" s="17" t="s">
        <v>13000</v>
      </c>
      <c r="H4825" s="35" t="s">
        <v>1561</v>
      </c>
      <c r="I4825" s="18"/>
    </row>
    <row r="4826" spans="1:9" s="33" customFormat="1" ht="60">
      <c r="A4826" s="12">
        <v>43569.657581018517</v>
      </c>
      <c r="B4826" s="13" t="str">
        <f>HYPERLINK("https://twitter.com/StaysCity","@StaysCity")</f>
        <v>@StaysCity</v>
      </c>
      <c r="C4826" s="14" t="s">
        <v>4443</v>
      </c>
      <c r="D4826" s="15" t="s">
        <v>4444</v>
      </c>
      <c r="E4826" s="16" t="str">
        <f>HYPERLINK("http://twitter.com","Twitter Web Client")</f>
        <v>Twitter Web Client</v>
      </c>
      <c r="F4826" s="12">
        <v>43111.327696759261</v>
      </c>
      <c r="G4826" s="17" t="s">
        <v>13000</v>
      </c>
      <c r="H4826" s="35" t="s">
        <v>1561</v>
      </c>
      <c r="I4826" s="18"/>
    </row>
    <row r="4827" spans="1:9" s="33" customFormat="1" ht="60">
      <c r="A4827" s="4">
        <v>43565.399710648147</v>
      </c>
      <c r="B4827" s="5" t="str">
        <f>HYPERLINK("https://twitter.com/marquez817","@marquez817")</f>
        <v>@marquez817</v>
      </c>
      <c r="C4827" s="6" t="s">
        <v>6114</v>
      </c>
      <c r="D4827" s="7" t="s">
        <v>6115</v>
      </c>
      <c r="E4827" s="8" t="str">
        <f>HYPERLINK("http://instagram.com","Instagram")</f>
        <v>Instagram</v>
      </c>
      <c r="F4827" s="4">
        <v>39921.389178240745</v>
      </c>
      <c r="G4827" s="17" t="s">
        <v>13000</v>
      </c>
      <c r="H4827" s="35" t="s">
        <v>6116</v>
      </c>
      <c r="I4827" s="10" t="s">
        <v>6117</v>
      </c>
    </row>
    <row r="4828" spans="1:9" s="33" customFormat="1" ht="45">
      <c r="A4828" s="4">
        <v>43564.555925925924</v>
      </c>
      <c r="B4828" s="5" t="str">
        <f>HYPERLINK("https://twitter.com/marquez817","@marquez817")</f>
        <v>@marquez817</v>
      </c>
      <c r="C4828" s="6" t="s">
        <v>6114</v>
      </c>
      <c r="D4828" s="7" t="s">
        <v>6557</v>
      </c>
      <c r="E4828" s="8" t="str">
        <f>HYPERLINK("http://instagram.com","Instagram")</f>
        <v>Instagram</v>
      </c>
      <c r="F4828" s="4">
        <v>39921.389178240745</v>
      </c>
      <c r="G4828" s="17" t="s">
        <v>13000</v>
      </c>
      <c r="H4828" s="35" t="s">
        <v>6116</v>
      </c>
      <c r="I4828" s="10" t="s">
        <v>6117</v>
      </c>
    </row>
    <row r="4829" spans="1:9" s="33" customFormat="1" ht="45">
      <c r="A4829" s="12">
        <v>43579.485208333332</v>
      </c>
      <c r="B4829" s="13" t="str">
        <f>HYPERLINK("https://twitter.com/nitr0usmx","@nitr0usmx")</f>
        <v>@nitr0usmx</v>
      </c>
      <c r="C4829" s="14" t="s">
        <v>625</v>
      </c>
      <c r="D4829" s="15" t="s">
        <v>626</v>
      </c>
      <c r="E4829" s="16" t="str">
        <f>HYPERLINK("http://twitter.com/download/iphone","Twitter for iPhone")</f>
        <v>Twitter for iPhone</v>
      </c>
      <c r="F4829" s="12">
        <v>40591.911122685182</v>
      </c>
      <c r="G4829" s="17" t="s">
        <v>13000</v>
      </c>
      <c r="H4829" s="35" t="s">
        <v>627</v>
      </c>
      <c r="I4829" s="18" t="s">
        <v>628</v>
      </c>
    </row>
    <row r="4830" spans="1:9" s="33" customFormat="1" ht="45">
      <c r="A4830" s="12">
        <v>43568.597615740742</v>
      </c>
      <c r="B4830" s="13" t="str">
        <f>HYPERLINK("https://twitter.com/Padre_Pat","@Padre_Pat")</f>
        <v>@Padre_Pat</v>
      </c>
      <c r="C4830" s="14" t="s">
        <v>4687</v>
      </c>
      <c r="D4830" s="15" t="s">
        <v>4688</v>
      </c>
      <c r="E4830" s="16" t="str">
        <f>HYPERLINK("http://instagram.com","Instagram")</f>
        <v>Instagram</v>
      </c>
      <c r="F4830" s="12">
        <v>39981.825567129628</v>
      </c>
      <c r="G4830" s="9" t="s">
        <v>13000</v>
      </c>
      <c r="H4830" s="35" t="s">
        <v>4689</v>
      </c>
      <c r="I4830" s="18"/>
    </row>
    <row r="4831" spans="1:9" s="33" customFormat="1" ht="75">
      <c r="A4831" s="19">
        <v>43546.566932870366</v>
      </c>
      <c r="B4831" s="20" t="str">
        <f>HYPERLINK("https://twitter.com/FutureWorkforce","@FutureWorkforce")</f>
        <v>@FutureWorkforce</v>
      </c>
      <c r="C4831" s="21" t="s">
        <v>8801</v>
      </c>
      <c r="D4831" s="22" t="s">
        <v>8802</v>
      </c>
      <c r="E4831" s="23" t="str">
        <f>HYPERLINK("https://ifttt.com","IFTTT")</f>
        <v>IFTTT</v>
      </c>
      <c r="F4831" s="19">
        <v>39914.406238425923</v>
      </c>
      <c r="G4831" s="9" t="s">
        <v>13000</v>
      </c>
      <c r="H4831" s="35" t="s">
        <v>4999</v>
      </c>
      <c r="I4831" s="25" t="s">
        <v>8803</v>
      </c>
    </row>
    <row r="4832" spans="1:9" s="33" customFormat="1" ht="75">
      <c r="A4832" s="19">
        <v>43543.401018518518</v>
      </c>
      <c r="B4832" s="20" t="str">
        <f>HYPERLINK("https://twitter.com/FutureWorkforce","@FutureWorkforce")</f>
        <v>@FutureWorkforce</v>
      </c>
      <c r="C4832" s="21" t="s">
        <v>8801</v>
      </c>
      <c r="D4832" s="22" t="s">
        <v>8802</v>
      </c>
      <c r="E4832" s="23" t="str">
        <f>HYPERLINK("https://ifttt.com","IFTTT")</f>
        <v>IFTTT</v>
      </c>
      <c r="F4832" s="19">
        <v>39914.406238425923</v>
      </c>
      <c r="G4832" s="9" t="s">
        <v>13000</v>
      </c>
      <c r="H4832" s="35" t="s">
        <v>4999</v>
      </c>
      <c r="I4832" s="25" t="s">
        <v>8803</v>
      </c>
    </row>
    <row r="4833" spans="1:9" s="33" customFormat="1" ht="45">
      <c r="A4833" s="12">
        <v>43567.68855324074</v>
      </c>
      <c r="B4833" s="13" t="str">
        <f>HYPERLINK("https://twitter.com/TonyUtweets","@TonyUtweets")</f>
        <v>@TonyUtweets</v>
      </c>
      <c r="C4833" s="14" t="s">
        <v>4997</v>
      </c>
      <c r="D4833" s="15" t="s">
        <v>4998</v>
      </c>
      <c r="E4833" s="16" t="str">
        <f>HYPERLINK("http://instagram.com","Instagram")</f>
        <v>Instagram</v>
      </c>
      <c r="F4833" s="12">
        <v>40093.626828703702</v>
      </c>
      <c r="G4833" s="9" t="s">
        <v>13000</v>
      </c>
      <c r="H4833" s="35" t="s">
        <v>4999</v>
      </c>
      <c r="I4833" s="18" t="s">
        <v>5000</v>
      </c>
    </row>
    <row r="4834" spans="1:9" s="33" customFormat="1" ht="90">
      <c r="A4834" s="19">
        <v>43551.410208333335</v>
      </c>
      <c r="B4834" s="20" t="str">
        <f>HYPERLINK("https://twitter.com/hulivili","@hulivili")</f>
        <v>@hulivili</v>
      </c>
      <c r="C4834" s="21" t="s">
        <v>7220</v>
      </c>
      <c r="D4834" s="22" t="s">
        <v>7221</v>
      </c>
      <c r="E4834" s="23" t="str">
        <f>HYPERLINK("http://twitter.com","Twitter Web Client")</f>
        <v>Twitter Web Client</v>
      </c>
      <c r="F4834" s="19">
        <v>39881.865347222221</v>
      </c>
      <c r="G4834" s="9" t="s">
        <v>13000</v>
      </c>
      <c r="H4834" s="35" t="s">
        <v>4184</v>
      </c>
      <c r="I4834" s="25" t="s">
        <v>7222</v>
      </c>
    </row>
    <row r="4835" spans="1:9" s="33" customFormat="1" ht="75">
      <c r="A4835" s="19">
        <v>43547.381979166668</v>
      </c>
      <c r="B4835" s="20" t="str">
        <f>HYPERLINK("https://twitter.com/eaglelensphoto","@eaglelensphoto")</f>
        <v>@eaglelensphoto</v>
      </c>
      <c r="C4835" s="21" t="s">
        <v>8571</v>
      </c>
      <c r="D4835" s="22" t="s">
        <v>8572</v>
      </c>
      <c r="E4835" s="23" t="str">
        <f>HYPERLINK("https://buffer.com","Buffer")</f>
        <v>Buffer</v>
      </c>
      <c r="F4835" s="19">
        <v>42136.490115740744</v>
      </c>
      <c r="G4835" s="9" t="s">
        <v>13000</v>
      </c>
      <c r="H4835" s="35" t="s">
        <v>4184</v>
      </c>
      <c r="I4835" s="25" t="s">
        <v>8573</v>
      </c>
    </row>
    <row r="4836" spans="1:9" s="33" customFormat="1" ht="90">
      <c r="A4836" s="19">
        <v>43546.883611111116</v>
      </c>
      <c r="B4836" s="20" t="str">
        <f>HYPERLINK("https://twitter.com/RiaOtero","@RiaOtero")</f>
        <v>@RiaOtero</v>
      </c>
      <c r="C4836" s="21" t="s">
        <v>8707</v>
      </c>
      <c r="D4836" s="22" t="s">
        <v>8708</v>
      </c>
      <c r="E4836" s="23" t="str">
        <f>HYPERLINK("http://instagram.com","Instagram")</f>
        <v>Instagram</v>
      </c>
      <c r="F4836" s="19">
        <v>41848.830694444448</v>
      </c>
      <c r="G4836" s="9" t="s">
        <v>13000</v>
      </c>
      <c r="H4836" s="35" t="s">
        <v>4184</v>
      </c>
      <c r="I4836" s="25" t="s">
        <v>8709</v>
      </c>
    </row>
    <row r="4837" spans="1:9" s="33" customFormat="1" ht="75">
      <c r="A4837" s="19">
        <v>43546.339224537034</v>
      </c>
      <c r="B4837" s="20" t="str">
        <f>HYPERLINK("https://twitter.com/truehotelguru","@truehotelguru")</f>
        <v>@truehotelguru</v>
      </c>
      <c r="C4837" s="21" t="s">
        <v>8900</v>
      </c>
      <c r="D4837" s="22" t="s">
        <v>8901</v>
      </c>
      <c r="E4837" s="23" t="str">
        <f>HYPERLINK("http://twitter.com","Twitter Web Client")</f>
        <v>Twitter Web Client</v>
      </c>
      <c r="F4837" s="19">
        <v>39744.536944444444</v>
      </c>
      <c r="G4837" s="9" t="s">
        <v>13000</v>
      </c>
      <c r="H4837" s="35" t="s">
        <v>4184</v>
      </c>
      <c r="I4837" s="25" t="s">
        <v>8902</v>
      </c>
    </row>
    <row r="4838" spans="1:9" s="33" customFormat="1" ht="105">
      <c r="A4838" s="19">
        <v>43543.356134259258</v>
      </c>
      <c r="B4838" s="20" t="str">
        <f>HYPERLINK("https://twitter.com/AlcazarCourt","@AlcazarCourt")</f>
        <v>@AlcazarCourt</v>
      </c>
      <c r="C4838" s="21" t="s">
        <v>9854</v>
      </c>
      <c r="D4838" s="22" t="s">
        <v>9855</v>
      </c>
      <c r="E4838" s="23" t="str">
        <f>HYPERLINK("http://twitter.com","Twitter Web Client")</f>
        <v>Twitter Web Client</v>
      </c>
      <c r="F4838" s="19">
        <v>42798.614178240736</v>
      </c>
      <c r="G4838" s="9" t="s">
        <v>13000</v>
      </c>
      <c r="H4838" s="35" t="s">
        <v>4184</v>
      </c>
      <c r="I4838" s="25" t="s">
        <v>9856</v>
      </c>
    </row>
    <row r="4839" spans="1:9" s="33" customFormat="1" ht="90">
      <c r="A4839" s="4">
        <v>43564.426435185189</v>
      </c>
      <c r="B4839" s="5" t="str">
        <f>HYPERLINK("https://twitter.com/jyotisarolia","@jyotisarolia")</f>
        <v>@jyotisarolia</v>
      </c>
      <c r="C4839" s="6" t="s">
        <v>6615</v>
      </c>
      <c r="D4839" s="7" t="s">
        <v>6616</v>
      </c>
      <c r="E4839" s="8" t="str">
        <f>HYPERLINK("http://twitter.com","Twitter Web Client")</f>
        <v>Twitter Web Client</v>
      </c>
      <c r="F4839" s="4">
        <v>41910.414375</v>
      </c>
      <c r="G4839" s="9" t="s">
        <v>13000</v>
      </c>
      <c r="H4839" s="35" t="s">
        <v>4184</v>
      </c>
      <c r="I4839" s="10"/>
    </row>
    <row r="4840" spans="1:9" s="33" customFormat="1" ht="75">
      <c r="A4840" s="4">
        <v>43560.598275462966</v>
      </c>
      <c r="B4840" s="5" t="str">
        <f>HYPERLINK("https://twitter.com/Nealocus","@Nealocus")</f>
        <v>@Nealocus</v>
      </c>
      <c r="C4840" s="6" t="s">
        <v>11266</v>
      </c>
      <c r="D4840" s="7" t="s">
        <v>11267</v>
      </c>
      <c r="E4840" s="8" t="str">
        <f>HYPERLINK("http://twitter.com/download/iphone","Twitter for iPhone")</f>
        <v>Twitter for iPhone</v>
      </c>
      <c r="F4840" s="4">
        <v>43381.724710648152</v>
      </c>
      <c r="G4840" s="9" t="s">
        <v>13000</v>
      </c>
      <c r="H4840" s="35" t="s">
        <v>4184</v>
      </c>
      <c r="I4840" s="10" t="s">
        <v>11268</v>
      </c>
    </row>
    <row r="4841" spans="1:9" s="33" customFormat="1" ht="75">
      <c r="A4841" s="4">
        <v>43559.525694444441</v>
      </c>
      <c r="B4841" s="5" t="str">
        <f>HYPERLINK("https://twitter.com/2DadsWBaggage","@2DadsWBaggage")</f>
        <v>@2DadsWBaggage</v>
      </c>
      <c r="C4841" s="6" t="s">
        <v>11777</v>
      </c>
      <c r="D4841" s="7" t="s">
        <v>11778</v>
      </c>
      <c r="E4841" s="8" t="str">
        <f>HYPERLINK("https://ads-api.twitter.com","Twitter Ads Composer")</f>
        <v>Twitter Ads Composer</v>
      </c>
      <c r="F4841" s="4">
        <v>42568.512291666666</v>
      </c>
      <c r="G4841" s="9" t="s">
        <v>13000</v>
      </c>
      <c r="H4841" s="35" t="s">
        <v>4184</v>
      </c>
      <c r="I4841" s="10" t="s">
        <v>11779</v>
      </c>
    </row>
    <row r="4842" spans="1:9" s="33" customFormat="1" ht="45">
      <c r="A4842" s="12">
        <v>43570.397939814815</v>
      </c>
      <c r="B4842" s="13" t="str">
        <f>HYPERLINK("https://twitter.com/RTWgirl_","@RTWgirl_")</f>
        <v>@RTWgirl_</v>
      </c>
      <c r="C4842" s="14" t="s">
        <v>4182</v>
      </c>
      <c r="D4842" s="15" t="s">
        <v>4183</v>
      </c>
      <c r="E4842" s="16" t="str">
        <f>HYPERLINK("http://twitter.com","Twitter Web Client")</f>
        <v>Twitter Web Client</v>
      </c>
      <c r="F4842" s="12">
        <v>41199.5309375</v>
      </c>
      <c r="G4842" s="9" t="s">
        <v>13000</v>
      </c>
      <c r="H4842" s="35" t="s">
        <v>4184</v>
      </c>
      <c r="I4842" s="18" t="s">
        <v>4185</v>
      </c>
    </row>
    <row r="4843" spans="1:9" s="33" customFormat="1" ht="30">
      <c r="A4843" s="12">
        <v>43566.482245370367</v>
      </c>
      <c r="B4843" s="13" t="str">
        <f>HYPERLINK("https://twitter.com/RingoFirefly","@RingoFirefly")</f>
        <v>@RingoFirefly</v>
      </c>
      <c r="C4843" s="14" t="s">
        <v>5495</v>
      </c>
      <c r="D4843" s="15" t="s">
        <v>5496</v>
      </c>
      <c r="E4843" s="16" t="str">
        <f>HYPERLINK("http://twitter.com","Twitter Web Client")</f>
        <v>Twitter Web Client</v>
      </c>
      <c r="F4843" s="12">
        <v>40661.897974537038</v>
      </c>
      <c r="G4843" s="9" t="s">
        <v>13000</v>
      </c>
      <c r="H4843" s="35" t="s">
        <v>4184</v>
      </c>
      <c r="I4843" s="18" t="s">
        <v>5497</v>
      </c>
    </row>
    <row r="4844" spans="1:9" s="33" customFormat="1" ht="60">
      <c r="A4844" s="12">
        <v>43573.459027777775</v>
      </c>
      <c r="B4844" s="13" t="str">
        <f>HYPERLINK("https://twitter.com/SWPrincessView","@SWPrincessView")</f>
        <v>@SWPrincessView</v>
      </c>
      <c r="C4844" s="14" t="s">
        <v>2849</v>
      </c>
      <c r="D4844" s="15" t="s">
        <v>2850</v>
      </c>
      <c r="E4844" s="16" t="str">
        <f t="shared" ref="E4844:E4850" si="186">HYPERLINK("https://about.twitter.com/products/tweetdeck","TweetDeck")</f>
        <v>TweetDeck</v>
      </c>
      <c r="F4844" s="12">
        <v>40051.702569444446</v>
      </c>
      <c r="G4844" s="9" t="s">
        <v>13000</v>
      </c>
      <c r="H4844" s="35" t="s">
        <v>2851</v>
      </c>
      <c r="I4844" s="18" t="s">
        <v>2852</v>
      </c>
    </row>
    <row r="4845" spans="1:9" s="33" customFormat="1" ht="75">
      <c r="A4845" s="12">
        <v>43572.459027777775</v>
      </c>
      <c r="B4845" s="13" t="str">
        <f>HYPERLINK("https://twitter.com/SWPrincessView","@SWPrincessView")</f>
        <v>@SWPrincessView</v>
      </c>
      <c r="C4845" s="14" t="s">
        <v>2849</v>
      </c>
      <c r="D4845" s="15" t="s">
        <v>3229</v>
      </c>
      <c r="E4845" s="16" t="str">
        <f t="shared" si="186"/>
        <v>TweetDeck</v>
      </c>
      <c r="F4845" s="12">
        <v>40051.702569444446</v>
      </c>
      <c r="G4845" s="9" t="s">
        <v>13000</v>
      </c>
      <c r="H4845" s="35" t="s">
        <v>2851</v>
      </c>
      <c r="I4845" s="18" t="s">
        <v>2852</v>
      </c>
    </row>
    <row r="4846" spans="1:9" s="33" customFormat="1" ht="60">
      <c r="A4846" s="12">
        <v>43570.499305555553</v>
      </c>
      <c r="B4846" s="13" t="str">
        <f>HYPERLINK("https://twitter.com/SWlajolla","@SWlajolla")</f>
        <v>@SWlajolla</v>
      </c>
      <c r="C4846" s="14" t="s">
        <v>4109</v>
      </c>
      <c r="D4846" s="15" t="s">
        <v>4110</v>
      </c>
      <c r="E4846" s="16" t="str">
        <f t="shared" si="186"/>
        <v>TweetDeck</v>
      </c>
      <c r="F4846" s="12">
        <v>40045.402951388889</v>
      </c>
      <c r="G4846" s="9" t="s">
        <v>13000</v>
      </c>
      <c r="H4846" s="35" t="s">
        <v>4111</v>
      </c>
      <c r="I4846" s="18" t="s">
        <v>4112</v>
      </c>
    </row>
    <row r="4847" spans="1:9" s="33" customFormat="1" ht="60">
      <c r="A4847" s="12">
        <v>43567.497916666667</v>
      </c>
      <c r="B4847" s="13" t="str">
        <f>HYPERLINK("https://twitter.com/SWlajolla","@SWlajolla")</f>
        <v>@SWlajolla</v>
      </c>
      <c r="C4847" s="14" t="s">
        <v>4109</v>
      </c>
      <c r="D4847" s="15" t="s">
        <v>5081</v>
      </c>
      <c r="E4847" s="16" t="str">
        <f t="shared" si="186"/>
        <v>TweetDeck</v>
      </c>
      <c r="F4847" s="12">
        <v>40045.402951388889</v>
      </c>
      <c r="G4847" s="9" t="s">
        <v>13000</v>
      </c>
      <c r="H4847" s="35" t="s">
        <v>4111</v>
      </c>
      <c r="I4847" s="18" t="s">
        <v>4112</v>
      </c>
    </row>
    <row r="4848" spans="1:9" s="33" customFormat="1" ht="45">
      <c r="A4848" s="12">
        <v>43566.58194444445</v>
      </c>
      <c r="B4848" s="13" t="str">
        <f>HYPERLINK("https://twitter.com/SWcarmelmtn","@SWcarmelmtn")</f>
        <v>@SWcarmelmtn</v>
      </c>
      <c r="C4848" s="14" t="s">
        <v>5431</v>
      </c>
      <c r="D4848" s="15" t="s">
        <v>5432</v>
      </c>
      <c r="E4848" s="16" t="str">
        <f t="shared" si="186"/>
        <v>TweetDeck</v>
      </c>
      <c r="F4848" s="12">
        <v>40045.36991898148</v>
      </c>
      <c r="G4848" s="9" t="s">
        <v>13000</v>
      </c>
      <c r="H4848" s="35" t="s">
        <v>5433</v>
      </c>
      <c r="I4848" s="18" t="s">
        <v>5434</v>
      </c>
    </row>
    <row r="4849" spans="1:9" s="33" customFormat="1" ht="60">
      <c r="A4849" s="4">
        <v>43565.445833333331</v>
      </c>
      <c r="B4849" s="5" t="str">
        <f>HYPERLINK("https://twitter.com/SWscrippsranch","@SWscrippsranch")</f>
        <v>@SWscrippsranch</v>
      </c>
      <c r="C4849" s="6" t="s">
        <v>5528</v>
      </c>
      <c r="D4849" s="7" t="s">
        <v>6084</v>
      </c>
      <c r="E4849" s="8" t="str">
        <f t="shared" si="186"/>
        <v>TweetDeck</v>
      </c>
      <c r="F4849" s="4">
        <v>40051.695</v>
      </c>
      <c r="G4849" s="9" t="s">
        <v>13000</v>
      </c>
      <c r="H4849" s="35" t="s">
        <v>5530</v>
      </c>
      <c r="I4849" s="10" t="s">
        <v>5531</v>
      </c>
    </row>
    <row r="4850" spans="1:9" s="33" customFormat="1" ht="60">
      <c r="A4850" s="12">
        <v>43566.445833333331</v>
      </c>
      <c r="B4850" s="13" t="str">
        <f>HYPERLINK("https://twitter.com/SWscrippsranch","@SWscrippsranch")</f>
        <v>@SWscrippsranch</v>
      </c>
      <c r="C4850" s="14" t="s">
        <v>5528</v>
      </c>
      <c r="D4850" s="15" t="s">
        <v>5529</v>
      </c>
      <c r="E4850" s="16" t="str">
        <f t="shared" si="186"/>
        <v>TweetDeck</v>
      </c>
      <c r="F4850" s="12">
        <v>40051.695</v>
      </c>
      <c r="G4850" s="9" t="s">
        <v>13000</v>
      </c>
      <c r="H4850" s="35" t="s">
        <v>5530</v>
      </c>
      <c r="I4850" s="18" t="s">
        <v>5531</v>
      </c>
    </row>
    <row r="4851" spans="1:9" s="33" customFormat="1" ht="90">
      <c r="A4851" s="19">
        <v>43546.563252314816</v>
      </c>
      <c r="B4851" s="20" t="str">
        <f>HYPERLINK("https://twitter.com/StarterPad","@StarterPad")</f>
        <v>@StarterPad</v>
      </c>
      <c r="C4851" s="21" t="s">
        <v>629</v>
      </c>
      <c r="D4851" s="22" t="s">
        <v>8804</v>
      </c>
      <c r="E4851" s="23" t="str">
        <f>HYPERLINK("https://dosocial.com","DoSocial.com")</f>
        <v>DoSocial.com</v>
      </c>
      <c r="F4851" s="19">
        <v>41180.111018518517</v>
      </c>
      <c r="G4851" s="9" t="s">
        <v>13000</v>
      </c>
      <c r="H4851" s="35" t="s">
        <v>631</v>
      </c>
      <c r="I4851" s="25" t="s">
        <v>632</v>
      </c>
    </row>
    <row r="4852" spans="1:9" s="33" customFormat="1" ht="90">
      <c r="A4852" s="12">
        <v>43579.479212962964</v>
      </c>
      <c r="B4852" s="13" t="str">
        <f>HYPERLINK("https://twitter.com/StarterPad","@StarterPad")</f>
        <v>@StarterPad</v>
      </c>
      <c r="C4852" s="14" t="s">
        <v>629</v>
      </c>
      <c r="D4852" s="15" t="s">
        <v>630</v>
      </c>
      <c r="E4852" s="16" t="str">
        <f>HYPERLINK("https://dosocial.com","DoSocial.com")</f>
        <v>DoSocial.com</v>
      </c>
      <c r="F4852" s="12">
        <v>41180.111018518517</v>
      </c>
      <c r="G4852" s="9" t="s">
        <v>13000</v>
      </c>
      <c r="H4852" s="35" t="s">
        <v>631</v>
      </c>
      <c r="I4852" s="18" t="s">
        <v>632</v>
      </c>
    </row>
    <row r="4853" spans="1:9" s="33" customFormat="1" ht="45">
      <c r="A4853" s="19">
        <v>43551.720196759255</v>
      </c>
      <c r="B4853" s="20" t="str">
        <f>HYPERLINK("https://twitter.com/mdmv","@mdmv")</f>
        <v>@mdmv</v>
      </c>
      <c r="C4853" s="21" t="s">
        <v>7024</v>
      </c>
      <c r="D4853" s="22" t="s">
        <v>7025</v>
      </c>
      <c r="E4853" s="23" t="str">
        <f>HYPERLINK("http://twitter.com/download/iphone","Twitter for iPhone")</f>
        <v>Twitter for iPhone</v>
      </c>
      <c r="F4853" s="19">
        <v>39909.405185185184</v>
      </c>
      <c r="G4853" s="9" t="s">
        <v>13000</v>
      </c>
      <c r="H4853" s="35" t="s">
        <v>3392</v>
      </c>
      <c r="I4853" s="25" t="s">
        <v>7026</v>
      </c>
    </row>
    <row r="4854" spans="1:9" s="33" customFormat="1" ht="45">
      <c r="A4854" s="19">
        <v>43551.39471064815</v>
      </c>
      <c r="B4854" s="20" t="str">
        <f>HYPERLINK("https://twitter.com/nlabarbera","@nlabarbera")</f>
        <v>@nlabarbera</v>
      </c>
      <c r="C4854" s="21" t="s">
        <v>7240</v>
      </c>
      <c r="D4854" s="22" t="s">
        <v>7241</v>
      </c>
      <c r="E4854" s="23" t="str">
        <f>HYPERLINK("http://twitter.com","Twitter Web Client")</f>
        <v>Twitter Web Client</v>
      </c>
      <c r="F4854" s="19">
        <v>39984.723657407405</v>
      </c>
      <c r="G4854" s="9" t="s">
        <v>13000</v>
      </c>
      <c r="H4854" s="35" t="s">
        <v>3392</v>
      </c>
      <c r="I4854" s="25" t="s">
        <v>7242</v>
      </c>
    </row>
    <row r="4855" spans="1:9" s="33" customFormat="1" ht="30">
      <c r="A4855" s="19">
        <v>43550.605578703704</v>
      </c>
      <c r="B4855" s="20" t="str">
        <f>HYPERLINK("https://twitter.com/SFBusinessTimes","@SFBusinessTimes")</f>
        <v>@SFBusinessTimes</v>
      </c>
      <c r="C4855" s="21" t="s">
        <v>7590</v>
      </c>
      <c r="D4855" s="22" t="s">
        <v>7591</v>
      </c>
      <c r="E4855" s="23" t="str">
        <f>HYPERLINK("https://sproutsocial.com","Sprout Social")</f>
        <v>Sprout Social</v>
      </c>
      <c r="F4855" s="19">
        <v>39839.578680555554</v>
      </c>
      <c r="G4855" s="9" t="s">
        <v>13000</v>
      </c>
      <c r="H4855" s="35" t="s">
        <v>3392</v>
      </c>
      <c r="I4855" s="25" t="s">
        <v>7592</v>
      </c>
    </row>
    <row r="4856" spans="1:9" s="33" customFormat="1" ht="30">
      <c r="A4856" s="19">
        <v>43546.996076388888</v>
      </c>
      <c r="B4856" s="20" t="str">
        <f>HYPERLINK("https://twitter.com/ReLISTO","@ReLISTO")</f>
        <v>@ReLISTO</v>
      </c>
      <c r="C4856" s="21" t="s">
        <v>8687</v>
      </c>
      <c r="D4856" s="22" t="s">
        <v>8688</v>
      </c>
      <c r="E4856" s="23" t="str">
        <f>HYPERLINK("http://twitter.com","Twitter Web Client")</f>
        <v>Twitter Web Client</v>
      </c>
      <c r="F4856" s="19">
        <v>40148.684953703705</v>
      </c>
      <c r="G4856" s="9" t="s">
        <v>13000</v>
      </c>
      <c r="H4856" s="35" t="s">
        <v>3392</v>
      </c>
      <c r="I4856" s="25" t="s">
        <v>8689</v>
      </c>
    </row>
    <row r="4857" spans="1:9" s="33" customFormat="1" ht="120">
      <c r="A4857" s="4">
        <v>43556.841736111106</v>
      </c>
      <c r="B4857" s="5" t="str">
        <f>HYPERLINK("https://twitter.com/SFNewsfeedus","@SFNewsfeedus")</f>
        <v>@SFNewsfeedus</v>
      </c>
      <c r="C4857" s="6" t="s">
        <v>12726</v>
      </c>
      <c r="D4857" s="7" t="s">
        <v>12727</v>
      </c>
      <c r="E4857" s="8" t="str">
        <f>HYPERLINK("http://twitter.com","Twitter Web Client")</f>
        <v>Twitter Web Client</v>
      </c>
      <c r="F4857" s="4">
        <v>41959.571284722224</v>
      </c>
      <c r="G4857" s="9" t="s">
        <v>13000</v>
      </c>
      <c r="H4857" s="35" t="s">
        <v>3392</v>
      </c>
      <c r="I4857" s="10"/>
    </row>
    <row r="4858" spans="1:9" s="33" customFormat="1" ht="105">
      <c r="A4858" s="12">
        <v>43572.185046296298</v>
      </c>
      <c r="B4858" s="13" t="str">
        <f>HYPERLINK("https://twitter.com/hugoburet","@hugoburet")</f>
        <v>@hugoburet</v>
      </c>
      <c r="C4858" s="14" t="s">
        <v>3390</v>
      </c>
      <c r="D4858" s="15" t="s">
        <v>3391</v>
      </c>
      <c r="E4858" s="16" t="str">
        <f>HYPERLINK("http://twitter.com/download/android","Twitter for Android")</f>
        <v>Twitter for Android</v>
      </c>
      <c r="F4858" s="12">
        <v>39810.419039351851</v>
      </c>
      <c r="G4858" s="9" t="s">
        <v>13000</v>
      </c>
      <c r="H4858" s="35" t="s">
        <v>3392</v>
      </c>
      <c r="I4858" s="18" t="s">
        <v>3393</v>
      </c>
    </row>
    <row r="4859" spans="1:9" s="33" customFormat="1" ht="90">
      <c r="A4859" s="12">
        <v>43565.934328703705</v>
      </c>
      <c r="B4859" s="13" t="str">
        <f>HYPERLINK("https://twitter.com/BruceMirken","@BruceMirken")</f>
        <v>@BruceMirken</v>
      </c>
      <c r="C4859" s="14" t="s">
        <v>5846</v>
      </c>
      <c r="D4859" s="15" t="s">
        <v>5847</v>
      </c>
      <c r="E4859" s="16" t="str">
        <f>HYPERLINK("http://twitter.com/download/android","Twitter for Android")</f>
        <v>Twitter for Android</v>
      </c>
      <c r="F4859" s="12">
        <v>42068.594826388886</v>
      </c>
      <c r="G4859" s="9" t="s">
        <v>13000</v>
      </c>
      <c r="H4859" s="35" t="s">
        <v>3392</v>
      </c>
      <c r="I4859" s="18" t="s">
        <v>5848</v>
      </c>
    </row>
    <row r="4860" spans="1:9" s="33" customFormat="1" ht="45">
      <c r="A4860" s="4">
        <v>43564.87118055555</v>
      </c>
      <c r="B4860" s="5" t="str">
        <f>HYPERLINK("https://twitter.com/gfabre_digital","@gfabre_digital")</f>
        <v>@gfabre_digital</v>
      </c>
      <c r="C4860" s="6" t="s">
        <v>534</v>
      </c>
      <c r="D4860" s="7" t="s">
        <v>6392</v>
      </c>
      <c r="E4860" s="8" t="str">
        <f>HYPERLINK("http://www.iero.org","NewsKrunch")</f>
        <v>NewsKrunch</v>
      </c>
      <c r="F4860" s="4">
        <v>42769.191423611112</v>
      </c>
      <c r="G4860" s="9" t="s">
        <v>13000</v>
      </c>
      <c r="H4860" s="35" t="s">
        <v>536</v>
      </c>
      <c r="I4860" s="10" t="s">
        <v>537</v>
      </c>
    </row>
    <row r="4861" spans="1:9" s="33" customFormat="1" ht="45">
      <c r="A4861" s="12">
        <v>43579.632048611107</v>
      </c>
      <c r="B4861" s="13" t="str">
        <f>HYPERLINK("https://twitter.com/gfabre_digital","@gfabre_digital")</f>
        <v>@gfabre_digital</v>
      </c>
      <c r="C4861" s="14" t="s">
        <v>534</v>
      </c>
      <c r="D4861" s="15" t="s">
        <v>535</v>
      </c>
      <c r="E4861" s="16" t="str">
        <f>HYPERLINK("http://www.iero.org","NewsKrunch")</f>
        <v>NewsKrunch</v>
      </c>
      <c r="F4861" s="12">
        <v>42769.191423611112</v>
      </c>
      <c r="G4861" s="9" t="s">
        <v>13000</v>
      </c>
      <c r="H4861" s="35" t="s">
        <v>536</v>
      </c>
      <c r="I4861" s="18" t="s">
        <v>537</v>
      </c>
    </row>
    <row r="4862" spans="1:9" s="33" customFormat="1" ht="60">
      <c r="A4862" s="4">
        <v>43563.406956018516</v>
      </c>
      <c r="B4862" s="5" t="str">
        <f>HYPERLINK("https://twitter.com/AnitaMJohnson","@AnitaMJohnson")</f>
        <v>@AnitaMJohnson</v>
      </c>
      <c r="C4862" s="6" t="s">
        <v>10305</v>
      </c>
      <c r="D4862" s="7" t="s">
        <v>10306</v>
      </c>
      <c r="E4862" s="8" t="str">
        <f>HYPERLINK("http://twitter.com","Twitter Web Client")</f>
        <v>Twitter Web Client</v>
      </c>
      <c r="F4862" s="4">
        <v>39909.32403935185</v>
      </c>
      <c r="G4862" s="9" t="s">
        <v>13000</v>
      </c>
      <c r="H4862" s="35" t="s">
        <v>10307</v>
      </c>
      <c r="I4862" s="10" t="s">
        <v>10308</v>
      </c>
    </row>
    <row r="4863" spans="1:9" s="33" customFormat="1" ht="45">
      <c r="A4863" s="4">
        <v>43561.205555555556</v>
      </c>
      <c r="B4863" s="5" t="str">
        <f>HYPERLINK("https://twitter.com/MaxAgilityCorp","@MaxAgilityCorp")</f>
        <v>@MaxAgilityCorp</v>
      </c>
      <c r="C4863" s="6" t="s">
        <v>11032</v>
      </c>
      <c r="D4863" s="7" t="s">
        <v>11033</v>
      </c>
      <c r="E4863" s="8" t="str">
        <f>HYPERLINK("https://buffer.com","Buffer")</f>
        <v>Buffer</v>
      </c>
      <c r="F4863" s="4">
        <v>40638.791412037041</v>
      </c>
      <c r="G4863" s="9" t="s">
        <v>13000</v>
      </c>
      <c r="H4863" s="35" t="s">
        <v>10307</v>
      </c>
      <c r="I4863" s="10" t="s">
        <v>11034</v>
      </c>
    </row>
    <row r="4864" spans="1:9" s="33" customFormat="1" ht="60">
      <c r="A4864" s="19">
        <v>43551.487604166672</v>
      </c>
      <c r="B4864" s="20" t="str">
        <f>HYPERLINK("https://twitter.com/jluisbriones","@jluisbriones")</f>
        <v>@jluisbriones</v>
      </c>
      <c r="C4864" s="21" t="s">
        <v>7160</v>
      </c>
      <c r="D4864" s="22" t="s">
        <v>7161</v>
      </c>
      <c r="E4864" s="23" t="str">
        <f>HYPERLINK("http://twitter.com","Twitter Web Client")</f>
        <v>Twitter Web Client</v>
      </c>
      <c r="F4864" s="19">
        <v>40365.811053240745</v>
      </c>
      <c r="G4864" s="9" t="s">
        <v>13000</v>
      </c>
      <c r="H4864" s="35" t="s">
        <v>34</v>
      </c>
      <c r="I4864" s="25" t="s">
        <v>7162</v>
      </c>
    </row>
    <row r="4865" spans="1:9" s="33" customFormat="1" ht="45">
      <c r="A4865" s="19">
        <v>43551.449432870373</v>
      </c>
      <c r="B4865" s="20" t="str">
        <f>HYPERLINK("https://twitter.com/MThakkar_","@MThakkar_")</f>
        <v>@MThakkar_</v>
      </c>
      <c r="C4865" s="21" t="s">
        <v>7194</v>
      </c>
      <c r="D4865" s="22" t="s">
        <v>7195</v>
      </c>
      <c r="E4865" s="23" t="str">
        <f>HYPERLINK("https://mobile.twitter.com","Twitter Web App")</f>
        <v>Twitter Web App</v>
      </c>
      <c r="F4865" s="19">
        <v>41484.396122685182</v>
      </c>
      <c r="G4865" s="9" t="s">
        <v>13000</v>
      </c>
      <c r="H4865" s="35" t="s">
        <v>34</v>
      </c>
      <c r="I4865" s="25" t="s">
        <v>7196</v>
      </c>
    </row>
    <row r="4866" spans="1:9" s="33" customFormat="1" ht="45">
      <c r="A4866" s="19">
        <v>43551.431932870371</v>
      </c>
      <c r="B4866" s="20" t="str">
        <f>HYPERLINK("https://twitter.com/sirkamran32","@sirkamran32")</f>
        <v>@sirkamran32</v>
      </c>
      <c r="C4866" s="21" t="s">
        <v>7197</v>
      </c>
      <c r="D4866" s="22" t="s">
        <v>7198</v>
      </c>
      <c r="E4866" s="23" t="str">
        <f>HYPERLINK("https://mobile.twitter.com","Twitter Web App")</f>
        <v>Twitter Web App</v>
      </c>
      <c r="F4866" s="19">
        <v>39917.941574074073</v>
      </c>
      <c r="G4866" s="9" t="s">
        <v>13000</v>
      </c>
      <c r="H4866" s="35" t="s">
        <v>34</v>
      </c>
      <c r="I4866" s="25" t="s">
        <v>7199</v>
      </c>
    </row>
    <row r="4867" spans="1:9" s="33" customFormat="1" ht="30">
      <c r="A4867" s="19">
        <v>43550.423171296294</v>
      </c>
      <c r="B4867" s="20" t="str">
        <f>HYPERLINK("https://twitter.com/dailybnbsf","@dailybnbsf")</f>
        <v>@dailybnbsf</v>
      </c>
      <c r="C4867" s="21" t="s">
        <v>7673</v>
      </c>
      <c r="D4867" s="22" t="s">
        <v>7674</v>
      </c>
      <c r="E4867" s="23" t="str">
        <f>HYPERLINK("https://about.twitter.com/products/tweetdeck","TweetDeck")</f>
        <v>TweetDeck</v>
      </c>
      <c r="F4867" s="19">
        <v>43088.97356481482</v>
      </c>
      <c r="G4867" s="9" t="s">
        <v>13000</v>
      </c>
      <c r="H4867" s="35" t="s">
        <v>34</v>
      </c>
      <c r="I4867" s="25" t="s">
        <v>7675</v>
      </c>
    </row>
    <row r="4868" spans="1:9" s="33" customFormat="1" ht="30">
      <c r="A4868" s="19">
        <v>43550.348275462966</v>
      </c>
      <c r="B4868" s="20" t="str">
        <f>HYPERLINK("https://twitter.com/AirbnbMedia","@AirbnbMedia")</f>
        <v>@AirbnbMedia</v>
      </c>
      <c r="C4868" s="21" t="s">
        <v>742</v>
      </c>
      <c r="D4868" s="22" t="s">
        <v>7713</v>
      </c>
      <c r="E4868" s="23" t="str">
        <f>HYPERLINK("https://paper.li","Paper.li")</f>
        <v>Paper.li</v>
      </c>
      <c r="F4868" s="19">
        <v>42438.525219907402</v>
      </c>
      <c r="G4868" s="9" t="s">
        <v>13000</v>
      </c>
      <c r="H4868" s="35" t="s">
        <v>34</v>
      </c>
      <c r="I4868" s="25" t="s">
        <v>744</v>
      </c>
    </row>
    <row r="4869" spans="1:9" s="33" customFormat="1" ht="120">
      <c r="A4869" s="19">
        <v>43550.334756944445</v>
      </c>
      <c r="B4869" s="20" t="str">
        <f>HYPERLINK("https://twitter.com/BabyQuipCorp","@BabyQuipCorp")</f>
        <v>@BabyQuipCorp</v>
      </c>
      <c r="C4869" s="21" t="s">
        <v>7727</v>
      </c>
      <c r="D4869" s="22" t="s">
        <v>7728</v>
      </c>
      <c r="E4869" s="23" t="str">
        <f>HYPERLINK("https://buffer.com","Buffer")</f>
        <v>Buffer</v>
      </c>
      <c r="F4869" s="19">
        <v>42058.54215277778</v>
      </c>
      <c r="G4869" s="9" t="s">
        <v>13000</v>
      </c>
      <c r="H4869" s="35" t="s">
        <v>34</v>
      </c>
      <c r="I4869" s="25" t="s">
        <v>7729</v>
      </c>
    </row>
    <row r="4870" spans="1:9" s="33" customFormat="1" ht="105">
      <c r="A4870" s="19">
        <v>43549.237546296295</v>
      </c>
      <c r="B4870" s="20" t="str">
        <f>HYPERLINK("https://twitter.com/Woo_io","@Woo_io")</f>
        <v>@Woo_io</v>
      </c>
      <c r="C4870" s="21" t="s">
        <v>8123</v>
      </c>
      <c r="D4870" s="22" t="s">
        <v>8124</v>
      </c>
      <c r="E4870" s="23" t="str">
        <f>HYPERLINK("http://twitter.com","Twitter Web Client")</f>
        <v>Twitter Web Client</v>
      </c>
      <c r="F4870" s="19">
        <v>42392.581527777773</v>
      </c>
      <c r="G4870" s="9" t="s">
        <v>13000</v>
      </c>
      <c r="H4870" s="35" t="s">
        <v>34</v>
      </c>
      <c r="I4870" s="25" t="s">
        <v>8125</v>
      </c>
    </row>
    <row r="4871" spans="1:9" s="33" customFormat="1" ht="30">
      <c r="A4871" s="19">
        <v>43547.249814814815</v>
      </c>
      <c r="B4871" s="20" t="str">
        <f>HYPERLINK("https://twitter.com/dailybnbsf","@dailybnbsf")</f>
        <v>@dailybnbsf</v>
      </c>
      <c r="C4871" s="21" t="s">
        <v>7673</v>
      </c>
      <c r="D4871" s="22" t="s">
        <v>8616</v>
      </c>
      <c r="E4871" s="23" t="str">
        <f>HYPERLINK("https://about.twitter.com/products/tweetdeck","TweetDeck")</f>
        <v>TweetDeck</v>
      </c>
      <c r="F4871" s="19">
        <v>43088.97356481482</v>
      </c>
      <c r="G4871" s="9" t="s">
        <v>13000</v>
      </c>
      <c r="H4871" s="35" t="s">
        <v>34</v>
      </c>
      <c r="I4871" s="25" t="s">
        <v>7675</v>
      </c>
    </row>
    <row r="4872" spans="1:9" s="33" customFormat="1" ht="45">
      <c r="A4872" s="19">
        <v>43546.783680555556</v>
      </c>
      <c r="B4872" s="20" t="str">
        <f>HYPERLINK("https://twitter.com/sf_haiku","@sf_haiku")</f>
        <v>@sf_haiku</v>
      </c>
      <c r="C4872" s="21" t="s">
        <v>8733</v>
      </c>
      <c r="D4872" s="22" t="s">
        <v>8734</v>
      </c>
      <c r="E4872" s="23" t="str">
        <f>HYPERLINK("http://twitter.com/download/iphone","Twitter for iPhone")</f>
        <v>Twitter for iPhone</v>
      </c>
      <c r="F4872" s="19">
        <v>42377.644328703704</v>
      </c>
      <c r="G4872" s="9" t="s">
        <v>13000</v>
      </c>
      <c r="H4872" s="35" t="s">
        <v>34</v>
      </c>
      <c r="I4872" s="25" t="s">
        <v>8735</v>
      </c>
    </row>
    <row r="4873" spans="1:9" s="33" customFormat="1" ht="60">
      <c r="A4873" s="19">
        <v>43546.375671296293</v>
      </c>
      <c r="B4873" s="20" t="str">
        <f>HYPERLINK("https://twitter.com/hostfully_","@hostfully_")</f>
        <v>@hostfully_</v>
      </c>
      <c r="C4873" s="21" t="s">
        <v>32</v>
      </c>
      <c r="D4873" s="22" t="s">
        <v>8879</v>
      </c>
      <c r="E4873" s="23" t="str">
        <f>HYPERLINK("https://www.hootsuite.com","Hootsuite Inc.")</f>
        <v>Hootsuite Inc.</v>
      </c>
      <c r="F4873" s="19">
        <v>42198.80269675926</v>
      </c>
      <c r="G4873" s="9" t="s">
        <v>13000</v>
      </c>
      <c r="H4873" s="35" t="s">
        <v>34</v>
      </c>
      <c r="I4873" s="25" t="s">
        <v>35</v>
      </c>
    </row>
    <row r="4874" spans="1:9" s="33" customFormat="1" ht="45">
      <c r="A4874" s="19">
        <v>43545.348541666666</v>
      </c>
      <c r="B4874" s="20" t="str">
        <f>HYPERLINK("https://twitter.com/AirbnbMedia","@AirbnbMedia")</f>
        <v>@AirbnbMedia</v>
      </c>
      <c r="C4874" s="21" t="s">
        <v>742</v>
      </c>
      <c r="D4874" s="22" t="s">
        <v>9181</v>
      </c>
      <c r="E4874" s="23" t="str">
        <f>HYPERLINK("https://paper.li","Paper.li")</f>
        <v>Paper.li</v>
      </c>
      <c r="F4874" s="19">
        <v>42438.525219907402</v>
      </c>
      <c r="G4874" s="9" t="s">
        <v>13000</v>
      </c>
      <c r="H4874" s="35" t="s">
        <v>34</v>
      </c>
      <c r="I4874" s="25" t="s">
        <v>744</v>
      </c>
    </row>
    <row r="4875" spans="1:9" s="33" customFormat="1" ht="90">
      <c r="A4875" s="19">
        <v>43544.623564814814</v>
      </c>
      <c r="B4875" s="20" t="str">
        <f>HYPERLINK("https://twitter.com/YesPropF","@YesPropF")</f>
        <v>@YesPropF</v>
      </c>
      <c r="C4875" s="21" t="s">
        <v>9384</v>
      </c>
      <c r="D4875" s="22" t="s">
        <v>9385</v>
      </c>
      <c r="E4875" s="23" t="str">
        <f>HYPERLINK("http://twitter.com","Twitter Web Client")</f>
        <v>Twitter Web Client</v>
      </c>
      <c r="F4875" s="19">
        <v>41831.658043981479</v>
      </c>
      <c r="G4875" s="9" t="s">
        <v>13000</v>
      </c>
      <c r="H4875" s="35" t="s">
        <v>9386</v>
      </c>
      <c r="I4875" s="25" t="s">
        <v>9387</v>
      </c>
    </row>
    <row r="4876" spans="1:9" s="33" customFormat="1" ht="105">
      <c r="A4876" s="19">
        <v>43543.39197916667</v>
      </c>
      <c r="B4876" s="20" t="str">
        <f>HYPERLINK("https://twitter.com/sylvie_b","@sylvie_b")</f>
        <v>@sylvie_b</v>
      </c>
      <c r="C4876" s="21" t="s">
        <v>1217</v>
      </c>
      <c r="D4876" s="22" t="s">
        <v>9831</v>
      </c>
      <c r="E4876" s="23" t="str">
        <f>HYPERLINK("https://ifttt.com","IFTTT")</f>
        <v>IFTTT</v>
      </c>
      <c r="F4876" s="19">
        <v>39815.160879629628</v>
      </c>
      <c r="G4876" s="9" t="s">
        <v>13000</v>
      </c>
      <c r="H4876" s="35" t="s">
        <v>34</v>
      </c>
      <c r="I4876" s="25" t="s">
        <v>1219</v>
      </c>
    </row>
    <row r="4877" spans="1:9" s="33" customFormat="1" ht="120">
      <c r="A4877" s="19">
        <v>43543.334745370375</v>
      </c>
      <c r="B4877" s="20" t="str">
        <f>HYPERLINK("https://twitter.com/BabyQuipCorp","@BabyQuipCorp")</f>
        <v>@BabyQuipCorp</v>
      </c>
      <c r="C4877" s="21" t="s">
        <v>7727</v>
      </c>
      <c r="D4877" s="22" t="s">
        <v>9863</v>
      </c>
      <c r="E4877" s="23" t="str">
        <f>HYPERLINK("https://buffer.com","Buffer")</f>
        <v>Buffer</v>
      </c>
      <c r="F4877" s="19">
        <v>42058.54215277778</v>
      </c>
      <c r="G4877" s="9" t="s">
        <v>13000</v>
      </c>
      <c r="H4877" s="35" t="s">
        <v>34</v>
      </c>
      <c r="I4877" s="25" t="s">
        <v>7729</v>
      </c>
    </row>
    <row r="4878" spans="1:9" s="33" customFormat="1" ht="75">
      <c r="A4878" s="19">
        <v>43543.28979166667</v>
      </c>
      <c r="B4878" s="20" t="str">
        <f>HYPERLINK("https://twitter.com/mjebrini","@mjebrini")</f>
        <v>@mjebrini</v>
      </c>
      <c r="C4878" s="21" t="s">
        <v>9873</v>
      </c>
      <c r="D4878" s="22" t="s">
        <v>9874</v>
      </c>
      <c r="E4878" s="23" t="str">
        <f>HYPERLINK("http://twitter.com","Twitter Web Client")</f>
        <v>Twitter Web Client</v>
      </c>
      <c r="F4878" s="19">
        <v>40238.021493055552</v>
      </c>
      <c r="G4878" s="9" t="s">
        <v>13000</v>
      </c>
      <c r="H4878" s="35" t="s">
        <v>34</v>
      </c>
      <c r="I4878" s="25" t="s">
        <v>9875</v>
      </c>
    </row>
    <row r="4879" spans="1:9" s="33" customFormat="1" ht="105">
      <c r="A4879" s="19">
        <v>43542.783587962964</v>
      </c>
      <c r="B4879" s="20" t="str">
        <f>HYPERLINK("https://twitter.com/CodersEspresso","@CodersEspresso")</f>
        <v>@CodersEspresso</v>
      </c>
      <c r="C4879" s="21" t="s">
        <v>10020</v>
      </c>
      <c r="D4879" s="22" t="s">
        <v>10021</v>
      </c>
      <c r="E4879" s="23" t="str">
        <f>HYPERLINK("https://www.hootsuite.com","Hootsuite Inc.")</f>
        <v>Hootsuite Inc.</v>
      </c>
      <c r="F4879" s="19">
        <v>43527.493738425925</v>
      </c>
      <c r="G4879" s="9" t="s">
        <v>13000</v>
      </c>
      <c r="H4879" s="35" t="s">
        <v>34</v>
      </c>
      <c r="I4879" s="25" t="s">
        <v>10022</v>
      </c>
    </row>
    <row r="4880" spans="1:9" s="33" customFormat="1" ht="45">
      <c r="A4880" s="4">
        <v>43565.378692129627</v>
      </c>
      <c r="B4880" s="5" t="str">
        <f>HYPERLINK("https://twitter.com/hostfully_","@hostfully_")</f>
        <v>@hostfully_</v>
      </c>
      <c r="C4880" s="6" t="s">
        <v>32</v>
      </c>
      <c r="D4880" s="7" t="s">
        <v>6137</v>
      </c>
      <c r="E4880" s="8" t="str">
        <f>HYPERLINK("https://www.hootsuite.com","Hootsuite Inc.")</f>
        <v>Hootsuite Inc.</v>
      </c>
      <c r="F4880" s="4">
        <v>42198.80269675926</v>
      </c>
      <c r="G4880" s="9" t="s">
        <v>13000</v>
      </c>
      <c r="H4880" s="35" t="s">
        <v>34</v>
      </c>
      <c r="I4880" s="10" t="s">
        <v>35</v>
      </c>
    </row>
    <row r="4881" spans="1:9" s="33" customFormat="1" ht="75">
      <c r="A4881" s="4">
        <v>43564.640196759261</v>
      </c>
      <c r="B4881" s="5" t="str">
        <f>HYPERLINK("https://twitter.com/AirbnbEng","@AirbnbEng")</f>
        <v>@AirbnbEng</v>
      </c>
      <c r="C4881" s="6" t="s">
        <v>697</v>
      </c>
      <c r="D4881" s="7" t="s">
        <v>6477</v>
      </c>
      <c r="E4881" s="8" t="str">
        <f>HYPERLINK("http://twitter.com","Twitter Web Client")</f>
        <v>Twitter Web Client</v>
      </c>
      <c r="F4881" s="4">
        <v>41173.652407407411</v>
      </c>
      <c r="G4881" s="9" t="s">
        <v>13000</v>
      </c>
      <c r="H4881" s="35" t="s">
        <v>34</v>
      </c>
      <c r="I4881" s="10" t="s">
        <v>699</v>
      </c>
    </row>
    <row r="4882" spans="1:9" s="33" customFormat="1" ht="75">
      <c r="A4882" s="4">
        <v>43561.636249999996</v>
      </c>
      <c r="B4882" s="5" t="str">
        <f>HYPERLINK("https://twitter.com/albertfong98","@albertfong98")</f>
        <v>@albertfong98</v>
      </c>
      <c r="C4882" s="6" t="s">
        <v>10894</v>
      </c>
      <c r="D4882" s="7" t="s">
        <v>10895</v>
      </c>
      <c r="E4882" s="8" t="str">
        <f>HYPERLINK("http://twitter.com","Twitter Web Client")</f>
        <v>Twitter Web Client</v>
      </c>
      <c r="F4882" s="4">
        <v>40077.352430555555</v>
      </c>
      <c r="G4882" s="9" t="s">
        <v>13000</v>
      </c>
      <c r="H4882" s="35" t="s">
        <v>34</v>
      </c>
      <c r="I4882" s="10" t="s">
        <v>10896</v>
      </c>
    </row>
    <row r="4883" spans="1:9" s="33" customFormat="1" ht="30">
      <c r="A4883" s="4">
        <v>43561.593773148154</v>
      </c>
      <c r="B4883" s="5" t="str">
        <f>HYPERLINK("https://twitter.com/imNikParekh","@imNikParekh")</f>
        <v>@imNikParekh</v>
      </c>
      <c r="C4883" s="6" t="s">
        <v>10919</v>
      </c>
      <c r="D4883" s="7" t="s">
        <v>10920</v>
      </c>
      <c r="E4883" s="8" t="str">
        <f>HYPERLINK("https://buffer.com","Buffer")</f>
        <v>Buffer</v>
      </c>
      <c r="F4883" s="4">
        <v>43157.399097222224</v>
      </c>
      <c r="G4883" s="9" t="s">
        <v>13000</v>
      </c>
      <c r="H4883" s="35" t="s">
        <v>34</v>
      </c>
      <c r="I4883" s="10" t="s">
        <v>10921</v>
      </c>
    </row>
    <row r="4884" spans="1:9" s="33" customFormat="1" ht="75">
      <c r="A4884" s="4">
        <v>43561.109594907408</v>
      </c>
      <c r="B4884" s="5" t="str">
        <f>HYPERLINK("https://twitter.com/chenyuz","@chenyuz")</f>
        <v>@chenyuz</v>
      </c>
      <c r="C4884" s="6" t="s">
        <v>11067</v>
      </c>
      <c r="D4884" s="7" t="s">
        <v>11068</v>
      </c>
      <c r="E4884" s="8" t="str">
        <f>HYPERLINK("http://twitter.com/download/iphone","Twitter for iPhone")</f>
        <v>Twitter for iPhone</v>
      </c>
      <c r="F4884" s="4">
        <v>40071.025682870371</v>
      </c>
      <c r="G4884" s="9" t="s">
        <v>13000</v>
      </c>
      <c r="H4884" s="35" t="s">
        <v>34</v>
      </c>
      <c r="I4884" s="10" t="s">
        <v>11069</v>
      </c>
    </row>
    <row r="4885" spans="1:9" s="33" customFormat="1" ht="60">
      <c r="A4885" s="4">
        <v>43560.568333333329</v>
      </c>
      <c r="B4885" s="5" t="str">
        <f>HYPERLINK("https://twitter.com/jewishsf","@jewishsf")</f>
        <v>@jewishsf</v>
      </c>
      <c r="C4885" s="6" t="s">
        <v>11278</v>
      </c>
      <c r="D4885" s="7" t="s">
        <v>11279</v>
      </c>
      <c r="E4885" s="8" t="str">
        <f>HYPERLINK("http://twitter.com","Twitter Web Client")</f>
        <v>Twitter Web Client</v>
      </c>
      <c r="F4885" s="4">
        <v>39923.637430555558</v>
      </c>
      <c r="G4885" s="9" t="s">
        <v>13000</v>
      </c>
      <c r="H4885" s="35" t="s">
        <v>34</v>
      </c>
      <c r="I4885" s="10" t="s">
        <v>11280</v>
      </c>
    </row>
    <row r="4886" spans="1:9" s="33" customFormat="1" ht="60">
      <c r="A4886" s="4">
        <v>43559.447118055556</v>
      </c>
      <c r="B4886" s="5" t="str">
        <f>HYPERLINK("https://twitter.com/desmondyuen1","@desmondyuen1")</f>
        <v>@desmondyuen1</v>
      </c>
      <c r="C4886" s="6" t="s">
        <v>2430</v>
      </c>
      <c r="D4886" s="7" t="s">
        <v>11829</v>
      </c>
      <c r="E4886" s="8" t="str">
        <f>HYPERLINK("http://twitter.com","Twitter Web Client")</f>
        <v>Twitter Web Client</v>
      </c>
      <c r="F4886" s="4">
        <v>41546.485289351855</v>
      </c>
      <c r="G4886" s="9" t="s">
        <v>13000</v>
      </c>
      <c r="H4886" s="35" t="s">
        <v>34</v>
      </c>
      <c r="I4886" s="10" t="s">
        <v>2432</v>
      </c>
    </row>
    <row r="4887" spans="1:9" s="33" customFormat="1" ht="45">
      <c r="A4887" s="4">
        <v>43559.443495370375</v>
      </c>
      <c r="B4887" s="5" t="str">
        <f>HYPERLINK("https://twitter.com/albertfong98","@albertfong98")</f>
        <v>@albertfong98</v>
      </c>
      <c r="C4887" s="6" t="s">
        <v>10894</v>
      </c>
      <c r="D4887" s="7" t="s">
        <v>11838</v>
      </c>
      <c r="E4887" s="8" t="str">
        <f>HYPERLINK("http://twitter.com","Twitter Web Client")</f>
        <v>Twitter Web Client</v>
      </c>
      <c r="F4887" s="4">
        <v>40077.352430555555</v>
      </c>
      <c r="G4887" s="9" t="s">
        <v>13000</v>
      </c>
      <c r="H4887" s="35" t="s">
        <v>34</v>
      </c>
      <c r="I4887" s="10" t="s">
        <v>10896</v>
      </c>
    </row>
    <row r="4888" spans="1:9" s="33" customFormat="1" ht="30">
      <c r="A4888" s="4">
        <v>43558.55537037037</v>
      </c>
      <c r="B4888" s="5" t="str">
        <f>HYPERLINK("https://twitter.com/Orin_Ideas","@Orin_Ideas")</f>
        <v>@Orin_Ideas</v>
      </c>
      <c r="C4888" s="6" t="s">
        <v>12134</v>
      </c>
      <c r="D4888" s="7" t="s">
        <v>12135</v>
      </c>
      <c r="E4888" s="8" t="str">
        <f>HYPERLINK("https://paper.li","Paper.li")</f>
        <v>Paper.li</v>
      </c>
      <c r="F4888" s="4">
        <v>39931.808171296296</v>
      </c>
      <c r="G4888" s="9" t="s">
        <v>13000</v>
      </c>
      <c r="H4888" s="35" t="s">
        <v>34</v>
      </c>
      <c r="I4888" s="10" t="s">
        <v>12136</v>
      </c>
    </row>
    <row r="4889" spans="1:9" s="33" customFormat="1" ht="90">
      <c r="A4889" s="4">
        <v>43557.837523148148</v>
      </c>
      <c r="B4889" s="5" t="str">
        <f>HYPERLINK("https://twitter.com/jluisbriones","@jluisbriones")</f>
        <v>@jluisbriones</v>
      </c>
      <c r="C4889" s="6" t="s">
        <v>7160</v>
      </c>
      <c r="D4889" s="7" t="s">
        <v>12379</v>
      </c>
      <c r="E4889" s="8" t="str">
        <f>HYPERLINK("http://twitter.com","Twitter Web Client")</f>
        <v>Twitter Web Client</v>
      </c>
      <c r="F4889" s="4">
        <v>40365.811053240745</v>
      </c>
      <c r="G4889" s="9" t="s">
        <v>13000</v>
      </c>
      <c r="H4889" s="35" t="s">
        <v>34</v>
      </c>
      <c r="I4889" s="10" t="s">
        <v>7162</v>
      </c>
    </row>
    <row r="4890" spans="1:9" s="33" customFormat="1" ht="105">
      <c r="A4890" s="4">
        <v>43557.579953703702</v>
      </c>
      <c r="B4890" s="5" t="str">
        <f>HYPERLINK("https://twitter.com/pineapplesfd","@pineapplesfd")</f>
        <v>@pineapplesfd</v>
      </c>
      <c r="C4890" s="6" t="s">
        <v>12458</v>
      </c>
      <c r="D4890" s="7" t="s">
        <v>12459</v>
      </c>
      <c r="E4890" s="8" t="str">
        <f>HYPERLINK("https://about.twitter.com/products/tweetdeck","TweetDeck")</f>
        <v>TweetDeck</v>
      </c>
      <c r="F4890" s="4">
        <v>42886.91270833333</v>
      </c>
      <c r="G4890" s="9" t="s">
        <v>13000</v>
      </c>
      <c r="H4890" s="35" t="s">
        <v>34</v>
      </c>
      <c r="I4890" s="10" t="s">
        <v>12460</v>
      </c>
    </row>
    <row r="4891" spans="1:9" s="33" customFormat="1" ht="60">
      <c r="A4891" s="4">
        <v>43557.375555555554</v>
      </c>
      <c r="B4891" s="5" t="str">
        <f>HYPERLINK("https://twitter.com/hostfully_","@hostfully_")</f>
        <v>@hostfully_</v>
      </c>
      <c r="C4891" s="6" t="s">
        <v>32</v>
      </c>
      <c r="D4891" s="7" t="s">
        <v>12535</v>
      </c>
      <c r="E4891" s="8" t="str">
        <f>HYPERLINK("https://www.hootsuite.com","Hootsuite Inc.")</f>
        <v>Hootsuite Inc.</v>
      </c>
      <c r="F4891" s="4">
        <v>42198.80269675926</v>
      </c>
      <c r="G4891" s="9" t="s">
        <v>13000</v>
      </c>
      <c r="H4891" s="35" t="s">
        <v>34</v>
      </c>
      <c r="I4891" s="10" t="s">
        <v>35</v>
      </c>
    </row>
    <row r="4892" spans="1:9" s="33" customFormat="1" ht="105">
      <c r="A4892" s="4">
        <v>43557.250833333332</v>
      </c>
      <c r="B4892" s="5" t="str">
        <f>HYPERLINK("https://twitter.com/brookskcbsradio","@brookskcbsradio")</f>
        <v>@brookskcbsradio</v>
      </c>
      <c r="C4892" s="6" t="s">
        <v>12604</v>
      </c>
      <c r="D4892" s="7" t="s">
        <v>12605</v>
      </c>
      <c r="E4892" s="8" t="str">
        <f>HYPERLINK("http://twitter.com","Twitter Web Client")</f>
        <v>Twitter Web Client</v>
      </c>
      <c r="F4892" s="4">
        <v>41173.167210648149</v>
      </c>
      <c r="G4892" s="9" t="s">
        <v>13000</v>
      </c>
      <c r="H4892" s="35" t="s">
        <v>34</v>
      </c>
      <c r="I4892" s="10" t="s">
        <v>12606</v>
      </c>
    </row>
    <row r="4893" spans="1:9" s="33" customFormat="1" ht="45">
      <c r="A4893" s="12">
        <v>43580.833912037036</v>
      </c>
      <c r="B4893" s="13" t="str">
        <f>HYPERLINK("https://twitter.com/hostfully_","@hostfully_")</f>
        <v>@hostfully_</v>
      </c>
      <c r="C4893" s="14" t="s">
        <v>32</v>
      </c>
      <c r="D4893" s="15" t="s">
        <v>33</v>
      </c>
      <c r="E4893" s="16" t="str">
        <f>HYPERLINK("https://www.hootsuite.com","Hootsuite Inc.")</f>
        <v>Hootsuite Inc.</v>
      </c>
      <c r="F4893" s="12">
        <v>42199.261030092588</v>
      </c>
      <c r="G4893" s="9" t="s">
        <v>13000</v>
      </c>
      <c r="H4893" s="35" t="s">
        <v>34</v>
      </c>
      <c r="I4893" s="18" t="s">
        <v>35</v>
      </c>
    </row>
    <row r="4894" spans="1:9" s="33" customFormat="1" ht="45">
      <c r="A4894" s="12">
        <v>43579.541909722218</v>
      </c>
      <c r="B4894" s="13" t="str">
        <f>HYPERLINK("https://twitter.com/letulettoday","@letulettoday")</f>
        <v>@letulettoday</v>
      </c>
      <c r="C4894" s="14" t="s">
        <v>586</v>
      </c>
      <c r="D4894" s="15" t="s">
        <v>587</v>
      </c>
      <c r="E4894" s="16" t="str">
        <f>HYPERLINK("https://www.later.com","LaterMedia")</f>
        <v>LaterMedia</v>
      </c>
      <c r="F4894" s="12">
        <v>43083.657118055555</v>
      </c>
      <c r="G4894" s="9" t="s">
        <v>13000</v>
      </c>
      <c r="H4894" s="35" t="s">
        <v>34</v>
      </c>
      <c r="I4894" s="18" t="s">
        <v>588</v>
      </c>
    </row>
    <row r="4895" spans="1:9" s="33" customFormat="1" ht="75">
      <c r="A4895" s="12">
        <v>43579.390856481477</v>
      </c>
      <c r="B4895" s="13" t="str">
        <f>HYPERLINK("https://twitter.com/AirbnbEng","@AirbnbEng")</f>
        <v>@AirbnbEng</v>
      </c>
      <c r="C4895" s="14" t="s">
        <v>697</v>
      </c>
      <c r="D4895" s="15" t="s">
        <v>698</v>
      </c>
      <c r="E4895" s="16" t="str">
        <f>HYPERLINK("http://twitter.com","Twitter Web Client")</f>
        <v>Twitter Web Client</v>
      </c>
      <c r="F4895" s="12">
        <v>41173.652407407411</v>
      </c>
      <c r="G4895" s="9" t="s">
        <v>13000</v>
      </c>
      <c r="H4895" s="35" t="s">
        <v>34</v>
      </c>
      <c r="I4895" s="18" t="s">
        <v>699</v>
      </c>
    </row>
    <row r="4896" spans="1:9" s="33" customFormat="1" ht="45">
      <c r="A4896" s="12">
        <v>43579.348287037035</v>
      </c>
      <c r="B4896" s="13" t="str">
        <f>HYPERLINK("https://twitter.com/AirbnbMedia","@AirbnbMedia")</f>
        <v>@AirbnbMedia</v>
      </c>
      <c r="C4896" s="14" t="s">
        <v>742</v>
      </c>
      <c r="D4896" s="15" t="s">
        <v>743</v>
      </c>
      <c r="E4896" s="16" t="str">
        <f>HYPERLINK("https://paper.li","Paper.li")</f>
        <v>Paper.li</v>
      </c>
      <c r="F4896" s="12">
        <v>42438.525219907402</v>
      </c>
      <c r="G4896" s="9" t="s">
        <v>13000</v>
      </c>
      <c r="H4896" s="35" t="s">
        <v>34</v>
      </c>
      <c r="I4896" s="18" t="s">
        <v>744</v>
      </c>
    </row>
    <row r="4897" spans="1:9" s="33" customFormat="1" ht="105">
      <c r="A4897" s="12">
        <v>43578.416226851856</v>
      </c>
      <c r="B4897" s="13" t="str">
        <f>HYPERLINK("https://twitter.com/sylvie_b","@sylvie_b")</f>
        <v>@sylvie_b</v>
      </c>
      <c r="C4897" s="14" t="s">
        <v>1217</v>
      </c>
      <c r="D4897" s="15" t="s">
        <v>1218</v>
      </c>
      <c r="E4897" s="16" t="str">
        <f>HYPERLINK("https://ifttt.com","IFTTT")</f>
        <v>IFTTT</v>
      </c>
      <c r="F4897" s="12">
        <v>39815.160879629628</v>
      </c>
      <c r="G4897" s="9" t="s">
        <v>13000</v>
      </c>
      <c r="H4897" s="35" t="s">
        <v>34</v>
      </c>
      <c r="I4897" s="18" t="s">
        <v>1219</v>
      </c>
    </row>
    <row r="4898" spans="1:9" s="33" customFormat="1" ht="60">
      <c r="A4898" s="12">
        <v>43577.64607638889</v>
      </c>
      <c r="B4898" s="13" t="str">
        <f>HYPERLINK("https://twitter.com/ExploreBit","@ExploreBit")</f>
        <v>@ExploreBit</v>
      </c>
      <c r="C4898" s="14" t="s">
        <v>1531</v>
      </c>
      <c r="D4898" s="15" t="s">
        <v>1532</v>
      </c>
      <c r="E4898" s="16" t="str">
        <f>HYPERLINK("https://www.hootsuite.com","Hootsuite Inc.")</f>
        <v>Hootsuite Inc.</v>
      </c>
      <c r="F4898" s="12">
        <v>43435.058749999997</v>
      </c>
      <c r="G4898" s="9" t="s">
        <v>13000</v>
      </c>
      <c r="H4898" s="35" t="s">
        <v>34</v>
      </c>
      <c r="I4898" s="18" t="s">
        <v>1533</v>
      </c>
    </row>
    <row r="4899" spans="1:9" s="33" customFormat="1" ht="75">
      <c r="A4899" s="12">
        <v>43576.417824074073</v>
      </c>
      <c r="B4899" s="13" t="str">
        <f>HYPERLINK("https://twitter.com/ManageCasa","@ManageCasa")</f>
        <v>@ManageCasa</v>
      </c>
      <c r="C4899" s="14" t="s">
        <v>1956</v>
      </c>
      <c r="D4899" s="15" t="s">
        <v>1957</v>
      </c>
      <c r="E4899" s="16" t="str">
        <f>HYPERLINK("https://buffer.com","Buffer")</f>
        <v>Buffer</v>
      </c>
      <c r="F4899" s="12">
        <v>42085.648680555554</v>
      </c>
      <c r="G4899" s="9" t="s">
        <v>13000</v>
      </c>
      <c r="H4899" s="35" t="s">
        <v>34</v>
      </c>
      <c r="I4899" s="18" t="s">
        <v>1958</v>
      </c>
    </row>
    <row r="4900" spans="1:9" s="33" customFormat="1" ht="105">
      <c r="A4900" s="12">
        <v>43575.479224537034</v>
      </c>
      <c r="B4900" s="13" t="str">
        <f>HYPERLINK("https://twitter.com/letulettoday","@letulettoday")</f>
        <v>@letulettoday</v>
      </c>
      <c r="C4900" s="14" t="s">
        <v>586</v>
      </c>
      <c r="D4900" s="15" t="s">
        <v>2199</v>
      </c>
      <c r="E4900" s="16" t="str">
        <f>HYPERLINK("https://www.later.com","LaterMedia")</f>
        <v>LaterMedia</v>
      </c>
      <c r="F4900" s="12">
        <v>43083.657118055555</v>
      </c>
      <c r="G4900" s="9" t="s">
        <v>13000</v>
      </c>
      <c r="H4900" s="35" t="s">
        <v>34</v>
      </c>
      <c r="I4900" s="18" t="s">
        <v>588</v>
      </c>
    </row>
    <row r="4901" spans="1:9" s="33" customFormat="1" ht="90">
      <c r="A4901" s="12">
        <v>43574.815023148149</v>
      </c>
      <c r="B4901" s="13" t="str">
        <f>HYPERLINK("https://twitter.com/desmondyuen1","@desmondyuen1")</f>
        <v>@desmondyuen1</v>
      </c>
      <c r="C4901" s="14" t="s">
        <v>2430</v>
      </c>
      <c r="D4901" s="15" t="s">
        <v>2431</v>
      </c>
      <c r="E4901" s="16" t="str">
        <f>HYPERLINK("http://twitter.com","Twitter Web Client")</f>
        <v>Twitter Web Client</v>
      </c>
      <c r="F4901" s="12">
        <v>41546.485289351855</v>
      </c>
      <c r="G4901" s="9" t="s">
        <v>13000</v>
      </c>
      <c r="H4901" s="35" t="s">
        <v>34</v>
      </c>
      <c r="I4901" s="18" t="s">
        <v>2432</v>
      </c>
    </row>
    <row r="4902" spans="1:9" s="33" customFormat="1" ht="105">
      <c r="A4902" s="12">
        <v>43574.520914351851</v>
      </c>
      <c r="B4902" s="13" t="str">
        <f>HYPERLINK("https://twitter.com/letulettoday","@letulettoday")</f>
        <v>@letulettoday</v>
      </c>
      <c r="C4902" s="14" t="s">
        <v>586</v>
      </c>
      <c r="D4902" s="15" t="s">
        <v>2526</v>
      </c>
      <c r="E4902" s="16" t="str">
        <f>HYPERLINK("https://www.later.com","LaterMedia")</f>
        <v>LaterMedia</v>
      </c>
      <c r="F4902" s="12">
        <v>43083.657118055555</v>
      </c>
      <c r="G4902" s="9" t="s">
        <v>13000</v>
      </c>
      <c r="H4902" s="35" t="s">
        <v>34</v>
      </c>
      <c r="I4902" s="18" t="s">
        <v>588</v>
      </c>
    </row>
    <row r="4903" spans="1:9" s="33" customFormat="1" ht="75">
      <c r="A4903" s="12">
        <v>43573.4215625</v>
      </c>
      <c r="B4903" s="13" t="str">
        <f>HYPERLINK("https://twitter.com/ManageCasa","@ManageCasa")</f>
        <v>@ManageCasa</v>
      </c>
      <c r="C4903" s="14" t="s">
        <v>1956</v>
      </c>
      <c r="D4903" s="15" t="s">
        <v>2874</v>
      </c>
      <c r="E4903" s="16" t="str">
        <f>HYPERLINK("https://buffer.com","Buffer")</f>
        <v>Buffer</v>
      </c>
      <c r="F4903" s="12">
        <v>42085.648680555554</v>
      </c>
      <c r="G4903" s="9" t="s">
        <v>13000</v>
      </c>
      <c r="H4903" s="35" t="s">
        <v>34</v>
      </c>
      <c r="I4903" s="18" t="s">
        <v>1958</v>
      </c>
    </row>
    <row r="4904" spans="1:9" s="33" customFormat="1" ht="60">
      <c r="A4904" s="12">
        <v>43572.718773148154</v>
      </c>
      <c r="B4904" s="13" t="str">
        <f>HYPERLINK("https://twitter.com/ManageCasa","@ManageCasa")</f>
        <v>@ManageCasa</v>
      </c>
      <c r="C4904" s="14" t="s">
        <v>1956</v>
      </c>
      <c r="D4904" s="15" t="s">
        <v>3109</v>
      </c>
      <c r="E4904" s="16" t="str">
        <f>HYPERLINK("https://buffer.com","Buffer")</f>
        <v>Buffer</v>
      </c>
      <c r="F4904" s="12">
        <v>42085.648680555554</v>
      </c>
      <c r="G4904" s="9" t="s">
        <v>13000</v>
      </c>
      <c r="H4904" s="35" t="s">
        <v>34</v>
      </c>
      <c r="I4904" s="18" t="s">
        <v>1958</v>
      </c>
    </row>
    <row r="4905" spans="1:9" s="33" customFormat="1" ht="45">
      <c r="A4905" s="12">
        <v>43572.53334490741</v>
      </c>
      <c r="B4905" s="13" t="str">
        <f>HYPERLINK("https://twitter.com/HomeSharePros","@HomeSharePros")</f>
        <v>@HomeSharePros</v>
      </c>
      <c r="C4905" s="14" t="s">
        <v>3178</v>
      </c>
      <c r="D4905" s="15" t="s">
        <v>3179</v>
      </c>
      <c r="E4905" s="16" t="str">
        <f>HYPERLINK("https://buffer.com","Buffer")</f>
        <v>Buffer</v>
      </c>
      <c r="F4905" s="12">
        <v>43562.939120370371</v>
      </c>
      <c r="G4905" s="9" t="s">
        <v>13000</v>
      </c>
      <c r="H4905" s="35" t="s">
        <v>34</v>
      </c>
      <c r="I4905" s="18" t="s">
        <v>3180</v>
      </c>
    </row>
    <row r="4906" spans="1:9" s="33" customFormat="1" ht="90">
      <c r="A4906" s="12">
        <v>43572.458923611106</v>
      </c>
      <c r="B4906" s="13" t="str">
        <f>HYPERLINK("https://twitter.com/letulettoday","@letulettoday")</f>
        <v>@letulettoday</v>
      </c>
      <c r="C4906" s="14" t="s">
        <v>586</v>
      </c>
      <c r="D4906" s="15" t="s">
        <v>3230</v>
      </c>
      <c r="E4906" s="16" t="str">
        <f>HYPERLINK("https://www.later.com","LaterMedia")</f>
        <v>LaterMedia</v>
      </c>
      <c r="F4906" s="12">
        <v>43083.657118055555</v>
      </c>
      <c r="G4906" s="9" t="s">
        <v>13000</v>
      </c>
      <c r="H4906" s="35" t="s">
        <v>34</v>
      </c>
      <c r="I4906" s="18" t="s">
        <v>588</v>
      </c>
    </row>
    <row r="4907" spans="1:9" s="33" customFormat="1" ht="105">
      <c r="A4907" s="12">
        <v>43572.383368055554</v>
      </c>
      <c r="B4907" s="13" t="str">
        <f>HYPERLINK("https://twitter.com/coconut_cam","@coconut_cam")</f>
        <v>@coconut_cam</v>
      </c>
      <c r="C4907" s="14" t="s">
        <v>3274</v>
      </c>
      <c r="D4907" s="15" t="s">
        <v>3275</v>
      </c>
      <c r="E4907" s="16" t="str">
        <f>HYPERLINK("http://twitter.com/#!/download/ipad","Twitter for iPad")</f>
        <v>Twitter for iPad</v>
      </c>
      <c r="F4907" s="12">
        <v>41591.270949074074</v>
      </c>
      <c r="G4907" s="9" t="s">
        <v>13000</v>
      </c>
      <c r="H4907" s="35" t="s">
        <v>34</v>
      </c>
      <c r="I4907" s="18" t="s">
        <v>3276</v>
      </c>
    </row>
    <row r="4908" spans="1:9" s="33" customFormat="1" ht="45">
      <c r="A4908" s="12">
        <v>43572.383333333331</v>
      </c>
      <c r="B4908" s="13" t="str">
        <f>HYPERLINK("https://twitter.com/HomeSharePros","@HomeSharePros")</f>
        <v>@HomeSharePros</v>
      </c>
      <c r="C4908" s="14" t="s">
        <v>3178</v>
      </c>
      <c r="D4908" s="15" t="s">
        <v>3277</v>
      </c>
      <c r="E4908" s="16" t="str">
        <f>HYPERLINK("https://buffer.com","Buffer")</f>
        <v>Buffer</v>
      </c>
      <c r="F4908" s="12">
        <v>43562.939120370371</v>
      </c>
      <c r="G4908" s="9" t="s">
        <v>13000</v>
      </c>
      <c r="H4908" s="35" t="s">
        <v>34</v>
      </c>
      <c r="I4908" s="18" t="s">
        <v>3180</v>
      </c>
    </row>
    <row r="4909" spans="1:9" s="33" customFormat="1" ht="45">
      <c r="A4909" s="12">
        <v>43571.679872685185</v>
      </c>
      <c r="B4909" s="13" t="str">
        <f>HYPERLINK("https://twitter.com/HomeSharePros","@HomeSharePros")</f>
        <v>@HomeSharePros</v>
      </c>
      <c r="C4909" s="14" t="s">
        <v>3178</v>
      </c>
      <c r="D4909" s="15" t="s">
        <v>3590</v>
      </c>
      <c r="E4909" s="16" t="str">
        <f>HYPERLINK("https://buffer.com","Buffer")</f>
        <v>Buffer</v>
      </c>
      <c r="F4909" s="12">
        <v>43562.939120370371</v>
      </c>
      <c r="G4909" s="9" t="s">
        <v>13000</v>
      </c>
      <c r="H4909" s="35" t="s">
        <v>34</v>
      </c>
      <c r="I4909" s="18" t="s">
        <v>3180</v>
      </c>
    </row>
    <row r="4910" spans="1:9" s="33" customFormat="1" ht="60">
      <c r="A4910" s="12">
        <v>43571.610578703709</v>
      </c>
      <c r="B4910" s="13" t="str">
        <f>HYPERLINK("https://twitter.com/dalkatan","@dalkatan")</f>
        <v>@dalkatan</v>
      </c>
      <c r="C4910" s="14" t="s">
        <v>3612</v>
      </c>
      <c r="D4910" s="15" t="s">
        <v>3613</v>
      </c>
      <c r="E4910" s="16" t="str">
        <f>HYPERLINK("http://twitter.com/download/iphone","Twitter for iPhone")</f>
        <v>Twitter for iPhone</v>
      </c>
      <c r="F4910" s="12">
        <v>40181.680983796294</v>
      </c>
      <c r="G4910" s="9" t="s">
        <v>13000</v>
      </c>
      <c r="H4910" s="35" t="s">
        <v>34</v>
      </c>
      <c r="I4910" s="18" t="s">
        <v>3614</v>
      </c>
    </row>
    <row r="4911" spans="1:9" s="33" customFormat="1" ht="60">
      <c r="A4911" s="12">
        <v>43571.533333333333</v>
      </c>
      <c r="B4911" s="13" t="str">
        <f>HYPERLINK("https://twitter.com/HomeSharePros","@HomeSharePros")</f>
        <v>@HomeSharePros</v>
      </c>
      <c r="C4911" s="14" t="s">
        <v>3178</v>
      </c>
      <c r="D4911" s="15" t="s">
        <v>3651</v>
      </c>
      <c r="E4911" s="16" t="str">
        <f>HYPERLINK("https://buffer.com","Buffer")</f>
        <v>Buffer</v>
      </c>
      <c r="F4911" s="12">
        <v>43562.939120370371</v>
      </c>
      <c r="G4911" s="9" t="s">
        <v>13000</v>
      </c>
      <c r="H4911" s="35" t="s">
        <v>34</v>
      </c>
      <c r="I4911" s="18" t="s">
        <v>3180</v>
      </c>
    </row>
    <row r="4912" spans="1:9" s="33" customFormat="1" ht="45">
      <c r="A4912" s="12">
        <v>43571.437326388885</v>
      </c>
      <c r="B4912" s="13" t="str">
        <f>HYPERLINK("https://twitter.com/HomeSharePros","@HomeSharePros")</f>
        <v>@HomeSharePros</v>
      </c>
      <c r="C4912" s="14" t="s">
        <v>3178</v>
      </c>
      <c r="D4912" s="15" t="s">
        <v>3672</v>
      </c>
      <c r="E4912" s="16" t="str">
        <f>HYPERLINK("https://buffer.com","Buffer")</f>
        <v>Buffer</v>
      </c>
      <c r="F4912" s="12">
        <v>43562.939120370371</v>
      </c>
      <c r="G4912" s="9" t="s">
        <v>13000</v>
      </c>
      <c r="H4912" s="35" t="s">
        <v>34</v>
      </c>
      <c r="I4912" s="18" t="s">
        <v>3180</v>
      </c>
    </row>
    <row r="4913" spans="1:9" s="33" customFormat="1" ht="105">
      <c r="A4913" s="12">
        <v>43571.396979166668</v>
      </c>
      <c r="B4913" s="13" t="str">
        <f>HYPERLINK("https://twitter.com/ManageCasa","@ManageCasa")</f>
        <v>@ManageCasa</v>
      </c>
      <c r="C4913" s="14" t="s">
        <v>1956</v>
      </c>
      <c r="D4913" s="15" t="s">
        <v>3687</v>
      </c>
      <c r="E4913" s="16" t="str">
        <f>HYPERLINK("https://buffer.com","Buffer")</f>
        <v>Buffer</v>
      </c>
      <c r="F4913" s="12">
        <v>42085.648680555554</v>
      </c>
      <c r="G4913" s="9" t="s">
        <v>13000</v>
      </c>
      <c r="H4913" s="35" t="s">
        <v>34</v>
      </c>
      <c r="I4913" s="18" t="s">
        <v>1958</v>
      </c>
    </row>
    <row r="4914" spans="1:9" s="33" customFormat="1" ht="30">
      <c r="A4914" s="12">
        <v>43571.348287037035</v>
      </c>
      <c r="B4914" s="13" t="str">
        <f>HYPERLINK("https://twitter.com/AirbnbMedia","@AirbnbMedia")</f>
        <v>@AirbnbMedia</v>
      </c>
      <c r="C4914" s="14" t="s">
        <v>742</v>
      </c>
      <c r="D4914" s="15" t="s">
        <v>3718</v>
      </c>
      <c r="E4914" s="16" t="str">
        <f>HYPERLINK("https://paper.li","Paper.li")</f>
        <v>Paper.li</v>
      </c>
      <c r="F4914" s="12">
        <v>42438.525219907402</v>
      </c>
      <c r="G4914" s="9" t="s">
        <v>13000</v>
      </c>
      <c r="H4914" s="35" t="s">
        <v>34</v>
      </c>
      <c r="I4914" s="18" t="s">
        <v>744</v>
      </c>
    </row>
    <row r="4915" spans="1:9" s="33" customFormat="1" ht="105">
      <c r="A4915" s="12">
        <v>43570.828020833331</v>
      </c>
      <c r="B4915" s="13" t="str">
        <f>HYPERLINK("https://twitter.com/sylvie_b","@sylvie_b")</f>
        <v>@sylvie_b</v>
      </c>
      <c r="C4915" s="14" t="s">
        <v>1217</v>
      </c>
      <c r="D4915" s="15" t="s">
        <v>3972</v>
      </c>
      <c r="E4915" s="16" t="str">
        <f>HYPERLINK("https://ifttt.com","IFTTT")</f>
        <v>IFTTT</v>
      </c>
      <c r="F4915" s="12">
        <v>39815.160879629628</v>
      </c>
      <c r="G4915" s="9" t="s">
        <v>13000</v>
      </c>
      <c r="H4915" s="35" t="s">
        <v>34</v>
      </c>
      <c r="I4915" s="18" t="s">
        <v>1219</v>
      </c>
    </row>
    <row r="4916" spans="1:9" s="33" customFormat="1" ht="90">
      <c r="A4916" s="12">
        <v>43570.376041666663</v>
      </c>
      <c r="B4916" s="13" t="str">
        <f>HYPERLINK("https://twitter.com/hostfully_","@hostfully_")</f>
        <v>@hostfully_</v>
      </c>
      <c r="C4916" s="14" t="s">
        <v>32</v>
      </c>
      <c r="D4916" s="15" t="s">
        <v>4195</v>
      </c>
      <c r="E4916" s="16" t="str">
        <f>HYPERLINK("https://www.hootsuite.com","Hootsuite Inc.")</f>
        <v>Hootsuite Inc.</v>
      </c>
      <c r="F4916" s="12">
        <v>42198.80269675926</v>
      </c>
      <c r="G4916" s="9" t="s">
        <v>13000</v>
      </c>
      <c r="H4916" s="35" t="s">
        <v>34</v>
      </c>
      <c r="I4916" s="18" t="s">
        <v>35</v>
      </c>
    </row>
    <row r="4917" spans="1:9" s="33" customFormat="1" ht="45">
      <c r="A4917" s="12">
        <v>43570.348310185189</v>
      </c>
      <c r="B4917" s="13" t="str">
        <f>HYPERLINK("https://twitter.com/AirbnbMedia","@AirbnbMedia")</f>
        <v>@AirbnbMedia</v>
      </c>
      <c r="C4917" s="14" t="s">
        <v>742</v>
      </c>
      <c r="D4917" s="15" t="s">
        <v>4214</v>
      </c>
      <c r="E4917" s="16" t="str">
        <f>HYPERLINK("https://paper.li","Paper.li")</f>
        <v>Paper.li</v>
      </c>
      <c r="F4917" s="12">
        <v>42438.525219907402</v>
      </c>
      <c r="G4917" s="9" t="s">
        <v>13000</v>
      </c>
      <c r="H4917" s="35" t="s">
        <v>34</v>
      </c>
      <c r="I4917" s="18" t="s">
        <v>744</v>
      </c>
    </row>
    <row r="4918" spans="1:9" s="33" customFormat="1" ht="75">
      <c r="A4918" s="12">
        <v>43569.945428240739</v>
      </c>
      <c r="B4918" s="13" t="str">
        <f>HYPERLINK("https://twitter.com/HomeSharePros","@HomeSharePros")</f>
        <v>@HomeSharePros</v>
      </c>
      <c r="C4918" s="14" t="s">
        <v>3178</v>
      </c>
      <c r="D4918" s="15" t="s">
        <v>4374</v>
      </c>
      <c r="E4918" s="16" t="str">
        <f>HYPERLINK("http://twitter.com","Twitter Web Client")</f>
        <v>Twitter Web Client</v>
      </c>
      <c r="F4918" s="12">
        <v>43562.939120370371</v>
      </c>
      <c r="G4918" s="9" t="s">
        <v>13000</v>
      </c>
      <c r="H4918" s="35" t="s">
        <v>34</v>
      </c>
      <c r="I4918" s="18" t="s">
        <v>3180</v>
      </c>
    </row>
    <row r="4919" spans="1:9" s="33" customFormat="1" ht="45">
      <c r="A4919" s="12">
        <v>43569.700706018513</v>
      </c>
      <c r="B4919" s="13" t="str">
        <f>HYPERLINK("https://twitter.com/HomeSharePros","@HomeSharePros")</f>
        <v>@HomeSharePros</v>
      </c>
      <c r="C4919" s="14" t="s">
        <v>3178</v>
      </c>
      <c r="D4919" s="15" t="s">
        <v>4430</v>
      </c>
      <c r="E4919" s="16" t="str">
        <f>HYPERLINK("https://buffer.com","Buffer")</f>
        <v>Buffer</v>
      </c>
      <c r="F4919" s="12">
        <v>43562.939120370371</v>
      </c>
      <c r="G4919" s="9" t="s">
        <v>13000</v>
      </c>
      <c r="H4919" s="35" t="s">
        <v>34</v>
      </c>
      <c r="I4919" s="18" t="s">
        <v>3180</v>
      </c>
    </row>
    <row r="4920" spans="1:9" s="33" customFormat="1" ht="45">
      <c r="A4920" s="12">
        <v>43569.632650462961</v>
      </c>
      <c r="B4920" s="13" t="str">
        <f>HYPERLINK("https://twitter.com/HomeSharePros","@HomeSharePros")</f>
        <v>@HomeSharePros</v>
      </c>
      <c r="C4920" s="14" t="s">
        <v>3178</v>
      </c>
      <c r="D4920" s="15" t="s">
        <v>4449</v>
      </c>
      <c r="E4920" s="16" t="str">
        <f>HYPERLINK("https://buffer.com","Buffer")</f>
        <v>Buffer</v>
      </c>
      <c r="F4920" s="12">
        <v>43562.939120370371</v>
      </c>
      <c r="G4920" s="9" t="s">
        <v>13000</v>
      </c>
      <c r="H4920" s="35" t="s">
        <v>34</v>
      </c>
      <c r="I4920" s="18" t="s">
        <v>3180</v>
      </c>
    </row>
    <row r="4921" spans="1:9" s="33" customFormat="1" ht="45">
      <c r="A4921" s="12">
        <v>43569.501412037032</v>
      </c>
      <c r="B4921" s="13" t="str">
        <f>HYPERLINK("https://twitter.com/HomeSharePros","@HomeSharePros")</f>
        <v>@HomeSharePros</v>
      </c>
      <c r="C4921" s="14" t="s">
        <v>3178</v>
      </c>
      <c r="D4921" s="15" t="s">
        <v>4498</v>
      </c>
      <c r="E4921" s="16" t="str">
        <f>HYPERLINK("https://buffer.com","Buffer")</f>
        <v>Buffer</v>
      </c>
      <c r="F4921" s="12">
        <v>43562.939120370371</v>
      </c>
      <c r="G4921" s="9" t="s">
        <v>13000</v>
      </c>
      <c r="H4921" s="35" t="s">
        <v>34</v>
      </c>
      <c r="I4921" s="18" t="s">
        <v>3180</v>
      </c>
    </row>
    <row r="4922" spans="1:9" s="33" customFormat="1" ht="60">
      <c r="A4922" s="12">
        <v>43568.932997685188</v>
      </c>
      <c r="B4922" s="13" t="str">
        <f>HYPERLINK("https://twitter.com/AirCoHosts","@AirCoHosts")</f>
        <v>@AirCoHosts</v>
      </c>
      <c r="C4922" s="14" t="s">
        <v>4621</v>
      </c>
      <c r="D4922" s="15" t="s">
        <v>4622</v>
      </c>
      <c r="E4922" s="16" t="str">
        <f>HYPERLINK("http://twitter.com/download/iphone","Twitter for iPhone")</f>
        <v>Twitter for iPhone</v>
      </c>
      <c r="F4922" s="12">
        <v>43334.930937500001</v>
      </c>
      <c r="G4922" s="9" t="s">
        <v>13000</v>
      </c>
      <c r="H4922" s="35" t="s">
        <v>34</v>
      </c>
      <c r="I4922" s="18" t="s">
        <v>4623</v>
      </c>
    </row>
    <row r="4923" spans="1:9" s="33" customFormat="1" ht="45">
      <c r="A4923" s="12">
        <v>43568.53334490741</v>
      </c>
      <c r="B4923" s="13" t="str">
        <f>HYPERLINK("https://twitter.com/HomeSharePros","@HomeSharePros")</f>
        <v>@HomeSharePros</v>
      </c>
      <c r="C4923" s="14" t="s">
        <v>3178</v>
      </c>
      <c r="D4923" s="15" t="s">
        <v>4715</v>
      </c>
      <c r="E4923" s="16" t="str">
        <f>HYPERLINK("https://buffer.com","Buffer")</f>
        <v>Buffer</v>
      </c>
      <c r="F4923" s="12">
        <v>43562.939120370371</v>
      </c>
      <c r="G4923" s="9" t="s">
        <v>13000</v>
      </c>
      <c r="H4923" s="35" t="s">
        <v>34</v>
      </c>
      <c r="I4923" s="18" t="s">
        <v>3180</v>
      </c>
    </row>
    <row r="4924" spans="1:9" s="33" customFormat="1" ht="45">
      <c r="A4924" s="12">
        <v>43568.487511574072</v>
      </c>
      <c r="B4924" s="13" t="str">
        <f>HYPERLINK("https://twitter.com/HomeSharePros","@HomeSharePros")</f>
        <v>@HomeSharePros</v>
      </c>
      <c r="C4924" s="14" t="s">
        <v>3178</v>
      </c>
      <c r="D4924" s="15" t="s">
        <v>4739</v>
      </c>
      <c r="E4924" s="16" t="str">
        <f>HYPERLINK("https://buffer.com","Buffer")</f>
        <v>Buffer</v>
      </c>
      <c r="F4924" s="12">
        <v>43562.939120370371</v>
      </c>
      <c r="G4924" s="9" t="s">
        <v>13000</v>
      </c>
      <c r="H4924" s="35" t="s">
        <v>34</v>
      </c>
      <c r="I4924" s="18" t="s">
        <v>3180</v>
      </c>
    </row>
    <row r="4925" spans="1:9" s="33" customFormat="1" ht="45">
      <c r="A4925" s="12">
        <v>43568.046307870369</v>
      </c>
      <c r="B4925" s="13" t="str">
        <f>HYPERLINK("https://twitter.com/woodzio","@woodzio")</f>
        <v>@woodzio</v>
      </c>
      <c r="C4925" s="14" t="s">
        <v>4886</v>
      </c>
      <c r="D4925" s="15" t="s">
        <v>4887</v>
      </c>
      <c r="E4925" s="16" t="str">
        <f>HYPERLINK("https://ifttt.com","IFTTT")</f>
        <v>IFTTT</v>
      </c>
      <c r="F4925" s="12">
        <v>39758.53665509259</v>
      </c>
      <c r="G4925" s="9" t="s">
        <v>13000</v>
      </c>
      <c r="H4925" s="35" t="s">
        <v>34</v>
      </c>
      <c r="I4925" s="18" t="s">
        <v>4888</v>
      </c>
    </row>
    <row r="4926" spans="1:9" s="33" customFormat="1" ht="60">
      <c r="A4926" s="12">
        <v>43567.872928240744</v>
      </c>
      <c r="B4926" s="13" t="str">
        <f>HYPERLINK("https://twitter.com/HomeSharePros","@HomeSharePros")</f>
        <v>@HomeSharePros</v>
      </c>
      <c r="C4926" s="14" t="s">
        <v>3178</v>
      </c>
      <c r="D4926" s="15" t="s">
        <v>4926</v>
      </c>
      <c r="E4926" s="16" t="str">
        <f>HYPERLINK("https://buffer.com","Buffer")</f>
        <v>Buffer</v>
      </c>
      <c r="F4926" s="12">
        <v>43562.939120370371</v>
      </c>
      <c r="G4926" s="9" t="s">
        <v>13000</v>
      </c>
      <c r="H4926" s="35" t="s">
        <v>34</v>
      </c>
      <c r="I4926" s="18" t="s">
        <v>3180</v>
      </c>
    </row>
    <row r="4927" spans="1:9" s="33" customFormat="1" ht="45">
      <c r="A4927" s="12">
        <v>43567.861967592587</v>
      </c>
      <c r="B4927" s="13" t="str">
        <f>HYPERLINK("https://twitter.com/HomeSharePros","@HomeSharePros")</f>
        <v>@HomeSharePros</v>
      </c>
      <c r="C4927" s="14" t="s">
        <v>3178</v>
      </c>
      <c r="D4927" s="15" t="s">
        <v>4935</v>
      </c>
      <c r="E4927" s="16" t="str">
        <f>HYPERLINK("https://buffer.com","Buffer")</f>
        <v>Buffer</v>
      </c>
      <c r="F4927" s="12">
        <v>43562.939120370371</v>
      </c>
      <c r="G4927" s="9" t="s">
        <v>13000</v>
      </c>
      <c r="H4927" s="35" t="s">
        <v>34</v>
      </c>
      <c r="I4927" s="18" t="s">
        <v>3180</v>
      </c>
    </row>
    <row r="4928" spans="1:9" s="33" customFormat="1" ht="60">
      <c r="A4928" s="12">
        <v>43567.77611111111</v>
      </c>
      <c r="B4928" s="13" t="str">
        <f>HYPERLINK("https://twitter.com/HC1201","@HC1201")</f>
        <v>@HC1201</v>
      </c>
      <c r="C4928" s="14" t="s">
        <v>4954</v>
      </c>
      <c r="D4928" s="15" t="s">
        <v>4955</v>
      </c>
      <c r="E4928" s="16" t="str">
        <f>HYPERLINK("http://twitter.com/download/iphone","Twitter for iPhone")</f>
        <v>Twitter for iPhone</v>
      </c>
      <c r="F4928" s="12">
        <v>40121.389317129629</v>
      </c>
      <c r="G4928" s="9" t="s">
        <v>13000</v>
      </c>
      <c r="H4928" s="35" t="s">
        <v>34</v>
      </c>
      <c r="I4928" s="18" t="s">
        <v>4956</v>
      </c>
    </row>
    <row r="4929" spans="1:9" s="33" customFormat="1" ht="90">
      <c r="A4929" s="12">
        <v>43567.750578703708</v>
      </c>
      <c r="B4929" s="13" t="str">
        <f>HYPERLINK("https://twitter.com/WCCRentals","@WCCRentals")</f>
        <v>@WCCRentals</v>
      </c>
      <c r="C4929" s="14" t="s">
        <v>4962</v>
      </c>
      <c r="D4929" s="15" t="s">
        <v>4963</v>
      </c>
      <c r="E4929" s="16" t="str">
        <f>HYPERLINK("https://www.hootsuite.com","Hootsuite Inc.")</f>
        <v>Hootsuite Inc.</v>
      </c>
      <c r="F4929" s="12">
        <v>43536.483055555553</v>
      </c>
      <c r="G4929" s="9" t="s">
        <v>13000</v>
      </c>
      <c r="H4929" s="35" t="s">
        <v>34</v>
      </c>
      <c r="I4929" s="18" t="s">
        <v>4964</v>
      </c>
    </row>
    <row r="4930" spans="1:9" s="33" customFormat="1" ht="60">
      <c r="A4930" s="12">
        <v>43566.904872685191</v>
      </c>
      <c r="B4930" s="13" t="str">
        <f>HYPERLINK("https://twitter.com/AiymanHadi","@AiymanHadi")</f>
        <v>@AiymanHadi</v>
      </c>
      <c r="C4930" s="14" t="s">
        <v>5307</v>
      </c>
      <c r="D4930" s="15" t="s">
        <v>405</v>
      </c>
      <c r="E4930" s="16" t="str">
        <f>HYPERLINK("https://buffer.com","Buffer")</f>
        <v>Buffer</v>
      </c>
      <c r="F4930" s="12">
        <v>41760.493090277778</v>
      </c>
      <c r="G4930" s="9" t="s">
        <v>13000</v>
      </c>
      <c r="H4930" s="35" t="s">
        <v>34</v>
      </c>
      <c r="I4930" s="18" t="s">
        <v>5308</v>
      </c>
    </row>
    <row r="4931" spans="1:9" s="33" customFormat="1" ht="90">
      <c r="A4931" s="12">
        <v>43566.375625000001</v>
      </c>
      <c r="B4931" s="13" t="str">
        <f>HYPERLINK("https://twitter.com/hostfully_","@hostfully_")</f>
        <v>@hostfully_</v>
      </c>
      <c r="C4931" s="14" t="s">
        <v>32</v>
      </c>
      <c r="D4931" s="15" t="s">
        <v>5591</v>
      </c>
      <c r="E4931" s="16" t="str">
        <f>HYPERLINK("https://www.hootsuite.com","Hootsuite Inc.")</f>
        <v>Hootsuite Inc.</v>
      </c>
      <c r="F4931" s="12">
        <v>42198.80269675926</v>
      </c>
      <c r="G4931" s="9" t="s">
        <v>13000</v>
      </c>
      <c r="H4931" s="35" t="s">
        <v>34</v>
      </c>
      <c r="I4931" s="18" t="s">
        <v>35</v>
      </c>
    </row>
    <row r="4932" spans="1:9" s="33" customFormat="1" ht="90">
      <c r="A4932" s="12">
        <v>43566.360347222224</v>
      </c>
      <c r="B4932" s="13" t="str">
        <f>HYPERLINK("https://twitter.com/GoLeftMitali","@GoLeftMitali")</f>
        <v>@GoLeftMitali</v>
      </c>
      <c r="C4932" s="14" t="s">
        <v>5617</v>
      </c>
      <c r="D4932" s="15" t="s">
        <v>5618</v>
      </c>
      <c r="E4932" s="16" t="str">
        <f>HYPERLINK("http://twitter.com/download/iphone","Twitter for iPhone")</f>
        <v>Twitter for iPhone</v>
      </c>
      <c r="F4932" s="12">
        <v>40541.341087962966</v>
      </c>
      <c r="G4932" s="9" t="s">
        <v>13000</v>
      </c>
      <c r="H4932" s="35" t="s">
        <v>34</v>
      </c>
      <c r="I4932" s="18" t="s">
        <v>5619</v>
      </c>
    </row>
    <row r="4933" spans="1:9" s="33" customFormat="1" ht="60">
      <c r="A4933" s="12">
        <v>43564.625335648147</v>
      </c>
      <c r="B4933" s="13" t="str">
        <f>HYPERLINK("https://twitter.com/ExploreBit","@ExploreBit")</f>
        <v>@ExploreBit</v>
      </c>
      <c r="C4933" s="14" t="s">
        <v>1531</v>
      </c>
      <c r="D4933" s="15" t="s">
        <v>6489</v>
      </c>
      <c r="E4933" s="16" t="str">
        <f>HYPERLINK("https://www.hootsuite.com","Hootsuite Inc.")</f>
        <v>Hootsuite Inc.</v>
      </c>
      <c r="F4933" s="12">
        <v>43435.058749999997</v>
      </c>
      <c r="G4933" s="9" t="s">
        <v>13000</v>
      </c>
      <c r="H4933" s="35" t="s">
        <v>34</v>
      </c>
      <c r="I4933" s="18" t="s">
        <v>1533</v>
      </c>
    </row>
    <row r="4934" spans="1:9" s="33" customFormat="1" ht="75">
      <c r="A4934" s="4">
        <v>43564.11891203704</v>
      </c>
      <c r="B4934" s="5" t="str">
        <f>HYPERLINK("https://twitter.com/BambiBellina","@BambiBellina")</f>
        <v>@BambiBellina</v>
      </c>
      <c r="C4934" s="6" t="s">
        <v>6776</v>
      </c>
      <c r="D4934" s="7" t="s">
        <v>6777</v>
      </c>
      <c r="E4934" s="8" t="str">
        <f>HYPERLINK("http://twitter.com/download/android","Twitter for Android")</f>
        <v>Twitter for Android</v>
      </c>
      <c r="F4934" s="4">
        <v>40403.46775462963</v>
      </c>
      <c r="G4934" s="9" t="s">
        <v>13000</v>
      </c>
      <c r="H4934" s="35" t="s">
        <v>6778</v>
      </c>
      <c r="I4934" s="10" t="s">
        <v>6779</v>
      </c>
    </row>
    <row r="4935" spans="1:9" s="33" customFormat="1" ht="60">
      <c r="A4935" s="19">
        <v>43542.601388888885</v>
      </c>
      <c r="B4935" s="20" t="str">
        <f>HYPERLINK("https://twitter.com/thespiansfo","@thespiansfo")</f>
        <v>@thespiansfo</v>
      </c>
      <c r="C4935" s="21" t="s">
        <v>10081</v>
      </c>
      <c r="D4935" s="22" t="s">
        <v>10082</v>
      </c>
      <c r="E4935" s="23" t="str">
        <f>HYPERLINK("https://buffer.com","Buffer")</f>
        <v>Buffer</v>
      </c>
      <c r="F4935" s="19">
        <v>40290.457349537035</v>
      </c>
      <c r="G4935" s="9" t="s">
        <v>13000</v>
      </c>
      <c r="H4935" s="35" t="s">
        <v>4913</v>
      </c>
      <c r="I4935" s="25" t="s">
        <v>10083</v>
      </c>
    </row>
    <row r="4936" spans="1:9" s="33" customFormat="1" ht="120">
      <c r="A4936" s="12">
        <v>43567.955439814818</v>
      </c>
      <c r="B4936" s="13" t="str">
        <f>HYPERLINK("https://twitter.com/OreaHM1997","@OreaHM1997")</f>
        <v>@OreaHM1997</v>
      </c>
      <c r="C4936" s="14" t="s">
        <v>4911</v>
      </c>
      <c r="D4936" s="15" t="s">
        <v>4912</v>
      </c>
      <c r="E4936" s="16" t="str">
        <f>HYPERLINK("http://twitter.com","Twitter Web Client")</f>
        <v>Twitter Web Client</v>
      </c>
      <c r="F4936" s="12">
        <v>40547.101041666669</v>
      </c>
      <c r="G4936" s="9" t="s">
        <v>13000</v>
      </c>
      <c r="H4936" s="35" t="s">
        <v>4913</v>
      </c>
      <c r="I4936" s="18" t="s">
        <v>4914</v>
      </c>
    </row>
    <row r="4937" spans="1:9" s="33" customFormat="1" ht="75">
      <c r="A4937" s="4">
        <v>43562.007615740746</v>
      </c>
      <c r="B4937" s="5" t="str">
        <f>HYPERLINK("https://twitter.com/jenTCM","@jenTCM")</f>
        <v>@jenTCM</v>
      </c>
      <c r="C4937" s="6" t="s">
        <v>10775</v>
      </c>
      <c r="D4937" s="7" t="s">
        <v>10776</v>
      </c>
      <c r="E4937" s="8" t="str">
        <f>HYPERLINK("http://twitter.com","Twitter Web Client")</f>
        <v>Twitter Web Client</v>
      </c>
      <c r="F4937" s="4">
        <v>39611.359479166669</v>
      </c>
      <c r="G4937" s="9" t="s">
        <v>13000</v>
      </c>
      <c r="H4937" s="35" t="s">
        <v>10777</v>
      </c>
      <c r="I4937" s="10" t="s">
        <v>10778</v>
      </c>
    </row>
    <row r="4938" spans="1:9" s="33" customFormat="1" ht="75">
      <c r="A4938" s="12">
        <v>43576.779907407406</v>
      </c>
      <c r="B4938" s="13" t="str">
        <f>HYPERLINK("https://twitter.com/GoldenGateTrail","@GoldenGateTrail")</f>
        <v>@GoldenGateTrail</v>
      </c>
      <c r="C4938" s="14" t="s">
        <v>1842</v>
      </c>
      <c r="D4938" s="15" t="s">
        <v>1843</v>
      </c>
      <c r="E4938" s="16" t="str">
        <f>HYPERLINK("http://twitter.com","Twitter Web Client")</f>
        <v>Twitter Web Client</v>
      </c>
      <c r="F4938" s="12">
        <v>42049.37427083333</v>
      </c>
      <c r="G4938" s="17" t="s">
        <v>13000</v>
      </c>
      <c r="H4938" s="35" t="s">
        <v>1844</v>
      </c>
      <c r="I4938" s="18" t="s">
        <v>1845</v>
      </c>
    </row>
    <row r="4939" spans="1:9" s="33" customFormat="1" ht="45">
      <c r="A4939" s="4">
        <v>43557.01163194445</v>
      </c>
      <c r="B4939" s="5" t="str">
        <f>HYPERLINK("https://twitter.com/naashonomics","@naashonomics")</f>
        <v>@naashonomics</v>
      </c>
      <c r="C4939" s="6" t="s">
        <v>4676</v>
      </c>
      <c r="D4939" s="7" t="s">
        <v>12682</v>
      </c>
      <c r="E4939" s="8" t="str">
        <f>HYPERLINK("http://twitter.com/download/iphone","Twitter for iPhone")</f>
        <v>Twitter for iPhone</v>
      </c>
      <c r="F4939" s="4">
        <v>41196.926122685181</v>
      </c>
      <c r="G4939" s="17" t="s">
        <v>13000</v>
      </c>
      <c r="H4939" s="35" t="s">
        <v>4678</v>
      </c>
      <c r="I4939" s="10" t="s">
        <v>4679</v>
      </c>
    </row>
    <row r="4940" spans="1:9" s="33" customFormat="1" ht="75">
      <c r="A4940" s="12">
        <v>43568.653391203705</v>
      </c>
      <c r="B4940" s="13" t="str">
        <f>HYPERLINK("https://twitter.com/naashonomics","@naashonomics")</f>
        <v>@naashonomics</v>
      </c>
      <c r="C4940" s="14" t="s">
        <v>4676</v>
      </c>
      <c r="D4940" s="15" t="s">
        <v>4677</v>
      </c>
      <c r="E4940" s="16" t="str">
        <f>HYPERLINK("http://twitter.com","Twitter Web Client")</f>
        <v>Twitter Web Client</v>
      </c>
      <c r="F4940" s="12">
        <v>41196.926122685181</v>
      </c>
      <c r="G4940" s="17" t="s">
        <v>13000</v>
      </c>
      <c r="H4940" s="35" t="s">
        <v>4678</v>
      </c>
      <c r="I4940" s="18" t="s">
        <v>4679</v>
      </c>
    </row>
    <row r="4941" spans="1:9" s="33" customFormat="1" ht="90">
      <c r="A4941" s="12">
        <v>43568.240763888884</v>
      </c>
      <c r="B4941" s="13" t="str">
        <f>HYPERLINK("https://twitter.com/naashonomics","@naashonomics")</f>
        <v>@naashonomics</v>
      </c>
      <c r="C4941" s="14" t="s">
        <v>4676</v>
      </c>
      <c r="D4941" s="15" t="s">
        <v>4836</v>
      </c>
      <c r="E4941" s="16" t="str">
        <f>HYPERLINK("http://twitter.com/download/iphone","Twitter for iPhone")</f>
        <v>Twitter for iPhone</v>
      </c>
      <c r="F4941" s="12">
        <v>41196.926122685181</v>
      </c>
      <c r="G4941" s="17" t="s">
        <v>13000</v>
      </c>
      <c r="H4941" s="35" t="s">
        <v>4678</v>
      </c>
      <c r="I4941" s="18" t="s">
        <v>4679</v>
      </c>
    </row>
    <row r="4942" spans="1:9" s="33" customFormat="1" ht="75">
      <c r="A4942" s="12">
        <v>43567.382592592592</v>
      </c>
      <c r="B4942" s="13" t="str">
        <f>HYPERLINK("https://twitter.com/naashonomics","@naashonomics")</f>
        <v>@naashonomics</v>
      </c>
      <c r="C4942" s="14" t="s">
        <v>4676</v>
      </c>
      <c r="D4942" s="15" t="s">
        <v>5129</v>
      </c>
      <c r="E4942" s="16" t="str">
        <f>HYPERLINK("http://twitter.com","Twitter Web Client")</f>
        <v>Twitter Web Client</v>
      </c>
      <c r="F4942" s="12">
        <v>41196.926122685181</v>
      </c>
      <c r="G4942" s="17" t="s">
        <v>13000</v>
      </c>
      <c r="H4942" s="35" t="s">
        <v>4678</v>
      </c>
      <c r="I4942" s="18" t="s">
        <v>4679</v>
      </c>
    </row>
    <row r="4943" spans="1:9" s="33" customFormat="1" ht="90">
      <c r="A4943" s="19">
        <v>43544.604942129634</v>
      </c>
      <c r="B4943" s="20" t="str">
        <f>HYPERLINK("https://twitter.com/yattsiapp","@yattsiapp")</f>
        <v>@yattsiapp</v>
      </c>
      <c r="C4943" s="21" t="s">
        <v>9400</v>
      </c>
      <c r="D4943" s="22" t="s">
        <v>9401</v>
      </c>
      <c r="E4943" s="23" t="str">
        <f>HYPERLINK("https://www.hootsuite.com","Hootsuite Inc.")</f>
        <v>Hootsuite Inc.</v>
      </c>
      <c r="F4943" s="19">
        <v>42342.431030092594</v>
      </c>
      <c r="G4943" s="17" t="s">
        <v>13000</v>
      </c>
      <c r="H4943" s="35" t="s">
        <v>673</v>
      </c>
      <c r="I4943" s="25" t="s">
        <v>9402</v>
      </c>
    </row>
    <row r="4944" spans="1:9" s="33" customFormat="1" ht="30">
      <c r="A4944" s="19">
        <v>43542.578078703707</v>
      </c>
      <c r="B4944" s="20" t="str">
        <f>HYPERLINK("https://twitter.com/DaleWRealtor","@DaleWRealtor")</f>
        <v>@DaleWRealtor</v>
      </c>
      <c r="C4944" s="21" t="s">
        <v>10092</v>
      </c>
      <c r="D4944" s="22" t="s">
        <v>10093</v>
      </c>
      <c r="E4944" s="23" t="str">
        <f>HYPERLINK("https://www.circlepix.com/","Circlepix")</f>
        <v>Circlepix</v>
      </c>
      <c r="F4944" s="19">
        <v>40856.916944444441</v>
      </c>
      <c r="G4944" s="17" t="s">
        <v>13000</v>
      </c>
      <c r="H4944" s="35" t="s">
        <v>673</v>
      </c>
      <c r="I4944" s="25" t="s">
        <v>10094</v>
      </c>
    </row>
    <row r="4945" spans="1:9" s="33" customFormat="1" ht="90">
      <c r="A4945" s="4">
        <v>43562.717511574076</v>
      </c>
      <c r="B4945" s="5" t="str">
        <f>HYPERLINK("https://twitter.com/2desitravelers","@2desitravelers")</f>
        <v>@2desitravelers</v>
      </c>
      <c r="C4945" s="6" t="s">
        <v>10602</v>
      </c>
      <c r="D4945" s="7" t="s">
        <v>10603</v>
      </c>
      <c r="E4945" s="8" t="str">
        <f>HYPERLINK("http://twitter.com","Twitter Web Client")</f>
        <v>Twitter Web Client</v>
      </c>
      <c r="F4945" s="4">
        <v>43541.887592592597</v>
      </c>
      <c r="G4945" s="17" t="s">
        <v>13000</v>
      </c>
      <c r="H4945" s="35" t="s">
        <v>673</v>
      </c>
      <c r="I4945" s="10" t="s">
        <v>10604</v>
      </c>
    </row>
    <row r="4946" spans="1:9" s="33" customFormat="1" ht="90">
      <c r="A4946" s="4">
        <v>43557.507025462968</v>
      </c>
      <c r="B4946" s="5" t="str">
        <f>HYPERLINK("https://twitter.com/yattsiapp","@yattsiapp")</f>
        <v>@yattsiapp</v>
      </c>
      <c r="C4946" s="6" t="s">
        <v>9400</v>
      </c>
      <c r="D4946" s="7" t="s">
        <v>12490</v>
      </c>
      <c r="E4946" s="8" t="str">
        <f>HYPERLINK("https://www.hootsuite.com","Hootsuite Inc.")</f>
        <v>Hootsuite Inc.</v>
      </c>
      <c r="F4946" s="4">
        <v>42342.431030092594</v>
      </c>
      <c r="G4946" s="17" t="s">
        <v>13000</v>
      </c>
      <c r="H4946" s="35" t="s">
        <v>673</v>
      </c>
      <c r="I4946" s="10" t="s">
        <v>9402</v>
      </c>
    </row>
    <row r="4947" spans="1:9" s="33" customFormat="1" ht="90">
      <c r="A4947" s="4">
        <v>43557.507025462968</v>
      </c>
      <c r="B4947" s="5" t="str">
        <f>HYPERLINK("https://twitter.com/yattsiapp","@yattsiapp")</f>
        <v>@yattsiapp</v>
      </c>
      <c r="C4947" s="6" t="s">
        <v>9400</v>
      </c>
      <c r="D4947" s="7" t="s">
        <v>12491</v>
      </c>
      <c r="E4947" s="8" t="str">
        <f>HYPERLINK("https://www.hootsuite.com","Hootsuite Inc.")</f>
        <v>Hootsuite Inc.</v>
      </c>
      <c r="F4947" s="4">
        <v>42342.431030092594</v>
      </c>
      <c r="G4947" s="17" t="s">
        <v>13000</v>
      </c>
      <c r="H4947" s="35" t="s">
        <v>673</v>
      </c>
      <c r="I4947" s="10" t="s">
        <v>9402</v>
      </c>
    </row>
    <row r="4948" spans="1:9" s="33" customFormat="1" ht="105">
      <c r="A4948" s="12">
        <v>43579.418090277773</v>
      </c>
      <c r="B4948" s="13" t="str">
        <f>HYPERLINK("https://twitter.com/yattsiapp","@yattsiapp")</f>
        <v>@yattsiapp</v>
      </c>
      <c r="C4948" s="14" t="s">
        <v>671</v>
      </c>
      <c r="D4948" s="15" t="s">
        <v>672</v>
      </c>
      <c r="E4948" s="16" t="str">
        <f>HYPERLINK("https://www.hootsuite.com","Hootsuite Inc.")</f>
        <v>Hootsuite Inc.</v>
      </c>
      <c r="F4948" s="12">
        <v>42342.431030092594</v>
      </c>
      <c r="G4948" s="17" t="s">
        <v>13000</v>
      </c>
      <c r="H4948" s="35" t="s">
        <v>673</v>
      </c>
      <c r="I4948" s="18" t="s">
        <v>674</v>
      </c>
    </row>
    <row r="4949" spans="1:9" s="33" customFormat="1" ht="45">
      <c r="A4949" s="12">
        <v>43578.459652777776</v>
      </c>
      <c r="B4949" s="13" t="str">
        <f>HYPERLINK("https://twitter.com/carolynn_Hope","@carolynn_Hope")</f>
        <v>@carolynn_Hope</v>
      </c>
      <c r="C4949" s="14" t="s">
        <v>1188</v>
      </c>
      <c r="D4949" s="15" t="s">
        <v>1164</v>
      </c>
      <c r="E4949" s="16" t="str">
        <f>HYPERLINK("http://twitter.com/download/iphone","Twitter for iPhone")</f>
        <v>Twitter for iPhone</v>
      </c>
      <c r="F4949" s="12">
        <v>43084.473969907413</v>
      </c>
      <c r="G4949" s="17" t="s">
        <v>13000</v>
      </c>
      <c r="H4949" s="35" t="s">
        <v>673</v>
      </c>
      <c r="I4949" s="18" t="s">
        <v>1189</v>
      </c>
    </row>
    <row r="4950" spans="1:9" s="33" customFormat="1" ht="105">
      <c r="A4950" s="12">
        <v>43578.417754629627</v>
      </c>
      <c r="B4950" s="13" t="str">
        <f>HYPERLINK("https://twitter.com/yattsiapp","@yattsiapp")</f>
        <v>@yattsiapp</v>
      </c>
      <c r="C4950" s="14" t="s">
        <v>671</v>
      </c>
      <c r="D4950" s="15" t="s">
        <v>1216</v>
      </c>
      <c r="E4950" s="16" t="str">
        <f>HYPERLINK("https://www.hootsuite.com","Hootsuite Inc.")</f>
        <v>Hootsuite Inc.</v>
      </c>
      <c r="F4950" s="12">
        <v>42342.431030092594</v>
      </c>
      <c r="G4950" s="17" t="s">
        <v>13000</v>
      </c>
      <c r="H4950" s="35" t="s">
        <v>673</v>
      </c>
      <c r="I4950" s="18" t="s">
        <v>674</v>
      </c>
    </row>
    <row r="4951" spans="1:9" s="33" customFormat="1" ht="120">
      <c r="A4951" s="12">
        <v>43577.430659722224</v>
      </c>
      <c r="B4951" s="13" t="str">
        <f>HYPERLINK("https://twitter.com/yattsiapp","@yattsiapp")</f>
        <v>@yattsiapp</v>
      </c>
      <c r="C4951" s="14" t="s">
        <v>671</v>
      </c>
      <c r="D4951" s="15" t="s">
        <v>1639</v>
      </c>
      <c r="E4951" s="16" t="str">
        <f>HYPERLINK("https://www.hootsuite.com","Hootsuite Inc.")</f>
        <v>Hootsuite Inc.</v>
      </c>
      <c r="F4951" s="12">
        <v>42342.431030092594</v>
      </c>
      <c r="G4951" s="17" t="s">
        <v>13000</v>
      </c>
      <c r="H4951" s="35" t="s">
        <v>673</v>
      </c>
      <c r="I4951" s="18" t="s">
        <v>674</v>
      </c>
    </row>
    <row r="4952" spans="1:9" s="33" customFormat="1" ht="105">
      <c r="A4952" s="12">
        <v>43567.406423611115</v>
      </c>
      <c r="B4952" s="13" t="str">
        <f>HYPERLINK("https://twitter.com/yattsiapp","@yattsiapp")</f>
        <v>@yattsiapp</v>
      </c>
      <c r="C4952" s="14" t="s">
        <v>671</v>
      </c>
      <c r="D4952" s="15" t="s">
        <v>5117</v>
      </c>
      <c r="E4952" s="16" t="str">
        <f>HYPERLINK("http://twitter.com","Twitter Web Client")</f>
        <v>Twitter Web Client</v>
      </c>
      <c r="F4952" s="12">
        <v>42342.431030092594</v>
      </c>
      <c r="G4952" s="17" t="s">
        <v>13000</v>
      </c>
      <c r="H4952" s="35" t="s">
        <v>673</v>
      </c>
      <c r="I4952" s="18" t="s">
        <v>674</v>
      </c>
    </row>
    <row r="4953" spans="1:9" s="33" customFormat="1" ht="60">
      <c r="A4953" s="12">
        <v>43565.938530092593</v>
      </c>
      <c r="B4953" s="13" t="str">
        <f>HYPERLINK("https://twitter.com/MarioGudiel6","@MarioGudiel6")</f>
        <v>@MarioGudiel6</v>
      </c>
      <c r="C4953" s="14" t="s">
        <v>5844</v>
      </c>
      <c r="D4953" s="15" t="s">
        <v>5845</v>
      </c>
      <c r="E4953" s="16" t="str">
        <f>HYPERLINK("http://twitter.com/download/iphone","Twitter for iPhone")</f>
        <v>Twitter for iPhone</v>
      </c>
      <c r="F4953" s="12">
        <v>42955.871770833328</v>
      </c>
      <c r="G4953" s="17" t="s">
        <v>13000</v>
      </c>
      <c r="H4953" s="35" t="s">
        <v>673</v>
      </c>
      <c r="I4953" s="18"/>
    </row>
    <row r="4954" spans="1:9" s="33" customFormat="1" ht="120">
      <c r="A4954" s="12">
        <v>43571.364537037036</v>
      </c>
      <c r="B4954" s="13" t="str">
        <f>HYPERLINK("https://twitter.com/ivan_life","@ivan_life")</f>
        <v>@ivan_life</v>
      </c>
      <c r="C4954" s="14" t="s">
        <v>3708</v>
      </c>
      <c r="D4954" s="15" t="s">
        <v>3709</v>
      </c>
      <c r="E4954" s="16" t="str">
        <f>HYPERLINK("https://ifttt.com","IFTTT")</f>
        <v>IFTTT</v>
      </c>
      <c r="F4954" s="12">
        <v>39715.78707175926</v>
      </c>
      <c r="G4954" s="17" t="s">
        <v>13000</v>
      </c>
      <c r="H4954" s="35" t="s">
        <v>3710</v>
      </c>
      <c r="I4954" s="18" t="s">
        <v>3711</v>
      </c>
    </row>
    <row r="4955" spans="1:9" s="33" customFormat="1" ht="105">
      <c r="A4955" s="12">
        <v>43571.358287037037</v>
      </c>
      <c r="B4955" s="13" t="str">
        <f>HYPERLINK("https://twitter.com/ivan_life","@ivan_life")</f>
        <v>@ivan_life</v>
      </c>
      <c r="C4955" s="14" t="s">
        <v>3708</v>
      </c>
      <c r="D4955" s="15" t="s">
        <v>3712</v>
      </c>
      <c r="E4955" s="16" t="str">
        <f>HYPERLINK("https://ifttt.com","IFTTT")</f>
        <v>IFTTT</v>
      </c>
      <c r="F4955" s="12">
        <v>39715.78707175926</v>
      </c>
      <c r="G4955" s="17" t="s">
        <v>13000</v>
      </c>
      <c r="H4955" s="35" t="s">
        <v>3710</v>
      </c>
      <c r="I4955" s="18" t="s">
        <v>3711</v>
      </c>
    </row>
    <row r="4956" spans="1:9" s="33" customFormat="1" ht="60">
      <c r="A4956" s="19">
        <v>43551.809976851851</v>
      </c>
      <c r="B4956" s="20" t="str">
        <f>HYPERLINK("https://twitter.com/cherylferraro","@cherylferraro")</f>
        <v>@cherylferraro</v>
      </c>
      <c r="C4956" s="21" t="s">
        <v>2538</v>
      </c>
      <c r="D4956" s="22" t="s">
        <v>6993</v>
      </c>
      <c r="E4956" s="23" t="str">
        <f>HYPERLINK("http://twitter.com","Twitter Web Client")</f>
        <v>Twitter Web Client</v>
      </c>
      <c r="F4956" s="19">
        <v>39852.548981481479</v>
      </c>
      <c r="G4956" s="17" t="s">
        <v>13000</v>
      </c>
      <c r="H4956" s="35" t="s">
        <v>2540</v>
      </c>
      <c r="I4956" s="25" t="s">
        <v>2541</v>
      </c>
    </row>
    <row r="4957" spans="1:9" s="33" customFormat="1" ht="75">
      <c r="A4957" s="12">
        <v>43574.467418981483</v>
      </c>
      <c r="B4957" s="13" t="str">
        <f>HYPERLINK("https://twitter.com/cherylferraro","@cherylferraro")</f>
        <v>@cherylferraro</v>
      </c>
      <c r="C4957" s="14" t="s">
        <v>2538</v>
      </c>
      <c r="D4957" s="15" t="s">
        <v>2539</v>
      </c>
      <c r="E4957" s="16" t="str">
        <f>HYPERLINK("http://twitter.com","Twitter Web Client")</f>
        <v>Twitter Web Client</v>
      </c>
      <c r="F4957" s="12">
        <v>39852.548981481479</v>
      </c>
      <c r="G4957" s="17" t="s">
        <v>13000</v>
      </c>
      <c r="H4957" s="35" t="s">
        <v>2540</v>
      </c>
      <c r="I4957" s="18" t="s">
        <v>2541</v>
      </c>
    </row>
    <row r="4958" spans="1:9" s="33" customFormat="1" ht="45">
      <c r="A4958" s="19">
        <v>43546.652025462958</v>
      </c>
      <c r="B4958" s="20" t="str">
        <f>HYPERLINK("https://twitter.com/PuertoRicoRent","@PuertoRicoRent")</f>
        <v>@PuertoRicoRent</v>
      </c>
      <c r="C4958" s="21" t="s">
        <v>8778</v>
      </c>
      <c r="D4958" s="22" t="s">
        <v>8779</v>
      </c>
      <c r="E4958" s="23" t="str">
        <f>HYPERLINK("http://twitter.com/download/iphone","Twitter for iPhone")</f>
        <v>Twitter for iPhone</v>
      </c>
      <c r="F4958" s="19">
        <v>42050.744074074071</v>
      </c>
      <c r="G4958" s="17" t="s">
        <v>13000</v>
      </c>
      <c r="H4958" s="35" t="s">
        <v>8780</v>
      </c>
      <c r="I4958" s="25" t="s">
        <v>8781</v>
      </c>
    </row>
    <row r="4959" spans="1:9" s="33" customFormat="1" ht="75">
      <c r="A4959" s="4">
        <v>43562.980682870373</v>
      </c>
      <c r="B4959" s="5" t="str">
        <f>HYPERLINK("https://twitter.com/llauradocs","@llauradocs")</f>
        <v>@llauradocs</v>
      </c>
      <c r="C4959" s="6" t="s">
        <v>10519</v>
      </c>
      <c r="D4959" s="7" t="s">
        <v>10520</v>
      </c>
      <c r="E4959" s="8" t="str">
        <f>HYPERLINK("http://twitter.com/download/iphone","Twitter for iPhone")</f>
        <v>Twitter for iPhone</v>
      </c>
      <c r="F4959" s="4">
        <v>41314.31790509259</v>
      </c>
      <c r="G4959" s="24" t="s">
        <v>13000</v>
      </c>
      <c r="H4959" s="35" t="s">
        <v>10521</v>
      </c>
      <c r="I4959" s="10" t="s">
        <v>10522</v>
      </c>
    </row>
    <row r="4960" spans="1:9" s="33" customFormat="1" ht="75">
      <c r="A4960" s="4">
        <v>43565.600694444445</v>
      </c>
      <c r="B4960" s="5" t="str">
        <f>HYPERLINK("https://twitter.com/swsanmarcosca","@swsanmarcosca")</f>
        <v>@swsanmarcosca</v>
      </c>
      <c r="C4960" s="6" t="s">
        <v>5410</v>
      </c>
      <c r="D4960" s="7" t="s">
        <v>6007</v>
      </c>
      <c r="E4960" s="8" t="str">
        <f>HYPERLINK("https://about.twitter.com/products/tweetdeck","TweetDeck")</f>
        <v>TweetDeck</v>
      </c>
      <c r="F4960" s="4">
        <v>40068.440729166665</v>
      </c>
      <c r="G4960" s="24" t="s">
        <v>13000</v>
      </c>
      <c r="H4960" s="35" t="s">
        <v>5412</v>
      </c>
      <c r="I4960" s="10" t="s">
        <v>5413</v>
      </c>
    </row>
    <row r="4961" spans="1:9" s="33" customFormat="1" ht="60">
      <c r="A4961" s="12">
        <v>43566.600694444445</v>
      </c>
      <c r="B4961" s="13" t="str">
        <f>HYPERLINK("https://twitter.com/swsanmarcosca","@swsanmarcosca")</f>
        <v>@swsanmarcosca</v>
      </c>
      <c r="C4961" s="14" t="s">
        <v>5410</v>
      </c>
      <c r="D4961" s="15" t="s">
        <v>5411</v>
      </c>
      <c r="E4961" s="16" t="str">
        <f>HYPERLINK("https://about.twitter.com/products/tweetdeck","TweetDeck")</f>
        <v>TweetDeck</v>
      </c>
      <c r="F4961" s="12">
        <v>40068.440729166665</v>
      </c>
      <c r="G4961" s="24" t="s">
        <v>13000</v>
      </c>
      <c r="H4961" s="35" t="s">
        <v>5412</v>
      </c>
      <c r="I4961" s="18" t="s">
        <v>5413</v>
      </c>
    </row>
    <row r="4962" spans="1:9" s="33" customFormat="1" ht="30">
      <c r="A4962" s="12">
        <v>43568.901076388887</v>
      </c>
      <c r="B4962" s="13" t="str">
        <f>HYPERLINK("https://twitter.com/Darrencmanjones","@Darrencmanjones")</f>
        <v>@Darrencmanjones</v>
      </c>
      <c r="C4962" s="14" t="s">
        <v>4639</v>
      </c>
      <c r="D4962" s="15" t="s">
        <v>4640</v>
      </c>
      <c r="E4962" s="16" t="str">
        <f>HYPERLINK("http://twitter.com/download/iphone","Twitter for iPhone")</f>
        <v>Twitter for iPhone</v>
      </c>
      <c r="F4962" s="12">
        <v>40789.592314814814</v>
      </c>
      <c r="G4962" s="24" t="s">
        <v>13000</v>
      </c>
      <c r="H4962" s="35" t="s">
        <v>4641</v>
      </c>
      <c r="I4962" s="18" t="s">
        <v>4642</v>
      </c>
    </row>
    <row r="4963" spans="1:9" s="33" customFormat="1" ht="90">
      <c r="A4963" s="19">
        <v>43546.428854166668</v>
      </c>
      <c r="B4963" s="20" t="str">
        <f>HYPERLINK("https://twitter.com/SofaOutlet","@SofaOutlet")</f>
        <v>@SofaOutlet</v>
      </c>
      <c r="C4963" s="21" t="s">
        <v>8865</v>
      </c>
      <c r="D4963" s="22" t="s">
        <v>8866</v>
      </c>
      <c r="E4963" s="23" t="str">
        <f>HYPERLINK("http://instagram.com","Instagram")</f>
        <v>Instagram</v>
      </c>
      <c r="F4963" s="19">
        <v>39923.935763888891</v>
      </c>
      <c r="G4963" s="24" t="s">
        <v>13000</v>
      </c>
      <c r="H4963" s="35" t="s">
        <v>8867</v>
      </c>
      <c r="I4963" s="25" t="s">
        <v>8868</v>
      </c>
    </row>
    <row r="4964" spans="1:9" s="33" customFormat="1" ht="90">
      <c r="A4964" s="12">
        <v>43567.569513888884</v>
      </c>
      <c r="B4964" s="13" t="str">
        <f>HYPERLINK("https://twitter.com/UP2Save","@UP2Save")</f>
        <v>@UP2Save</v>
      </c>
      <c r="C4964" s="14" t="s">
        <v>5043</v>
      </c>
      <c r="D4964" s="15" t="s">
        <v>5044</v>
      </c>
      <c r="E4964" s="16" t="str">
        <f>HYPERLINK("http://app.sendblur.com","Social Media Publisher App ")</f>
        <v xml:space="preserve">Social Media Publisher App </v>
      </c>
      <c r="F4964" s="12">
        <v>41258.719212962962</v>
      </c>
      <c r="G4964" s="17" t="s">
        <v>13000</v>
      </c>
      <c r="H4964" s="35" t="s">
        <v>5045</v>
      </c>
      <c r="I4964" s="18" t="s">
        <v>5046</v>
      </c>
    </row>
    <row r="4965" spans="1:9" s="33" customFormat="1" ht="120">
      <c r="A4965" s="4">
        <v>43560.306793981479</v>
      </c>
      <c r="B4965" s="5" t="str">
        <f>HYPERLINK("https://twitter.com/drveresh","@drveresh")</f>
        <v>@drveresh</v>
      </c>
      <c r="C4965" s="6" t="s">
        <v>11480</v>
      </c>
      <c r="D4965" s="7" t="s">
        <v>11481</v>
      </c>
      <c r="E4965" s="8" t="str">
        <f>HYPERLINK("http://twitter.com/download/iphone","Twitter for iPhone")</f>
        <v>Twitter for iPhone</v>
      </c>
      <c r="F4965" s="4">
        <v>40780.456342592595</v>
      </c>
      <c r="G4965" s="17" t="s">
        <v>13000</v>
      </c>
      <c r="H4965" s="35" t="s">
        <v>11482</v>
      </c>
      <c r="I4965" s="10" t="s">
        <v>11483</v>
      </c>
    </row>
    <row r="4966" spans="1:9" s="33" customFormat="1" ht="60">
      <c r="A4966" s="12">
        <v>43573.890833333338</v>
      </c>
      <c r="B4966" s="13" t="str">
        <f>HYPERLINK("https://twitter.com/kooop","@kooop")</f>
        <v>@kooop</v>
      </c>
      <c r="C4966" s="14" t="s">
        <v>2710</v>
      </c>
      <c r="D4966" s="15" t="s">
        <v>2711</v>
      </c>
      <c r="E4966" s="16" t="str">
        <f>HYPERLINK("http://twitter.com/download/android","Twitter for Android")</f>
        <v>Twitter for Android</v>
      </c>
      <c r="F4966" s="12">
        <v>39240.89234953704</v>
      </c>
      <c r="G4966" s="17" t="s">
        <v>13000</v>
      </c>
      <c r="H4966" s="35" t="s">
        <v>2712</v>
      </c>
      <c r="I4966" s="18" t="s">
        <v>2713</v>
      </c>
    </row>
    <row r="4967" spans="1:9" s="33" customFormat="1" ht="60">
      <c r="A4967" s="12">
        <v>43579.871145833335</v>
      </c>
      <c r="B4967" s="13" t="str">
        <f>HYPERLINK("https://twitter.com/pingwest","@pingwest")</f>
        <v>@pingwest</v>
      </c>
      <c r="C4967" s="14" t="s">
        <v>423</v>
      </c>
      <c r="D4967" s="15" t="s">
        <v>424</v>
      </c>
      <c r="E4967" s="16" t="str">
        <f>HYPERLINK("https://mobile.twitter.com","Twitter Web App")</f>
        <v>Twitter Web App</v>
      </c>
      <c r="F4967" s="12">
        <v>41172.400625000002</v>
      </c>
      <c r="G4967" s="17" t="s">
        <v>13000</v>
      </c>
      <c r="H4967" s="35" t="s">
        <v>425</v>
      </c>
      <c r="I4967" s="18" t="s">
        <v>426</v>
      </c>
    </row>
    <row r="4968" spans="1:9" s="33" customFormat="1" ht="105">
      <c r="A4968" s="4">
        <v>43559.56181712963</v>
      </c>
      <c r="B4968" s="5" t="str">
        <f>HYPERLINK("https://twitter.com/ActivateWorld","@ActivateWorld")</f>
        <v>@ActivateWorld</v>
      </c>
      <c r="C4968" s="6" t="s">
        <v>11762</v>
      </c>
      <c r="D4968" s="7" t="s">
        <v>11763</v>
      </c>
      <c r="E4968" s="8" t="str">
        <f>HYPERLINK("https://buffer.com","Buffer")</f>
        <v>Buffer</v>
      </c>
      <c r="F4968" s="4">
        <v>41473.820798611108</v>
      </c>
      <c r="G4968" s="17" t="s">
        <v>13000</v>
      </c>
      <c r="H4968" s="35" t="s">
        <v>11764</v>
      </c>
      <c r="I4968" s="10" t="s">
        <v>11765</v>
      </c>
    </row>
    <row r="4969" spans="1:9" s="33" customFormat="1" ht="105">
      <c r="A4969" s="19">
        <v>43547.5</v>
      </c>
      <c r="B4969" s="20" t="str">
        <f>HYPERLINK("https://twitter.com/ZumblyOfficial","@ZumblyOfficial")</f>
        <v>@ZumblyOfficial</v>
      </c>
      <c r="C4969" s="21" t="s">
        <v>8523</v>
      </c>
      <c r="D4969" s="22" t="s">
        <v>8524</v>
      </c>
      <c r="E4969" s="23" t="str">
        <f>HYPERLINK("https://ads-api.twitter.com","Twitter Ads Composer")</f>
        <v>Twitter Ads Composer</v>
      </c>
      <c r="F4969" s="19">
        <v>43041.493437500001</v>
      </c>
      <c r="G4969" s="17" t="s">
        <v>13000</v>
      </c>
      <c r="H4969" s="35" t="s">
        <v>517</v>
      </c>
      <c r="I4969" s="25" t="s">
        <v>8525</v>
      </c>
    </row>
    <row r="4970" spans="1:9" s="33" customFormat="1" ht="90">
      <c r="A4970" s="19">
        <v>43545.75</v>
      </c>
      <c r="B4970" s="20" t="str">
        <f>HYPERLINK("https://twitter.com/ZumblyOfficial","@ZumblyOfficial")</f>
        <v>@ZumblyOfficial</v>
      </c>
      <c r="C4970" s="21" t="s">
        <v>8523</v>
      </c>
      <c r="D4970" s="22" t="s">
        <v>9062</v>
      </c>
      <c r="E4970" s="23" t="str">
        <f>HYPERLINK("https://ads-api.twitter.com","Twitter Ads Composer")</f>
        <v>Twitter Ads Composer</v>
      </c>
      <c r="F4970" s="19">
        <v>43041.493437500001</v>
      </c>
      <c r="G4970" s="17" t="s">
        <v>13000</v>
      </c>
      <c r="H4970" s="35" t="s">
        <v>517</v>
      </c>
      <c r="I4970" s="25" t="s">
        <v>8525</v>
      </c>
    </row>
    <row r="4971" spans="1:9" s="33" customFormat="1" ht="105">
      <c r="A4971" s="19">
        <v>43545.62501157407</v>
      </c>
      <c r="B4971" s="20" t="str">
        <f>HYPERLINK("https://twitter.com/ZumblyOfficial","@ZumblyOfficial")</f>
        <v>@ZumblyOfficial</v>
      </c>
      <c r="C4971" s="21" t="s">
        <v>8523</v>
      </c>
      <c r="D4971" s="22" t="s">
        <v>8524</v>
      </c>
      <c r="E4971" s="23" t="str">
        <f>HYPERLINK("https://ads-api.twitter.com","Twitter Ads Composer")</f>
        <v>Twitter Ads Composer</v>
      </c>
      <c r="F4971" s="19">
        <v>43041.493437500001</v>
      </c>
      <c r="G4971" s="17" t="s">
        <v>13000</v>
      </c>
      <c r="H4971" s="35" t="s">
        <v>517</v>
      </c>
      <c r="I4971" s="25" t="s">
        <v>8525</v>
      </c>
    </row>
    <row r="4972" spans="1:9" s="33" customFormat="1" ht="90">
      <c r="A4972" s="19">
        <v>43545.375023148154</v>
      </c>
      <c r="B4972" s="20" t="str">
        <f>HYPERLINK("https://twitter.com/ZumblyOfficial","@ZumblyOfficial")</f>
        <v>@ZumblyOfficial</v>
      </c>
      <c r="C4972" s="21" t="s">
        <v>8523</v>
      </c>
      <c r="D4972" s="22" t="s">
        <v>9169</v>
      </c>
      <c r="E4972" s="23" t="str">
        <f>HYPERLINK("https://ads-api.twitter.com","Twitter Ads Composer")</f>
        <v>Twitter Ads Composer</v>
      </c>
      <c r="F4972" s="19">
        <v>43041.493437500001</v>
      </c>
      <c r="G4972" s="17" t="s">
        <v>13000</v>
      </c>
      <c r="H4972" s="35" t="s">
        <v>517</v>
      </c>
      <c r="I4972" s="25" t="s">
        <v>8525</v>
      </c>
    </row>
    <row r="4973" spans="1:9" s="33" customFormat="1" ht="105">
      <c r="A4973" s="19">
        <v>43543.625</v>
      </c>
      <c r="B4973" s="20" t="str">
        <f>HYPERLINK("https://twitter.com/ZumblyOfficial","@ZumblyOfficial")</f>
        <v>@ZumblyOfficial</v>
      </c>
      <c r="C4973" s="21" t="s">
        <v>8523</v>
      </c>
      <c r="D4973" s="22" t="s">
        <v>8524</v>
      </c>
      <c r="E4973" s="23" t="str">
        <f>HYPERLINK("https://ads-api.twitter.com","Twitter Ads Composer")</f>
        <v>Twitter Ads Composer</v>
      </c>
      <c r="F4973" s="19">
        <v>43041.493437500001</v>
      </c>
      <c r="G4973" s="17" t="s">
        <v>13000</v>
      </c>
      <c r="H4973" s="35" t="s">
        <v>517</v>
      </c>
      <c r="I4973" s="25" t="s">
        <v>8525</v>
      </c>
    </row>
    <row r="4974" spans="1:9" s="33" customFormat="1" ht="45">
      <c r="A4974" s="12">
        <v>43579.684710648144</v>
      </c>
      <c r="B4974" s="13" t="str">
        <f>HYPERLINK("https://twitter.com/GoldenCapital1","@GoldenCapital1")</f>
        <v>@GoldenCapital1</v>
      </c>
      <c r="C4974" s="14" t="s">
        <v>515</v>
      </c>
      <c r="D4974" s="15" t="s">
        <v>516</v>
      </c>
      <c r="E4974" s="16" t="str">
        <f>HYPERLINK("http://twitter.com/download/iphone","Twitter for iPhone")</f>
        <v>Twitter for iPhone</v>
      </c>
      <c r="F4974" s="12">
        <v>41589.485358796301</v>
      </c>
      <c r="G4974" s="17" t="s">
        <v>13000</v>
      </c>
      <c r="H4974" s="35" t="s">
        <v>517</v>
      </c>
      <c r="I4974" s="18" t="s">
        <v>518</v>
      </c>
    </row>
    <row r="4975" spans="1:9" s="33" customFormat="1" ht="60">
      <c r="A4975" s="12">
        <v>43572.65693287037</v>
      </c>
      <c r="B4975" s="13" t="str">
        <f>HYPERLINK("https://twitter.com/Mediakix","@Mediakix")</f>
        <v>@Mediakix</v>
      </c>
      <c r="C4975" s="14" t="s">
        <v>3128</v>
      </c>
      <c r="D4975" s="15" t="s">
        <v>3129</v>
      </c>
      <c r="E4975" s="16" t="str">
        <f>HYPERLINK("http://www.hubspot.com/","HubSpot")</f>
        <v>HubSpot</v>
      </c>
      <c r="F4975" s="12">
        <v>41199.523530092592</v>
      </c>
      <c r="G4975" s="17" t="s">
        <v>13000</v>
      </c>
      <c r="H4975" s="35" t="s">
        <v>517</v>
      </c>
      <c r="I4975" s="18" t="s">
        <v>3130</v>
      </c>
    </row>
    <row r="4976" spans="1:9" s="33" customFormat="1" ht="45">
      <c r="A4976" s="12">
        <v>43570.836631944447</v>
      </c>
      <c r="B4976" s="13" t="str">
        <f>HYPERLINK("https://twitter.com/hunterlong1337","@hunterlong1337")</f>
        <v>@hunterlong1337</v>
      </c>
      <c r="C4976" s="14" t="s">
        <v>3963</v>
      </c>
      <c r="D4976" s="15" t="s">
        <v>3964</v>
      </c>
      <c r="E4976" s="16" t="str">
        <f>HYPERLINK("https://ifttt.com","IFTTT")</f>
        <v>IFTTT</v>
      </c>
      <c r="F4976" s="12">
        <v>42919.960462962961</v>
      </c>
      <c r="G4976" s="17" t="s">
        <v>13000</v>
      </c>
      <c r="H4976" s="35" t="s">
        <v>517</v>
      </c>
      <c r="I4976" s="18" t="s">
        <v>3965</v>
      </c>
    </row>
    <row r="4977" spans="1:9" s="33" customFormat="1" ht="45">
      <c r="A4977" s="19">
        <v>43546.578819444447</v>
      </c>
      <c r="B4977" s="20" t="str">
        <f>HYPERLINK("https://twitter.com/MoneyShows","@MoneyShows")</f>
        <v>@MoneyShows</v>
      </c>
      <c r="C4977" s="21" t="s">
        <v>8795</v>
      </c>
      <c r="D4977" s="22" t="s">
        <v>8796</v>
      </c>
      <c r="E4977" s="23" t="str">
        <f>HYPERLINK("http://www.hubspot.com/","HubSpot")</f>
        <v>HubSpot</v>
      </c>
      <c r="F4977" s="19">
        <v>39749.5237962963</v>
      </c>
      <c r="G4977" s="17" t="s">
        <v>13000</v>
      </c>
      <c r="H4977" s="35" t="s">
        <v>1120</v>
      </c>
      <c r="I4977" s="25" t="s">
        <v>8797</v>
      </c>
    </row>
    <row r="4978" spans="1:9" s="33" customFormat="1" ht="30">
      <c r="A4978" s="19">
        <v>43543.541724537034</v>
      </c>
      <c r="B4978" s="20" t="str">
        <f>HYPERLINK("https://twitter.com/MargieAbernethy","@MargieAbernethy")</f>
        <v>@MargieAbernethy</v>
      </c>
      <c r="C4978" s="21" t="s">
        <v>1118</v>
      </c>
      <c r="D4978" s="22" t="s">
        <v>9760</v>
      </c>
      <c r="E4978" s="23" t="str">
        <f>HYPERLINK("https://postfity.com","Postfity.com")</f>
        <v>Postfity.com</v>
      </c>
      <c r="F4978" s="19">
        <v>41634.400694444441</v>
      </c>
      <c r="G4978" s="17" t="s">
        <v>13000</v>
      </c>
      <c r="H4978" s="35" t="s">
        <v>1120</v>
      </c>
      <c r="I4978" s="25" t="s">
        <v>9761</v>
      </c>
    </row>
    <row r="4979" spans="1:9" s="33" customFormat="1" ht="45">
      <c r="A4979" s="12">
        <v>43578.666307870371</v>
      </c>
      <c r="B4979" s="13" t="str">
        <f>HYPERLINK("https://twitter.com/MargieAbernethy","@MargieAbernethy")</f>
        <v>@MargieAbernethy</v>
      </c>
      <c r="C4979" s="14" t="s">
        <v>1118</v>
      </c>
      <c r="D4979" s="15" t="s">
        <v>1119</v>
      </c>
      <c r="E4979" s="16" t="str">
        <f>HYPERLINK("https://postfity.com","Postfity.com")</f>
        <v>Postfity.com</v>
      </c>
      <c r="F4979" s="12">
        <v>41634.400694444441</v>
      </c>
      <c r="G4979" s="17" t="s">
        <v>13000</v>
      </c>
      <c r="H4979" s="35" t="s">
        <v>1120</v>
      </c>
      <c r="I4979" s="18" t="s">
        <v>1121</v>
      </c>
    </row>
    <row r="4980" spans="1:9" s="33" customFormat="1" ht="45">
      <c r="A4980" s="12">
        <v>43570.329976851848</v>
      </c>
      <c r="B4980" s="13" t="str">
        <f>HYPERLINK("https://twitter.com/MargieAbernethy","@MargieAbernethy")</f>
        <v>@MargieAbernethy</v>
      </c>
      <c r="C4980" s="14" t="s">
        <v>1118</v>
      </c>
      <c r="D4980" s="15" t="s">
        <v>4222</v>
      </c>
      <c r="E4980" s="16" t="str">
        <f>HYPERLINK("https://postfity.com","Postfity.com")</f>
        <v>Postfity.com</v>
      </c>
      <c r="F4980" s="12">
        <v>41634.400694444441</v>
      </c>
      <c r="G4980" s="17" t="s">
        <v>13000</v>
      </c>
      <c r="H4980" s="35" t="s">
        <v>1120</v>
      </c>
      <c r="I4980" s="18" t="s">
        <v>1121</v>
      </c>
    </row>
    <row r="4981" spans="1:9" s="33" customFormat="1" ht="60">
      <c r="A4981" s="4">
        <v>43556.77920138889</v>
      </c>
      <c r="B4981" s="5" t="str">
        <f>HYPERLINK("https://twitter.com/lakeandtrack","@lakeandtrack")</f>
        <v>@lakeandtrack</v>
      </c>
      <c r="C4981" s="6" t="s">
        <v>12739</v>
      </c>
      <c r="D4981" s="7" t="s">
        <v>12740</v>
      </c>
      <c r="E4981" s="8" t="str">
        <f>HYPERLINK("http://twitter.com/download/android","Twitter for Android")</f>
        <v>Twitter for Android</v>
      </c>
      <c r="F4981" s="4">
        <v>43287.787604166668</v>
      </c>
      <c r="G4981" s="17" t="s">
        <v>13000</v>
      </c>
      <c r="H4981" s="35" t="s">
        <v>12741</v>
      </c>
      <c r="I4981" s="10" t="s">
        <v>12742</v>
      </c>
    </row>
    <row r="4982" spans="1:9" s="33" customFormat="1" ht="90">
      <c r="A4982" s="19">
        <v>43549.511145833334</v>
      </c>
      <c r="B4982" s="20" t="str">
        <f>HYPERLINK("https://twitter.com/AzresortL","@AzresortL")</f>
        <v>@AzresortL</v>
      </c>
      <c r="C4982" s="21" t="s">
        <v>8003</v>
      </c>
      <c r="D4982" s="22" t="s">
        <v>8004</v>
      </c>
      <c r="E4982" s="23" t="str">
        <f>HYPERLINK("http://twitter.com","Twitter Web Client")</f>
        <v>Twitter Web Client</v>
      </c>
      <c r="F4982" s="19">
        <v>43325.537766203706</v>
      </c>
      <c r="G4982" s="17" t="s">
        <v>13000</v>
      </c>
      <c r="H4982" s="35" t="s">
        <v>8005</v>
      </c>
      <c r="I4982" s="25" t="s">
        <v>8006</v>
      </c>
    </row>
    <row r="4983" spans="1:9" s="33" customFormat="1" ht="45">
      <c r="A4983" s="4">
        <v>43558.40902777778</v>
      </c>
      <c r="B4983" s="5" t="str">
        <f>HYPERLINK("https://twitter.com/SWairpark","@SWairpark")</f>
        <v>@SWairpark</v>
      </c>
      <c r="C4983" s="6" t="s">
        <v>12207</v>
      </c>
      <c r="D4983" s="7" t="s">
        <v>12208</v>
      </c>
      <c r="E4983" s="8" t="str">
        <f>HYPERLINK("https://about.twitter.com/products/tweetdeck","TweetDeck")</f>
        <v>TweetDeck</v>
      </c>
      <c r="F4983" s="4">
        <v>40056.594733796301</v>
      </c>
      <c r="G4983" s="17" t="s">
        <v>13000</v>
      </c>
      <c r="H4983" s="35" t="s">
        <v>12209</v>
      </c>
      <c r="I4983" s="10" t="s">
        <v>12210</v>
      </c>
    </row>
    <row r="4984" spans="1:9" s="33" customFormat="1" ht="90">
      <c r="A4984" s="19">
        <v>43551.312928240739</v>
      </c>
      <c r="B4984" s="20" t="str">
        <f>HYPERLINK("https://twitter.com/h_scottsdale","@h_scottsdale")</f>
        <v>@h_scottsdale</v>
      </c>
      <c r="C4984" s="21" t="s">
        <v>783</v>
      </c>
      <c r="D4984" s="22" t="s">
        <v>7318</v>
      </c>
      <c r="E4984" s="23" t="str">
        <f>HYPERLINK("https://www.hootsuite.com","Hootsuite Inc.")</f>
        <v>Hootsuite Inc.</v>
      </c>
      <c r="F4984" s="19">
        <v>43111.34856481482</v>
      </c>
      <c r="G4984" s="17" t="s">
        <v>13000</v>
      </c>
      <c r="H4984" s="35" t="s">
        <v>532</v>
      </c>
      <c r="I4984" s="25" t="s">
        <v>785</v>
      </c>
    </row>
    <row r="4985" spans="1:9" s="33" customFormat="1" ht="90">
      <c r="A4985" s="19">
        <v>43549.530023148152</v>
      </c>
      <c r="B4985" s="20" t="str">
        <f>HYPERLINK("https://twitter.com/parsonsvillas","@parsonsvillas")</f>
        <v>@parsonsvillas</v>
      </c>
      <c r="C4985" s="21" t="s">
        <v>530</v>
      </c>
      <c r="D4985" s="22" t="s">
        <v>7996</v>
      </c>
      <c r="E4985" s="23" t="str">
        <f>HYPERLINK("http://twitter.com/download/iphone","Twitter for iPhone")</f>
        <v>Twitter for iPhone</v>
      </c>
      <c r="F4985" s="19">
        <v>42473.59075231482</v>
      </c>
      <c r="G4985" s="17" t="s">
        <v>13000</v>
      </c>
      <c r="H4985" s="35" t="s">
        <v>532</v>
      </c>
      <c r="I4985" s="25" t="s">
        <v>533</v>
      </c>
    </row>
    <row r="4986" spans="1:9" s="33" customFormat="1" ht="60">
      <c r="A4986" s="19">
        <v>43549.312962962962</v>
      </c>
      <c r="B4986" s="20" t="str">
        <f t="shared" ref="B4986:B4994" si="187">HYPERLINK("https://twitter.com/h_scottsdale","@h_scottsdale")</f>
        <v>@h_scottsdale</v>
      </c>
      <c r="C4986" s="21" t="s">
        <v>783</v>
      </c>
      <c r="D4986" s="22" t="s">
        <v>8101</v>
      </c>
      <c r="E4986" s="23" t="str">
        <f t="shared" ref="E4986:E4994" si="188">HYPERLINK("https://www.hootsuite.com","Hootsuite Inc.")</f>
        <v>Hootsuite Inc.</v>
      </c>
      <c r="F4986" s="19">
        <v>43111.34856481482</v>
      </c>
      <c r="G4986" s="17" t="s">
        <v>13000</v>
      </c>
      <c r="H4986" s="35" t="s">
        <v>532</v>
      </c>
      <c r="I4986" s="25" t="s">
        <v>785</v>
      </c>
    </row>
    <row r="4987" spans="1:9" s="33" customFormat="1" ht="90">
      <c r="A4987" s="19">
        <v>43548.354502314818</v>
      </c>
      <c r="B4987" s="20" t="str">
        <f t="shared" si="187"/>
        <v>@h_scottsdale</v>
      </c>
      <c r="C4987" s="21" t="s">
        <v>783</v>
      </c>
      <c r="D4987" s="22" t="s">
        <v>8346</v>
      </c>
      <c r="E4987" s="23" t="str">
        <f t="shared" si="188"/>
        <v>Hootsuite Inc.</v>
      </c>
      <c r="F4987" s="19">
        <v>43111.34856481482</v>
      </c>
      <c r="G4987" s="17" t="s">
        <v>13000</v>
      </c>
      <c r="H4987" s="35" t="s">
        <v>532</v>
      </c>
      <c r="I4987" s="25" t="s">
        <v>785</v>
      </c>
    </row>
    <row r="4988" spans="1:9" s="33" customFormat="1" ht="75">
      <c r="A4988" s="19">
        <v>43546.354618055557</v>
      </c>
      <c r="B4988" s="20" t="str">
        <f t="shared" si="187"/>
        <v>@h_scottsdale</v>
      </c>
      <c r="C4988" s="21" t="s">
        <v>783</v>
      </c>
      <c r="D4988" s="22" t="s">
        <v>8894</v>
      </c>
      <c r="E4988" s="23" t="str">
        <f t="shared" si="188"/>
        <v>Hootsuite Inc.</v>
      </c>
      <c r="F4988" s="19">
        <v>43111.34856481482</v>
      </c>
      <c r="G4988" s="17" t="s">
        <v>13000</v>
      </c>
      <c r="H4988" s="35" t="s">
        <v>532</v>
      </c>
      <c r="I4988" s="25" t="s">
        <v>785</v>
      </c>
    </row>
    <row r="4989" spans="1:9" s="33" customFormat="1" ht="75">
      <c r="A4989" s="19">
        <v>43544.354733796295</v>
      </c>
      <c r="B4989" s="20" t="str">
        <f t="shared" si="187"/>
        <v>@h_scottsdale</v>
      </c>
      <c r="C4989" s="21" t="s">
        <v>783</v>
      </c>
      <c r="D4989" s="22" t="s">
        <v>9499</v>
      </c>
      <c r="E4989" s="23" t="str">
        <f t="shared" si="188"/>
        <v>Hootsuite Inc.</v>
      </c>
      <c r="F4989" s="19">
        <v>43111.34856481482</v>
      </c>
      <c r="G4989" s="17" t="s">
        <v>13000</v>
      </c>
      <c r="H4989" s="35" t="s">
        <v>532</v>
      </c>
      <c r="I4989" s="25" t="s">
        <v>785</v>
      </c>
    </row>
    <row r="4990" spans="1:9" s="33" customFormat="1" ht="60">
      <c r="A4990" s="4">
        <v>43565.305752314816</v>
      </c>
      <c r="B4990" s="5" t="str">
        <f t="shared" si="187"/>
        <v>@h_scottsdale</v>
      </c>
      <c r="C4990" s="6" t="s">
        <v>783</v>
      </c>
      <c r="D4990" s="7" t="s">
        <v>6187</v>
      </c>
      <c r="E4990" s="8" t="str">
        <f t="shared" si="188"/>
        <v>Hootsuite Inc.</v>
      </c>
      <c r="F4990" s="4">
        <v>43111.34856481482</v>
      </c>
      <c r="G4990" s="17" t="s">
        <v>13000</v>
      </c>
      <c r="H4990" s="35" t="s">
        <v>532</v>
      </c>
      <c r="I4990" s="10" t="s">
        <v>785</v>
      </c>
    </row>
    <row r="4991" spans="1:9" s="33" customFormat="1" ht="75">
      <c r="A4991" s="4">
        <v>43563.32309027778</v>
      </c>
      <c r="B4991" s="5" t="str">
        <f t="shared" si="187"/>
        <v>@h_scottsdale</v>
      </c>
      <c r="C4991" s="6" t="s">
        <v>783</v>
      </c>
      <c r="D4991" s="7" t="s">
        <v>10368</v>
      </c>
      <c r="E4991" s="8" t="str">
        <f t="shared" si="188"/>
        <v>Hootsuite Inc.</v>
      </c>
      <c r="F4991" s="4">
        <v>43111.34856481482</v>
      </c>
      <c r="G4991" s="17" t="s">
        <v>13000</v>
      </c>
      <c r="H4991" s="35" t="s">
        <v>532</v>
      </c>
      <c r="I4991" s="10" t="s">
        <v>785</v>
      </c>
    </row>
    <row r="4992" spans="1:9" s="33" customFormat="1" ht="105">
      <c r="A4992" s="4">
        <v>43561.334374999999</v>
      </c>
      <c r="B4992" s="5" t="str">
        <f t="shared" si="187"/>
        <v>@h_scottsdale</v>
      </c>
      <c r="C4992" s="6" t="s">
        <v>783</v>
      </c>
      <c r="D4992" s="7" t="s">
        <v>11010</v>
      </c>
      <c r="E4992" s="8" t="str">
        <f t="shared" si="188"/>
        <v>Hootsuite Inc.</v>
      </c>
      <c r="F4992" s="4">
        <v>43111.34856481482</v>
      </c>
      <c r="G4992" s="17" t="s">
        <v>13000</v>
      </c>
      <c r="H4992" s="35" t="s">
        <v>532</v>
      </c>
      <c r="I4992" s="10" t="s">
        <v>785</v>
      </c>
    </row>
    <row r="4993" spans="1:9" s="33" customFormat="1" ht="75">
      <c r="A4993" s="4">
        <v>43560.305729166663</v>
      </c>
      <c r="B4993" s="5" t="str">
        <f t="shared" si="187"/>
        <v>@h_scottsdale</v>
      </c>
      <c r="C4993" s="6" t="s">
        <v>783</v>
      </c>
      <c r="D4993" s="7" t="s">
        <v>11484</v>
      </c>
      <c r="E4993" s="8" t="str">
        <f t="shared" si="188"/>
        <v>Hootsuite Inc.</v>
      </c>
      <c r="F4993" s="4">
        <v>43111.34856481482</v>
      </c>
      <c r="G4993" s="17" t="s">
        <v>13000</v>
      </c>
      <c r="H4993" s="35" t="s">
        <v>532</v>
      </c>
      <c r="I4993" s="10" t="s">
        <v>785</v>
      </c>
    </row>
    <row r="4994" spans="1:9" s="33" customFormat="1" ht="45">
      <c r="A4994" s="4">
        <v>43558.309155092589</v>
      </c>
      <c r="B4994" s="5" t="str">
        <f t="shared" si="187"/>
        <v>@h_scottsdale</v>
      </c>
      <c r="C4994" s="6" t="s">
        <v>783</v>
      </c>
      <c r="D4994" s="7" t="s">
        <v>12243</v>
      </c>
      <c r="E4994" s="8" t="str">
        <f t="shared" si="188"/>
        <v>Hootsuite Inc.</v>
      </c>
      <c r="F4994" s="4">
        <v>43111.34856481482</v>
      </c>
      <c r="G4994" s="17" t="s">
        <v>13000</v>
      </c>
      <c r="H4994" s="35" t="s">
        <v>532</v>
      </c>
      <c r="I4994" s="10" t="s">
        <v>785</v>
      </c>
    </row>
    <row r="4995" spans="1:9" s="33" customFormat="1" ht="45">
      <c r="A4995" s="12">
        <v>43579.633935185186</v>
      </c>
      <c r="B4995" s="13" t="str">
        <f>HYPERLINK("https://twitter.com/parsonsvillas","@parsonsvillas")</f>
        <v>@parsonsvillas</v>
      </c>
      <c r="C4995" s="14" t="s">
        <v>530</v>
      </c>
      <c r="D4995" s="15" t="s">
        <v>531</v>
      </c>
      <c r="E4995" s="16" t="str">
        <f>HYPERLINK("http://twitter.com/download/iphone","Twitter for iPhone")</f>
        <v>Twitter for iPhone</v>
      </c>
      <c r="F4995" s="12">
        <v>42473.59075231482</v>
      </c>
      <c r="G4995" s="17" t="s">
        <v>13000</v>
      </c>
      <c r="H4995" s="35" t="s">
        <v>532</v>
      </c>
      <c r="I4995" s="18" t="s">
        <v>533</v>
      </c>
    </row>
    <row r="4996" spans="1:9" s="33" customFormat="1" ht="60">
      <c r="A4996" s="12">
        <v>43579.305729166663</v>
      </c>
      <c r="B4996" s="13" t="str">
        <f>HYPERLINK("https://twitter.com/h_scottsdale","@h_scottsdale")</f>
        <v>@h_scottsdale</v>
      </c>
      <c r="C4996" s="14" t="s">
        <v>783</v>
      </c>
      <c r="D4996" s="15" t="s">
        <v>784</v>
      </c>
      <c r="E4996" s="16" t="str">
        <f>HYPERLINK("https://www.hootsuite.com","Hootsuite Inc.")</f>
        <v>Hootsuite Inc.</v>
      </c>
      <c r="F4996" s="12">
        <v>43111.34856481482</v>
      </c>
      <c r="G4996" s="17" t="s">
        <v>13000</v>
      </c>
      <c r="H4996" s="35" t="s">
        <v>532</v>
      </c>
      <c r="I4996" s="18" t="s">
        <v>785</v>
      </c>
    </row>
    <row r="4997" spans="1:9" s="33" customFormat="1" ht="75">
      <c r="A4997" s="12">
        <v>43577.30569444444</v>
      </c>
      <c r="B4997" s="13" t="str">
        <f>HYPERLINK("https://twitter.com/h_scottsdale","@h_scottsdale")</f>
        <v>@h_scottsdale</v>
      </c>
      <c r="C4997" s="14" t="s">
        <v>783</v>
      </c>
      <c r="D4997" s="15" t="s">
        <v>1675</v>
      </c>
      <c r="E4997" s="16" t="str">
        <f>HYPERLINK("https://www.hootsuite.com","Hootsuite Inc.")</f>
        <v>Hootsuite Inc.</v>
      </c>
      <c r="F4997" s="12">
        <v>43111.34856481482</v>
      </c>
      <c r="G4997" s="17" t="s">
        <v>13000</v>
      </c>
      <c r="H4997" s="35" t="s">
        <v>532</v>
      </c>
      <c r="I4997" s="18" t="s">
        <v>785</v>
      </c>
    </row>
    <row r="4998" spans="1:9" s="33" customFormat="1" ht="30">
      <c r="A4998" s="12">
        <v>43576.33693287037</v>
      </c>
      <c r="B4998" s="13" t="str">
        <f>HYPERLINK("https://twitter.com/h_scottsdale","@h_scottsdale")</f>
        <v>@h_scottsdale</v>
      </c>
      <c r="C4998" s="14" t="s">
        <v>783</v>
      </c>
      <c r="D4998" s="15" t="s">
        <v>1995</v>
      </c>
      <c r="E4998" s="16" t="str">
        <f>HYPERLINK("https://www.hootsuite.com","Hootsuite Inc.")</f>
        <v>Hootsuite Inc.</v>
      </c>
      <c r="F4998" s="12">
        <v>43111.34856481482</v>
      </c>
      <c r="G4998" s="17" t="s">
        <v>13000</v>
      </c>
      <c r="H4998" s="35" t="s">
        <v>532</v>
      </c>
      <c r="I4998" s="18" t="s">
        <v>785</v>
      </c>
    </row>
    <row r="4999" spans="1:9" s="33" customFormat="1" ht="90">
      <c r="A4999" s="12">
        <v>43574.305729166663</v>
      </c>
      <c r="B4999" s="13" t="str">
        <f>HYPERLINK("https://twitter.com/h_scottsdale","@h_scottsdale")</f>
        <v>@h_scottsdale</v>
      </c>
      <c r="C4999" s="14" t="s">
        <v>783</v>
      </c>
      <c r="D4999" s="15" t="s">
        <v>2610</v>
      </c>
      <c r="E4999" s="16" t="str">
        <f>HYPERLINK("https://www.hootsuite.com","Hootsuite Inc.")</f>
        <v>Hootsuite Inc.</v>
      </c>
      <c r="F4999" s="12">
        <v>43111.34856481482</v>
      </c>
      <c r="G4999" s="17" t="s">
        <v>13000</v>
      </c>
      <c r="H4999" s="35" t="s">
        <v>532</v>
      </c>
      <c r="I4999" s="18" t="s">
        <v>785</v>
      </c>
    </row>
    <row r="5000" spans="1:9" s="33" customFormat="1" ht="45">
      <c r="A5000" s="12">
        <v>43573.448969907404</v>
      </c>
      <c r="B5000" s="13" t="str">
        <f>HYPERLINK("https://twitter.com/visockis_angela","@visockis_angela")</f>
        <v>@visockis_angela</v>
      </c>
      <c r="C5000" s="14" t="s">
        <v>2855</v>
      </c>
      <c r="D5000" s="15" t="s">
        <v>2856</v>
      </c>
      <c r="E5000" s="16" t="str">
        <f>HYPERLINK("http://www.facebook.com/twitter","Facebook")</f>
        <v>Facebook</v>
      </c>
      <c r="F5000" s="12">
        <v>41730.950486111113</v>
      </c>
      <c r="G5000" s="17" t="s">
        <v>13000</v>
      </c>
      <c r="H5000" s="35" t="s">
        <v>532</v>
      </c>
      <c r="I5000" s="18" t="s">
        <v>2857</v>
      </c>
    </row>
    <row r="5001" spans="1:9" s="33" customFormat="1" ht="75">
      <c r="A5001" s="12">
        <v>43572.681481481486</v>
      </c>
      <c r="B5001" s="13" t="str">
        <f>HYPERLINK("https://twitter.com/parsonsvillas","@parsonsvillas")</f>
        <v>@parsonsvillas</v>
      </c>
      <c r="C5001" s="14" t="s">
        <v>530</v>
      </c>
      <c r="D5001" s="15" t="s">
        <v>3126</v>
      </c>
      <c r="E5001" s="16" t="str">
        <f>HYPERLINK("http://twitter.com/download/iphone","Twitter for iPhone")</f>
        <v>Twitter for iPhone</v>
      </c>
      <c r="F5001" s="12">
        <v>42473.59075231482</v>
      </c>
      <c r="G5001" s="17" t="s">
        <v>13000</v>
      </c>
      <c r="H5001" s="35" t="s">
        <v>532</v>
      </c>
      <c r="I5001" s="18" t="s">
        <v>533</v>
      </c>
    </row>
    <row r="5002" spans="1:9" s="33" customFormat="1" ht="75">
      <c r="A5002" s="12">
        <v>43572.305717592593</v>
      </c>
      <c r="B5002" s="13" t="str">
        <f>HYPERLINK("https://twitter.com/h_scottsdale","@h_scottsdale")</f>
        <v>@h_scottsdale</v>
      </c>
      <c r="C5002" s="14" t="s">
        <v>783</v>
      </c>
      <c r="D5002" s="15" t="s">
        <v>3344</v>
      </c>
      <c r="E5002" s="16" t="str">
        <f>HYPERLINK("https://www.hootsuite.com","Hootsuite Inc.")</f>
        <v>Hootsuite Inc.</v>
      </c>
      <c r="F5002" s="12">
        <v>43111.34856481482</v>
      </c>
      <c r="G5002" s="17" t="s">
        <v>13000</v>
      </c>
      <c r="H5002" s="35" t="s">
        <v>532</v>
      </c>
      <c r="I5002" s="18" t="s">
        <v>785</v>
      </c>
    </row>
    <row r="5003" spans="1:9" s="33" customFormat="1" ht="45">
      <c r="A5003" s="12">
        <v>43570.323101851856</v>
      </c>
      <c r="B5003" s="13" t="str">
        <f>HYPERLINK("https://twitter.com/h_scottsdale","@h_scottsdale")</f>
        <v>@h_scottsdale</v>
      </c>
      <c r="C5003" s="14" t="s">
        <v>783</v>
      </c>
      <c r="D5003" s="15" t="s">
        <v>4234</v>
      </c>
      <c r="E5003" s="16" t="str">
        <f>HYPERLINK("https://www.hootsuite.com","Hootsuite Inc.")</f>
        <v>Hootsuite Inc.</v>
      </c>
      <c r="F5003" s="12">
        <v>43111.34856481482</v>
      </c>
      <c r="G5003" s="17" t="s">
        <v>13000</v>
      </c>
      <c r="H5003" s="35" t="s">
        <v>532</v>
      </c>
      <c r="I5003" s="18" t="s">
        <v>785</v>
      </c>
    </row>
    <row r="5004" spans="1:9" s="33" customFormat="1" ht="75">
      <c r="A5004" s="12">
        <v>43569.376099537039</v>
      </c>
      <c r="B5004" s="13" t="str">
        <f>HYPERLINK("https://twitter.com/h_scottsdale","@h_scottsdale")</f>
        <v>@h_scottsdale</v>
      </c>
      <c r="C5004" s="14" t="s">
        <v>783</v>
      </c>
      <c r="D5004" s="15" t="s">
        <v>4527</v>
      </c>
      <c r="E5004" s="16" t="str">
        <f>HYPERLINK("https://www.hootsuite.com","Hootsuite Inc.")</f>
        <v>Hootsuite Inc.</v>
      </c>
      <c r="F5004" s="12">
        <v>43111.34856481482</v>
      </c>
      <c r="G5004" s="17" t="s">
        <v>13000</v>
      </c>
      <c r="H5004" s="35" t="s">
        <v>532</v>
      </c>
      <c r="I5004" s="18" t="s">
        <v>785</v>
      </c>
    </row>
    <row r="5005" spans="1:9" s="33" customFormat="1" ht="45">
      <c r="A5005" s="12">
        <v>43567.309155092589</v>
      </c>
      <c r="B5005" s="13" t="str">
        <f>HYPERLINK("https://twitter.com/h_scottsdale","@h_scottsdale")</f>
        <v>@h_scottsdale</v>
      </c>
      <c r="C5005" s="14" t="s">
        <v>783</v>
      </c>
      <c r="D5005" s="15" t="s">
        <v>5174</v>
      </c>
      <c r="E5005" s="16" t="str">
        <f>HYPERLINK("https://www.hootsuite.com","Hootsuite Inc.")</f>
        <v>Hootsuite Inc.</v>
      </c>
      <c r="F5005" s="12">
        <v>43111.34856481482</v>
      </c>
      <c r="G5005" s="17" t="s">
        <v>13000</v>
      </c>
      <c r="H5005" s="35" t="s">
        <v>532</v>
      </c>
      <c r="I5005" s="18" t="s">
        <v>785</v>
      </c>
    </row>
    <row r="5006" spans="1:9" s="33" customFormat="1" ht="105">
      <c r="A5006" s="12">
        <v>43566.376805555556</v>
      </c>
      <c r="B5006" s="13" t="str">
        <f>HYPERLINK("https://twitter.com/JoelTaubman","@JoelTaubman")</f>
        <v>@JoelTaubman</v>
      </c>
      <c r="C5006" s="14" t="s">
        <v>5586</v>
      </c>
      <c r="D5006" s="15" t="s">
        <v>5587</v>
      </c>
      <c r="E5006" s="16" t="str">
        <f>HYPERLINK("http://twitter.com/download/android","Twitter for Android")</f>
        <v>Twitter for Android</v>
      </c>
      <c r="F5006" s="12">
        <v>42015.687905092593</v>
      </c>
      <c r="G5006" s="17" t="s">
        <v>13000</v>
      </c>
      <c r="H5006" s="35" t="s">
        <v>532</v>
      </c>
      <c r="I5006" s="18" t="s">
        <v>5588</v>
      </c>
    </row>
    <row r="5007" spans="1:9" s="33" customFormat="1" ht="60">
      <c r="A5007" s="4">
        <v>43565.386111111111</v>
      </c>
      <c r="B5007" s="5" t="str">
        <f>HYPERLINK("https://twitter.com/swscottsdale","@swscottsdale")</f>
        <v>@swscottsdale</v>
      </c>
      <c r="C5007" s="6" t="s">
        <v>2849</v>
      </c>
      <c r="D5007" s="7" t="s">
        <v>6125</v>
      </c>
      <c r="E5007" s="8" t="str">
        <f>HYPERLINK("https://about.twitter.com/products/tweetdeck","TweetDeck")</f>
        <v>TweetDeck</v>
      </c>
      <c r="F5007" s="4">
        <v>40057.607789351852</v>
      </c>
      <c r="G5007" s="17" t="s">
        <v>13000</v>
      </c>
      <c r="H5007" s="35" t="s">
        <v>5578</v>
      </c>
      <c r="I5007" s="10" t="s">
        <v>5579</v>
      </c>
    </row>
    <row r="5008" spans="1:9" s="33" customFormat="1" ht="60">
      <c r="A5008" s="12">
        <v>43566.386111111111</v>
      </c>
      <c r="B5008" s="13" t="str">
        <f>HYPERLINK("https://twitter.com/swscottsdale","@swscottsdale")</f>
        <v>@swscottsdale</v>
      </c>
      <c r="C5008" s="14" t="s">
        <v>2849</v>
      </c>
      <c r="D5008" s="15" t="s">
        <v>5577</v>
      </c>
      <c r="E5008" s="16" t="str">
        <f>HYPERLINK("https://about.twitter.com/products/tweetdeck","TweetDeck")</f>
        <v>TweetDeck</v>
      </c>
      <c r="F5008" s="12">
        <v>40057.607789351852</v>
      </c>
      <c r="G5008" s="17" t="s">
        <v>13000</v>
      </c>
      <c r="H5008" s="35" t="s">
        <v>5578</v>
      </c>
      <c r="I5008" s="18" t="s">
        <v>5579</v>
      </c>
    </row>
    <row r="5009" spans="1:9" s="33" customFormat="1" ht="60">
      <c r="A5009" s="12">
        <v>43568.786539351851</v>
      </c>
      <c r="B5009" s="13" t="str">
        <f>HYPERLINK("https://twitter.com/CrochetQueen23","@CrochetQueen23")</f>
        <v>@CrochetQueen23</v>
      </c>
      <c r="C5009" s="14" t="s">
        <v>4657</v>
      </c>
      <c r="D5009" s="15" t="s">
        <v>4658</v>
      </c>
      <c r="E5009" s="16" t="str">
        <f>HYPERLINK("http://twitter.com/download/android","Twitter for Android")</f>
        <v>Twitter for Android</v>
      </c>
      <c r="F5009" s="12">
        <v>40389.568784722222</v>
      </c>
      <c r="G5009" s="17" t="s">
        <v>13000</v>
      </c>
      <c r="H5009" s="35" t="s">
        <v>4659</v>
      </c>
      <c r="I5009" s="18" t="s">
        <v>4660</v>
      </c>
    </row>
    <row r="5010" spans="1:9" s="33" customFormat="1" ht="60">
      <c r="A5010" s="4">
        <v>43557.408761574072</v>
      </c>
      <c r="B5010" s="5" t="str">
        <f>HYPERLINK("https://twitter.com/MikeBarbre","@MikeBarbre")</f>
        <v>@MikeBarbre</v>
      </c>
      <c r="C5010" s="6" t="s">
        <v>12523</v>
      </c>
      <c r="D5010" s="7" t="s">
        <v>12524</v>
      </c>
      <c r="E5010" s="8" t="str">
        <f>HYPERLINK("http://twitter.com","Twitter Web Client")</f>
        <v>Twitter Web Client</v>
      </c>
      <c r="F5010" s="4">
        <v>39707.552766203706</v>
      </c>
      <c r="G5010" s="17" t="s">
        <v>13000</v>
      </c>
      <c r="H5010" s="35" t="s">
        <v>12525</v>
      </c>
      <c r="I5010" s="10" t="s">
        <v>12526</v>
      </c>
    </row>
    <row r="5011" spans="1:9" s="33" customFormat="1" ht="75">
      <c r="A5011" s="19">
        <v>43551.387719907405</v>
      </c>
      <c r="B5011" s="20" t="str">
        <f>HYPERLINK("https://twitter.com/360modern","@360modern")</f>
        <v>@360modern</v>
      </c>
      <c r="C5011" s="21" t="s">
        <v>7252</v>
      </c>
      <c r="D5011" s="22" t="s">
        <v>7253</v>
      </c>
      <c r="E5011" s="23" t="str">
        <f>HYPERLINK("http://twitter.com","Twitter Web Client")</f>
        <v>Twitter Web Client</v>
      </c>
      <c r="F5011" s="19">
        <v>40259.80709490741</v>
      </c>
      <c r="G5011" s="17" t="s">
        <v>13000</v>
      </c>
      <c r="H5011" s="35" t="s">
        <v>1114</v>
      </c>
      <c r="I5011" s="25" t="s">
        <v>7254</v>
      </c>
    </row>
    <row r="5012" spans="1:9" s="33" customFormat="1" ht="90">
      <c r="A5012" s="19">
        <v>43549.598414351851</v>
      </c>
      <c r="B5012" s="20" t="str">
        <f>HYPERLINK("https://twitter.com/NailsbyKatieG","@NailsbyKatieG")</f>
        <v>@NailsbyKatieG</v>
      </c>
      <c r="C5012" s="21" t="s">
        <v>7974</v>
      </c>
      <c r="D5012" s="22" t="s">
        <v>7975</v>
      </c>
      <c r="E5012" s="23" t="str">
        <f>HYPERLINK("https://ifttt.com","IFTTT")</f>
        <v>IFTTT</v>
      </c>
      <c r="F5012" s="19">
        <v>43400.856053240743</v>
      </c>
      <c r="G5012" s="17" t="s">
        <v>13000</v>
      </c>
      <c r="H5012" s="35" t="s">
        <v>1114</v>
      </c>
      <c r="I5012" s="25" t="s">
        <v>7976</v>
      </c>
    </row>
    <row r="5013" spans="1:9" s="33" customFormat="1" ht="75">
      <c r="A5013" s="19">
        <v>43547.859236111108</v>
      </c>
      <c r="B5013" s="20" t="str">
        <f>HYPERLINK("https://twitter.com/TomSchabarum","@TomSchabarum")</f>
        <v>@TomSchabarum</v>
      </c>
      <c r="C5013" s="21" t="s">
        <v>8463</v>
      </c>
      <c r="D5013" s="22" t="s">
        <v>8464</v>
      </c>
      <c r="E5013" s="23" t="str">
        <f>HYPERLINK("http://instagram.com","Instagram")</f>
        <v>Instagram</v>
      </c>
      <c r="F5013" s="19">
        <v>40193.498460648145</v>
      </c>
      <c r="G5013" s="17" t="s">
        <v>13000</v>
      </c>
      <c r="H5013" s="35" t="s">
        <v>1114</v>
      </c>
      <c r="I5013" s="25" t="s">
        <v>8465</v>
      </c>
    </row>
    <row r="5014" spans="1:9" s="33" customFormat="1" ht="105">
      <c r="A5014" s="19">
        <v>43543.531273148154</v>
      </c>
      <c r="B5014" s="20" t="str">
        <f>HYPERLINK("https://twitter.com/NadirRealEstate","@NadirRealEstate")</f>
        <v>@NadirRealEstate</v>
      </c>
      <c r="C5014" s="21" t="s">
        <v>9771</v>
      </c>
      <c r="D5014" s="22" t="s">
        <v>9772</v>
      </c>
      <c r="E5014" s="23" t="str">
        <f>HYPERLINK("https://buffer.com","Buffer")</f>
        <v>Buffer</v>
      </c>
      <c r="F5014" s="19">
        <v>42626.706053240741</v>
      </c>
      <c r="G5014" s="17" t="s">
        <v>13000</v>
      </c>
      <c r="H5014" s="35" t="s">
        <v>1114</v>
      </c>
      <c r="I5014" s="25" t="s">
        <v>9773</v>
      </c>
    </row>
    <row r="5015" spans="1:9" s="33" customFormat="1" ht="45">
      <c r="A5015" s="4">
        <v>43563.72456018519</v>
      </c>
      <c r="B5015" s="5" t="str">
        <f>HYPERLINK("https://twitter.com/Angie_LK","@Angie_LK")</f>
        <v>@Angie_LK</v>
      </c>
      <c r="C5015" s="6" t="s">
        <v>6912</v>
      </c>
      <c r="D5015" s="7" t="s">
        <v>6913</v>
      </c>
      <c r="E5015" s="8" t="str">
        <f>HYPERLINK("http://instagram.com","Instagram")</f>
        <v>Instagram</v>
      </c>
      <c r="F5015" s="4">
        <v>40683.637708333335</v>
      </c>
      <c r="G5015" s="17" t="s">
        <v>13000</v>
      </c>
      <c r="H5015" s="35" t="s">
        <v>1114</v>
      </c>
      <c r="I5015" s="10" t="s">
        <v>6914</v>
      </c>
    </row>
    <row r="5016" spans="1:9" s="33" customFormat="1" ht="75">
      <c r="A5016" s="4">
        <v>43561.917280092588</v>
      </c>
      <c r="B5016" s="5" t="str">
        <f>HYPERLINK("https://twitter.com/indieartsvoice","@indieartsvoice")</f>
        <v>@indieartsvoice</v>
      </c>
      <c r="C5016" s="6" t="s">
        <v>10797</v>
      </c>
      <c r="D5016" s="7" t="s">
        <v>10798</v>
      </c>
      <c r="E5016" s="8" t="str">
        <f>HYPERLINK("https://about.twitter.com/products/tweetdeck","TweetDeck")</f>
        <v>TweetDeck</v>
      </c>
      <c r="F5016" s="4">
        <v>41574.472187499996</v>
      </c>
      <c r="G5016" s="17" t="s">
        <v>13000</v>
      </c>
      <c r="H5016" s="35" t="s">
        <v>1114</v>
      </c>
      <c r="I5016" s="10" t="s">
        <v>10799</v>
      </c>
    </row>
    <row r="5017" spans="1:9" s="33" customFormat="1" ht="75">
      <c r="A5017" s="4">
        <v>43560.316782407404</v>
      </c>
      <c r="B5017" s="5" t="str">
        <f>HYPERLINK("https://twitter.com/casewrites","@casewrites")</f>
        <v>@casewrites</v>
      </c>
      <c r="C5017" s="6" t="s">
        <v>11451</v>
      </c>
      <c r="D5017" s="7" t="s">
        <v>11452</v>
      </c>
      <c r="E5017" s="8" t="str">
        <f>HYPERLINK("http://twitter.com/download/iphone","Twitter for iPhone")</f>
        <v>Twitter for iPhone</v>
      </c>
      <c r="F5017" s="4">
        <v>40654.407407407409</v>
      </c>
      <c r="G5017" s="17" t="s">
        <v>13000</v>
      </c>
      <c r="H5017" s="35" t="s">
        <v>1114</v>
      </c>
      <c r="I5017" s="10" t="s">
        <v>11453</v>
      </c>
    </row>
    <row r="5018" spans="1:9" s="33" customFormat="1" ht="45">
      <c r="A5018" s="12">
        <v>43578.675254629634</v>
      </c>
      <c r="B5018" s="13" t="str">
        <f>HYPERLINK("https://twitter.com/suzi123","@suzi123")</f>
        <v>@suzi123</v>
      </c>
      <c r="C5018" s="14" t="s">
        <v>1112</v>
      </c>
      <c r="D5018" s="15" t="s">
        <v>1113</v>
      </c>
      <c r="E5018" s="16" t="str">
        <f>HYPERLINK("http://twitter.com/download/android","Twitter for Android")</f>
        <v>Twitter for Android</v>
      </c>
      <c r="F5018" s="12">
        <v>39787.568495370375</v>
      </c>
      <c r="G5018" s="17" t="s">
        <v>13000</v>
      </c>
      <c r="H5018" s="35" t="s">
        <v>1114</v>
      </c>
      <c r="I5018" s="18" t="s">
        <v>1115</v>
      </c>
    </row>
    <row r="5019" spans="1:9" s="33" customFormat="1" ht="75">
      <c r="A5019" s="12">
        <v>43572.271886574075</v>
      </c>
      <c r="B5019" s="13" t="str">
        <f>HYPERLINK("https://twitter.com/KipBoyle","@KipBoyle")</f>
        <v>@KipBoyle</v>
      </c>
      <c r="C5019" s="14" t="s">
        <v>3355</v>
      </c>
      <c r="D5019" s="15" t="s">
        <v>3356</v>
      </c>
      <c r="E5019" s="16" t="str">
        <f>HYPERLINK("http://twitter.com","Twitter Web Client")</f>
        <v>Twitter Web Client</v>
      </c>
      <c r="F5019" s="12">
        <v>40894.682835648149</v>
      </c>
      <c r="G5019" s="17" t="s">
        <v>13000</v>
      </c>
      <c r="H5019" s="35" t="s">
        <v>1114</v>
      </c>
      <c r="I5019" s="18" t="s">
        <v>3357</v>
      </c>
    </row>
    <row r="5020" spans="1:9" s="33" customFormat="1" ht="45">
      <c r="A5020" s="12">
        <v>43567.322233796294</v>
      </c>
      <c r="B5020" s="13" t="str">
        <f>HYPERLINK("https://twitter.com/tillermoney","@tillermoney")</f>
        <v>@tillermoney</v>
      </c>
      <c r="C5020" s="14" t="s">
        <v>5164</v>
      </c>
      <c r="D5020" s="15" t="s">
        <v>5165</v>
      </c>
      <c r="E5020" s="16" t="str">
        <f>HYPERLINK("https://buffer.com","Buffer")</f>
        <v>Buffer</v>
      </c>
      <c r="F5020" s="12">
        <v>42068.410601851851</v>
      </c>
      <c r="G5020" s="17" t="s">
        <v>13000</v>
      </c>
      <c r="H5020" s="35" t="s">
        <v>1114</v>
      </c>
      <c r="I5020" s="18" t="s">
        <v>5166</v>
      </c>
    </row>
    <row r="5021" spans="1:9" s="33" customFormat="1" ht="105">
      <c r="A5021" s="12">
        <v>43566.875173611115</v>
      </c>
      <c r="B5021" s="13" t="str">
        <f>HYPERLINK("https://twitter.com/skyrien","@skyrien")</f>
        <v>@skyrien</v>
      </c>
      <c r="C5021" s="14" t="s">
        <v>5313</v>
      </c>
      <c r="D5021" s="15" t="s">
        <v>5314</v>
      </c>
      <c r="E5021" s="16" t="str">
        <f>HYPERLINK("http://twitter.com","Twitter Web Client")</f>
        <v>Twitter Web Client</v>
      </c>
      <c r="F5021" s="12">
        <v>39825.411122685182</v>
      </c>
      <c r="G5021" s="17" t="s">
        <v>13000</v>
      </c>
      <c r="H5021" s="35" t="s">
        <v>1114</v>
      </c>
      <c r="I5021" s="18" t="s">
        <v>5315</v>
      </c>
    </row>
    <row r="5022" spans="1:9" s="33" customFormat="1" ht="45">
      <c r="A5022" s="12">
        <v>43578.582673611112</v>
      </c>
      <c r="B5022" s="13" t="str">
        <f>HYPERLINK("https://twitter.com/drquickbooks","@drquickbooks")</f>
        <v>@drquickbooks</v>
      </c>
      <c r="C5022" s="14" t="s">
        <v>1147</v>
      </c>
      <c r="D5022" s="15" t="s">
        <v>1148</v>
      </c>
      <c r="E5022" s="16" t="str">
        <f>HYPERLINK("http://twitter.com","Twitter Web Client")</f>
        <v>Twitter Web Client</v>
      </c>
      <c r="F5022" s="12">
        <v>40028.629282407404</v>
      </c>
      <c r="G5022" s="17" t="s">
        <v>13000</v>
      </c>
      <c r="H5022" s="35" t="s">
        <v>1149</v>
      </c>
      <c r="I5022" s="18" t="s">
        <v>1150</v>
      </c>
    </row>
    <row r="5023" spans="1:9" s="33" customFormat="1" ht="75">
      <c r="A5023" s="12">
        <v>43572.756539351853</v>
      </c>
      <c r="B5023" s="13" t="str">
        <f>HYPERLINK("https://twitter.com/paprikaangel","@paprikaangel")</f>
        <v>@paprikaangel</v>
      </c>
      <c r="C5023" s="14" t="s">
        <v>3098</v>
      </c>
      <c r="D5023" s="15" t="s">
        <v>3099</v>
      </c>
      <c r="E5023" s="16" t="str">
        <f>HYPERLINK("http://instagram.com","Instagram")</f>
        <v>Instagram</v>
      </c>
      <c r="F5023" s="12">
        <v>40605.898356481484</v>
      </c>
      <c r="G5023" s="17" t="s">
        <v>13000</v>
      </c>
      <c r="H5023" s="35" t="s">
        <v>3100</v>
      </c>
      <c r="I5023" s="18" t="s">
        <v>3101</v>
      </c>
    </row>
    <row r="5024" spans="1:9" s="33" customFormat="1" ht="60">
      <c r="A5024" s="19">
        <v>43551.741030092591</v>
      </c>
      <c r="B5024" s="20" t="str">
        <f>HYPERLINK("https://twitter.com/drauniyar","@drauniyar")</f>
        <v>@drauniyar</v>
      </c>
      <c r="C5024" s="21" t="s">
        <v>4966</v>
      </c>
      <c r="D5024" s="22" t="s">
        <v>7016</v>
      </c>
      <c r="E5024" s="23" t="str">
        <f>HYPERLINK("http://twitter.com/download/iphone","Twitter for iPhone")</f>
        <v>Twitter for iPhone</v>
      </c>
      <c r="F5024" s="19">
        <v>40276.705694444448</v>
      </c>
      <c r="G5024" s="17" t="s">
        <v>13000</v>
      </c>
      <c r="H5024" s="35" t="s">
        <v>4968</v>
      </c>
      <c r="I5024" s="25" t="s">
        <v>4969</v>
      </c>
    </row>
    <row r="5025" spans="1:9" s="33" customFormat="1" ht="60">
      <c r="A5025" s="4">
        <v>43564.867418981477</v>
      </c>
      <c r="B5025" s="5" t="str">
        <f>HYPERLINK("https://twitter.com/drauniyar","@drauniyar")</f>
        <v>@drauniyar</v>
      </c>
      <c r="C5025" s="6" t="s">
        <v>4966</v>
      </c>
      <c r="D5025" s="7" t="s">
        <v>6393</v>
      </c>
      <c r="E5025" s="8" t="str">
        <f>HYPERLINK("http://twitter.com/download/iphone","Twitter for iPhone")</f>
        <v>Twitter for iPhone</v>
      </c>
      <c r="F5025" s="4">
        <v>40276.705694444448</v>
      </c>
      <c r="G5025" s="17" t="s">
        <v>13000</v>
      </c>
      <c r="H5025" s="35" t="s">
        <v>4968</v>
      </c>
      <c r="I5025" s="10" t="s">
        <v>4969</v>
      </c>
    </row>
    <row r="5026" spans="1:9" s="33" customFormat="1" ht="60">
      <c r="A5026" s="12">
        <v>43567.744467592594</v>
      </c>
      <c r="B5026" s="13" t="str">
        <f>HYPERLINK("https://twitter.com/drauniyar","@drauniyar")</f>
        <v>@drauniyar</v>
      </c>
      <c r="C5026" s="14" t="s">
        <v>4966</v>
      </c>
      <c r="D5026" s="15" t="s">
        <v>4967</v>
      </c>
      <c r="E5026" s="16" t="str">
        <f>HYPERLINK("http://twitter.com/download/iphone","Twitter for iPhone")</f>
        <v>Twitter for iPhone</v>
      </c>
      <c r="F5026" s="12">
        <v>40276.705694444448</v>
      </c>
      <c r="G5026" s="17" t="s">
        <v>13000</v>
      </c>
      <c r="H5026" s="35" t="s">
        <v>4968</v>
      </c>
      <c r="I5026" s="18" t="s">
        <v>4969</v>
      </c>
    </row>
    <row r="5027" spans="1:9" s="33" customFormat="1" ht="105">
      <c r="A5027" s="4">
        <v>43564.370081018518</v>
      </c>
      <c r="B5027" s="5" t="str">
        <f>HYPERLINK("https://twitter.com/VacationSedona","@VacationSedona")</f>
        <v>@VacationSedona</v>
      </c>
      <c r="C5027" s="6" t="s">
        <v>2885</v>
      </c>
      <c r="D5027" s="7" t="s">
        <v>6657</v>
      </c>
      <c r="E5027" s="8" t="str">
        <f>HYPERLINK("https://ifttt.com","IFTTT")</f>
        <v>IFTTT</v>
      </c>
      <c r="F5027" s="4">
        <v>43526.678217592591</v>
      </c>
      <c r="G5027" s="17" t="s">
        <v>13000</v>
      </c>
      <c r="H5027" s="35" t="s">
        <v>2887</v>
      </c>
      <c r="I5027" s="10" t="s">
        <v>2888</v>
      </c>
    </row>
    <row r="5028" spans="1:9" s="33" customFormat="1" ht="90">
      <c r="A5028" s="4">
        <v>43562.369479166664</v>
      </c>
      <c r="B5028" s="5" t="str">
        <f>HYPERLINK("https://twitter.com/VacationSedona","@VacationSedona")</f>
        <v>@VacationSedona</v>
      </c>
      <c r="C5028" s="6" t="s">
        <v>2885</v>
      </c>
      <c r="D5028" s="7" t="s">
        <v>10695</v>
      </c>
      <c r="E5028" s="8" t="str">
        <f>HYPERLINK("https://ifttt.com","IFTTT")</f>
        <v>IFTTT</v>
      </c>
      <c r="F5028" s="4">
        <v>43526.678217592591</v>
      </c>
      <c r="G5028" s="17" t="s">
        <v>13000</v>
      </c>
      <c r="H5028" s="35" t="s">
        <v>2887</v>
      </c>
      <c r="I5028" s="10" t="s">
        <v>2888</v>
      </c>
    </row>
    <row r="5029" spans="1:9" s="33" customFormat="1" ht="90">
      <c r="A5029" s="4">
        <v>43559.411793981482</v>
      </c>
      <c r="B5029" s="5" t="str">
        <f>HYPERLINK("https://twitter.com/VacationSedona","@VacationSedona")</f>
        <v>@VacationSedona</v>
      </c>
      <c r="C5029" s="6" t="s">
        <v>2885</v>
      </c>
      <c r="D5029" s="7" t="s">
        <v>11843</v>
      </c>
      <c r="E5029" s="8" t="str">
        <f>HYPERLINK("https://ifttt.com","IFTTT")</f>
        <v>IFTTT</v>
      </c>
      <c r="F5029" s="4">
        <v>43526.678217592591</v>
      </c>
      <c r="G5029" s="17" t="s">
        <v>13000</v>
      </c>
      <c r="H5029" s="35" t="s">
        <v>2887</v>
      </c>
      <c r="I5029" s="10" t="s">
        <v>2888</v>
      </c>
    </row>
    <row r="5030" spans="1:9" s="33" customFormat="1" ht="105">
      <c r="A5030" s="4">
        <v>43558.411712962959</v>
      </c>
      <c r="B5030" s="5" t="str">
        <f>HYPERLINK("https://twitter.com/VacationSedona","@VacationSedona")</f>
        <v>@VacationSedona</v>
      </c>
      <c r="C5030" s="6" t="s">
        <v>2885</v>
      </c>
      <c r="D5030" s="7" t="s">
        <v>12205</v>
      </c>
      <c r="E5030" s="8" t="str">
        <f>HYPERLINK("https://ifttt.com","IFTTT")</f>
        <v>IFTTT</v>
      </c>
      <c r="F5030" s="4">
        <v>43526.678217592591</v>
      </c>
      <c r="G5030" s="17" t="s">
        <v>13000</v>
      </c>
      <c r="H5030" s="35" t="s">
        <v>2887</v>
      </c>
      <c r="I5030" s="10" t="s">
        <v>2888</v>
      </c>
    </row>
    <row r="5031" spans="1:9" s="33" customFormat="1" ht="45">
      <c r="A5031" s="4">
        <v>43557.671377314815</v>
      </c>
      <c r="B5031" s="5" t="str">
        <f>HYPERLINK("https://twitter.com/verycosmic","@verycosmic")</f>
        <v>@verycosmic</v>
      </c>
      <c r="C5031" s="6" t="s">
        <v>12413</v>
      </c>
      <c r="D5031" s="7" t="s">
        <v>12414</v>
      </c>
      <c r="E5031" s="8" t="str">
        <f>HYPERLINK("http://twitter.com","Twitter Web Client")</f>
        <v>Twitter Web Client</v>
      </c>
      <c r="F5031" s="4">
        <v>39975.542048611111</v>
      </c>
      <c r="G5031" s="17" t="s">
        <v>13000</v>
      </c>
      <c r="H5031" s="35" t="s">
        <v>2887</v>
      </c>
      <c r="I5031" s="10" t="s">
        <v>12415</v>
      </c>
    </row>
    <row r="5032" spans="1:9" s="33" customFormat="1" ht="105">
      <c r="A5032" s="12">
        <v>43573.411863425921</v>
      </c>
      <c r="B5032" s="13" t="str">
        <f>HYPERLINK("https://twitter.com/VacationSedona","@VacationSedona")</f>
        <v>@VacationSedona</v>
      </c>
      <c r="C5032" s="14" t="s">
        <v>2885</v>
      </c>
      <c r="D5032" s="15" t="s">
        <v>2886</v>
      </c>
      <c r="E5032" s="16" t="str">
        <f>HYPERLINK("https://ifttt.com","IFTTT")</f>
        <v>IFTTT</v>
      </c>
      <c r="F5032" s="12">
        <v>43526.678217592591</v>
      </c>
      <c r="G5032" s="17" t="s">
        <v>13000</v>
      </c>
      <c r="H5032" s="35" t="s">
        <v>2887</v>
      </c>
      <c r="I5032" s="18" t="s">
        <v>2888</v>
      </c>
    </row>
    <row r="5033" spans="1:9" s="33" customFormat="1" ht="120">
      <c r="A5033" s="12">
        <v>43572.827719907407</v>
      </c>
      <c r="B5033" s="13" t="str">
        <f>HYPERLINK("https://twitter.com/VacationSedona","@VacationSedona")</f>
        <v>@VacationSedona</v>
      </c>
      <c r="C5033" s="14" t="s">
        <v>2885</v>
      </c>
      <c r="D5033" s="15" t="s">
        <v>3083</v>
      </c>
      <c r="E5033" s="16" t="str">
        <f>HYPERLINK("https://ifttt.com","IFTTT")</f>
        <v>IFTTT</v>
      </c>
      <c r="F5033" s="12">
        <v>43526.678217592591</v>
      </c>
      <c r="G5033" s="17" t="s">
        <v>13000</v>
      </c>
      <c r="H5033" s="35" t="s">
        <v>2887</v>
      </c>
      <c r="I5033" s="18" t="s">
        <v>2888</v>
      </c>
    </row>
    <row r="5034" spans="1:9" s="33" customFormat="1" ht="90">
      <c r="A5034" s="12">
        <v>43570.369513888887</v>
      </c>
      <c r="B5034" s="13" t="str">
        <f>HYPERLINK("https://twitter.com/VacationSedona","@VacationSedona")</f>
        <v>@VacationSedona</v>
      </c>
      <c r="C5034" s="14" t="s">
        <v>2885</v>
      </c>
      <c r="D5034" s="15" t="s">
        <v>4204</v>
      </c>
      <c r="E5034" s="16" t="str">
        <f>HYPERLINK("https://ifttt.com","IFTTT")</f>
        <v>IFTTT</v>
      </c>
      <c r="F5034" s="12">
        <v>43526.678217592591</v>
      </c>
      <c r="G5034" s="17" t="s">
        <v>13000</v>
      </c>
      <c r="H5034" s="35" t="s">
        <v>2887</v>
      </c>
      <c r="I5034" s="18" t="s">
        <v>2888</v>
      </c>
    </row>
    <row r="5035" spans="1:9" s="33" customFormat="1" ht="105">
      <c r="A5035" s="4">
        <v>43561.675266203703</v>
      </c>
      <c r="B5035" s="5" t="str">
        <f>HYPERLINK("https://twitter.com/blue_cabins","@blue_cabins")</f>
        <v>@blue_cabins</v>
      </c>
      <c r="C5035" s="6" t="s">
        <v>2112</v>
      </c>
      <c r="D5035" s="7" t="s">
        <v>10874</v>
      </c>
      <c r="E5035" s="8" t="str">
        <f>HYPERLINK("http://twitter.com","Twitter Web Client")</f>
        <v>Twitter Web Client</v>
      </c>
      <c r="F5035" s="4">
        <v>43561.59584490741</v>
      </c>
      <c r="G5035" s="17" t="s">
        <v>13000</v>
      </c>
      <c r="H5035" s="35" t="s">
        <v>2114</v>
      </c>
      <c r="I5035" s="10" t="s">
        <v>2115</v>
      </c>
    </row>
    <row r="5036" spans="1:9" s="33" customFormat="1" ht="90">
      <c r="A5036" s="12">
        <v>43575.788124999999</v>
      </c>
      <c r="B5036" s="13" t="str">
        <f>HYPERLINK("https://twitter.com/blue_cabins","@blue_cabins")</f>
        <v>@blue_cabins</v>
      </c>
      <c r="C5036" s="14" t="s">
        <v>2112</v>
      </c>
      <c r="D5036" s="15" t="s">
        <v>2113</v>
      </c>
      <c r="E5036" s="16" t="str">
        <f>HYPERLINK("http://twitter.com","Twitter Web Client")</f>
        <v>Twitter Web Client</v>
      </c>
      <c r="F5036" s="12">
        <v>43561.59584490741</v>
      </c>
      <c r="G5036" s="17" t="s">
        <v>13000</v>
      </c>
      <c r="H5036" s="35" t="s">
        <v>2114</v>
      </c>
      <c r="I5036" s="18" t="s">
        <v>2115</v>
      </c>
    </row>
    <row r="5037" spans="1:9" s="33" customFormat="1" ht="105">
      <c r="A5037" s="12">
        <v>43575.364525462966</v>
      </c>
      <c r="B5037" s="13" t="str">
        <f>HYPERLINK("https://twitter.com/blue_cabins","@blue_cabins")</f>
        <v>@blue_cabins</v>
      </c>
      <c r="C5037" s="14" t="s">
        <v>2112</v>
      </c>
      <c r="D5037" s="15" t="s">
        <v>2256</v>
      </c>
      <c r="E5037" s="16" t="str">
        <f>HYPERLINK("http://twitter.com","Twitter Web Client")</f>
        <v>Twitter Web Client</v>
      </c>
      <c r="F5037" s="12">
        <v>43561.59584490741</v>
      </c>
      <c r="G5037" s="17" t="s">
        <v>13000</v>
      </c>
      <c r="H5037" s="35" t="s">
        <v>2114</v>
      </c>
      <c r="I5037" s="18" t="s">
        <v>2115</v>
      </c>
    </row>
    <row r="5038" spans="1:9" s="33" customFormat="1" ht="45">
      <c r="A5038" s="4">
        <v>43559.646979166668</v>
      </c>
      <c r="B5038" s="5" t="str">
        <f>HYPERLINK("https://twitter.com/jmetzler","@jmetzler")</f>
        <v>@jmetzler</v>
      </c>
      <c r="C5038" s="6" t="s">
        <v>11713</v>
      </c>
      <c r="D5038" s="7" t="s">
        <v>11714</v>
      </c>
      <c r="E5038" s="8" t="str">
        <f>HYPERLINK("http://instagram.com","Instagram")</f>
        <v>Instagram</v>
      </c>
      <c r="F5038" s="4">
        <v>39839.331817129627</v>
      </c>
      <c r="G5038" s="17" t="s">
        <v>13000</v>
      </c>
      <c r="H5038" s="35" t="s">
        <v>11715</v>
      </c>
      <c r="I5038" s="10" t="s">
        <v>11716</v>
      </c>
    </row>
    <row r="5039" spans="1:9" s="33" customFormat="1" ht="60">
      <c r="A5039" s="19">
        <v>43548.352152777778</v>
      </c>
      <c r="B5039" s="20" t="str">
        <f t="shared" ref="B5039:B5045" si="189">HYPERLINK("https://twitter.com/ButchDeal","@ButchDeal")</f>
        <v>@ButchDeal</v>
      </c>
      <c r="C5039" s="21" t="s">
        <v>2611</v>
      </c>
      <c r="D5039" s="22" t="s">
        <v>8347</v>
      </c>
      <c r="E5039" s="23" t="str">
        <f>HYPERLINK("http://instagram.com","Instagram")</f>
        <v>Instagram</v>
      </c>
      <c r="F5039" s="19">
        <v>40240.330555555556</v>
      </c>
      <c r="G5039" s="17" t="s">
        <v>13000</v>
      </c>
      <c r="H5039" s="35" t="s">
        <v>2613</v>
      </c>
      <c r="I5039" s="25" t="s">
        <v>2614</v>
      </c>
    </row>
    <row r="5040" spans="1:9" s="33" customFormat="1" ht="105">
      <c r="A5040" s="4">
        <v>43564.237766203703</v>
      </c>
      <c r="B5040" s="5" t="str">
        <f t="shared" si="189"/>
        <v>@ButchDeal</v>
      </c>
      <c r="C5040" s="6" t="s">
        <v>2611</v>
      </c>
      <c r="D5040" s="7" t="s">
        <v>6726</v>
      </c>
      <c r="E5040" s="8" t="str">
        <f>HYPERLINK("http://twitter.com/download/iphone","Twitter for iPhone")</f>
        <v>Twitter for iPhone</v>
      </c>
      <c r="F5040" s="4">
        <v>40240.330555555556</v>
      </c>
      <c r="G5040" s="17" t="s">
        <v>13000</v>
      </c>
      <c r="H5040" s="35" t="s">
        <v>2613</v>
      </c>
      <c r="I5040" s="10" t="s">
        <v>2614</v>
      </c>
    </row>
    <row r="5041" spans="1:9" s="33" customFormat="1" ht="75">
      <c r="A5041" s="4">
        <v>43563.303171296298</v>
      </c>
      <c r="B5041" s="5" t="str">
        <f t="shared" si="189"/>
        <v>@ButchDeal</v>
      </c>
      <c r="C5041" s="6" t="s">
        <v>2611</v>
      </c>
      <c r="D5041" s="7" t="s">
        <v>10389</v>
      </c>
      <c r="E5041" s="8" t="str">
        <f>HYPERLINK("http://instagram.com","Instagram")</f>
        <v>Instagram</v>
      </c>
      <c r="F5041" s="4">
        <v>40240.330555555556</v>
      </c>
      <c r="G5041" s="17" t="s">
        <v>13000</v>
      </c>
      <c r="H5041" s="35" t="s">
        <v>2613</v>
      </c>
      <c r="I5041" s="10" t="s">
        <v>2614</v>
      </c>
    </row>
    <row r="5042" spans="1:9" s="33" customFormat="1" ht="75">
      <c r="A5042" s="12">
        <v>43574.302094907413</v>
      </c>
      <c r="B5042" s="13" t="str">
        <f t="shared" si="189"/>
        <v>@ButchDeal</v>
      </c>
      <c r="C5042" s="14" t="s">
        <v>2611</v>
      </c>
      <c r="D5042" s="15" t="s">
        <v>2612</v>
      </c>
      <c r="E5042" s="16" t="str">
        <f>HYPERLINK("http://twitter.com/download/iphone","Twitter for iPhone")</f>
        <v>Twitter for iPhone</v>
      </c>
      <c r="F5042" s="12">
        <v>40240.330555555556</v>
      </c>
      <c r="G5042" s="17" t="s">
        <v>13000</v>
      </c>
      <c r="H5042" s="35" t="s">
        <v>2613</v>
      </c>
      <c r="I5042" s="18" t="s">
        <v>2614</v>
      </c>
    </row>
    <row r="5043" spans="1:9" s="33" customFormat="1" ht="75">
      <c r="A5043" s="12">
        <v>43570.641875000001</v>
      </c>
      <c r="B5043" s="13" t="str">
        <f t="shared" si="189"/>
        <v>@ButchDeal</v>
      </c>
      <c r="C5043" s="14" t="s">
        <v>2611</v>
      </c>
      <c r="D5043" s="15" t="s">
        <v>4012</v>
      </c>
      <c r="E5043" s="16" t="str">
        <f>HYPERLINK("http://instagram.com","Instagram")</f>
        <v>Instagram</v>
      </c>
      <c r="F5043" s="12">
        <v>40240.330555555556</v>
      </c>
      <c r="G5043" s="17" t="s">
        <v>13000</v>
      </c>
      <c r="H5043" s="35" t="s">
        <v>2613</v>
      </c>
      <c r="I5043" s="18" t="s">
        <v>2614</v>
      </c>
    </row>
    <row r="5044" spans="1:9" s="33" customFormat="1" ht="75">
      <c r="A5044" s="12">
        <v>43568.66479166667</v>
      </c>
      <c r="B5044" s="13" t="str">
        <f t="shared" si="189"/>
        <v>@ButchDeal</v>
      </c>
      <c r="C5044" s="14" t="s">
        <v>2611</v>
      </c>
      <c r="D5044" s="15" t="s">
        <v>4672</v>
      </c>
      <c r="E5044" s="16" t="str">
        <f>HYPERLINK("http://instagram.com","Instagram")</f>
        <v>Instagram</v>
      </c>
      <c r="F5044" s="12">
        <v>40240.330555555556</v>
      </c>
      <c r="G5044" s="17" t="s">
        <v>13000</v>
      </c>
      <c r="H5044" s="35" t="s">
        <v>2613</v>
      </c>
      <c r="I5044" s="18" t="s">
        <v>2614</v>
      </c>
    </row>
    <row r="5045" spans="1:9" s="33" customFormat="1" ht="120">
      <c r="A5045" s="12">
        <v>43566.417581018519</v>
      </c>
      <c r="B5045" s="13" t="str">
        <f t="shared" si="189"/>
        <v>@ButchDeal</v>
      </c>
      <c r="C5045" s="14" t="s">
        <v>2611</v>
      </c>
      <c r="D5045" s="15" t="s">
        <v>5547</v>
      </c>
      <c r="E5045" s="16" t="str">
        <f>HYPERLINK("http://twitter.com/download/iphone","Twitter for iPhone")</f>
        <v>Twitter for iPhone</v>
      </c>
      <c r="F5045" s="12">
        <v>40240.330555555556</v>
      </c>
      <c r="G5045" s="17" t="s">
        <v>13000</v>
      </c>
      <c r="H5045" s="35" t="s">
        <v>2613</v>
      </c>
      <c r="I5045" s="18" t="s">
        <v>2614</v>
      </c>
    </row>
    <row r="5046" spans="1:9" s="33" customFormat="1" ht="90">
      <c r="A5046" s="12">
        <v>43579.513298611113</v>
      </c>
      <c r="B5046" s="13" t="str">
        <f>HYPERLINK("https://twitter.com/arieabekasis","@arieabekasis")</f>
        <v>@arieabekasis</v>
      </c>
      <c r="C5046" s="14" t="s">
        <v>609</v>
      </c>
      <c r="D5046" s="15" t="s">
        <v>610</v>
      </c>
      <c r="E5046" s="16" t="str">
        <f>HYPERLINK("https://ifttt.com","IFTTT")</f>
        <v>IFTTT</v>
      </c>
      <c r="F5046" s="12">
        <v>41627.867488425924</v>
      </c>
      <c r="G5046" s="17" t="s">
        <v>13000</v>
      </c>
      <c r="H5046" s="35" t="s">
        <v>611</v>
      </c>
      <c r="I5046" s="18" t="s">
        <v>612</v>
      </c>
    </row>
    <row r="5047" spans="1:9" s="33" customFormat="1" ht="90">
      <c r="A5047" s="12">
        <v>43573.40829861111</v>
      </c>
      <c r="B5047" s="13" t="str">
        <f>HYPERLINK("https://twitter.com/arieabekasis","@arieabekasis")</f>
        <v>@arieabekasis</v>
      </c>
      <c r="C5047" s="14" t="s">
        <v>609</v>
      </c>
      <c r="D5047" s="15" t="s">
        <v>2889</v>
      </c>
      <c r="E5047" s="16" t="str">
        <f>HYPERLINK("https://ifttt.com","IFTTT")</f>
        <v>IFTTT</v>
      </c>
      <c r="F5047" s="12">
        <v>41627.867488425924</v>
      </c>
      <c r="G5047" s="17" t="s">
        <v>13000</v>
      </c>
      <c r="H5047" s="35" t="s">
        <v>611</v>
      </c>
      <c r="I5047" s="18" t="s">
        <v>612</v>
      </c>
    </row>
    <row r="5048" spans="1:9" s="33" customFormat="1" ht="75">
      <c r="A5048" s="12">
        <v>43571.784039351856</v>
      </c>
      <c r="B5048" s="13" t="str">
        <f>HYPERLINK("https://twitter.com/robertbalina","@robertbalina")</f>
        <v>@robertbalina</v>
      </c>
      <c r="C5048" s="14" t="s">
        <v>3549</v>
      </c>
      <c r="D5048" s="15" t="s">
        <v>3550</v>
      </c>
      <c r="E5048" s="16" t="str">
        <f>HYPERLINK("http://instagram.com","Instagram")</f>
        <v>Instagram</v>
      </c>
      <c r="F5048" s="12">
        <v>39994.898553240739</v>
      </c>
      <c r="G5048" s="24" t="s">
        <v>13000</v>
      </c>
      <c r="H5048" s="35" t="s">
        <v>3551</v>
      </c>
      <c r="I5048" s="18" t="s">
        <v>3552</v>
      </c>
    </row>
    <row r="5049" spans="1:9" s="33" customFormat="1" ht="90">
      <c r="A5049" s="12">
        <v>43567.604166666672</v>
      </c>
      <c r="B5049" s="13" t="str">
        <f>HYPERLINK("https://twitter.com/AdvanceVentures","@AdvanceVentures")</f>
        <v>@AdvanceVentures</v>
      </c>
      <c r="C5049" s="14" t="s">
        <v>5026</v>
      </c>
      <c r="D5049" s="15" t="s">
        <v>5027</v>
      </c>
      <c r="E5049" s="16" t="str">
        <f>HYPERLINK("https://ads-api.twitter.com","Twitter Ads Composer")</f>
        <v>Twitter Ads Composer</v>
      </c>
      <c r="F5049" s="12">
        <v>41337.403796296298</v>
      </c>
      <c r="G5049" s="24" t="s">
        <v>13000</v>
      </c>
      <c r="H5049" s="35" t="s">
        <v>5028</v>
      </c>
      <c r="I5049" s="18" t="s">
        <v>5029</v>
      </c>
    </row>
    <row r="5050" spans="1:9" s="33" customFormat="1" ht="60">
      <c r="A5050" s="4">
        <v>43558.523634259254</v>
      </c>
      <c r="B5050" s="5" t="str">
        <f>HYPERLINK("https://twitter.com/StephanieRahlfs","@StephanieRahlfs")</f>
        <v>@StephanieRahlfs</v>
      </c>
      <c r="C5050" s="6" t="s">
        <v>12143</v>
      </c>
      <c r="D5050" s="7" t="s">
        <v>12144</v>
      </c>
      <c r="E5050" s="8" t="str">
        <f>HYPERLINK("https://buffer.com","Buffer")</f>
        <v>Buffer</v>
      </c>
      <c r="F5050" s="4">
        <v>41642.631493055553</v>
      </c>
      <c r="G5050" s="24" t="s">
        <v>13000</v>
      </c>
      <c r="H5050" s="35" t="s">
        <v>595</v>
      </c>
      <c r="I5050" s="10" t="s">
        <v>12145</v>
      </c>
    </row>
    <row r="5051" spans="1:9" s="33" customFormat="1" ht="60">
      <c r="A5051" s="12">
        <v>43579.535370370373</v>
      </c>
      <c r="B5051" s="13" t="str">
        <f>HYPERLINK("https://twitter.com/KevinKhoi_EXP","@KevinKhoi_EXP")</f>
        <v>@KevinKhoi_EXP</v>
      </c>
      <c r="C5051" s="14" t="s">
        <v>593</v>
      </c>
      <c r="D5051" s="15" t="s">
        <v>594</v>
      </c>
      <c r="E5051" s="16" t="str">
        <f>HYPERLINK("http://twitter.com","Twitter Web Client")</f>
        <v>Twitter Web Client</v>
      </c>
      <c r="F5051" s="12">
        <v>43557.621898148151</v>
      </c>
      <c r="G5051" s="24" t="s">
        <v>13000</v>
      </c>
      <c r="H5051" s="35" t="s">
        <v>595</v>
      </c>
      <c r="I5051" s="18" t="s">
        <v>596</v>
      </c>
    </row>
    <row r="5052" spans="1:9" s="33" customFormat="1" ht="90">
      <c r="A5052" s="12">
        <v>43574.780497685184</v>
      </c>
      <c r="B5052" s="13" t="str">
        <f>HYPERLINK("https://twitter.com/TheTechJournal","@TheTechJournal")</f>
        <v>@TheTechJournal</v>
      </c>
      <c r="C5052" s="14" t="s">
        <v>2452</v>
      </c>
      <c r="D5052" s="15" t="s">
        <v>2453</v>
      </c>
      <c r="E5052" s="16" t="str">
        <f>HYPERLINK("http://neliosoftware.com/content","Nelio Content")</f>
        <v>Nelio Content</v>
      </c>
      <c r="F5052" s="12">
        <v>40221.335636574076</v>
      </c>
      <c r="G5052" s="24" t="s">
        <v>13000</v>
      </c>
      <c r="H5052" s="35" t="s">
        <v>595</v>
      </c>
      <c r="I5052" s="18" t="s">
        <v>2454</v>
      </c>
    </row>
    <row r="5053" spans="1:9" s="33" customFormat="1" ht="45">
      <c r="A5053" s="19">
        <v>43542.648483796293</v>
      </c>
      <c r="B5053" s="20" t="str">
        <f>HYPERLINK("https://twitter.com/rockiesproperty","@rockiesproperty")</f>
        <v>@rockiesproperty</v>
      </c>
      <c r="C5053" s="21" t="s">
        <v>10045</v>
      </c>
      <c r="D5053" s="22" t="s">
        <v>10046</v>
      </c>
      <c r="E5053" s="23" t="str">
        <f>HYPERLINK("http://twitter.com","Twitter Web Client")</f>
        <v>Twitter Web Client</v>
      </c>
      <c r="F5053" s="19">
        <v>42593.38380787037</v>
      </c>
      <c r="G5053" s="24" t="s">
        <v>13000</v>
      </c>
      <c r="H5053" s="35" t="s">
        <v>10047</v>
      </c>
      <c r="I5053" s="25" t="s">
        <v>10048</v>
      </c>
    </row>
    <row r="5054" spans="1:9" s="33" customFormat="1" ht="75">
      <c r="A5054" s="12">
        <v>43576.80532407407</v>
      </c>
      <c r="B5054" s="13" t="str">
        <f>HYPERLINK("https://twitter.com/playstaytahoe","@playstaytahoe")</f>
        <v>@playstaytahoe</v>
      </c>
      <c r="C5054" s="14" t="s">
        <v>1827</v>
      </c>
      <c r="D5054" s="15" t="s">
        <v>1828</v>
      </c>
      <c r="E5054" s="16" t="str">
        <f>HYPERLINK("http://twitter.com","Twitter Web Client")</f>
        <v>Twitter Web Client</v>
      </c>
      <c r="F5054" s="12">
        <v>40864.467546296299</v>
      </c>
      <c r="G5054" s="24" t="s">
        <v>13000</v>
      </c>
      <c r="H5054" s="35" t="s">
        <v>1829</v>
      </c>
      <c r="I5054" s="18" t="s">
        <v>1830</v>
      </c>
    </row>
    <row r="5055" spans="1:9" s="33" customFormat="1" ht="75">
      <c r="A5055" s="19">
        <v>43545.036238425921</v>
      </c>
      <c r="B5055" s="20" t="str">
        <f>HYPERLINK("https://twitter.com/SkyValleyRanch","@SkyValleyRanch")</f>
        <v>@SkyValleyRanch</v>
      </c>
      <c r="C5055" s="21" t="s">
        <v>9291</v>
      </c>
      <c r="D5055" s="22" t="s">
        <v>9292</v>
      </c>
      <c r="E5055" s="23" t="str">
        <f>HYPERLINK("http://instagram.com","Instagram")</f>
        <v>Instagram</v>
      </c>
      <c r="F5055" s="19">
        <v>43366.439375000002</v>
      </c>
      <c r="G5055" s="24" t="s">
        <v>13000</v>
      </c>
      <c r="H5055" s="35" t="s">
        <v>9293</v>
      </c>
      <c r="I5055" s="25"/>
    </row>
    <row r="5056" spans="1:9" s="33" customFormat="1" ht="75">
      <c r="A5056" s="12">
        <v>43570.226469907408</v>
      </c>
      <c r="B5056" s="13" t="str">
        <f>HYPERLINK("https://twitter.com/jcallina","@jcallina")</f>
        <v>@jcallina</v>
      </c>
      <c r="C5056" s="14" t="s">
        <v>4290</v>
      </c>
      <c r="D5056" s="15" t="s">
        <v>4291</v>
      </c>
      <c r="E5056" s="16" t="str">
        <f>HYPERLINK("https://about.twitter.com/products/tweetdeck","TweetDeck")</f>
        <v>TweetDeck</v>
      </c>
      <c r="F5056" s="12">
        <v>39156.577245370368</v>
      </c>
      <c r="G5056" s="17" t="s">
        <v>13000</v>
      </c>
      <c r="H5056" s="35" t="s">
        <v>4292</v>
      </c>
      <c r="I5056" s="18" t="s">
        <v>4293</v>
      </c>
    </row>
    <row r="5057" spans="1:9" s="33" customFormat="1" ht="45">
      <c r="A5057" s="12">
        <v>43569.283206018517</v>
      </c>
      <c r="B5057" s="13" t="str">
        <f>HYPERLINK("https://twitter.com/jcallina","@jcallina")</f>
        <v>@jcallina</v>
      </c>
      <c r="C5057" s="14" t="s">
        <v>4290</v>
      </c>
      <c r="D5057" s="15" t="s">
        <v>4565</v>
      </c>
      <c r="E5057" s="16" t="str">
        <f>HYPERLINK("https://about.twitter.com/products/tweetdeck","TweetDeck")</f>
        <v>TweetDeck</v>
      </c>
      <c r="F5057" s="12">
        <v>39156.577245370368</v>
      </c>
      <c r="G5057" s="17" t="s">
        <v>13000</v>
      </c>
      <c r="H5057" s="35" t="s">
        <v>4292</v>
      </c>
      <c r="I5057" s="18" t="s">
        <v>4293</v>
      </c>
    </row>
    <row r="5058" spans="1:9" s="33" customFormat="1" ht="90">
      <c r="A5058" s="4">
        <v>43563.281388888892</v>
      </c>
      <c r="B5058" s="5" t="str">
        <f>HYPERLINK("https://twitter.com/jaynness_","@jaynness_")</f>
        <v>@jaynness_</v>
      </c>
      <c r="C5058" s="6" t="s">
        <v>10411</v>
      </c>
      <c r="D5058" s="7" t="s">
        <v>10412</v>
      </c>
      <c r="E5058" s="8" t="str">
        <f>HYPERLINK("http://twitter.com/download/iphone","Twitter for iPhone")</f>
        <v>Twitter for iPhone</v>
      </c>
      <c r="F5058" s="4">
        <v>41527.774780092594</v>
      </c>
      <c r="G5058" s="9" t="s">
        <v>13000</v>
      </c>
      <c r="H5058" s="35" t="s">
        <v>10413</v>
      </c>
      <c r="I5058" s="10" t="s">
        <v>10414</v>
      </c>
    </row>
    <row r="5059" spans="1:9" s="33" customFormat="1" ht="120">
      <c r="A5059" s="4">
        <v>43561.961076388892</v>
      </c>
      <c r="B5059" s="5" t="str">
        <f>HYPERLINK("https://twitter.com/jaynness_","@jaynness_")</f>
        <v>@jaynness_</v>
      </c>
      <c r="C5059" s="6" t="s">
        <v>10411</v>
      </c>
      <c r="D5059" s="7" t="s">
        <v>10793</v>
      </c>
      <c r="E5059" s="8" t="str">
        <f>HYPERLINK("http://twitter.com/download/iphone","Twitter for iPhone")</f>
        <v>Twitter for iPhone</v>
      </c>
      <c r="F5059" s="4">
        <v>41527.774780092594</v>
      </c>
      <c r="G5059" s="9" t="s">
        <v>13000</v>
      </c>
      <c r="H5059" s="35" t="s">
        <v>10413</v>
      </c>
      <c r="I5059" s="10" t="s">
        <v>10414</v>
      </c>
    </row>
    <row r="5060" spans="1:9" s="33" customFormat="1" ht="75">
      <c r="A5060" s="19">
        <v>43542.975254629629</v>
      </c>
      <c r="B5060" s="20" t="str">
        <f>HYPERLINK("https://twitter.com/korreyladeroute","@korreyladeroute")</f>
        <v>@korreyladeroute</v>
      </c>
      <c r="C5060" s="21" t="s">
        <v>9973</v>
      </c>
      <c r="D5060" s="22" t="s">
        <v>9974</v>
      </c>
      <c r="E5060" s="23" t="str">
        <f t="shared" ref="E5060:E5087" si="190">HYPERLINK("http://twitter.com","Twitter Web Client")</f>
        <v>Twitter Web Client</v>
      </c>
      <c r="F5060" s="19">
        <v>41750.68818287037</v>
      </c>
      <c r="G5060" s="24" t="s">
        <v>13000</v>
      </c>
      <c r="H5060" s="35" t="s">
        <v>9975</v>
      </c>
      <c r="I5060" s="25" t="s">
        <v>9976</v>
      </c>
    </row>
    <row r="5061" spans="1:9" s="33" customFormat="1" ht="90">
      <c r="A5061" s="19">
        <v>43549.409143518518</v>
      </c>
      <c r="B5061" s="20" t="str">
        <f t="shared" ref="B5061:B5087" si="191">HYPERLINK("https://twitter.com/cottage_green","@cottage_green")</f>
        <v>@cottage_green</v>
      </c>
      <c r="C5061" s="21" t="s">
        <v>2033</v>
      </c>
      <c r="D5061" s="22" t="s">
        <v>8047</v>
      </c>
      <c r="E5061" s="23" t="str">
        <f t="shared" si="190"/>
        <v>Twitter Web Client</v>
      </c>
      <c r="F5061" s="19">
        <v>42490.355833333335</v>
      </c>
      <c r="G5061" s="17" t="s">
        <v>13000</v>
      </c>
      <c r="H5061" s="35" t="s">
        <v>1495</v>
      </c>
      <c r="I5061" s="25" t="s">
        <v>2035</v>
      </c>
    </row>
    <row r="5062" spans="1:9" s="33" customFormat="1" ht="120">
      <c r="A5062" s="19">
        <v>43549.402245370366</v>
      </c>
      <c r="B5062" s="20" t="str">
        <f t="shared" si="191"/>
        <v>@cottage_green</v>
      </c>
      <c r="C5062" s="21" t="s">
        <v>2033</v>
      </c>
      <c r="D5062" s="22" t="s">
        <v>8059</v>
      </c>
      <c r="E5062" s="23" t="str">
        <f t="shared" si="190"/>
        <v>Twitter Web Client</v>
      </c>
      <c r="F5062" s="19">
        <v>42490.355833333335</v>
      </c>
      <c r="G5062" s="17" t="s">
        <v>13000</v>
      </c>
      <c r="H5062" s="35" t="s">
        <v>1495</v>
      </c>
      <c r="I5062" s="25" t="s">
        <v>2035</v>
      </c>
    </row>
    <row r="5063" spans="1:9" s="33" customFormat="1" ht="60">
      <c r="A5063" s="19">
        <v>43549.188449074078</v>
      </c>
      <c r="B5063" s="20" t="str">
        <f t="shared" si="191"/>
        <v>@cottage_green</v>
      </c>
      <c r="C5063" s="21" t="s">
        <v>2033</v>
      </c>
      <c r="D5063" s="22" t="s">
        <v>8133</v>
      </c>
      <c r="E5063" s="23" t="str">
        <f t="shared" si="190"/>
        <v>Twitter Web Client</v>
      </c>
      <c r="F5063" s="19">
        <v>42490.355833333335</v>
      </c>
      <c r="G5063" s="17" t="s">
        <v>13000</v>
      </c>
      <c r="H5063" s="35" t="s">
        <v>1495</v>
      </c>
      <c r="I5063" s="25" t="s">
        <v>2035</v>
      </c>
    </row>
    <row r="5064" spans="1:9" s="33" customFormat="1" ht="105">
      <c r="A5064" s="19">
        <v>43549.128553240742</v>
      </c>
      <c r="B5064" s="20" t="str">
        <f t="shared" si="191"/>
        <v>@cottage_green</v>
      </c>
      <c r="C5064" s="21" t="s">
        <v>2033</v>
      </c>
      <c r="D5064" s="22" t="s">
        <v>8154</v>
      </c>
      <c r="E5064" s="23" t="str">
        <f t="shared" si="190"/>
        <v>Twitter Web Client</v>
      </c>
      <c r="F5064" s="19">
        <v>42490.355833333335</v>
      </c>
      <c r="G5064" s="17" t="s">
        <v>13000</v>
      </c>
      <c r="H5064" s="35" t="s">
        <v>1495</v>
      </c>
      <c r="I5064" s="25" t="s">
        <v>2035</v>
      </c>
    </row>
    <row r="5065" spans="1:9" s="33" customFormat="1" ht="120">
      <c r="A5065" s="19">
        <v>43549.124212962968</v>
      </c>
      <c r="B5065" s="20" t="str">
        <f t="shared" si="191"/>
        <v>@cottage_green</v>
      </c>
      <c r="C5065" s="21" t="s">
        <v>2033</v>
      </c>
      <c r="D5065" s="22" t="s">
        <v>8159</v>
      </c>
      <c r="E5065" s="23" t="str">
        <f t="shared" si="190"/>
        <v>Twitter Web Client</v>
      </c>
      <c r="F5065" s="19">
        <v>42490.355833333335</v>
      </c>
      <c r="G5065" s="17" t="s">
        <v>13000</v>
      </c>
      <c r="H5065" s="35" t="s">
        <v>1495</v>
      </c>
      <c r="I5065" s="25" t="s">
        <v>2035</v>
      </c>
    </row>
    <row r="5066" spans="1:9" s="33" customFormat="1" ht="135">
      <c r="A5066" s="19">
        <v>43548.15111111111</v>
      </c>
      <c r="B5066" s="20" t="str">
        <f t="shared" si="191"/>
        <v>@cottage_green</v>
      </c>
      <c r="C5066" s="21" t="s">
        <v>2033</v>
      </c>
      <c r="D5066" s="22" t="s">
        <v>8393</v>
      </c>
      <c r="E5066" s="23" t="str">
        <f t="shared" si="190"/>
        <v>Twitter Web Client</v>
      </c>
      <c r="F5066" s="19">
        <v>42490.355833333335</v>
      </c>
      <c r="G5066" s="17" t="s">
        <v>13000</v>
      </c>
      <c r="H5066" s="35" t="s">
        <v>1495</v>
      </c>
      <c r="I5066" s="25" t="s">
        <v>2035</v>
      </c>
    </row>
    <row r="5067" spans="1:9" s="33" customFormat="1" ht="75">
      <c r="A5067" s="19">
        <v>43548.139328703706</v>
      </c>
      <c r="B5067" s="20" t="str">
        <f t="shared" si="191"/>
        <v>@cottage_green</v>
      </c>
      <c r="C5067" s="21" t="s">
        <v>2033</v>
      </c>
      <c r="D5067" s="22" t="s">
        <v>8395</v>
      </c>
      <c r="E5067" s="23" t="str">
        <f t="shared" si="190"/>
        <v>Twitter Web Client</v>
      </c>
      <c r="F5067" s="19">
        <v>42490.355833333335</v>
      </c>
      <c r="G5067" s="17" t="s">
        <v>13000</v>
      </c>
      <c r="H5067" s="35" t="s">
        <v>1495</v>
      </c>
      <c r="I5067" s="25" t="s">
        <v>2035</v>
      </c>
    </row>
    <row r="5068" spans="1:9" s="33" customFormat="1" ht="120">
      <c r="A5068" s="19">
        <v>43544.194189814814</v>
      </c>
      <c r="B5068" s="20" t="str">
        <f t="shared" si="191"/>
        <v>@cottage_green</v>
      </c>
      <c r="C5068" s="21" t="s">
        <v>2033</v>
      </c>
      <c r="D5068" s="22" t="s">
        <v>9581</v>
      </c>
      <c r="E5068" s="23" t="str">
        <f t="shared" si="190"/>
        <v>Twitter Web Client</v>
      </c>
      <c r="F5068" s="19">
        <v>42490.355833333335</v>
      </c>
      <c r="G5068" s="17" t="s">
        <v>13000</v>
      </c>
      <c r="H5068" s="35" t="s">
        <v>1495</v>
      </c>
      <c r="I5068" s="25" t="s">
        <v>2035</v>
      </c>
    </row>
    <row r="5069" spans="1:9" s="33" customFormat="1" ht="120">
      <c r="A5069" s="19">
        <v>43544.15115740741</v>
      </c>
      <c r="B5069" s="20" t="str">
        <f t="shared" si="191"/>
        <v>@cottage_green</v>
      </c>
      <c r="C5069" s="21" t="s">
        <v>2033</v>
      </c>
      <c r="D5069" s="22" t="s">
        <v>9597</v>
      </c>
      <c r="E5069" s="23" t="str">
        <f t="shared" si="190"/>
        <v>Twitter Web Client</v>
      </c>
      <c r="F5069" s="19">
        <v>42490.355833333335</v>
      </c>
      <c r="G5069" s="17" t="s">
        <v>13000</v>
      </c>
      <c r="H5069" s="35" t="s">
        <v>1495</v>
      </c>
      <c r="I5069" s="25" t="s">
        <v>2035</v>
      </c>
    </row>
    <row r="5070" spans="1:9" s="33" customFormat="1" ht="120">
      <c r="A5070" s="19">
        <v>43544.146608796298</v>
      </c>
      <c r="B5070" s="20" t="str">
        <f t="shared" si="191"/>
        <v>@cottage_green</v>
      </c>
      <c r="C5070" s="21" t="s">
        <v>2033</v>
      </c>
      <c r="D5070" s="22" t="s">
        <v>9598</v>
      </c>
      <c r="E5070" s="23" t="str">
        <f t="shared" si="190"/>
        <v>Twitter Web Client</v>
      </c>
      <c r="F5070" s="19">
        <v>42490.355833333335</v>
      </c>
      <c r="G5070" s="17" t="s">
        <v>13000</v>
      </c>
      <c r="H5070" s="35" t="s">
        <v>1495</v>
      </c>
      <c r="I5070" s="25" t="s">
        <v>2035</v>
      </c>
    </row>
    <row r="5071" spans="1:9" s="33" customFormat="1" ht="90">
      <c r="A5071" s="4">
        <v>43565.236990740741</v>
      </c>
      <c r="B5071" s="5" t="str">
        <f t="shared" si="191"/>
        <v>@cottage_green</v>
      </c>
      <c r="C5071" s="6" t="s">
        <v>2033</v>
      </c>
      <c r="D5071" s="7" t="s">
        <v>6214</v>
      </c>
      <c r="E5071" s="8" t="str">
        <f t="shared" si="190"/>
        <v>Twitter Web Client</v>
      </c>
      <c r="F5071" s="4">
        <v>42490.355833333335</v>
      </c>
      <c r="G5071" s="17" t="s">
        <v>13000</v>
      </c>
      <c r="H5071" s="35" t="s">
        <v>1495</v>
      </c>
      <c r="I5071" s="10" t="s">
        <v>2035</v>
      </c>
    </row>
    <row r="5072" spans="1:9" s="33" customFormat="1" ht="90">
      <c r="A5072" s="4">
        <v>43564.472893518519</v>
      </c>
      <c r="B5072" s="5" t="str">
        <f t="shared" si="191"/>
        <v>@cottage_green</v>
      </c>
      <c r="C5072" s="6" t="s">
        <v>2033</v>
      </c>
      <c r="D5072" s="7" t="s">
        <v>6587</v>
      </c>
      <c r="E5072" s="8" t="str">
        <f t="shared" si="190"/>
        <v>Twitter Web Client</v>
      </c>
      <c r="F5072" s="4">
        <v>42490.355833333335</v>
      </c>
      <c r="G5072" s="17" t="s">
        <v>13000</v>
      </c>
      <c r="H5072" s="35" t="s">
        <v>1495</v>
      </c>
      <c r="I5072" s="10" t="s">
        <v>2035</v>
      </c>
    </row>
    <row r="5073" spans="1:9" s="33" customFormat="1" ht="75">
      <c r="A5073" s="4">
        <v>43564.470277777778</v>
      </c>
      <c r="B5073" s="5" t="str">
        <f t="shared" si="191"/>
        <v>@cottage_green</v>
      </c>
      <c r="C5073" s="6" t="s">
        <v>2033</v>
      </c>
      <c r="D5073" s="7" t="s">
        <v>6590</v>
      </c>
      <c r="E5073" s="8" t="str">
        <f t="shared" si="190"/>
        <v>Twitter Web Client</v>
      </c>
      <c r="F5073" s="4">
        <v>42490.355833333335</v>
      </c>
      <c r="G5073" s="17" t="s">
        <v>13000</v>
      </c>
      <c r="H5073" s="35" t="s">
        <v>1495</v>
      </c>
      <c r="I5073" s="10" t="s">
        <v>2035</v>
      </c>
    </row>
    <row r="5074" spans="1:9" s="33" customFormat="1" ht="120">
      <c r="A5074" s="4">
        <v>43564.239988425921</v>
      </c>
      <c r="B5074" s="5" t="str">
        <f t="shared" si="191"/>
        <v>@cottage_green</v>
      </c>
      <c r="C5074" s="6" t="s">
        <v>2033</v>
      </c>
      <c r="D5074" s="7" t="s">
        <v>6725</v>
      </c>
      <c r="E5074" s="8" t="str">
        <f t="shared" si="190"/>
        <v>Twitter Web Client</v>
      </c>
      <c r="F5074" s="4">
        <v>42490.355833333335</v>
      </c>
      <c r="G5074" s="17" t="s">
        <v>13000</v>
      </c>
      <c r="H5074" s="35" t="s">
        <v>1495</v>
      </c>
      <c r="I5074" s="10" t="s">
        <v>2035</v>
      </c>
    </row>
    <row r="5075" spans="1:9" s="33" customFormat="1" ht="120">
      <c r="A5075" s="4">
        <v>43564.237557870365</v>
      </c>
      <c r="B5075" s="5" t="str">
        <f t="shared" si="191"/>
        <v>@cottage_green</v>
      </c>
      <c r="C5075" s="6" t="s">
        <v>2033</v>
      </c>
      <c r="D5075" s="7" t="s">
        <v>6727</v>
      </c>
      <c r="E5075" s="8" t="str">
        <f t="shared" si="190"/>
        <v>Twitter Web Client</v>
      </c>
      <c r="F5075" s="4">
        <v>42490.355833333335</v>
      </c>
      <c r="G5075" s="17" t="s">
        <v>13000</v>
      </c>
      <c r="H5075" s="35" t="s">
        <v>1495</v>
      </c>
      <c r="I5075" s="10" t="s">
        <v>2035</v>
      </c>
    </row>
    <row r="5076" spans="1:9" s="33" customFormat="1" ht="105">
      <c r="A5076" s="4">
        <v>43561.206087962964</v>
      </c>
      <c r="B5076" s="5" t="str">
        <f t="shared" si="191"/>
        <v>@cottage_green</v>
      </c>
      <c r="C5076" s="6" t="s">
        <v>2033</v>
      </c>
      <c r="D5076" s="7" t="s">
        <v>11031</v>
      </c>
      <c r="E5076" s="8" t="str">
        <f t="shared" si="190"/>
        <v>Twitter Web Client</v>
      </c>
      <c r="F5076" s="4">
        <v>42490.355833333335</v>
      </c>
      <c r="G5076" s="17" t="s">
        <v>13000</v>
      </c>
      <c r="H5076" s="35" t="s">
        <v>1495</v>
      </c>
      <c r="I5076" s="10" t="s">
        <v>2035</v>
      </c>
    </row>
    <row r="5077" spans="1:9" s="33" customFormat="1" ht="105">
      <c r="A5077" s="4">
        <v>43561.204432870371</v>
      </c>
      <c r="B5077" s="5" t="str">
        <f t="shared" si="191"/>
        <v>@cottage_green</v>
      </c>
      <c r="C5077" s="6" t="s">
        <v>2033</v>
      </c>
      <c r="D5077" s="7" t="s">
        <v>11035</v>
      </c>
      <c r="E5077" s="8" t="str">
        <f t="shared" si="190"/>
        <v>Twitter Web Client</v>
      </c>
      <c r="F5077" s="4">
        <v>42490.355833333335</v>
      </c>
      <c r="G5077" s="17" t="s">
        <v>13000</v>
      </c>
      <c r="H5077" s="35" t="s">
        <v>1495</v>
      </c>
      <c r="I5077" s="10" t="s">
        <v>2035</v>
      </c>
    </row>
    <row r="5078" spans="1:9" s="33" customFormat="1" ht="120">
      <c r="A5078" s="4">
        <v>43561.06931712963</v>
      </c>
      <c r="B5078" s="5" t="str">
        <f t="shared" si="191"/>
        <v>@cottage_green</v>
      </c>
      <c r="C5078" s="6" t="s">
        <v>2033</v>
      </c>
      <c r="D5078" s="7" t="s">
        <v>11089</v>
      </c>
      <c r="E5078" s="8" t="str">
        <f t="shared" si="190"/>
        <v>Twitter Web Client</v>
      </c>
      <c r="F5078" s="4">
        <v>42490.355833333335</v>
      </c>
      <c r="G5078" s="17" t="s">
        <v>13000</v>
      </c>
      <c r="H5078" s="35" t="s">
        <v>1495</v>
      </c>
      <c r="I5078" s="10" t="s">
        <v>2035</v>
      </c>
    </row>
    <row r="5079" spans="1:9" s="33" customFormat="1" ht="120">
      <c r="A5079" s="4">
        <v>43561.066030092596</v>
      </c>
      <c r="B5079" s="5" t="str">
        <f t="shared" si="191"/>
        <v>@cottage_green</v>
      </c>
      <c r="C5079" s="6" t="s">
        <v>2033</v>
      </c>
      <c r="D5079" s="7" t="s">
        <v>11090</v>
      </c>
      <c r="E5079" s="8" t="str">
        <f t="shared" si="190"/>
        <v>Twitter Web Client</v>
      </c>
      <c r="F5079" s="4">
        <v>42490.355833333335</v>
      </c>
      <c r="G5079" s="17" t="s">
        <v>13000</v>
      </c>
      <c r="H5079" s="35" t="s">
        <v>1495</v>
      </c>
      <c r="I5079" s="10" t="s">
        <v>2035</v>
      </c>
    </row>
    <row r="5080" spans="1:9" s="33" customFormat="1" ht="120">
      <c r="A5080" s="4">
        <v>43560.294999999998</v>
      </c>
      <c r="B5080" s="5" t="str">
        <f t="shared" si="191"/>
        <v>@cottage_green</v>
      </c>
      <c r="C5080" s="6" t="s">
        <v>2033</v>
      </c>
      <c r="D5080" s="7" t="s">
        <v>11488</v>
      </c>
      <c r="E5080" s="8" t="str">
        <f t="shared" si="190"/>
        <v>Twitter Web Client</v>
      </c>
      <c r="F5080" s="4">
        <v>42490.355833333335</v>
      </c>
      <c r="G5080" s="17" t="s">
        <v>13000</v>
      </c>
      <c r="H5080" s="35" t="s">
        <v>1495</v>
      </c>
      <c r="I5080" s="10" t="s">
        <v>2035</v>
      </c>
    </row>
    <row r="5081" spans="1:9" s="33" customFormat="1" ht="120">
      <c r="A5081" s="4">
        <v>43560.283831018518</v>
      </c>
      <c r="B5081" s="5" t="str">
        <f t="shared" si="191"/>
        <v>@cottage_green</v>
      </c>
      <c r="C5081" s="6" t="s">
        <v>2033</v>
      </c>
      <c r="D5081" s="7" t="s">
        <v>11508</v>
      </c>
      <c r="E5081" s="8" t="str">
        <f t="shared" si="190"/>
        <v>Twitter Web Client</v>
      </c>
      <c r="F5081" s="4">
        <v>42490.355833333335</v>
      </c>
      <c r="G5081" s="17" t="s">
        <v>13000</v>
      </c>
      <c r="H5081" s="35" t="s">
        <v>1495</v>
      </c>
      <c r="I5081" s="10" t="s">
        <v>2035</v>
      </c>
    </row>
    <row r="5082" spans="1:9" s="33" customFormat="1" ht="120">
      <c r="A5082" s="4">
        <v>43560.283067129625</v>
      </c>
      <c r="B5082" s="5" t="str">
        <f t="shared" si="191"/>
        <v>@cottage_green</v>
      </c>
      <c r="C5082" s="6" t="s">
        <v>2033</v>
      </c>
      <c r="D5082" s="7" t="s">
        <v>11509</v>
      </c>
      <c r="E5082" s="8" t="str">
        <f t="shared" si="190"/>
        <v>Twitter Web Client</v>
      </c>
      <c r="F5082" s="4">
        <v>42490.355833333335</v>
      </c>
      <c r="G5082" s="17" t="s">
        <v>13000</v>
      </c>
      <c r="H5082" s="35" t="s">
        <v>1495</v>
      </c>
      <c r="I5082" s="10" t="s">
        <v>2035</v>
      </c>
    </row>
    <row r="5083" spans="1:9" s="33" customFormat="1" ht="120">
      <c r="A5083" s="4">
        <v>43560.281898148147</v>
      </c>
      <c r="B5083" s="5" t="str">
        <f t="shared" si="191"/>
        <v>@cottage_green</v>
      </c>
      <c r="C5083" s="6" t="s">
        <v>2033</v>
      </c>
      <c r="D5083" s="7" t="s">
        <v>11510</v>
      </c>
      <c r="E5083" s="8" t="str">
        <f t="shared" si="190"/>
        <v>Twitter Web Client</v>
      </c>
      <c r="F5083" s="4">
        <v>42490.355833333335</v>
      </c>
      <c r="G5083" s="17" t="s">
        <v>13000</v>
      </c>
      <c r="H5083" s="35" t="s">
        <v>1495</v>
      </c>
      <c r="I5083" s="10" t="s">
        <v>2035</v>
      </c>
    </row>
    <row r="5084" spans="1:9" s="33" customFormat="1" ht="135">
      <c r="A5084" s="4">
        <v>43560.280694444446</v>
      </c>
      <c r="B5084" s="5" t="str">
        <f t="shared" si="191"/>
        <v>@cottage_green</v>
      </c>
      <c r="C5084" s="6" t="s">
        <v>2033</v>
      </c>
      <c r="D5084" s="7" t="s">
        <v>11511</v>
      </c>
      <c r="E5084" s="8" t="str">
        <f t="shared" si="190"/>
        <v>Twitter Web Client</v>
      </c>
      <c r="F5084" s="4">
        <v>42490.355833333335</v>
      </c>
      <c r="G5084" s="17" t="s">
        <v>13000</v>
      </c>
      <c r="H5084" s="35" t="s">
        <v>1495</v>
      </c>
      <c r="I5084" s="10" t="s">
        <v>2035</v>
      </c>
    </row>
    <row r="5085" spans="1:9" s="33" customFormat="1" ht="105">
      <c r="A5085" s="4">
        <v>43558.194062499999</v>
      </c>
      <c r="B5085" s="5" t="str">
        <f t="shared" si="191"/>
        <v>@cottage_green</v>
      </c>
      <c r="C5085" s="6" t="s">
        <v>2033</v>
      </c>
      <c r="D5085" s="7" t="s">
        <v>12286</v>
      </c>
      <c r="E5085" s="8" t="str">
        <f t="shared" si="190"/>
        <v>Twitter Web Client</v>
      </c>
      <c r="F5085" s="4">
        <v>42490.355833333335</v>
      </c>
      <c r="G5085" s="17" t="s">
        <v>13000</v>
      </c>
      <c r="H5085" s="35" t="s">
        <v>1495</v>
      </c>
      <c r="I5085" s="10" t="s">
        <v>2035</v>
      </c>
    </row>
    <row r="5086" spans="1:9" s="33" customFormat="1" ht="105">
      <c r="A5086" s="4">
        <v>43558.191458333335</v>
      </c>
      <c r="B5086" s="5" t="str">
        <f t="shared" si="191"/>
        <v>@cottage_green</v>
      </c>
      <c r="C5086" s="6" t="s">
        <v>2033</v>
      </c>
      <c r="D5086" s="7" t="s">
        <v>12287</v>
      </c>
      <c r="E5086" s="8" t="str">
        <f t="shared" si="190"/>
        <v>Twitter Web Client</v>
      </c>
      <c r="F5086" s="4">
        <v>42490.355833333335</v>
      </c>
      <c r="G5086" s="17" t="s">
        <v>13000</v>
      </c>
      <c r="H5086" s="35" t="s">
        <v>1495</v>
      </c>
      <c r="I5086" s="10" t="s">
        <v>2035</v>
      </c>
    </row>
    <row r="5087" spans="1:9" s="33" customFormat="1" ht="105">
      <c r="A5087" s="4">
        <v>43558.189791666664</v>
      </c>
      <c r="B5087" s="5" t="str">
        <f t="shared" si="191"/>
        <v>@cottage_green</v>
      </c>
      <c r="C5087" s="6" t="s">
        <v>2033</v>
      </c>
      <c r="D5087" s="7" t="s">
        <v>12292</v>
      </c>
      <c r="E5087" s="8" t="str">
        <f t="shared" si="190"/>
        <v>Twitter Web Client</v>
      </c>
      <c r="F5087" s="4">
        <v>42490.355833333335</v>
      </c>
      <c r="G5087" s="17" t="s">
        <v>13000</v>
      </c>
      <c r="H5087" s="35" t="s">
        <v>1495</v>
      </c>
      <c r="I5087" s="10" t="s">
        <v>2035</v>
      </c>
    </row>
    <row r="5088" spans="1:9" s="33" customFormat="1" ht="135">
      <c r="A5088" s="12">
        <v>43577.792662037042</v>
      </c>
      <c r="B5088" s="13" t="str">
        <f>HYPERLINK("https://twitter.com/conspeared","@conspeared")</f>
        <v>@conspeared</v>
      </c>
      <c r="C5088" s="14" t="s">
        <v>1493</v>
      </c>
      <c r="D5088" s="15" t="s">
        <v>1494</v>
      </c>
      <c r="E5088" s="16" t="str">
        <f>HYPERLINK("http://twitter.com/download/iphone","Twitter for iPhone")</f>
        <v>Twitter for iPhone</v>
      </c>
      <c r="F5088" s="12">
        <v>43198.315833333334</v>
      </c>
      <c r="G5088" s="17" t="s">
        <v>13000</v>
      </c>
      <c r="H5088" s="35" t="s">
        <v>1495</v>
      </c>
      <c r="I5088" s="18" t="s">
        <v>1496</v>
      </c>
    </row>
    <row r="5089" spans="1:9" s="33" customFormat="1" ht="75">
      <c r="A5089" s="12">
        <v>43577.78805555556</v>
      </c>
      <c r="B5089" s="13" t="str">
        <f>HYPERLINK("https://twitter.com/AnxZenity","@AnxZenity")</f>
        <v>@AnxZenity</v>
      </c>
      <c r="C5089" s="14" t="s">
        <v>1501</v>
      </c>
      <c r="D5089" s="15" t="s">
        <v>1502</v>
      </c>
      <c r="E5089" s="16" t="str">
        <f>HYPERLINK("http://twitter.com/download/iphone","Twitter for iPhone")</f>
        <v>Twitter for iPhone</v>
      </c>
      <c r="F5089" s="12">
        <v>43447.181990740741</v>
      </c>
      <c r="G5089" s="17" t="s">
        <v>13000</v>
      </c>
      <c r="H5089" s="35" t="s">
        <v>1495</v>
      </c>
      <c r="I5089" s="18" t="s">
        <v>1503</v>
      </c>
    </row>
    <row r="5090" spans="1:9" s="33" customFormat="1" ht="120">
      <c r="A5090" s="12">
        <v>43576.195196759261</v>
      </c>
      <c r="B5090" s="13" t="str">
        <f t="shared" ref="B5090:B5098" si="192">HYPERLINK("https://twitter.com/cottage_green","@cottage_green")</f>
        <v>@cottage_green</v>
      </c>
      <c r="C5090" s="14" t="s">
        <v>2033</v>
      </c>
      <c r="D5090" s="15" t="s">
        <v>2034</v>
      </c>
      <c r="E5090" s="16" t="str">
        <f t="shared" ref="E5090:E5098" si="193">HYPERLINK("http://twitter.com","Twitter Web Client")</f>
        <v>Twitter Web Client</v>
      </c>
      <c r="F5090" s="12">
        <v>42490.355833333335</v>
      </c>
      <c r="G5090" s="17" t="s">
        <v>13000</v>
      </c>
      <c r="H5090" s="35" t="s">
        <v>1495</v>
      </c>
      <c r="I5090" s="18" t="s">
        <v>2035</v>
      </c>
    </row>
    <row r="5091" spans="1:9" s="33" customFormat="1" ht="120">
      <c r="A5091" s="12">
        <v>43576.194224537037</v>
      </c>
      <c r="B5091" s="13" t="str">
        <f t="shared" si="192"/>
        <v>@cottage_green</v>
      </c>
      <c r="C5091" s="14" t="s">
        <v>2033</v>
      </c>
      <c r="D5091" s="15" t="s">
        <v>2034</v>
      </c>
      <c r="E5091" s="16" t="str">
        <f t="shared" si="193"/>
        <v>Twitter Web Client</v>
      </c>
      <c r="F5091" s="12">
        <v>42490.355833333335</v>
      </c>
      <c r="G5091" s="17" t="s">
        <v>13000</v>
      </c>
      <c r="H5091" s="35" t="s">
        <v>1495</v>
      </c>
      <c r="I5091" s="18" t="s">
        <v>2035</v>
      </c>
    </row>
    <row r="5092" spans="1:9" s="33" customFormat="1" ht="120">
      <c r="A5092" s="12">
        <v>43575.152696759258</v>
      </c>
      <c r="B5092" s="13" t="str">
        <f t="shared" si="192"/>
        <v>@cottage_green</v>
      </c>
      <c r="C5092" s="14" t="s">
        <v>2033</v>
      </c>
      <c r="D5092" s="15" t="s">
        <v>2353</v>
      </c>
      <c r="E5092" s="16" t="str">
        <f t="shared" si="193"/>
        <v>Twitter Web Client</v>
      </c>
      <c r="F5092" s="12">
        <v>42490.355833333335</v>
      </c>
      <c r="G5092" s="17" t="s">
        <v>13000</v>
      </c>
      <c r="H5092" s="35" t="s">
        <v>1495</v>
      </c>
      <c r="I5092" s="18" t="s">
        <v>2035</v>
      </c>
    </row>
    <row r="5093" spans="1:9" s="33" customFormat="1" ht="105">
      <c r="A5093" s="12">
        <v>43574.834282407406</v>
      </c>
      <c r="B5093" s="13" t="str">
        <f t="shared" si="192"/>
        <v>@cottage_green</v>
      </c>
      <c r="C5093" s="14" t="s">
        <v>2033</v>
      </c>
      <c r="D5093" s="15" t="s">
        <v>2422</v>
      </c>
      <c r="E5093" s="16" t="str">
        <f t="shared" si="193"/>
        <v>Twitter Web Client</v>
      </c>
      <c r="F5093" s="12">
        <v>42490.355833333335</v>
      </c>
      <c r="G5093" s="17" t="s">
        <v>13000</v>
      </c>
      <c r="H5093" s="35" t="s">
        <v>1495</v>
      </c>
      <c r="I5093" s="18" t="s">
        <v>2035</v>
      </c>
    </row>
    <row r="5094" spans="1:9" s="33" customFormat="1" ht="105">
      <c r="A5094" s="12">
        <v>43574.831006944441</v>
      </c>
      <c r="B5094" s="13" t="str">
        <f t="shared" si="192"/>
        <v>@cottage_green</v>
      </c>
      <c r="C5094" s="14" t="s">
        <v>2033</v>
      </c>
      <c r="D5094" s="15" t="s">
        <v>2423</v>
      </c>
      <c r="E5094" s="16" t="str">
        <f t="shared" si="193"/>
        <v>Twitter Web Client</v>
      </c>
      <c r="F5094" s="12">
        <v>42490.355833333335</v>
      </c>
      <c r="G5094" s="17" t="s">
        <v>13000</v>
      </c>
      <c r="H5094" s="35" t="s">
        <v>1495</v>
      </c>
      <c r="I5094" s="18" t="s">
        <v>2035</v>
      </c>
    </row>
    <row r="5095" spans="1:9" s="33" customFormat="1" ht="105">
      <c r="A5095" s="12">
        <v>43574.828888888893</v>
      </c>
      <c r="B5095" s="13" t="str">
        <f t="shared" si="192"/>
        <v>@cottage_green</v>
      </c>
      <c r="C5095" s="14" t="s">
        <v>2033</v>
      </c>
      <c r="D5095" s="15" t="s">
        <v>2424</v>
      </c>
      <c r="E5095" s="16" t="str">
        <f t="shared" si="193"/>
        <v>Twitter Web Client</v>
      </c>
      <c r="F5095" s="12">
        <v>42490.355833333335</v>
      </c>
      <c r="G5095" s="17" t="s">
        <v>13000</v>
      </c>
      <c r="H5095" s="35" t="s">
        <v>1495</v>
      </c>
      <c r="I5095" s="18" t="s">
        <v>2035</v>
      </c>
    </row>
    <row r="5096" spans="1:9" s="33" customFormat="1" ht="120">
      <c r="A5096" s="12">
        <v>43574.827210648145</v>
      </c>
      <c r="B5096" s="13" t="str">
        <f t="shared" si="192"/>
        <v>@cottage_green</v>
      </c>
      <c r="C5096" s="14" t="s">
        <v>2033</v>
      </c>
      <c r="D5096" s="15" t="s">
        <v>2425</v>
      </c>
      <c r="E5096" s="16" t="str">
        <f t="shared" si="193"/>
        <v>Twitter Web Client</v>
      </c>
      <c r="F5096" s="12">
        <v>42490.355833333335</v>
      </c>
      <c r="G5096" s="17" t="s">
        <v>13000</v>
      </c>
      <c r="H5096" s="35" t="s">
        <v>1495</v>
      </c>
      <c r="I5096" s="18" t="s">
        <v>2035</v>
      </c>
    </row>
    <row r="5097" spans="1:9" s="33" customFormat="1" ht="105">
      <c r="A5097" s="12">
        <v>43574.818738425922</v>
      </c>
      <c r="B5097" s="13" t="str">
        <f t="shared" si="192"/>
        <v>@cottage_green</v>
      </c>
      <c r="C5097" s="14" t="s">
        <v>2033</v>
      </c>
      <c r="D5097" s="15" t="s">
        <v>2429</v>
      </c>
      <c r="E5097" s="16" t="str">
        <f t="shared" si="193"/>
        <v>Twitter Web Client</v>
      </c>
      <c r="F5097" s="12">
        <v>42490.355833333335</v>
      </c>
      <c r="G5097" s="17" t="s">
        <v>13000</v>
      </c>
      <c r="H5097" s="35" t="s">
        <v>1495</v>
      </c>
      <c r="I5097" s="18" t="s">
        <v>2035</v>
      </c>
    </row>
    <row r="5098" spans="1:9" s="33" customFormat="1" ht="105">
      <c r="A5098" s="12">
        <v>43572.767488425925</v>
      </c>
      <c r="B5098" s="13" t="str">
        <f t="shared" si="192"/>
        <v>@cottage_green</v>
      </c>
      <c r="C5098" s="14" t="s">
        <v>2033</v>
      </c>
      <c r="D5098" s="15" t="s">
        <v>3093</v>
      </c>
      <c r="E5098" s="16" t="str">
        <f t="shared" si="193"/>
        <v>Twitter Web Client</v>
      </c>
      <c r="F5098" s="12">
        <v>42490.355833333335</v>
      </c>
      <c r="G5098" s="17" t="s">
        <v>13000</v>
      </c>
      <c r="H5098" s="35" t="s">
        <v>1495</v>
      </c>
      <c r="I5098" s="18" t="s">
        <v>2035</v>
      </c>
    </row>
    <row r="5099" spans="1:9" s="33" customFormat="1" ht="75">
      <c r="A5099" s="4">
        <v>43564.187152777777</v>
      </c>
      <c r="B5099" s="5" t="str">
        <f>HYPERLINK("https://twitter.com/miamiquacks","@miamiquacks")</f>
        <v>@miamiquacks</v>
      </c>
      <c r="C5099" s="6" t="s">
        <v>6746</v>
      </c>
      <c r="D5099" s="7" t="s">
        <v>6747</v>
      </c>
      <c r="E5099" s="8" t="str">
        <f>HYPERLINK("http://instagram.com","Instagram")</f>
        <v>Instagram</v>
      </c>
      <c r="F5099" s="4">
        <v>39929.549062500002</v>
      </c>
      <c r="G5099" s="17" t="s">
        <v>13000</v>
      </c>
      <c r="H5099" s="35" t="s">
        <v>6748</v>
      </c>
      <c r="I5099" s="10" t="s">
        <v>6749</v>
      </c>
    </row>
    <row r="5100" spans="1:9" s="33" customFormat="1" ht="105">
      <c r="A5100" s="4">
        <v>43562.02752314815</v>
      </c>
      <c r="B5100" s="5" t="str">
        <f>HYPERLINK("https://twitter.com/PSPilates","@PSPilates")</f>
        <v>@PSPilates</v>
      </c>
      <c r="C5100" s="6" t="s">
        <v>10770</v>
      </c>
      <c r="D5100" s="7" t="s">
        <v>10771</v>
      </c>
      <c r="E5100" s="8" t="str">
        <f>HYPERLINK("http://twitter.com/download/iphone","Twitter for iPhone")</f>
        <v>Twitter for iPhone</v>
      </c>
      <c r="F5100" s="4">
        <v>40164.990856481483</v>
      </c>
      <c r="G5100" s="9" t="s">
        <v>13000</v>
      </c>
      <c r="H5100" s="35" t="s">
        <v>10772</v>
      </c>
      <c r="I5100" s="10" t="s">
        <v>10773</v>
      </c>
    </row>
    <row r="5101" spans="1:9" s="33" customFormat="1" ht="90">
      <c r="A5101" s="19">
        <v>43550.292696759258</v>
      </c>
      <c r="B5101" s="20" t="str">
        <f>HYPERLINK("https://twitter.com/Inspira_Mktg","@Inspira_Mktg")</f>
        <v>@Inspira_Mktg</v>
      </c>
      <c r="C5101" s="21" t="s">
        <v>7744</v>
      </c>
      <c r="D5101" s="22" t="s">
        <v>7745</v>
      </c>
      <c r="E5101" s="23" t="str">
        <f>HYPERLINK("https://www.hootsuite.com","Hootsuite Inc.")</f>
        <v>Hootsuite Inc.</v>
      </c>
      <c r="F5101" s="19">
        <v>40084.278252314813</v>
      </c>
      <c r="G5101" s="24" t="s">
        <v>13000</v>
      </c>
      <c r="H5101" s="35" t="s">
        <v>7746</v>
      </c>
      <c r="I5101" s="25" t="s">
        <v>7747</v>
      </c>
    </row>
    <row r="5102" spans="1:9" s="33" customFormat="1" ht="120">
      <c r="A5102" s="12">
        <v>43571.822453703702</v>
      </c>
      <c r="B5102" s="13" t="str">
        <f>HYPERLINK("https://twitter.com/30aHomeAway","@30aHomeAway")</f>
        <v>@30aHomeAway</v>
      </c>
      <c r="C5102" s="14" t="s">
        <v>3537</v>
      </c>
      <c r="D5102" s="15" t="s">
        <v>3538</v>
      </c>
      <c r="E5102" s="16" t="str">
        <f>HYPERLINK("http://twitter.com/download/iphone","Twitter for iPhone")</f>
        <v>Twitter for iPhone</v>
      </c>
      <c r="F5102" s="12">
        <v>42999.320196759261</v>
      </c>
      <c r="G5102" s="17" t="s">
        <v>13000</v>
      </c>
      <c r="H5102" s="35" t="s">
        <v>3539</v>
      </c>
      <c r="I5102" s="18" t="s">
        <v>3540</v>
      </c>
    </row>
    <row r="5103" spans="1:9" s="33" customFormat="1" ht="45">
      <c r="A5103" s="4">
        <v>43563.144004629634</v>
      </c>
      <c r="B5103" s="5" t="str">
        <f>HYPERLINK("https://twitter.com/Merton_G3","@Merton_G3")</f>
        <v>@Merton_G3</v>
      </c>
      <c r="C5103" s="6" t="s">
        <v>10449</v>
      </c>
      <c r="D5103" s="7" t="s">
        <v>10450</v>
      </c>
      <c r="E5103" s="8" t="str">
        <f>HYPERLINK("http://twitter.com/download/android","Twitter for Android")</f>
        <v>Twitter for Android</v>
      </c>
      <c r="F5103" s="4">
        <v>40577.434687499997</v>
      </c>
      <c r="G5103" s="9" t="s">
        <v>13000</v>
      </c>
      <c r="H5103" s="35" t="s">
        <v>10451</v>
      </c>
      <c r="I5103" s="10" t="s">
        <v>10452</v>
      </c>
    </row>
    <row r="5104" spans="1:9" s="33" customFormat="1" ht="105">
      <c r="A5104" s="4">
        <v>43560.513888888891</v>
      </c>
      <c r="B5104" s="5" t="str">
        <f>HYPERLINK("https://twitter.com/SoCalRealty1","@SoCalRealty1")</f>
        <v>@SoCalRealty1</v>
      </c>
      <c r="C5104" s="6" t="s">
        <v>11323</v>
      </c>
      <c r="D5104" s="7" t="s">
        <v>11324</v>
      </c>
      <c r="E5104" s="8" t="str">
        <f>HYPERLINK("http://twitter.com/download/iphone","Twitter for iPhone")</f>
        <v>Twitter for iPhone</v>
      </c>
      <c r="F5104" s="4">
        <v>40904.937569444446</v>
      </c>
      <c r="G5104" s="9" t="s">
        <v>13000</v>
      </c>
      <c r="H5104" s="35" t="s">
        <v>11325</v>
      </c>
      <c r="I5104" s="10" t="s">
        <v>11326</v>
      </c>
    </row>
    <row r="5105" spans="1:9" s="33" customFormat="1" ht="105">
      <c r="A5105" s="4">
        <v>43558.853252314817</v>
      </c>
      <c r="B5105" s="5" t="str">
        <f>HYPERLINK("https://twitter.com/mattg1184","@mattg1184")</f>
        <v>@mattg1184</v>
      </c>
      <c r="C5105" s="6" t="s">
        <v>12011</v>
      </c>
      <c r="D5105" s="7" t="s">
        <v>12012</v>
      </c>
      <c r="E5105" s="8" t="str">
        <f>HYPERLINK("http://twitter.com/download/iphone","Twitter for iPhone")</f>
        <v>Twitter for iPhone</v>
      </c>
      <c r="F5105" s="4">
        <v>41006.717557870368</v>
      </c>
      <c r="G5105" s="9" t="s">
        <v>13000</v>
      </c>
      <c r="H5105" s="35" t="s">
        <v>12013</v>
      </c>
      <c r="I5105" s="10"/>
    </row>
    <row r="5106" spans="1:9" s="33" customFormat="1" ht="90">
      <c r="A5106" s="4">
        <v>43560.207245370373</v>
      </c>
      <c r="B5106" s="5" t="str">
        <f>HYPERLINK("https://twitter.com/HenlawSWFL","@HenlawSWFL")</f>
        <v>@HenlawSWFL</v>
      </c>
      <c r="C5106" s="6" t="s">
        <v>11571</v>
      </c>
      <c r="D5106" s="7" t="s">
        <v>11572</v>
      </c>
      <c r="E5106" s="8" t="str">
        <f>HYPERLINK("https://www.hootsuite.com","Hootsuite Inc.")</f>
        <v>Hootsuite Inc.</v>
      </c>
      <c r="F5106" s="4">
        <v>39910.696180555555</v>
      </c>
      <c r="G5106" s="9" t="s">
        <v>13000</v>
      </c>
      <c r="H5106" s="35" t="s">
        <v>11573</v>
      </c>
      <c r="I5106" s="10" t="s">
        <v>11574</v>
      </c>
    </row>
    <row r="5107" spans="1:9" s="33" customFormat="1" ht="45">
      <c r="A5107" s="12">
        <v>43578.759780092594</v>
      </c>
      <c r="B5107" s="13" t="str">
        <f>HYPERLINK("https://twitter.com/SpCoLibraryDist","@SpCoLibraryDist")</f>
        <v>@SpCoLibraryDist</v>
      </c>
      <c r="C5107" s="14" t="s">
        <v>1042</v>
      </c>
      <c r="D5107" s="15" t="s">
        <v>1043</v>
      </c>
      <c r="E5107" s="16" t="str">
        <f>HYPERLINK("https://twittimer.com","Twittimer")</f>
        <v>Twittimer</v>
      </c>
      <c r="F5107" s="12">
        <v>40981.649097222224</v>
      </c>
      <c r="G5107" s="17" t="s">
        <v>13000</v>
      </c>
      <c r="H5107" s="35" t="s">
        <v>1044</v>
      </c>
      <c r="I5107" s="18" t="s">
        <v>1045</v>
      </c>
    </row>
    <row r="5108" spans="1:9" s="33" customFormat="1" ht="60">
      <c r="A5108" s="19">
        <v>43548.454166666663</v>
      </c>
      <c r="B5108" s="20" t="str">
        <f>HYPERLINK("https://twitter.com/SWspringvalley","@SWspringvalley")</f>
        <v>@SWspringvalley</v>
      </c>
      <c r="C5108" s="21" t="s">
        <v>2849</v>
      </c>
      <c r="D5108" s="22" t="s">
        <v>8312</v>
      </c>
      <c r="E5108" s="23" t="str">
        <f>HYPERLINK("https://about.twitter.com/products/tweetdeck","TweetDeck")</f>
        <v>TweetDeck</v>
      </c>
      <c r="F5108" s="19">
        <v>40051.709270833337</v>
      </c>
      <c r="G5108" s="17" t="s">
        <v>13000</v>
      </c>
      <c r="H5108" s="35" t="s">
        <v>8313</v>
      </c>
      <c r="I5108" s="25" t="s">
        <v>8314</v>
      </c>
    </row>
    <row r="5109" spans="1:9" s="33" customFormat="1" ht="60">
      <c r="A5109" s="19">
        <v>43546.453472222223</v>
      </c>
      <c r="B5109" s="20" t="str">
        <f>HYPERLINK("https://twitter.com/SWspringvalley","@SWspringvalley")</f>
        <v>@SWspringvalley</v>
      </c>
      <c r="C5109" s="21" t="s">
        <v>2849</v>
      </c>
      <c r="D5109" s="22" t="s">
        <v>8842</v>
      </c>
      <c r="E5109" s="23" t="str">
        <f>HYPERLINK("https://about.twitter.com/products/tweetdeck","TweetDeck")</f>
        <v>TweetDeck</v>
      </c>
      <c r="F5109" s="19">
        <v>40051.709270833337</v>
      </c>
      <c r="G5109" s="17" t="s">
        <v>13000</v>
      </c>
      <c r="H5109" s="35" t="s">
        <v>8313</v>
      </c>
      <c r="I5109" s="25" t="s">
        <v>8314</v>
      </c>
    </row>
    <row r="5110" spans="1:9" s="33" customFormat="1" ht="120">
      <c r="A5110" s="19">
        <v>43546.925659722227</v>
      </c>
      <c r="B5110" s="20" t="str">
        <f>HYPERLINK("https://twitter.com/Convcottagebnb","@Convcottagebnb")</f>
        <v>@Convcottagebnb</v>
      </c>
      <c r="C5110" s="21" t="s">
        <v>4635</v>
      </c>
      <c r="D5110" s="22" t="s">
        <v>8704</v>
      </c>
      <c r="E5110" s="23" t="str">
        <f>HYPERLINK("http://twitter.com/download/android","Twitter for Android")</f>
        <v>Twitter for Android</v>
      </c>
      <c r="F5110" s="19">
        <v>43508.906111111108</v>
      </c>
      <c r="G5110" s="17" t="s">
        <v>13000</v>
      </c>
      <c r="H5110" s="35" t="s">
        <v>4637</v>
      </c>
      <c r="I5110" s="25" t="s">
        <v>4638</v>
      </c>
    </row>
    <row r="5111" spans="1:9" s="33" customFormat="1" ht="105">
      <c r="A5111" s="4">
        <v>43556.81868055556</v>
      </c>
      <c r="B5111" s="5" t="str">
        <f>HYPERLINK("https://twitter.com/Convcottagebnb","@Convcottagebnb")</f>
        <v>@Convcottagebnb</v>
      </c>
      <c r="C5111" s="6" t="s">
        <v>4635</v>
      </c>
      <c r="D5111" s="7" t="s">
        <v>12731</v>
      </c>
      <c r="E5111" s="8" t="str">
        <f>HYPERLINK("http://twitter.com/download/android","Twitter for Android")</f>
        <v>Twitter for Android</v>
      </c>
      <c r="F5111" s="4">
        <v>43508.906111111108</v>
      </c>
      <c r="G5111" s="17" t="s">
        <v>13000</v>
      </c>
      <c r="H5111" s="35" t="s">
        <v>4637</v>
      </c>
      <c r="I5111" s="10" t="s">
        <v>4638</v>
      </c>
    </row>
    <row r="5112" spans="1:9" s="33" customFormat="1" ht="105">
      <c r="A5112" s="4">
        <v>43556.721944444449</v>
      </c>
      <c r="B5112" s="5" t="str">
        <f>HYPERLINK("https://twitter.com/houstontxtravel","@houstontxtravel")</f>
        <v>@houstontxtravel</v>
      </c>
      <c r="C5112" s="6" t="s">
        <v>12761</v>
      </c>
      <c r="D5112" s="7" t="s">
        <v>12731</v>
      </c>
      <c r="E5112" s="8" t="str">
        <f>HYPERLINK("http://twitter.com/download/android","Twitter for Android")</f>
        <v>Twitter for Android</v>
      </c>
      <c r="F5112" s="4">
        <v>43382.953078703707</v>
      </c>
      <c r="G5112" s="17" t="s">
        <v>13000</v>
      </c>
      <c r="H5112" s="35" t="s">
        <v>4637</v>
      </c>
      <c r="I5112" s="10" t="s">
        <v>12762</v>
      </c>
    </row>
    <row r="5113" spans="1:9" s="33" customFormat="1" ht="120">
      <c r="A5113" s="12">
        <v>43568.90552083333</v>
      </c>
      <c r="B5113" s="13" t="str">
        <f>HYPERLINK("https://twitter.com/Convcottagebnb","@Convcottagebnb")</f>
        <v>@Convcottagebnb</v>
      </c>
      <c r="C5113" s="14" t="s">
        <v>4635</v>
      </c>
      <c r="D5113" s="15" t="s">
        <v>4636</v>
      </c>
      <c r="E5113" s="16" t="str">
        <f>HYPERLINK("http://twitter.com/download/android","Twitter for Android")</f>
        <v>Twitter for Android</v>
      </c>
      <c r="F5113" s="12">
        <v>43508.906111111108</v>
      </c>
      <c r="G5113" s="17" t="s">
        <v>13000</v>
      </c>
      <c r="H5113" s="35" t="s">
        <v>4637</v>
      </c>
      <c r="I5113" s="18" t="s">
        <v>4638</v>
      </c>
    </row>
    <row r="5114" spans="1:9" s="33" customFormat="1" ht="90">
      <c r="A5114" s="12">
        <v>43576.834282407406</v>
      </c>
      <c r="B5114" s="13" t="str">
        <f>HYPERLINK("https://twitter.com/pwscout2","@pwscout2")</f>
        <v>@pwscout2</v>
      </c>
      <c r="C5114" s="14" t="s">
        <v>1808</v>
      </c>
      <c r="D5114" s="15" t="s">
        <v>1809</v>
      </c>
      <c r="E5114" s="16" t="str">
        <f>HYPERLINK("http://twitter.com/download/android","Twitter for Android")</f>
        <v>Twitter for Android</v>
      </c>
      <c r="F5114" s="12">
        <v>40880.350231481483</v>
      </c>
      <c r="G5114" s="17" t="s">
        <v>13000</v>
      </c>
      <c r="H5114" s="35" t="s">
        <v>1810</v>
      </c>
      <c r="I5114" s="18" t="s">
        <v>1811</v>
      </c>
    </row>
    <row r="5115" spans="1:9" s="33" customFormat="1" ht="75">
      <c r="A5115" s="12">
        <v>43573.559641203705</v>
      </c>
      <c r="B5115" s="13" t="str">
        <f>HYPERLINK("https://twitter.com/charisaslenker","@charisaslenker")</f>
        <v>@charisaslenker</v>
      </c>
      <c r="C5115" s="14" t="s">
        <v>2821</v>
      </c>
      <c r="D5115" s="15" t="s">
        <v>2822</v>
      </c>
      <c r="E5115" s="16" t="str">
        <f>HYPERLINK("http://instagram.com","Instagram")</f>
        <v>Instagram</v>
      </c>
      <c r="F5115" s="12">
        <v>39927.525150462963</v>
      </c>
      <c r="G5115" s="17" t="s">
        <v>13000</v>
      </c>
      <c r="H5115" s="35" t="s">
        <v>2823</v>
      </c>
      <c r="I5115" s="18" t="s">
        <v>2824</v>
      </c>
    </row>
    <row r="5116" spans="1:9" s="33" customFormat="1" ht="105">
      <c r="A5116" s="4">
        <v>43565.729884259257</v>
      </c>
      <c r="B5116" s="5" t="str">
        <f>HYPERLINK("https://twitter.com/StAugToDo","@StAugToDo")</f>
        <v>@StAugToDo</v>
      </c>
      <c r="C5116" s="6" t="s">
        <v>5926</v>
      </c>
      <c r="D5116" s="7" t="s">
        <v>5927</v>
      </c>
      <c r="E5116" s="8" t="str">
        <f>HYPERLINK("https://ifttt.com","IFTTT")</f>
        <v>IFTTT</v>
      </c>
      <c r="F5116" s="4">
        <v>42741.61383101852</v>
      </c>
      <c r="G5116" s="24" t="s">
        <v>13000</v>
      </c>
      <c r="H5116" s="35" t="s">
        <v>5928</v>
      </c>
      <c r="I5116" s="10" t="s">
        <v>5929</v>
      </c>
    </row>
    <row r="5117" spans="1:9" s="33" customFormat="1" ht="45">
      <c r="A5117" s="19">
        <v>43542.851087962961</v>
      </c>
      <c r="B5117" s="20" t="str">
        <f>HYPERLINK("https://twitter.com/liveitwell2day","@liveitwell2day")</f>
        <v>@liveitwell2day</v>
      </c>
      <c r="C5117" s="21" t="s">
        <v>10002</v>
      </c>
      <c r="D5117" s="22" t="s">
        <v>10003</v>
      </c>
      <c r="E5117" s="23" t="str">
        <f>HYPERLINK("http://instagram.com","Instagram")</f>
        <v>Instagram</v>
      </c>
      <c r="F5117" s="19">
        <v>40746.657337962963</v>
      </c>
      <c r="G5117" s="24" t="s">
        <v>13000</v>
      </c>
      <c r="H5117" s="35" t="s">
        <v>10004</v>
      </c>
      <c r="I5117" s="25" t="s">
        <v>10005</v>
      </c>
    </row>
    <row r="5118" spans="1:9" s="33" customFormat="1" ht="30">
      <c r="A5118" s="19">
        <v>43545.333495370374</v>
      </c>
      <c r="B5118" s="20" t="str">
        <f>HYPERLINK("https://twitter.com/Gabtron92","@Gabtron92")</f>
        <v>@Gabtron92</v>
      </c>
      <c r="C5118" s="21" t="s">
        <v>9198</v>
      </c>
      <c r="D5118" s="22" t="s">
        <v>9199</v>
      </c>
      <c r="E5118" s="23" t="str">
        <f t="shared" ref="E5118:E5128" si="194">HYPERLINK("http://twitter.com","Twitter Web Client")</f>
        <v>Twitter Web Client</v>
      </c>
      <c r="F5118" s="19">
        <v>41246.031585648147</v>
      </c>
      <c r="G5118" s="24" t="s">
        <v>13000</v>
      </c>
      <c r="H5118" s="35" t="s">
        <v>9200</v>
      </c>
      <c r="I5118" s="25" t="s">
        <v>9201</v>
      </c>
    </row>
    <row r="5119" spans="1:9" s="33" customFormat="1" ht="90">
      <c r="A5119" s="4">
        <v>43563.334513888884</v>
      </c>
      <c r="B5119" s="5" t="str">
        <f>HYPERLINK("https://twitter.com/MidwestCoastCap","@MidwestCoastCap")</f>
        <v>@MidwestCoastCap</v>
      </c>
      <c r="C5119" s="6" t="s">
        <v>10358</v>
      </c>
      <c r="D5119" s="7" t="s">
        <v>10359</v>
      </c>
      <c r="E5119" s="8" t="str">
        <f t="shared" si="194"/>
        <v>Twitter Web Client</v>
      </c>
      <c r="F5119" s="4">
        <v>43156.828206018516</v>
      </c>
      <c r="G5119" s="24" t="s">
        <v>13000</v>
      </c>
      <c r="H5119" s="35" t="s">
        <v>9200</v>
      </c>
      <c r="I5119" s="10" t="s">
        <v>10360</v>
      </c>
    </row>
    <row r="5120" spans="1:9" s="33" customFormat="1" ht="60">
      <c r="A5120" s="4">
        <v>43563.331805555557</v>
      </c>
      <c r="B5120" s="5" t="str">
        <f>HYPERLINK("https://twitter.com/MidwestCoastCap","@MidwestCoastCap")</f>
        <v>@MidwestCoastCap</v>
      </c>
      <c r="C5120" s="6" t="s">
        <v>10358</v>
      </c>
      <c r="D5120" s="7" t="s">
        <v>10362</v>
      </c>
      <c r="E5120" s="8" t="str">
        <f t="shared" si="194"/>
        <v>Twitter Web Client</v>
      </c>
      <c r="F5120" s="4">
        <v>43156.828206018516</v>
      </c>
      <c r="G5120" s="24" t="s">
        <v>13000</v>
      </c>
      <c r="H5120" s="35" t="s">
        <v>9200</v>
      </c>
      <c r="I5120" s="10" t="s">
        <v>10360</v>
      </c>
    </row>
    <row r="5121" spans="1:9" s="33" customFormat="1" ht="165">
      <c r="A5121" s="4">
        <v>43562.585995370369</v>
      </c>
      <c r="B5121" s="5" t="str">
        <f>HYPERLINK("https://twitter.com/IrieVybezGear","@IrieVybezGear")</f>
        <v>@IrieVybezGear</v>
      </c>
      <c r="C5121" s="6" t="s">
        <v>10645</v>
      </c>
      <c r="D5121" s="7" t="s">
        <v>10646</v>
      </c>
      <c r="E5121" s="8" t="str">
        <f t="shared" si="194"/>
        <v>Twitter Web Client</v>
      </c>
      <c r="F5121" s="4">
        <v>42112.869340277779</v>
      </c>
      <c r="G5121" s="24" t="s">
        <v>13000</v>
      </c>
      <c r="H5121" s="35" t="s">
        <v>129</v>
      </c>
      <c r="I5121" s="10" t="s">
        <v>10647</v>
      </c>
    </row>
    <row r="5122" spans="1:9" s="33" customFormat="1" ht="240">
      <c r="A5122" s="4">
        <v>43562.409560185188</v>
      </c>
      <c r="B5122" s="5" t="str">
        <f>HYPERLINK("https://twitter.com/IrieVybezGear","@IrieVybezGear")</f>
        <v>@IrieVybezGear</v>
      </c>
      <c r="C5122" s="6" t="s">
        <v>10645</v>
      </c>
      <c r="D5122" s="7" t="s">
        <v>10686</v>
      </c>
      <c r="E5122" s="8" t="str">
        <f t="shared" si="194"/>
        <v>Twitter Web Client</v>
      </c>
      <c r="F5122" s="4">
        <v>42112.869340277779</v>
      </c>
      <c r="G5122" s="24" t="s">
        <v>13000</v>
      </c>
      <c r="H5122" s="35" t="s">
        <v>129</v>
      </c>
      <c r="I5122" s="10" t="s">
        <v>10647</v>
      </c>
    </row>
    <row r="5123" spans="1:9" s="33" customFormat="1" ht="60">
      <c r="A5123" s="12">
        <v>43580.721944444449</v>
      </c>
      <c r="B5123" s="13" t="str">
        <f>HYPERLINK("https://twitter.com/mdbergin","@mdbergin")</f>
        <v>@mdbergin</v>
      </c>
      <c r="C5123" s="14" t="s">
        <v>127</v>
      </c>
      <c r="D5123" s="15" t="s">
        <v>128</v>
      </c>
      <c r="E5123" s="16" t="str">
        <f t="shared" si="194"/>
        <v>Twitter Web Client</v>
      </c>
      <c r="F5123" s="12">
        <v>40538.284687499996</v>
      </c>
      <c r="G5123" s="24" t="s">
        <v>13000</v>
      </c>
      <c r="H5123" s="35" t="s">
        <v>129</v>
      </c>
      <c r="I5123" s="18" t="s">
        <v>130</v>
      </c>
    </row>
    <row r="5124" spans="1:9" s="33" customFormat="1" ht="30">
      <c r="A5124" s="12">
        <v>43580.721203703702</v>
      </c>
      <c r="B5124" s="13" t="str">
        <f>HYPERLINK("https://twitter.com/mdbergin","@mdbergin")</f>
        <v>@mdbergin</v>
      </c>
      <c r="C5124" s="14" t="s">
        <v>127</v>
      </c>
      <c r="D5124" s="15" t="s">
        <v>131</v>
      </c>
      <c r="E5124" s="16" t="str">
        <f t="shared" si="194"/>
        <v>Twitter Web Client</v>
      </c>
      <c r="F5124" s="12">
        <v>40538.284687499996</v>
      </c>
      <c r="G5124" s="24" t="s">
        <v>13000</v>
      </c>
      <c r="H5124" s="35" t="s">
        <v>129</v>
      </c>
      <c r="I5124" s="18" t="s">
        <v>130</v>
      </c>
    </row>
    <row r="5125" spans="1:9" s="33" customFormat="1" ht="30">
      <c r="A5125" s="4">
        <v>43561.694479166668</v>
      </c>
      <c r="B5125" s="5" t="str">
        <f>HYPERLINK("https://twitter.com/vicaribhomestay","@vicaribhomestay")</f>
        <v>@vicaribhomestay</v>
      </c>
      <c r="C5125" s="6" t="s">
        <v>1428</v>
      </c>
      <c r="D5125" s="7" t="s">
        <v>10861</v>
      </c>
      <c r="E5125" s="8" t="str">
        <f t="shared" si="194"/>
        <v>Twitter Web Client</v>
      </c>
      <c r="F5125" s="4">
        <v>39862.354710648149</v>
      </c>
      <c r="G5125" s="24" t="s">
        <v>13000</v>
      </c>
      <c r="H5125" s="35" t="s">
        <v>1430</v>
      </c>
      <c r="I5125" s="10" t="s">
        <v>1431</v>
      </c>
    </row>
    <row r="5126" spans="1:9" s="33" customFormat="1" ht="30">
      <c r="A5126" s="4">
        <v>43561.538483796292</v>
      </c>
      <c r="B5126" s="5" t="str">
        <f>HYPERLINK("https://twitter.com/vicaribhomestay","@vicaribhomestay")</f>
        <v>@vicaribhomestay</v>
      </c>
      <c r="C5126" s="6" t="s">
        <v>1428</v>
      </c>
      <c r="D5126" s="7" t="s">
        <v>10939</v>
      </c>
      <c r="E5126" s="8" t="str">
        <f t="shared" si="194"/>
        <v>Twitter Web Client</v>
      </c>
      <c r="F5126" s="4">
        <v>39862.354710648149</v>
      </c>
      <c r="G5126" s="24" t="s">
        <v>13000</v>
      </c>
      <c r="H5126" s="35" t="s">
        <v>1430</v>
      </c>
      <c r="I5126" s="10" t="s">
        <v>1431</v>
      </c>
    </row>
    <row r="5127" spans="1:9" s="33" customFormat="1" ht="45">
      <c r="A5127" s="12">
        <v>43578.015405092592</v>
      </c>
      <c r="B5127" s="13" t="str">
        <f>HYPERLINK("https://twitter.com/vicaribhomestay","@vicaribhomestay")</f>
        <v>@vicaribhomestay</v>
      </c>
      <c r="C5127" s="14" t="s">
        <v>1428</v>
      </c>
      <c r="D5127" s="15" t="s">
        <v>1429</v>
      </c>
      <c r="E5127" s="16" t="str">
        <f t="shared" si="194"/>
        <v>Twitter Web Client</v>
      </c>
      <c r="F5127" s="12">
        <v>39862.354710648149</v>
      </c>
      <c r="G5127" s="24" t="s">
        <v>13000</v>
      </c>
      <c r="H5127" s="35" t="s">
        <v>1430</v>
      </c>
      <c r="I5127" s="18" t="s">
        <v>1431</v>
      </c>
    </row>
    <row r="5128" spans="1:9" s="33" customFormat="1" ht="60">
      <c r="A5128" s="12">
        <v>43578.006342592591</v>
      </c>
      <c r="B5128" s="13" t="str">
        <f>HYPERLINK("https://twitter.com/vicaribhomestay","@vicaribhomestay")</f>
        <v>@vicaribhomestay</v>
      </c>
      <c r="C5128" s="14" t="s">
        <v>1428</v>
      </c>
      <c r="D5128" s="15" t="s">
        <v>1437</v>
      </c>
      <c r="E5128" s="16" t="str">
        <f t="shared" si="194"/>
        <v>Twitter Web Client</v>
      </c>
      <c r="F5128" s="12">
        <v>39862.354710648149</v>
      </c>
      <c r="G5128" s="24" t="s">
        <v>13000</v>
      </c>
      <c r="H5128" s="35" t="s">
        <v>1430</v>
      </c>
      <c r="I5128" s="18" t="s">
        <v>1431</v>
      </c>
    </row>
    <row r="5129" spans="1:9" s="33" customFormat="1" ht="60">
      <c r="A5129" s="12">
        <v>43573.525219907402</v>
      </c>
      <c r="B5129" s="13" t="str">
        <f>HYPERLINK("https://twitter.com/vicaribhomestay","@vicaribhomestay")</f>
        <v>@vicaribhomestay</v>
      </c>
      <c r="C5129" s="14" t="s">
        <v>1428</v>
      </c>
      <c r="D5129" s="15" t="s">
        <v>2837</v>
      </c>
      <c r="E5129" s="16" t="str">
        <f>HYPERLINK("http://instagram.com","Instagram")</f>
        <v>Instagram</v>
      </c>
      <c r="F5129" s="12">
        <v>39862.354710648149</v>
      </c>
      <c r="G5129" s="24" t="s">
        <v>13000</v>
      </c>
      <c r="H5129" s="35" t="s">
        <v>1430</v>
      </c>
      <c r="I5129" s="18" t="s">
        <v>1431</v>
      </c>
    </row>
    <row r="5130" spans="1:9" s="33" customFormat="1" ht="75">
      <c r="A5130" s="12">
        <v>43570.74150462963</v>
      </c>
      <c r="B5130" s="13" t="str">
        <f>HYPERLINK("https://twitter.com/lighthouse50215","@lighthouse50215")</f>
        <v>@lighthouse50215</v>
      </c>
      <c r="C5130" s="14" t="s">
        <v>3986</v>
      </c>
      <c r="D5130" s="15" t="s">
        <v>3987</v>
      </c>
      <c r="E5130" s="16" t="str">
        <f>HYPERLINK("http://twitter.com/#!/download/ipad","Twitter for iPad")</f>
        <v>Twitter for iPad</v>
      </c>
      <c r="F5130" s="12">
        <v>43553.658819444448</v>
      </c>
      <c r="G5130" s="24" t="s">
        <v>13000</v>
      </c>
      <c r="H5130" s="35" t="s">
        <v>3988</v>
      </c>
      <c r="I5130" s="18" t="s">
        <v>3989</v>
      </c>
    </row>
    <row r="5131" spans="1:9" s="33" customFormat="1" ht="105">
      <c r="A5131" s="4">
        <v>43565.728680555556</v>
      </c>
      <c r="B5131" s="5" t="str">
        <f>HYPERLINK("https://twitter.com/VisitStA","@VisitStA")</f>
        <v>@VisitStA</v>
      </c>
      <c r="C5131" s="6" t="s">
        <v>5931</v>
      </c>
      <c r="D5131" s="7" t="s">
        <v>5932</v>
      </c>
      <c r="E5131" s="8" t="str">
        <f>HYPERLINK("https://ifttt.com","IFTTT")</f>
        <v>IFTTT</v>
      </c>
      <c r="F5131" s="4">
        <v>41250.474328703705</v>
      </c>
      <c r="G5131" s="24" t="s">
        <v>13000</v>
      </c>
      <c r="H5131" s="35" t="s">
        <v>5933</v>
      </c>
      <c r="I5131" s="10" t="s">
        <v>5934</v>
      </c>
    </row>
    <row r="5132" spans="1:9" s="33" customFormat="1" ht="75">
      <c r="A5132" s="19">
        <v>43546.808958333335</v>
      </c>
      <c r="B5132" s="20" t="str">
        <f>HYPERLINK("https://twitter.com/bradleyjkaffar","@bradleyjkaffar")</f>
        <v>@bradleyjkaffar</v>
      </c>
      <c r="C5132" s="21" t="s">
        <v>8719</v>
      </c>
      <c r="D5132" s="22" t="s">
        <v>8720</v>
      </c>
      <c r="E5132" s="23" t="str">
        <f>HYPERLINK("http://instagram.com","Instagram")</f>
        <v>Instagram</v>
      </c>
      <c r="F5132" s="19">
        <v>39866.923321759255</v>
      </c>
      <c r="G5132" s="24" t="s">
        <v>13000</v>
      </c>
      <c r="H5132" s="35" t="s">
        <v>8721</v>
      </c>
      <c r="I5132" s="25"/>
    </row>
    <row r="5133" spans="1:9" s="33" customFormat="1" ht="120">
      <c r="A5133" s="12">
        <v>43575.339780092589</v>
      </c>
      <c r="B5133" s="13" t="str">
        <f>HYPERLINK("https://twitter.com/RavineVineyard","@RavineVineyard")</f>
        <v>@RavineVineyard</v>
      </c>
      <c r="C5133" s="14" t="s">
        <v>2282</v>
      </c>
      <c r="D5133" s="15" t="s">
        <v>2283</v>
      </c>
      <c r="E5133" s="16" t="str">
        <f>HYPERLINK("http://twitter.com/download/iphone","Twitter for iPhone")</f>
        <v>Twitter for iPhone</v>
      </c>
      <c r="F5133" s="12">
        <v>40506.220046296294</v>
      </c>
      <c r="G5133" s="17" t="s">
        <v>13000</v>
      </c>
      <c r="H5133" s="35" t="s">
        <v>2284</v>
      </c>
      <c r="I5133" s="18" t="s">
        <v>2285</v>
      </c>
    </row>
    <row r="5134" spans="1:9" s="33" customFormat="1" ht="45">
      <c r="A5134" s="19">
        <v>43546.3125</v>
      </c>
      <c r="B5134" s="20" t="str">
        <f>HYPERLINK("https://twitter.com/CBCNL","@CBCNL")</f>
        <v>@CBCNL</v>
      </c>
      <c r="C5134" s="21" t="s">
        <v>8912</v>
      </c>
      <c r="D5134" s="22" t="s">
        <v>8913</v>
      </c>
      <c r="E5134" s="23" t="str">
        <f>HYPERLINK("https://about.twitter.com/products/tweetdeck","TweetDeck")</f>
        <v>TweetDeck</v>
      </c>
      <c r="F5134" s="19">
        <v>39827.614340277782</v>
      </c>
      <c r="G5134" s="24" t="s">
        <v>13000</v>
      </c>
      <c r="H5134" s="35" t="s">
        <v>8914</v>
      </c>
      <c r="I5134" s="25" t="s">
        <v>8915</v>
      </c>
    </row>
    <row r="5135" spans="1:9" s="33" customFormat="1" ht="75">
      <c r="A5135" s="19">
        <v>43547.407199074078</v>
      </c>
      <c r="B5135" s="20" t="str">
        <f>HYPERLINK("https://twitter.com/reneata30","@reneata30")</f>
        <v>@reneata30</v>
      </c>
      <c r="C5135" s="21" t="s">
        <v>8566</v>
      </c>
      <c r="D5135" s="22" t="s">
        <v>8567</v>
      </c>
      <c r="E5135" s="23" t="str">
        <f>HYPERLINK("http://instagram.com","Instagram")</f>
        <v>Instagram</v>
      </c>
      <c r="F5135" s="19">
        <v>39853.428379629629</v>
      </c>
      <c r="G5135" s="24" t="s">
        <v>13000</v>
      </c>
      <c r="H5135" s="35" t="s">
        <v>8568</v>
      </c>
      <c r="I5135" s="25" t="s">
        <v>8569</v>
      </c>
    </row>
    <row r="5136" spans="1:9" s="33" customFormat="1" ht="90">
      <c r="A5136" s="4">
        <v>43563.189652777779</v>
      </c>
      <c r="B5136" s="5" t="str">
        <f>HYPERLINK("https://twitter.com/jpetramala","@jpetramala")</f>
        <v>@jpetramala</v>
      </c>
      <c r="C5136" s="6" t="s">
        <v>10438</v>
      </c>
      <c r="D5136" s="7" t="s">
        <v>10439</v>
      </c>
      <c r="E5136" s="8" t="str">
        <f>HYPERLINK("http://twitter.com/download/android","Twitter for Android")</f>
        <v>Twitter for Android</v>
      </c>
      <c r="F5136" s="4">
        <v>40887.660763888889</v>
      </c>
      <c r="G5136" s="9" t="s">
        <v>13000</v>
      </c>
      <c r="H5136" s="35" t="s">
        <v>10440</v>
      </c>
      <c r="I5136" s="10" t="s">
        <v>10441</v>
      </c>
    </row>
    <row r="5137" spans="1:9" s="33" customFormat="1" ht="105">
      <c r="A5137" s="12">
        <v>43570.675196759257</v>
      </c>
      <c r="B5137" s="13" t="str">
        <f>HYPERLINK("https://twitter.com/moniboyce","@moniboyce")</f>
        <v>@moniboyce</v>
      </c>
      <c r="C5137" s="14" t="s">
        <v>4003</v>
      </c>
      <c r="D5137" s="15" t="s">
        <v>4004</v>
      </c>
      <c r="E5137" s="16" t="str">
        <f>HYPERLINK("http://twitter.com/download/android","Twitter for Android")</f>
        <v>Twitter for Android</v>
      </c>
      <c r="F5137" s="12">
        <v>40210.943437499998</v>
      </c>
      <c r="G5137" s="17" t="s">
        <v>13000</v>
      </c>
      <c r="H5137" s="35" t="s">
        <v>4005</v>
      </c>
      <c r="I5137" s="18" t="s">
        <v>4006</v>
      </c>
    </row>
    <row r="5138" spans="1:9" s="33" customFormat="1" ht="90">
      <c r="A5138" s="12">
        <v>43575.715474537035</v>
      </c>
      <c r="B5138" s="13" t="str">
        <f>HYPERLINK("https://twitter.com/BAMportraits","@BAMportraits")</f>
        <v>@BAMportraits</v>
      </c>
      <c r="C5138" s="14" t="s">
        <v>2137</v>
      </c>
      <c r="D5138" s="15" t="s">
        <v>2138</v>
      </c>
      <c r="E5138" s="16" t="str">
        <f>HYPERLINK("http://twitter.com/download/android","Twitter for Android")</f>
        <v>Twitter for Android</v>
      </c>
      <c r="F5138" s="12">
        <v>43204.796041666668</v>
      </c>
      <c r="G5138" s="17" t="s">
        <v>13000</v>
      </c>
      <c r="H5138" s="35" t="s">
        <v>2139</v>
      </c>
      <c r="I5138" s="18" t="s">
        <v>2140</v>
      </c>
    </row>
    <row r="5139" spans="1:9" s="33" customFormat="1" ht="45">
      <c r="A5139" s="12">
        <v>43566.86550925926</v>
      </c>
      <c r="B5139" s="13" t="str">
        <f>HYPERLINK("https://twitter.com/heystaxe","@heystaxe")</f>
        <v>@heystaxe</v>
      </c>
      <c r="C5139" s="14" t="s">
        <v>5317</v>
      </c>
      <c r="D5139" s="15" t="s">
        <v>5318</v>
      </c>
      <c r="E5139" s="16" t="str">
        <f>HYPERLINK("http://www.heystaxe.com","HeyStaxe")</f>
        <v>HeyStaxe</v>
      </c>
      <c r="F5139" s="12">
        <v>42461.267581018517</v>
      </c>
      <c r="G5139" s="17" t="s">
        <v>13000</v>
      </c>
      <c r="H5139" s="35" t="s">
        <v>5319</v>
      </c>
      <c r="I5139" s="18" t="s">
        <v>5320</v>
      </c>
    </row>
    <row r="5140" spans="1:9" s="33" customFormat="1" ht="45">
      <c r="A5140" s="4">
        <v>43563.845763888894</v>
      </c>
      <c r="B5140" s="5" t="str">
        <f>HYPERLINK("https://twitter.com/DebbieBrandt1","@DebbieBrandt1")</f>
        <v>@DebbieBrandt1</v>
      </c>
      <c r="C5140" s="6" t="s">
        <v>6860</v>
      </c>
      <c r="D5140" s="7" t="s">
        <v>6861</v>
      </c>
      <c r="E5140" s="8" t="str">
        <f>HYPERLINK("http://twitter.com","Twitter Web Client")</f>
        <v>Twitter Web Client</v>
      </c>
      <c r="F5140" s="4">
        <v>39934.72997685185</v>
      </c>
      <c r="G5140" s="17" t="s">
        <v>13000</v>
      </c>
      <c r="H5140" s="35" t="s">
        <v>6862</v>
      </c>
      <c r="I5140" s="10" t="s">
        <v>6863</v>
      </c>
    </row>
    <row r="5141" spans="1:9" s="33" customFormat="1" ht="75">
      <c r="A5141" s="4">
        <v>43561.597916666666</v>
      </c>
      <c r="B5141" s="5" t="str">
        <f>HYPERLINK("https://twitter.com/swwestsurprise","@swwestsurprise")</f>
        <v>@swwestsurprise</v>
      </c>
      <c r="C5141" s="6" t="s">
        <v>10912</v>
      </c>
      <c r="D5141" s="7" t="s">
        <v>10913</v>
      </c>
      <c r="E5141" s="8" t="str">
        <f>HYPERLINK("https://about.twitter.com/products/tweetdeck","TweetDeck")</f>
        <v>TweetDeck</v>
      </c>
      <c r="F5141" s="4">
        <v>43272.551469907412</v>
      </c>
      <c r="G5141" s="9" t="s">
        <v>13000</v>
      </c>
      <c r="H5141" s="35" t="s">
        <v>10914</v>
      </c>
      <c r="I5141" s="10" t="s">
        <v>10915</v>
      </c>
    </row>
    <row r="5142" spans="1:9" s="33" customFormat="1" ht="75">
      <c r="A5142" s="4">
        <v>43561.538194444445</v>
      </c>
      <c r="B5142" s="5" t="str">
        <f>HYPERLINK("https://twitter.com/swsurprise","@swsurprise")</f>
        <v>@swsurprise</v>
      </c>
      <c r="C5142" s="6" t="s">
        <v>10940</v>
      </c>
      <c r="D5142" s="7" t="s">
        <v>10913</v>
      </c>
      <c r="E5142" s="8" t="str">
        <f>HYPERLINK("https://about.twitter.com/products/tweetdeck","TweetDeck")</f>
        <v>TweetDeck</v>
      </c>
      <c r="F5142" s="4">
        <v>41600.307337962964</v>
      </c>
      <c r="G5142" s="9" t="s">
        <v>13000</v>
      </c>
      <c r="H5142" s="35" t="s">
        <v>10941</v>
      </c>
      <c r="I5142" s="10" t="s">
        <v>10942</v>
      </c>
    </row>
    <row r="5143" spans="1:9" s="33" customFormat="1" ht="30">
      <c r="A5143" s="12">
        <v>43570.780798611115</v>
      </c>
      <c r="B5143" s="13" t="str">
        <f>HYPERLINK("https://twitter.com/eri_viz","@eri_viz")</f>
        <v>@eri_viz</v>
      </c>
      <c r="C5143" s="14" t="s">
        <v>3979</v>
      </c>
      <c r="D5143" s="15" t="s">
        <v>3980</v>
      </c>
      <c r="E5143" s="16" t="str">
        <f>HYPERLINK("http://twitter.com/download/iphone","Twitter for iPhone")</f>
        <v>Twitter for iPhone</v>
      </c>
      <c r="F5143" s="12">
        <v>40798.887245370366</v>
      </c>
      <c r="G5143" s="17" t="s">
        <v>13000</v>
      </c>
      <c r="H5143" s="35" t="s">
        <v>3981</v>
      </c>
      <c r="I5143" s="18" t="s">
        <v>3982</v>
      </c>
    </row>
    <row r="5144" spans="1:9" s="33" customFormat="1" ht="60">
      <c r="A5144" s="12">
        <v>43568.636284722219</v>
      </c>
      <c r="B5144" s="13" t="str">
        <f>HYPERLINK("https://twitter.com/WWJ13","@WWJ13")</f>
        <v>@WWJ13</v>
      </c>
      <c r="C5144" s="14" t="s">
        <v>4682</v>
      </c>
      <c r="D5144" s="15" t="s">
        <v>4683</v>
      </c>
      <c r="E5144" s="16" t="str">
        <f>HYPERLINK("http://twitter.com","Twitter Web Client")</f>
        <v>Twitter Web Client</v>
      </c>
      <c r="F5144" s="12">
        <v>39952.553263888891</v>
      </c>
      <c r="G5144" s="24" t="s">
        <v>13000</v>
      </c>
      <c r="H5144" s="35" t="s">
        <v>4684</v>
      </c>
      <c r="I5144" s="18" t="s">
        <v>4685</v>
      </c>
    </row>
    <row r="5145" spans="1:9" s="33" customFormat="1" ht="90">
      <c r="A5145" s="19">
        <v>43542.539814814816</v>
      </c>
      <c r="B5145" s="20" t="str">
        <f>HYPERLINK("https://twitter.com/MSardy","@MSardy")</f>
        <v>@MSardy</v>
      </c>
      <c r="C5145" s="21" t="s">
        <v>10122</v>
      </c>
      <c r="D5145" s="22" t="s">
        <v>10123</v>
      </c>
      <c r="E5145" s="23" t="str">
        <f>HYPERLINK("http://twitter.com/download/iphone","Twitter for iPhone")</f>
        <v>Twitter for iPhone</v>
      </c>
      <c r="F5145" s="19">
        <v>40786.503101851849</v>
      </c>
      <c r="G5145" s="24" t="s">
        <v>13000</v>
      </c>
      <c r="H5145" s="35" t="s">
        <v>10124</v>
      </c>
      <c r="I5145" s="25" t="s">
        <v>10125</v>
      </c>
    </row>
    <row r="5146" spans="1:9" s="33" customFormat="1" ht="75">
      <c r="A5146" s="19">
        <v>43544.80940972222</v>
      </c>
      <c r="B5146" s="20" t="str">
        <f>HYPERLINK("https://twitter.com/ROGTurnKey","@ROGTurnKey")</f>
        <v>@ROGTurnKey</v>
      </c>
      <c r="C5146" s="21" t="s">
        <v>9326</v>
      </c>
      <c r="D5146" s="22" t="s">
        <v>9327</v>
      </c>
      <c r="E5146" s="23" t="str">
        <f>HYPERLINK("http://instagram.com","Instagram")</f>
        <v>Instagram</v>
      </c>
      <c r="F5146" s="19">
        <v>43214.559166666666</v>
      </c>
      <c r="G5146" s="24" t="s">
        <v>13000</v>
      </c>
      <c r="H5146" s="35" t="s">
        <v>9328</v>
      </c>
      <c r="I5146" s="25" t="s">
        <v>9329</v>
      </c>
    </row>
    <row r="5147" spans="1:9" s="33" customFormat="1" ht="75">
      <c r="A5147" s="12">
        <v>43576.226365740746</v>
      </c>
      <c r="B5147" s="13" t="str">
        <f>HYPERLINK("https://twitter.com/CrossHare","@CrossHare")</f>
        <v>@CrossHare</v>
      </c>
      <c r="C5147" s="14" t="s">
        <v>2025</v>
      </c>
      <c r="D5147" s="15" t="s">
        <v>2026</v>
      </c>
      <c r="E5147" s="16" t="str">
        <f>HYPERLINK("http://instagram.com","Instagram")</f>
        <v>Instagram</v>
      </c>
      <c r="F5147" s="12">
        <v>39779.584398148145</v>
      </c>
      <c r="G5147" s="17" t="s">
        <v>13000</v>
      </c>
      <c r="H5147" s="35" t="s">
        <v>2027</v>
      </c>
      <c r="I5147" s="18" t="s">
        <v>2028</v>
      </c>
    </row>
    <row r="5148" spans="1:9" s="33" customFormat="1" ht="45">
      <c r="A5148" s="12">
        <v>43573.464421296296</v>
      </c>
      <c r="B5148" s="13" t="str">
        <f>HYPERLINK("https://twitter.com/siennawebdesign","@siennawebdesign")</f>
        <v>@siennawebdesign</v>
      </c>
      <c r="C5148" s="14" t="s">
        <v>2845</v>
      </c>
      <c r="D5148" s="15" t="s">
        <v>2846</v>
      </c>
      <c r="E5148" s="16" t="str">
        <f>HYPERLINK("http://www.facebook.com/twitter","Facebook")</f>
        <v>Facebook</v>
      </c>
      <c r="F5148" s="12">
        <v>40385.704236111109</v>
      </c>
      <c r="G5148" s="24" t="s">
        <v>13000</v>
      </c>
      <c r="H5148" s="35" t="s">
        <v>2847</v>
      </c>
      <c r="I5148" s="18" t="s">
        <v>2848</v>
      </c>
    </row>
    <row r="5149" spans="1:9" s="33" customFormat="1" ht="75">
      <c r="A5149" s="4">
        <v>43560.777187500003</v>
      </c>
      <c r="B5149" s="5" t="str">
        <f>HYPERLINK("https://twitter.com/sam_in_the_city","@sam_in_the_city")</f>
        <v>@sam_in_the_city</v>
      </c>
      <c r="C5149" s="6" t="s">
        <v>11166</v>
      </c>
      <c r="D5149" s="7" t="s">
        <v>11167</v>
      </c>
      <c r="E5149" s="8" t="str">
        <f>HYPERLINK("http://twitter.com","Twitter Web Client")</f>
        <v>Twitter Web Client</v>
      </c>
      <c r="F5149" s="4">
        <v>41722.276712962965</v>
      </c>
      <c r="G5149" s="24" t="s">
        <v>13000</v>
      </c>
      <c r="H5149" s="35" t="s">
        <v>11168</v>
      </c>
      <c r="I5149" s="10" t="s">
        <v>11169</v>
      </c>
    </row>
    <row r="5150" spans="1:9" s="33" customFormat="1" ht="30">
      <c r="A5150" s="19">
        <v>43545.828252314815</v>
      </c>
      <c r="B5150" s="20" t="str">
        <f>HYPERLINK("https://twitter.com/beachterp","@beachterp")</f>
        <v>@beachterp</v>
      </c>
      <c r="C5150" s="21" t="s">
        <v>9034</v>
      </c>
      <c r="D5150" s="22" t="s">
        <v>9035</v>
      </c>
      <c r="E5150" s="23" t="str">
        <f>HYPERLINK("https://pragmaticcode.com/linky/","Linky for iOS")</f>
        <v>Linky for iOS</v>
      </c>
      <c r="F5150" s="19">
        <v>39814.606956018521</v>
      </c>
      <c r="G5150" s="24" t="s">
        <v>13000</v>
      </c>
      <c r="H5150" s="35" t="s">
        <v>3165</v>
      </c>
      <c r="I5150" s="25" t="s">
        <v>9036</v>
      </c>
    </row>
    <row r="5151" spans="1:9" s="33" customFormat="1" ht="75">
      <c r="A5151" s="4">
        <v>43565.745613425926</v>
      </c>
      <c r="B5151" s="5" t="str">
        <f>HYPERLINK("https://twitter.com/NGTampa","@NGTampa")</f>
        <v>@NGTampa</v>
      </c>
      <c r="C5151" s="6" t="s">
        <v>5918</v>
      </c>
      <c r="D5151" s="7" t="s">
        <v>5919</v>
      </c>
      <c r="E5151" s="8" t="str">
        <f>HYPERLINK("http://twitter.com/download/iphone","Twitter for iPhone")</f>
        <v>Twitter for iPhone</v>
      </c>
      <c r="F5151" s="4">
        <v>40632.234236111108</v>
      </c>
      <c r="G5151" s="24" t="s">
        <v>13000</v>
      </c>
      <c r="H5151" s="35" t="s">
        <v>5920</v>
      </c>
      <c r="I5151" s="10" t="s">
        <v>5921</v>
      </c>
    </row>
    <row r="5152" spans="1:9" s="33" customFormat="1" ht="45">
      <c r="A5152" s="4">
        <v>43563.463171296295</v>
      </c>
      <c r="B5152" s="5" t="str">
        <f>HYPERLINK("https://twitter.com/DRVGXNKXNG","@DRVGXNKXNG")</f>
        <v>@DRVGXNKXNG</v>
      </c>
      <c r="C5152" s="6" t="s">
        <v>10273</v>
      </c>
      <c r="D5152" s="7" t="s">
        <v>10274</v>
      </c>
      <c r="E5152" s="8" t="str">
        <f>HYPERLINK("http://twitter.com/download/android","Twitter for Android")</f>
        <v>Twitter for Android</v>
      </c>
      <c r="F5152" s="4">
        <v>40933.881111111114</v>
      </c>
      <c r="G5152" s="24" t="s">
        <v>13000</v>
      </c>
      <c r="H5152" s="35" t="s">
        <v>3165</v>
      </c>
      <c r="I5152" s="10" t="s">
        <v>10275</v>
      </c>
    </row>
    <row r="5153" spans="1:9" s="33" customFormat="1" ht="45">
      <c r="A5153" s="12">
        <v>43572.558356481481</v>
      </c>
      <c r="B5153" s="13" t="str">
        <f>HYPERLINK("https://twitter.com/AvalexDynamics","@AvalexDynamics")</f>
        <v>@AvalexDynamics</v>
      </c>
      <c r="C5153" s="14" t="s">
        <v>3163</v>
      </c>
      <c r="D5153" s="15" t="s">
        <v>3164</v>
      </c>
      <c r="E5153" s="16" t="str">
        <f>HYPERLINK("http://twitter.com/download/iphone","Twitter for iPhone")</f>
        <v>Twitter for iPhone</v>
      </c>
      <c r="F5153" s="12">
        <v>40028.637627314813</v>
      </c>
      <c r="G5153" s="24" t="s">
        <v>13000</v>
      </c>
      <c r="H5153" s="35" t="s">
        <v>3165</v>
      </c>
      <c r="I5153" s="18" t="s">
        <v>3166</v>
      </c>
    </row>
    <row r="5154" spans="1:9" s="33" customFormat="1" ht="75">
      <c r="A5154" s="12">
        <v>43568.544594907406</v>
      </c>
      <c r="B5154" s="13" t="str">
        <f>HYPERLINK("https://twitter.com/staceychais","@staceychais")</f>
        <v>@staceychais</v>
      </c>
      <c r="C5154" s="14" t="s">
        <v>4707</v>
      </c>
      <c r="D5154" s="15" t="s">
        <v>4708</v>
      </c>
      <c r="E5154" s="16" t="str">
        <f>HYPERLINK("http://instagram.com","Instagram")</f>
        <v>Instagram</v>
      </c>
      <c r="F5154" s="12">
        <v>40196.535925925928</v>
      </c>
      <c r="G5154" s="24" t="s">
        <v>13000</v>
      </c>
      <c r="H5154" s="35" t="s">
        <v>3165</v>
      </c>
      <c r="I5154" s="18" t="s">
        <v>4709</v>
      </c>
    </row>
    <row r="5155" spans="1:9" s="33" customFormat="1" ht="15">
      <c r="A5155" s="12">
        <v>43566.880486111113</v>
      </c>
      <c r="B5155" s="13" t="str">
        <f>HYPERLINK("https://twitter.com/vikramgk","@vikramgk")</f>
        <v>@vikramgk</v>
      </c>
      <c r="C5155" s="14" t="s">
        <v>5311</v>
      </c>
      <c r="D5155" s="15" t="s">
        <v>5040</v>
      </c>
      <c r="E5155" s="16" t="str">
        <f>HYPERLINK("http://twitter.com","Twitter Web Client")</f>
        <v>Twitter Web Client</v>
      </c>
      <c r="F5155" s="12">
        <v>40303.112337962964</v>
      </c>
      <c r="G5155" s="24" t="s">
        <v>13000</v>
      </c>
      <c r="H5155" s="35" t="s">
        <v>3165</v>
      </c>
      <c r="I5155" s="18" t="s">
        <v>5312</v>
      </c>
    </row>
    <row r="5156" spans="1:9" s="33" customFormat="1" ht="30">
      <c r="A5156" s="12">
        <v>43575.344918981486</v>
      </c>
      <c r="B5156" s="13" t="str">
        <f>HYPERLINK("https://twitter.com/Shields_1511","@Shields_1511")</f>
        <v>@Shields_1511</v>
      </c>
      <c r="C5156" s="14" t="s">
        <v>2268</v>
      </c>
      <c r="D5156" s="15" t="s">
        <v>2269</v>
      </c>
      <c r="E5156" s="16" t="str">
        <f>HYPERLINK("http://twitter.com/download/iphone","Twitter for iPhone")</f>
        <v>Twitter for iPhone</v>
      </c>
      <c r="F5156" s="12">
        <v>41763.705879629633</v>
      </c>
      <c r="G5156" s="24" t="s">
        <v>13000</v>
      </c>
      <c r="H5156" s="35" t="s">
        <v>2270</v>
      </c>
      <c r="I5156" s="18" t="s">
        <v>2271</v>
      </c>
    </row>
    <row r="5157" spans="1:9" s="33" customFormat="1" ht="30">
      <c r="A5157" s="12">
        <v>43578.624652777777</v>
      </c>
      <c r="B5157" s="13" t="str">
        <f>HYPERLINK("https://twitter.com/TampaEFL","@TampaEFL")</f>
        <v>@TampaEFL</v>
      </c>
      <c r="C5157" s="14" t="s">
        <v>1130</v>
      </c>
      <c r="D5157" s="15" t="s">
        <v>1131</v>
      </c>
      <c r="E5157" s="16" t="str">
        <f>HYPERLINK("http://twitter.com/download/iphone","Twitter for iPhone")</f>
        <v>Twitter for iPhone</v>
      </c>
      <c r="F5157" s="12">
        <v>40091.327210648145</v>
      </c>
      <c r="G5157" s="24" t="s">
        <v>13000</v>
      </c>
      <c r="H5157" s="35" t="s">
        <v>1132</v>
      </c>
      <c r="I5157" s="18" t="s">
        <v>1133</v>
      </c>
    </row>
    <row r="5158" spans="1:9" s="33" customFormat="1" ht="30">
      <c r="A5158" s="19">
        <v>43543.410717592589</v>
      </c>
      <c r="B5158" s="20" t="str">
        <f>HYPERLINK("https://twitter.com/TBBJVeronica","@TBBJVeronica")</f>
        <v>@TBBJVeronica</v>
      </c>
      <c r="C5158" s="21" t="s">
        <v>9820</v>
      </c>
      <c r="D5158" s="22" t="s">
        <v>9821</v>
      </c>
      <c r="E5158" s="23" t="str">
        <f>HYPERLINK("http://twitter.com","Twitter Web Client")</f>
        <v>Twitter Web Client</v>
      </c>
      <c r="F5158" s="19">
        <v>41221.508194444446</v>
      </c>
      <c r="G5158" s="24" t="s">
        <v>13000</v>
      </c>
      <c r="H5158" s="35" t="s">
        <v>9822</v>
      </c>
      <c r="I5158" s="25" t="s">
        <v>9823</v>
      </c>
    </row>
    <row r="5159" spans="1:9" s="33" customFormat="1" ht="105">
      <c r="A5159" s="19">
        <v>43547.53324074074</v>
      </c>
      <c r="B5159" s="20" t="str">
        <f>HYPERLINK("https://twitter.com/PowderhornVR","@PowderhornVR")</f>
        <v>@PowderhornVR</v>
      </c>
      <c r="C5159" s="21" t="s">
        <v>8512</v>
      </c>
      <c r="D5159" s="22" t="s">
        <v>8513</v>
      </c>
      <c r="E5159" s="23" t="str">
        <f>HYPERLINK("http://twitter.com","Twitter Web Client")</f>
        <v>Twitter Web Client</v>
      </c>
      <c r="F5159" s="19">
        <v>43048.612037037034</v>
      </c>
      <c r="G5159" s="24" t="s">
        <v>13000</v>
      </c>
      <c r="H5159" s="35" t="s">
        <v>8514</v>
      </c>
      <c r="I5159" s="25" t="s">
        <v>8515</v>
      </c>
    </row>
    <row r="5160" spans="1:9" s="33" customFormat="1" ht="60">
      <c r="A5160" s="12">
        <v>43573.314120370371</v>
      </c>
      <c r="B5160" s="13" t="str">
        <f>HYPERLINK("https://twitter.com/taoslifestyle","@taoslifestyle")</f>
        <v>@taoslifestyle</v>
      </c>
      <c r="C5160" s="14" t="s">
        <v>2934</v>
      </c>
      <c r="D5160" s="15" t="s">
        <v>2935</v>
      </c>
      <c r="E5160" s="16" t="str">
        <f>HYPERLINK("http://twitter.com","Twitter Web Client")</f>
        <v>Twitter Web Client</v>
      </c>
      <c r="F5160" s="12">
        <v>39973.311921296292</v>
      </c>
      <c r="G5160" s="24" t="s">
        <v>13000</v>
      </c>
      <c r="H5160" s="35" t="s">
        <v>2936</v>
      </c>
      <c r="I5160" s="18" t="s">
        <v>2937</v>
      </c>
    </row>
    <row r="5161" spans="1:9" s="33" customFormat="1" ht="60">
      <c r="A5161" s="19">
        <v>43543.428483796291</v>
      </c>
      <c r="B5161" s="20" t="str">
        <f>HYPERLINK("https://twitter.com/ReferralsSFVBA","@ReferralsSFVBA")</f>
        <v>@ReferralsSFVBA</v>
      </c>
      <c r="C5161" s="21" t="s">
        <v>9807</v>
      </c>
      <c r="D5161" s="22" t="s">
        <v>9808</v>
      </c>
      <c r="E5161" s="23" t="str">
        <f>HYPERLINK("https://buffer.com","Buffer")</f>
        <v>Buffer</v>
      </c>
      <c r="F5161" s="19">
        <v>40990.683287037034</v>
      </c>
      <c r="G5161" s="24" t="s">
        <v>13000</v>
      </c>
      <c r="H5161" s="35" t="s">
        <v>9809</v>
      </c>
      <c r="I5161" s="25" t="s">
        <v>9810</v>
      </c>
    </row>
    <row r="5162" spans="1:9" s="33" customFormat="1" ht="90">
      <c r="A5162" s="19">
        <v>43542.506967592592</v>
      </c>
      <c r="B5162" s="20" t="str">
        <f>HYPERLINK("https://twitter.com/ReferralsSFVBA","@ReferralsSFVBA")</f>
        <v>@ReferralsSFVBA</v>
      </c>
      <c r="C5162" s="21" t="s">
        <v>9807</v>
      </c>
      <c r="D5162" s="22" t="s">
        <v>10132</v>
      </c>
      <c r="E5162" s="23" t="str">
        <f>HYPERLINK("https://buffer.com","Buffer")</f>
        <v>Buffer</v>
      </c>
      <c r="F5162" s="19">
        <v>40990.683287037034</v>
      </c>
      <c r="G5162" s="24" t="s">
        <v>13000</v>
      </c>
      <c r="H5162" s="35" t="s">
        <v>9809</v>
      </c>
      <c r="I5162" s="25" t="s">
        <v>9810</v>
      </c>
    </row>
    <row r="5163" spans="1:9" s="33" customFormat="1" ht="75">
      <c r="A5163" s="19">
        <v>43551.625717592593</v>
      </c>
      <c r="B5163" s="20" t="str">
        <f>HYPERLINK("https://twitter.com/withCompassion","@withCompassion")</f>
        <v>@withCompassion</v>
      </c>
      <c r="C5163" s="21" t="s">
        <v>538</v>
      </c>
      <c r="D5163" s="22" t="s">
        <v>7085</v>
      </c>
      <c r="E5163" s="23" t="str">
        <f>HYPERLINK("https://buffer.com","Buffer")</f>
        <v>Buffer</v>
      </c>
      <c r="F5163" s="19">
        <v>40025.674039351856</v>
      </c>
      <c r="G5163" s="17" t="s">
        <v>13000</v>
      </c>
      <c r="H5163" s="35" t="s">
        <v>540</v>
      </c>
      <c r="I5163" s="25" t="s">
        <v>541</v>
      </c>
    </row>
    <row r="5164" spans="1:9" s="33" customFormat="1" ht="120">
      <c r="A5164" s="19">
        <v>43551.417476851857</v>
      </c>
      <c r="B5164" s="20" t="str">
        <f>HYPERLINK("https://twitter.com/JessicaAbrego15","@JessicaAbrego15")</f>
        <v>@JessicaAbrego15</v>
      </c>
      <c r="C5164" s="21" t="s">
        <v>1594</v>
      </c>
      <c r="D5164" s="22" t="s">
        <v>7212</v>
      </c>
      <c r="E5164" s="23" t="str">
        <f>HYPERLINK("https://www.later.com","LaterMedia")</f>
        <v>LaterMedia</v>
      </c>
      <c r="F5164" s="19">
        <v>43487.805902777778</v>
      </c>
      <c r="G5164" s="17" t="s">
        <v>13000</v>
      </c>
      <c r="H5164" s="35" t="s">
        <v>540</v>
      </c>
      <c r="I5164" s="25"/>
    </row>
    <row r="5165" spans="1:9" s="33" customFormat="1" ht="90">
      <c r="A5165" s="19">
        <v>43550.605567129634</v>
      </c>
      <c r="B5165" s="20" t="str">
        <f t="shared" ref="B5165:B5171" si="195">HYPERLINK("https://twitter.com/withCompassion","@withCompassion")</f>
        <v>@withCompassion</v>
      </c>
      <c r="C5165" s="21" t="s">
        <v>538</v>
      </c>
      <c r="D5165" s="22" t="s">
        <v>7593</v>
      </c>
      <c r="E5165" s="23" t="str">
        <f t="shared" ref="E5165:E5171" si="196">HYPERLINK("https://buffer.com","Buffer")</f>
        <v>Buffer</v>
      </c>
      <c r="F5165" s="19">
        <v>40025.674039351856</v>
      </c>
      <c r="G5165" s="17" t="s">
        <v>13000</v>
      </c>
      <c r="H5165" s="35" t="s">
        <v>540</v>
      </c>
      <c r="I5165" s="25" t="s">
        <v>541</v>
      </c>
    </row>
    <row r="5166" spans="1:9" s="33" customFormat="1" ht="90">
      <c r="A5166" s="19">
        <v>43549.563912037032</v>
      </c>
      <c r="B5166" s="20" t="str">
        <f t="shared" si="195"/>
        <v>@withCompassion</v>
      </c>
      <c r="C5166" s="21" t="s">
        <v>538</v>
      </c>
      <c r="D5166" s="22" t="s">
        <v>7985</v>
      </c>
      <c r="E5166" s="23" t="str">
        <f t="shared" si="196"/>
        <v>Buffer</v>
      </c>
      <c r="F5166" s="19">
        <v>40025.674039351856</v>
      </c>
      <c r="G5166" s="17" t="s">
        <v>13000</v>
      </c>
      <c r="H5166" s="35" t="s">
        <v>540</v>
      </c>
      <c r="I5166" s="25" t="s">
        <v>541</v>
      </c>
    </row>
    <row r="5167" spans="1:9" s="33" customFormat="1" ht="90">
      <c r="A5167" s="19">
        <v>43545.522245370375</v>
      </c>
      <c r="B5167" s="20" t="str">
        <f t="shared" si="195"/>
        <v>@withCompassion</v>
      </c>
      <c r="C5167" s="21" t="s">
        <v>538</v>
      </c>
      <c r="D5167" s="22" t="s">
        <v>9111</v>
      </c>
      <c r="E5167" s="23" t="str">
        <f t="shared" si="196"/>
        <v>Buffer</v>
      </c>
      <c r="F5167" s="19">
        <v>40025.674039351856</v>
      </c>
      <c r="G5167" s="17" t="s">
        <v>13000</v>
      </c>
      <c r="H5167" s="35" t="s">
        <v>540</v>
      </c>
      <c r="I5167" s="25" t="s">
        <v>541</v>
      </c>
    </row>
    <row r="5168" spans="1:9" s="33" customFormat="1" ht="45">
      <c r="A5168" s="19">
        <v>43544.62572916667</v>
      </c>
      <c r="B5168" s="20" t="str">
        <f t="shared" si="195"/>
        <v>@withCompassion</v>
      </c>
      <c r="C5168" s="21" t="s">
        <v>538</v>
      </c>
      <c r="D5168" s="22" t="s">
        <v>9383</v>
      </c>
      <c r="E5168" s="23" t="str">
        <f t="shared" si="196"/>
        <v>Buffer</v>
      </c>
      <c r="F5168" s="19">
        <v>40025.674039351856</v>
      </c>
      <c r="G5168" s="17" t="s">
        <v>13000</v>
      </c>
      <c r="H5168" s="35" t="s">
        <v>540</v>
      </c>
      <c r="I5168" s="25" t="s">
        <v>541</v>
      </c>
    </row>
    <row r="5169" spans="1:9" s="33" customFormat="1" ht="75">
      <c r="A5169" s="19">
        <v>43543.605578703704</v>
      </c>
      <c r="B5169" s="20" t="str">
        <f t="shared" si="195"/>
        <v>@withCompassion</v>
      </c>
      <c r="C5169" s="21" t="s">
        <v>538</v>
      </c>
      <c r="D5169" s="22" t="s">
        <v>9742</v>
      </c>
      <c r="E5169" s="23" t="str">
        <f t="shared" si="196"/>
        <v>Buffer</v>
      </c>
      <c r="F5169" s="19">
        <v>40025.674039351856</v>
      </c>
      <c r="G5169" s="17" t="s">
        <v>13000</v>
      </c>
      <c r="H5169" s="35" t="s">
        <v>540</v>
      </c>
      <c r="I5169" s="25" t="s">
        <v>541</v>
      </c>
    </row>
    <row r="5170" spans="1:9" s="33" customFormat="1" ht="60">
      <c r="A5170" s="19">
        <v>43542.563900462963</v>
      </c>
      <c r="B5170" s="20" t="str">
        <f t="shared" si="195"/>
        <v>@withCompassion</v>
      </c>
      <c r="C5170" s="21" t="s">
        <v>538</v>
      </c>
      <c r="D5170" s="22" t="s">
        <v>10107</v>
      </c>
      <c r="E5170" s="23" t="str">
        <f t="shared" si="196"/>
        <v>Buffer</v>
      </c>
      <c r="F5170" s="19">
        <v>40025.674039351856</v>
      </c>
      <c r="G5170" s="17" t="s">
        <v>13000</v>
      </c>
      <c r="H5170" s="35" t="s">
        <v>540</v>
      </c>
      <c r="I5170" s="25" t="s">
        <v>541</v>
      </c>
    </row>
    <row r="5171" spans="1:9" s="33" customFormat="1" ht="75">
      <c r="A5171" s="4">
        <v>43565.625706018516</v>
      </c>
      <c r="B5171" s="5" t="str">
        <f t="shared" si="195"/>
        <v>@withCompassion</v>
      </c>
      <c r="C5171" s="6" t="s">
        <v>538</v>
      </c>
      <c r="D5171" s="7" t="s">
        <v>5985</v>
      </c>
      <c r="E5171" s="8" t="str">
        <f t="shared" si="196"/>
        <v>Buffer</v>
      </c>
      <c r="F5171" s="4">
        <v>40025.674039351856</v>
      </c>
      <c r="G5171" s="17" t="s">
        <v>13000</v>
      </c>
      <c r="H5171" s="35" t="s">
        <v>540</v>
      </c>
      <c r="I5171" s="10" t="s">
        <v>541</v>
      </c>
    </row>
    <row r="5172" spans="1:9" s="33" customFormat="1" ht="120">
      <c r="A5172" s="4">
        <v>43565.375219907408</v>
      </c>
      <c r="B5172" s="5" t="str">
        <f>HYPERLINK("https://twitter.com/JessicaAbrego15","@JessicaAbrego15")</f>
        <v>@JessicaAbrego15</v>
      </c>
      <c r="C5172" s="6" t="s">
        <v>1594</v>
      </c>
      <c r="D5172" s="7" t="s">
        <v>6141</v>
      </c>
      <c r="E5172" s="8" t="str">
        <f>HYPERLINK("https://www.later.com","LaterMedia")</f>
        <v>LaterMedia</v>
      </c>
      <c r="F5172" s="4">
        <v>43487.805902777778</v>
      </c>
      <c r="G5172" s="17" t="s">
        <v>13000</v>
      </c>
      <c r="H5172" s="35" t="s">
        <v>540</v>
      </c>
      <c r="I5172" s="10"/>
    </row>
    <row r="5173" spans="1:9" s="33" customFormat="1" ht="75">
      <c r="A5173" s="4">
        <v>43564.605578703704</v>
      </c>
      <c r="B5173" s="5" t="str">
        <f>HYPERLINK("https://twitter.com/withCompassion","@withCompassion")</f>
        <v>@withCompassion</v>
      </c>
      <c r="C5173" s="6" t="s">
        <v>538</v>
      </c>
      <c r="D5173" s="7" t="s">
        <v>6512</v>
      </c>
      <c r="E5173" s="8" t="str">
        <f>HYPERLINK("https://buffer.com","Buffer")</f>
        <v>Buffer</v>
      </c>
      <c r="F5173" s="4">
        <v>40025.674039351856</v>
      </c>
      <c r="G5173" s="17" t="s">
        <v>13000</v>
      </c>
      <c r="H5173" s="35" t="s">
        <v>540</v>
      </c>
      <c r="I5173" s="10" t="s">
        <v>541</v>
      </c>
    </row>
    <row r="5174" spans="1:9" s="33" customFormat="1" ht="90">
      <c r="A5174" s="4">
        <v>43563.563912037032</v>
      </c>
      <c r="B5174" s="5" t="str">
        <f>HYPERLINK("https://twitter.com/withCompassion","@withCompassion")</f>
        <v>@withCompassion</v>
      </c>
      <c r="C5174" s="6" t="s">
        <v>538</v>
      </c>
      <c r="D5174" s="7" t="s">
        <v>10221</v>
      </c>
      <c r="E5174" s="8" t="str">
        <f>HYPERLINK("https://buffer.com","Buffer")</f>
        <v>Buffer</v>
      </c>
      <c r="F5174" s="4">
        <v>40025.674039351856</v>
      </c>
      <c r="G5174" s="17" t="s">
        <v>13000</v>
      </c>
      <c r="H5174" s="35" t="s">
        <v>540</v>
      </c>
      <c r="I5174" s="10" t="s">
        <v>541</v>
      </c>
    </row>
    <row r="5175" spans="1:9" s="33" customFormat="1" ht="105">
      <c r="A5175" s="4">
        <v>43563.3752662037</v>
      </c>
      <c r="B5175" s="5" t="str">
        <f>HYPERLINK("https://twitter.com/JessicaAbrego15","@JessicaAbrego15")</f>
        <v>@JessicaAbrego15</v>
      </c>
      <c r="C5175" s="6" t="s">
        <v>1594</v>
      </c>
      <c r="D5175" s="7" t="s">
        <v>10324</v>
      </c>
      <c r="E5175" s="8" t="str">
        <f>HYPERLINK("https://www.later.com","LaterMedia")</f>
        <v>LaterMedia</v>
      </c>
      <c r="F5175" s="4">
        <v>43487.805902777778</v>
      </c>
      <c r="G5175" s="17" t="s">
        <v>13000</v>
      </c>
      <c r="H5175" s="35" t="s">
        <v>540</v>
      </c>
      <c r="I5175" s="10"/>
    </row>
    <row r="5176" spans="1:9" s="33" customFormat="1" ht="90">
      <c r="A5176" s="4">
        <v>43562.500150462962</v>
      </c>
      <c r="B5176" s="5" t="str">
        <f>HYPERLINK("https://twitter.com/JessicaAbrego15","@JessicaAbrego15")</f>
        <v>@JessicaAbrego15</v>
      </c>
      <c r="C5176" s="6" t="s">
        <v>1594</v>
      </c>
      <c r="D5176" s="7" t="s">
        <v>10658</v>
      </c>
      <c r="E5176" s="8" t="str">
        <f>HYPERLINK("https://www.later.com","LaterMedia")</f>
        <v>LaterMedia</v>
      </c>
      <c r="F5176" s="4">
        <v>43487.805902777778</v>
      </c>
      <c r="G5176" s="17" t="s">
        <v>13000</v>
      </c>
      <c r="H5176" s="35" t="s">
        <v>540</v>
      </c>
      <c r="I5176" s="10"/>
    </row>
    <row r="5177" spans="1:9" s="33" customFormat="1" ht="120">
      <c r="A5177" s="4">
        <v>43561.375277777777</v>
      </c>
      <c r="B5177" s="5" t="str">
        <f>HYPERLINK("https://twitter.com/JessicaAbrego15","@JessicaAbrego15")</f>
        <v>@JessicaAbrego15</v>
      </c>
      <c r="C5177" s="6" t="s">
        <v>1594</v>
      </c>
      <c r="D5177" s="7" t="s">
        <v>10997</v>
      </c>
      <c r="E5177" s="8" t="str">
        <f>HYPERLINK("https://www.later.com","LaterMedia")</f>
        <v>LaterMedia</v>
      </c>
      <c r="F5177" s="4">
        <v>43487.805902777778</v>
      </c>
      <c r="G5177" s="17" t="s">
        <v>13000</v>
      </c>
      <c r="H5177" s="35" t="s">
        <v>540</v>
      </c>
      <c r="I5177" s="10"/>
    </row>
    <row r="5178" spans="1:9" s="33" customFormat="1" ht="75">
      <c r="A5178" s="4">
        <v>43559.522233796291</v>
      </c>
      <c r="B5178" s="5" t="str">
        <f>HYPERLINK("https://twitter.com/withCompassion","@withCompassion")</f>
        <v>@withCompassion</v>
      </c>
      <c r="C5178" s="6" t="s">
        <v>538</v>
      </c>
      <c r="D5178" s="7" t="s">
        <v>11780</v>
      </c>
      <c r="E5178" s="8" t="str">
        <f>HYPERLINK("https://buffer.com","Buffer")</f>
        <v>Buffer</v>
      </c>
      <c r="F5178" s="4">
        <v>40025.674039351856</v>
      </c>
      <c r="G5178" s="17" t="s">
        <v>13000</v>
      </c>
      <c r="H5178" s="35" t="s">
        <v>540</v>
      </c>
      <c r="I5178" s="10" t="s">
        <v>541</v>
      </c>
    </row>
    <row r="5179" spans="1:9" s="33" customFormat="1" ht="105">
      <c r="A5179" s="4">
        <v>43559.375335648147</v>
      </c>
      <c r="B5179" s="5" t="str">
        <f>HYPERLINK("https://twitter.com/JessicaAbrego15","@JessicaAbrego15")</f>
        <v>@JessicaAbrego15</v>
      </c>
      <c r="C5179" s="6" t="s">
        <v>1594</v>
      </c>
      <c r="D5179" s="7" t="s">
        <v>11869</v>
      </c>
      <c r="E5179" s="8" t="str">
        <f>HYPERLINK("https://www.later.com","LaterMedia")</f>
        <v>LaterMedia</v>
      </c>
      <c r="F5179" s="4">
        <v>43487.805902777778</v>
      </c>
      <c r="G5179" s="17" t="s">
        <v>13000</v>
      </c>
      <c r="H5179" s="35" t="s">
        <v>540</v>
      </c>
      <c r="I5179" s="10"/>
    </row>
    <row r="5180" spans="1:9" s="33" customFormat="1" ht="90">
      <c r="A5180" s="4">
        <v>43558.625717592593</v>
      </c>
      <c r="B5180" s="5" t="str">
        <f>HYPERLINK("https://twitter.com/withCompassion","@withCompassion")</f>
        <v>@withCompassion</v>
      </c>
      <c r="C5180" s="6" t="s">
        <v>538</v>
      </c>
      <c r="D5180" s="7" t="s">
        <v>12099</v>
      </c>
      <c r="E5180" s="8" t="str">
        <f>HYPERLINK("https://buffer.com","Buffer")</f>
        <v>Buffer</v>
      </c>
      <c r="F5180" s="4">
        <v>40025.674039351856</v>
      </c>
      <c r="G5180" s="17" t="s">
        <v>13000</v>
      </c>
      <c r="H5180" s="35" t="s">
        <v>540</v>
      </c>
      <c r="I5180" s="10" t="s">
        <v>541</v>
      </c>
    </row>
    <row r="5181" spans="1:9" s="33" customFormat="1" ht="105">
      <c r="A5181" s="4">
        <v>43558.375381944439</v>
      </c>
      <c r="B5181" s="5" t="str">
        <f>HYPERLINK("https://twitter.com/JessicaAbrego15","@JessicaAbrego15")</f>
        <v>@JessicaAbrego15</v>
      </c>
      <c r="C5181" s="6" t="s">
        <v>1594</v>
      </c>
      <c r="D5181" s="7" t="s">
        <v>12220</v>
      </c>
      <c r="E5181" s="8" t="str">
        <f>HYPERLINK("https://www.later.com","LaterMedia")</f>
        <v>LaterMedia</v>
      </c>
      <c r="F5181" s="4">
        <v>43487.805902777778</v>
      </c>
      <c r="G5181" s="17" t="s">
        <v>13000</v>
      </c>
      <c r="H5181" s="35" t="s">
        <v>540</v>
      </c>
      <c r="I5181" s="10"/>
    </row>
    <row r="5182" spans="1:9" s="33" customFormat="1" ht="60">
      <c r="A5182" s="4">
        <v>43557.605567129634</v>
      </c>
      <c r="B5182" s="5" t="str">
        <f>HYPERLINK("https://twitter.com/withCompassion","@withCompassion")</f>
        <v>@withCompassion</v>
      </c>
      <c r="C5182" s="6" t="s">
        <v>538</v>
      </c>
      <c r="D5182" s="7" t="s">
        <v>12445</v>
      </c>
      <c r="E5182" s="8" t="str">
        <f>HYPERLINK("https://buffer.com","Buffer")</f>
        <v>Buffer</v>
      </c>
      <c r="F5182" s="4">
        <v>40025.674039351856</v>
      </c>
      <c r="G5182" s="17" t="s">
        <v>13000</v>
      </c>
      <c r="H5182" s="35" t="s">
        <v>540</v>
      </c>
      <c r="I5182" s="10" t="s">
        <v>541</v>
      </c>
    </row>
    <row r="5183" spans="1:9" s="33" customFormat="1" ht="120">
      <c r="A5183" s="4">
        <v>43557.50037037037</v>
      </c>
      <c r="B5183" s="5" t="str">
        <f>HYPERLINK("https://twitter.com/JessicaAbrego15","@JessicaAbrego15")</f>
        <v>@JessicaAbrego15</v>
      </c>
      <c r="C5183" s="6" t="s">
        <v>1594</v>
      </c>
      <c r="D5183" s="7" t="s">
        <v>12499</v>
      </c>
      <c r="E5183" s="8" t="str">
        <f>HYPERLINK("https://www.later.com","LaterMedia")</f>
        <v>LaterMedia</v>
      </c>
      <c r="F5183" s="4">
        <v>43487.805902777778</v>
      </c>
      <c r="G5183" s="17" t="s">
        <v>13000</v>
      </c>
      <c r="H5183" s="35" t="s">
        <v>540</v>
      </c>
      <c r="I5183" s="10"/>
    </row>
    <row r="5184" spans="1:9" s="33" customFormat="1" ht="75">
      <c r="A5184" s="4">
        <v>43557.336863425924</v>
      </c>
      <c r="B5184" s="5" t="str">
        <f>HYPERLINK("https://twitter.com/JessicaAbrego15","@JessicaAbrego15")</f>
        <v>@JessicaAbrego15</v>
      </c>
      <c r="C5184" s="6" t="s">
        <v>1594</v>
      </c>
      <c r="D5184" s="7" t="s">
        <v>12551</v>
      </c>
      <c r="E5184" s="8" t="str">
        <f>HYPERLINK("https://www.later.com","LaterMedia")</f>
        <v>LaterMedia</v>
      </c>
      <c r="F5184" s="4">
        <v>43487.805902777778</v>
      </c>
      <c r="G5184" s="17" t="s">
        <v>13000</v>
      </c>
      <c r="H5184" s="35" t="s">
        <v>540</v>
      </c>
      <c r="I5184" s="10"/>
    </row>
    <row r="5185" spans="1:9" s="33" customFormat="1" ht="75">
      <c r="A5185" s="12">
        <v>43579.625706018516</v>
      </c>
      <c r="B5185" s="13" t="str">
        <f>HYPERLINK("https://twitter.com/withCompassion","@withCompassion")</f>
        <v>@withCompassion</v>
      </c>
      <c r="C5185" s="14" t="s">
        <v>538</v>
      </c>
      <c r="D5185" s="15" t="s">
        <v>539</v>
      </c>
      <c r="E5185" s="16" t="str">
        <f>HYPERLINK("https://buffer.com","Buffer")</f>
        <v>Buffer</v>
      </c>
      <c r="F5185" s="12">
        <v>40025.674039351856</v>
      </c>
      <c r="G5185" s="17" t="s">
        <v>13000</v>
      </c>
      <c r="H5185" s="35" t="s">
        <v>540</v>
      </c>
      <c r="I5185" s="18" t="s">
        <v>541</v>
      </c>
    </row>
    <row r="5186" spans="1:9" s="33" customFormat="1" ht="60">
      <c r="A5186" s="12">
        <v>43578.605567129634</v>
      </c>
      <c r="B5186" s="13" t="str">
        <f>HYPERLINK("https://twitter.com/withCompassion","@withCompassion")</f>
        <v>@withCompassion</v>
      </c>
      <c r="C5186" s="14" t="s">
        <v>538</v>
      </c>
      <c r="D5186" s="15" t="s">
        <v>1138</v>
      </c>
      <c r="E5186" s="16" t="str">
        <f>HYPERLINK("https://buffer.com","Buffer")</f>
        <v>Buffer</v>
      </c>
      <c r="F5186" s="12">
        <v>40025.674039351856</v>
      </c>
      <c r="G5186" s="17" t="s">
        <v>13000</v>
      </c>
      <c r="H5186" s="35" t="s">
        <v>540</v>
      </c>
      <c r="I5186" s="18" t="s">
        <v>541</v>
      </c>
    </row>
    <row r="5187" spans="1:9" s="33" customFormat="1" ht="120">
      <c r="A5187" s="12">
        <v>43577.500104166669</v>
      </c>
      <c r="B5187" s="13" t="str">
        <f>HYPERLINK("https://twitter.com/JessicaAbrego15","@JessicaAbrego15")</f>
        <v>@JessicaAbrego15</v>
      </c>
      <c r="C5187" s="14" t="s">
        <v>1594</v>
      </c>
      <c r="D5187" s="15" t="s">
        <v>1595</v>
      </c>
      <c r="E5187" s="16" t="str">
        <f>HYPERLINK("https://www.later.com","LaterMedia")</f>
        <v>LaterMedia</v>
      </c>
      <c r="F5187" s="12">
        <v>43487.805902777778</v>
      </c>
      <c r="G5187" s="17" t="s">
        <v>13000</v>
      </c>
      <c r="H5187" s="35" t="s">
        <v>540</v>
      </c>
      <c r="I5187" s="18"/>
    </row>
    <row r="5188" spans="1:9" s="33" customFormat="1" ht="120">
      <c r="A5188" s="12">
        <v>43575.500092592592</v>
      </c>
      <c r="B5188" s="13" t="str">
        <f>HYPERLINK("https://twitter.com/JessicaAbrego15","@JessicaAbrego15")</f>
        <v>@JessicaAbrego15</v>
      </c>
      <c r="C5188" s="14" t="s">
        <v>1594</v>
      </c>
      <c r="D5188" s="15" t="s">
        <v>2187</v>
      </c>
      <c r="E5188" s="16" t="str">
        <f>HYPERLINK("https://www.later.com","LaterMedia")</f>
        <v>LaterMedia</v>
      </c>
      <c r="F5188" s="12">
        <v>43487.805902777778</v>
      </c>
      <c r="G5188" s="17" t="s">
        <v>13000</v>
      </c>
      <c r="H5188" s="35" t="s">
        <v>540</v>
      </c>
      <c r="I5188" s="18"/>
    </row>
    <row r="5189" spans="1:9" s="33" customFormat="1" ht="60">
      <c r="A5189" s="12">
        <v>43575.388333333336</v>
      </c>
      <c r="B5189" s="13" t="str">
        <f>HYPERLINK("https://twitter.com/tvsunorg","@tvsunorg")</f>
        <v>@tvsunorg</v>
      </c>
      <c r="C5189" s="13" t="s">
        <v>2241</v>
      </c>
      <c r="D5189" s="15" t="s">
        <v>2242</v>
      </c>
      <c r="E5189" s="16" t="str">
        <f>HYPERLINK("http://twitter.com/download/android","Twitter for Android")</f>
        <v>Twitter for Android</v>
      </c>
      <c r="F5189" s="12">
        <v>43337.856539351851</v>
      </c>
      <c r="G5189" s="17" t="s">
        <v>13000</v>
      </c>
      <c r="H5189" s="35" t="s">
        <v>540</v>
      </c>
      <c r="I5189" s="18" t="s">
        <v>2243</v>
      </c>
    </row>
    <row r="5190" spans="1:9" s="33" customFormat="1" ht="105">
      <c r="A5190" s="12">
        <v>43574.375196759254</v>
      </c>
      <c r="B5190" s="13" t="str">
        <f>HYPERLINK("https://twitter.com/JessicaAbrego15","@JessicaAbrego15")</f>
        <v>@JessicaAbrego15</v>
      </c>
      <c r="C5190" s="14" t="s">
        <v>1594</v>
      </c>
      <c r="D5190" s="15" t="s">
        <v>2571</v>
      </c>
      <c r="E5190" s="16" t="str">
        <f>HYPERLINK("https://www.later.com","LaterMedia")</f>
        <v>LaterMedia</v>
      </c>
      <c r="F5190" s="12">
        <v>43487.805902777778</v>
      </c>
      <c r="G5190" s="17" t="s">
        <v>13000</v>
      </c>
      <c r="H5190" s="35" t="s">
        <v>540</v>
      </c>
      <c r="I5190" s="18"/>
    </row>
    <row r="5191" spans="1:9" s="33" customFormat="1" ht="75">
      <c r="A5191" s="12">
        <v>43572.625706018516</v>
      </c>
      <c r="B5191" s="13" t="str">
        <f>HYPERLINK("https://twitter.com/withCompassion","@withCompassion")</f>
        <v>@withCompassion</v>
      </c>
      <c r="C5191" s="14" t="s">
        <v>538</v>
      </c>
      <c r="D5191" s="15" t="s">
        <v>3131</v>
      </c>
      <c r="E5191" s="16" t="str">
        <f>HYPERLINK("https://buffer.com","Buffer")</f>
        <v>Buffer</v>
      </c>
      <c r="F5191" s="12">
        <v>40025.674039351856</v>
      </c>
      <c r="G5191" s="17" t="s">
        <v>13000</v>
      </c>
      <c r="H5191" s="35" t="s">
        <v>540</v>
      </c>
      <c r="I5191" s="18" t="s">
        <v>541</v>
      </c>
    </row>
    <row r="5192" spans="1:9" s="33" customFormat="1" ht="120">
      <c r="A5192" s="12">
        <v>43572.500138888892</v>
      </c>
      <c r="B5192" s="13" t="str">
        <f>HYPERLINK("https://twitter.com/JessicaAbrego15","@JessicaAbrego15")</f>
        <v>@JessicaAbrego15</v>
      </c>
      <c r="C5192" s="14" t="s">
        <v>1594</v>
      </c>
      <c r="D5192" s="15" t="s">
        <v>3216</v>
      </c>
      <c r="E5192" s="16" t="str">
        <f>HYPERLINK("https://www.later.com","LaterMedia")</f>
        <v>LaterMedia</v>
      </c>
      <c r="F5192" s="12">
        <v>43487.805902777778</v>
      </c>
      <c r="G5192" s="17" t="s">
        <v>13000</v>
      </c>
      <c r="H5192" s="35" t="s">
        <v>540</v>
      </c>
      <c r="I5192" s="18"/>
    </row>
    <row r="5193" spans="1:9" s="33" customFormat="1" ht="75">
      <c r="A5193" s="12">
        <v>43571.605578703704</v>
      </c>
      <c r="B5193" s="13" t="str">
        <f>HYPERLINK("https://twitter.com/withCompassion","@withCompassion")</f>
        <v>@withCompassion</v>
      </c>
      <c r="C5193" s="14" t="s">
        <v>538</v>
      </c>
      <c r="D5193" s="15" t="s">
        <v>3619</v>
      </c>
      <c r="E5193" s="16" t="str">
        <f>HYPERLINK("https://buffer.com","Buffer")</f>
        <v>Buffer</v>
      </c>
      <c r="F5193" s="12">
        <v>40025.674039351856</v>
      </c>
      <c r="G5193" s="17" t="s">
        <v>13000</v>
      </c>
      <c r="H5193" s="35" t="s">
        <v>540</v>
      </c>
      <c r="I5193" s="18" t="s">
        <v>541</v>
      </c>
    </row>
    <row r="5194" spans="1:9" s="33" customFormat="1" ht="75">
      <c r="A5194" s="12">
        <v>43570.563900462963</v>
      </c>
      <c r="B5194" s="13" t="str">
        <f>HYPERLINK("https://twitter.com/withCompassion","@withCompassion")</f>
        <v>@withCompassion</v>
      </c>
      <c r="C5194" s="14" t="s">
        <v>538</v>
      </c>
      <c r="D5194" s="15" t="s">
        <v>4076</v>
      </c>
      <c r="E5194" s="16" t="str">
        <f>HYPERLINK("https://buffer.com","Buffer")</f>
        <v>Buffer</v>
      </c>
      <c r="F5194" s="12">
        <v>40025.674039351856</v>
      </c>
      <c r="G5194" s="17" t="s">
        <v>13000</v>
      </c>
      <c r="H5194" s="35" t="s">
        <v>540</v>
      </c>
      <c r="I5194" s="18" t="s">
        <v>541</v>
      </c>
    </row>
    <row r="5195" spans="1:9" s="33" customFormat="1" ht="105">
      <c r="A5195" s="12">
        <v>43569.500104166669</v>
      </c>
      <c r="B5195" s="13" t="str">
        <f>HYPERLINK("https://twitter.com/JessicaAbrego15","@JessicaAbrego15")</f>
        <v>@JessicaAbrego15</v>
      </c>
      <c r="C5195" s="14" t="s">
        <v>1594</v>
      </c>
      <c r="D5195" s="15" t="s">
        <v>4503</v>
      </c>
      <c r="E5195" s="16" t="str">
        <f>HYPERLINK("https://www.later.com","LaterMedia")</f>
        <v>LaterMedia</v>
      </c>
      <c r="F5195" s="12">
        <v>43487.805902777778</v>
      </c>
      <c r="G5195" s="17" t="s">
        <v>13000</v>
      </c>
      <c r="H5195" s="35" t="s">
        <v>540</v>
      </c>
      <c r="I5195" s="18"/>
    </row>
    <row r="5196" spans="1:9" s="33" customFormat="1" ht="120">
      <c r="A5196" s="12">
        <v>43568.500115740739</v>
      </c>
      <c r="B5196" s="13" t="str">
        <f>HYPERLINK("https://twitter.com/JessicaAbrego15","@JessicaAbrego15")</f>
        <v>@JessicaAbrego15</v>
      </c>
      <c r="C5196" s="14" t="s">
        <v>1594</v>
      </c>
      <c r="D5196" s="15" t="s">
        <v>4726</v>
      </c>
      <c r="E5196" s="16" t="str">
        <f>HYPERLINK("https://www.later.com","LaterMedia")</f>
        <v>LaterMedia</v>
      </c>
      <c r="F5196" s="12">
        <v>43487.805902777778</v>
      </c>
      <c r="G5196" s="17" t="s">
        <v>13000</v>
      </c>
      <c r="H5196" s="35" t="s">
        <v>540</v>
      </c>
      <c r="I5196" s="18"/>
    </row>
    <row r="5197" spans="1:9" s="33" customFormat="1" ht="105">
      <c r="A5197" s="12">
        <v>43567.375185185185</v>
      </c>
      <c r="B5197" s="13" t="str">
        <f>HYPERLINK("https://twitter.com/JessicaAbrego15","@JessicaAbrego15")</f>
        <v>@JessicaAbrego15</v>
      </c>
      <c r="C5197" s="14" t="s">
        <v>1594</v>
      </c>
      <c r="D5197" s="15" t="s">
        <v>5134</v>
      </c>
      <c r="E5197" s="16" t="str">
        <f>HYPERLINK("https://www.later.com","LaterMedia")</f>
        <v>LaterMedia</v>
      </c>
      <c r="F5197" s="12">
        <v>43487.805902777778</v>
      </c>
      <c r="G5197" s="17" t="s">
        <v>13000</v>
      </c>
      <c r="H5197" s="35" t="s">
        <v>540</v>
      </c>
      <c r="I5197" s="18"/>
    </row>
    <row r="5198" spans="1:9" s="33" customFormat="1" ht="60">
      <c r="A5198" s="12">
        <v>43566.522233796291</v>
      </c>
      <c r="B5198" s="13" t="str">
        <f>HYPERLINK("https://twitter.com/withCompassion","@withCompassion")</f>
        <v>@withCompassion</v>
      </c>
      <c r="C5198" s="14" t="s">
        <v>538</v>
      </c>
      <c r="D5198" s="15" t="s">
        <v>5459</v>
      </c>
      <c r="E5198" s="16" t="str">
        <f>HYPERLINK("https://buffer.com","Buffer")</f>
        <v>Buffer</v>
      </c>
      <c r="F5198" s="12">
        <v>40025.674039351856</v>
      </c>
      <c r="G5198" s="17" t="s">
        <v>13000</v>
      </c>
      <c r="H5198" s="35" t="s">
        <v>540</v>
      </c>
      <c r="I5198" s="18" t="s">
        <v>541</v>
      </c>
    </row>
    <row r="5199" spans="1:9" s="33" customFormat="1" ht="120">
      <c r="A5199" s="12">
        <v>43566.500150462962</v>
      </c>
      <c r="B5199" s="13" t="str">
        <f>HYPERLINK("https://twitter.com/JessicaAbrego15","@JessicaAbrego15")</f>
        <v>@JessicaAbrego15</v>
      </c>
      <c r="C5199" s="14" t="s">
        <v>1594</v>
      </c>
      <c r="D5199" s="15" t="s">
        <v>5479</v>
      </c>
      <c r="E5199" s="16" t="str">
        <f>HYPERLINK("https://www.later.com","LaterMedia")</f>
        <v>LaterMedia</v>
      </c>
      <c r="F5199" s="12">
        <v>43487.805902777778</v>
      </c>
      <c r="G5199" s="17" t="s">
        <v>13000</v>
      </c>
      <c r="H5199" s="35" t="s">
        <v>540</v>
      </c>
      <c r="I5199" s="18"/>
    </row>
    <row r="5200" spans="1:9" s="33" customFormat="1" ht="105">
      <c r="A5200" s="19">
        <v>43543.705682870372</v>
      </c>
      <c r="B5200" s="20" t="str">
        <f>HYPERLINK("https://twitter.com/MattMeanders","@MattMeanders")</f>
        <v>@MattMeanders</v>
      </c>
      <c r="C5200" s="21" t="s">
        <v>9695</v>
      </c>
      <c r="D5200" s="22" t="s">
        <v>9696</v>
      </c>
      <c r="E5200" s="23" t="str">
        <f>HYPERLINK("https://about.twitter.com/products/tweetdeck","TweetDeck")</f>
        <v>TweetDeck</v>
      </c>
      <c r="F5200" s="19">
        <v>39776.038506944446</v>
      </c>
      <c r="G5200" s="17" t="s">
        <v>13000</v>
      </c>
      <c r="H5200" s="35" t="s">
        <v>9697</v>
      </c>
      <c r="I5200" s="25" t="s">
        <v>9698</v>
      </c>
    </row>
    <row r="5201" spans="1:9" s="33" customFormat="1" ht="60">
      <c r="A5201" s="19">
        <v>43545.611805555556</v>
      </c>
      <c r="B5201" s="20" t="str">
        <f>HYPERLINK("https://twitter.com/SWtempeaz","@SWtempeaz")</f>
        <v>@SWtempeaz</v>
      </c>
      <c r="C5201" s="21" t="s">
        <v>9073</v>
      </c>
      <c r="D5201" s="22" t="s">
        <v>9074</v>
      </c>
      <c r="E5201" s="23" t="str">
        <f>HYPERLINK("https://about.twitter.com/products/tweetdeck","TweetDeck")</f>
        <v>TweetDeck</v>
      </c>
      <c r="F5201" s="19">
        <v>40056.609247685185</v>
      </c>
      <c r="G5201" s="17" t="s">
        <v>13000</v>
      </c>
      <c r="H5201" s="35" t="s">
        <v>9075</v>
      </c>
      <c r="I5201" s="25" t="s">
        <v>9076</v>
      </c>
    </row>
    <row r="5202" spans="1:9" s="33" customFormat="1" ht="165">
      <c r="A5202" s="19">
        <v>43549.590185185181</v>
      </c>
      <c r="B5202" s="20" t="str">
        <f>HYPERLINK("https://twitter.com/christyspackman","@christyspackman")</f>
        <v>@christyspackman</v>
      </c>
      <c r="C5202" s="21" t="s">
        <v>7977</v>
      </c>
      <c r="D5202" s="22" t="s">
        <v>7978</v>
      </c>
      <c r="E5202" s="23" t="str">
        <f>HYPERLINK("http://twitter.com/download/iphone","Twitter for iPhone")</f>
        <v>Twitter for iPhone</v>
      </c>
      <c r="F5202" s="19">
        <v>39715.196608796294</v>
      </c>
      <c r="G5202" s="17" t="s">
        <v>13000</v>
      </c>
      <c r="H5202" s="35" t="s">
        <v>6068</v>
      </c>
      <c r="I5202" s="25" t="s">
        <v>7979</v>
      </c>
    </row>
    <row r="5203" spans="1:9" s="33" customFormat="1" ht="45">
      <c r="A5203" s="4">
        <v>43565.472222222219</v>
      </c>
      <c r="B5203" s="5" t="str">
        <f>HYPERLINK("https://twitter.com/swbaseline","@swbaseline")</f>
        <v>@swbaseline</v>
      </c>
      <c r="C5203" s="6" t="s">
        <v>6066</v>
      </c>
      <c r="D5203" s="7" t="s">
        <v>6067</v>
      </c>
      <c r="E5203" s="8" t="str">
        <f>HYPERLINK("https://about.twitter.com/products/tweetdeck","TweetDeck")</f>
        <v>TweetDeck</v>
      </c>
      <c r="F5203" s="4">
        <v>41456.618229166663</v>
      </c>
      <c r="G5203" s="17" t="s">
        <v>13000</v>
      </c>
      <c r="H5203" s="35" t="s">
        <v>6068</v>
      </c>
      <c r="I5203" s="10" t="s">
        <v>6069</v>
      </c>
    </row>
    <row r="5204" spans="1:9" s="33" customFormat="1" ht="45">
      <c r="A5204" s="4">
        <v>43562.464594907404</v>
      </c>
      <c r="B5204" s="5" t="str">
        <f>HYPERLINK("https://twitter.com/Bishop_Cook_","@Bishop_Cook_")</f>
        <v>@Bishop_Cook_</v>
      </c>
      <c r="C5204" s="6" t="s">
        <v>10671</v>
      </c>
      <c r="D5204" s="7" t="s">
        <v>10672</v>
      </c>
      <c r="E5204" s="8" t="str">
        <f>HYPERLINK("http://twitter.com/download/android","Twitter for Android")</f>
        <v>Twitter for Android</v>
      </c>
      <c r="F5204" s="4">
        <v>41341.839618055557</v>
      </c>
      <c r="G5204" s="9" t="s">
        <v>13000</v>
      </c>
      <c r="H5204" s="35" t="s">
        <v>10673</v>
      </c>
      <c r="I5204" s="10" t="s">
        <v>10674</v>
      </c>
    </row>
    <row r="5205" spans="1:9" s="33" customFormat="1" ht="75">
      <c r="A5205" s="4">
        <v>43557.564699074079</v>
      </c>
      <c r="B5205" s="5" t="str">
        <f>HYPERLINK("https://twitter.com/basecamptexas","@basecamptexas")</f>
        <v>@basecamptexas</v>
      </c>
      <c r="C5205" s="6" t="s">
        <v>12472</v>
      </c>
      <c r="D5205" s="7" t="s">
        <v>12473</v>
      </c>
      <c r="E5205" s="8" t="str">
        <f>HYPERLINK("http://instagram.com","Instagram")</f>
        <v>Instagram</v>
      </c>
      <c r="F5205" s="4">
        <v>43285.372743055559</v>
      </c>
      <c r="G5205" s="9" t="s">
        <v>13000</v>
      </c>
      <c r="H5205" s="35" t="s">
        <v>12474</v>
      </c>
      <c r="I5205" s="10" t="s">
        <v>12475</v>
      </c>
    </row>
    <row r="5206" spans="1:9" s="33" customFormat="1" ht="75">
      <c r="A5206" s="4">
        <v>43562.061076388884</v>
      </c>
      <c r="B5206" s="5" t="str">
        <f>HYPERLINK("https://twitter.com/ParisRentAparts","@ParisRentAparts")</f>
        <v>@ParisRentAparts</v>
      </c>
      <c r="C5206" s="6" t="s">
        <v>10763</v>
      </c>
      <c r="D5206" s="7" t="s">
        <v>12788</v>
      </c>
      <c r="E5206" s="8" t="str">
        <f>HYPERLINK("http://www.facebook.com/twitter","Facebook")</f>
        <v>Facebook</v>
      </c>
      <c r="F5206" s="4">
        <v>41646.337361111109</v>
      </c>
      <c r="G5206" s="17" t="s">
        <v>13000</v>
      </c>
      <c r="H5206" s="35" t="s">
        <v>12999</v>
      </c>
      <c r="I5206" s="10" t="s">
        <v>10764</v>
      </c>
    </row>
    <row r="5207" spans="1:9" s="33" customFormat="1" ht="45">
      <c r="A5207" s="19">
        <v>43550.470775462964</v>
      </c>
      <c r="B5207" s="20" t="str">
        <f>HYPERLINK("https://twitter.com/KFSullyTweets","@KFSullyTweets")</f>
        <v>@KFSullyTweets</v>
      </c>
      <c r="C5207" s="21" t="s">
        <v>75</v>
      </c>
      <c r="D5207" s="22" t="s">
        <v>7661</v>
      </c>
      <c r="E5207" s="23" t="str">
        <f>HYPERLINK("http://twitter.com","Twitter Web Client")</f>
        <v>Twitter Web Client</v>
      </c>
      <c r="F5207" s="19">
        <v>42068.677650462967</v>
      </c>
      <c r="G5207" s="17" t="s">
        <v>13000</v>
      </c>
      <c r="H5207" s="35" t="s">
        <v>77</v>
      </c>
      <c r="I5207" s="25" t="s">
        <v>78</v>
      </c>
    </row>
    <row r="5208" spans="1:9" s="33" customFormat="1" ht="75">
      <c r="A5208" s="19">
        <v>43550.385648148149</v>
      </c>
      <c r="B5208" s="20" t="str">
        <f>HYPERLINK("https://twitter.com/KFSullyTweets","@KFSullyTweets")</f>
        <v>@KFSullyTweets</v>
      </c>
      <c r="C5208" s="21" t="s">
        <v>75</v>
      </c>
      <c r="D5208" s="22" t="s">
        <v>1240</v>
      </c>
      <c r="E5208" s="23" t="str">
        <f>HYPERLINK("http://postplanner.com","Post Planner Inc.")</f>
        <v>Post Planner Inc.</v>
      </c>
      <c r="F5208" s="19">
        <v>42068.677650462967</v>
      </c>
      <c r="G5208" s="17" t="s">
        <v>13000</v>
      </c>
      <c r="H5208" s="35" t="s">
        <v>77</v>
      </c>
      <c r="I5208" s="25" t="s">
        <v>78</v>
      </c>
    </row>
    <row r="5209" spans="1:9" s="33" customFormat="1" ht="45">
      <c r="A5209" s="19">
        <v>43549.854722222226</v>
      </c>
      <c r="B5209" s="20" t="str">
        <f>HYPERLINK("https://twitter.com/ByGlena","@ByGlena")</f>
        <v>@ByGlena</v>
      </c>
      <c r="C5209" s="21" t="s">
        <v>7890</v>
      </c>
      <c r="D5209" s="22" t="s">
        <v>7891</v>
      </c>
      <c r="E5209" s="23" t="str">
        <f>HYPERLINK("http://twitter.com/download/iphone","Twitter for iPhone")</f>
        <v>Twitter for iPhone</v>
      </c>
      <c r="F5209" s="19">
        <v>43540.437928240739</v>
      </c>
      <c r="G5209" s="17" t="s">
        <v>13000</v>
      </c>
      <c r="H5209" s="35" t="s">
        <v>77</v>
      </c>
      <c r="I5209" s="25" t="s">
        <v>7892</v>
      </c>
    </row>
    <row r="5210" spans="1:9" s="33" customFormat="1" ht="105">
      <c r="A5210" s="19">
        <v>43547.705034722225</v>
      </c>
      <c r="B5210" s="20" t="str">
        <f>HYPERLINK("https://twitter.com/KFSullyTweets","@KFSullyTweets")</f>
        <v>@KFSullyTweets</v>
      </c>
      <c r="C5210" s="21" t="s">
        <v>75</v>
      </c>
      <c r="D5210" s="22" t="s">
        <v>2141</v>
      </c>
      <c r="E5210" s="23" t="str">
        <f>HYPERLINK("http://postplanner.com","Post Planner Inc.")</f>
        <v>Post Planner Inc.</v>
      </c>
      <c r="F5210" s="19">
        <v>42068.677650462967</v>
      </c>
      <c r="G5210" s="17" t="s">
        <v>13000</v>
      </c>
      <c r="H5210" s="35" t="s">
        <v>77</v>
      </c>
      <c r="I5210" s="25" t="s">
        <v>78</v>
      </c>
    </row>
    <row r="5211" spans="1:9" s="33" customFormat="1" ht="105">
      <c r="A5211" s="19">
        <v>43545.323194444441</v>
      </c>
      <c r="B5211" s="20" t="str">
        <f>HYPERLINK("https://twitter.com/KFSullyTweets","@KFSullyTweets")</f>
        <v>@KFSullyTweets</v>
      </c>
      <c r="C5211" s="21" t="s">
        <v>75</v>
      </c>
      <c r="D5211" s="22" t="s">
        <v>76</v>
      </c>
      <c r="E5211" s="23" t="str">
        <f>HYPERLINK("http://postplanner.com","Post Planner Inc.")</f>
        <v>Post Planner Inc.</v>
      </c>
      <c r="F5211" s="19">
        <v>42068.677650462967</v>
      </c>
      <c r="G5211" s="17" t="s">
        <v>13000</v>
      </c>
      <c r="H5211" s="35" t="s">
        <v>77</v>
      </c>
      <c r="I5211" s="25" t="s">
        <v>78</v>
      </c>
    </row>
    <row r="5212" spans="1:9" s="33" customFormat="1" ht="75">
      <c r="A5212" s="19">
        <v>43543.458703703705</v>
      </c>
      <c r="B5212" s="20" t="str">
        <f>HYPERLINK("https://twitter.com/KFSullyTweets","@KFSullyTweets")</f>
        <v>@KFSullyTweets</v>
      </c>
      <c r="C5212" s="21" t="s">
        <v>75</v>
      </c>
      <c r="D5212" s="22" t="s">
        <v>1240</v>
      </c>
      <c r="E5212" s="23" t="str">
        <f>HYPERLINK("http://postplanner.com","Post Planner Inc.")</f>
        <v>Post Planner Inc.</v>
      </c>
      <c r="F5212" s="19">
        <v>42068.677650462967</v>
      </c>
      <c r="G5212" s="17" t="s">
        <v>13000</v>
      </c>
      <c r="H5212" s="35" t="s">
        <v>77</v>
      </c>
      <c r="I5212" s="25" t="s">
        <v>78</v>
      </c>
    </row>
    <row r="5213" spans="1:9" s="33" customFormat="1" ht="75">
      <c r="A5213" s="4">
        <v>43565.103900462964</v>
      </c>
      <c r="B5213" s="5" t="str">
        <f>HYPERLINK("https://twitter.com/YvetteCOfficial","@YvetteCOfficial")</f>
        <v>@YvetteCOfficial</v>
      </c>
      <c r="C5213" s="6" t="s">
        <v>6281</v>
      </c>
      <c r="D5213" s="7" t="s">
        <v>6282</v>
      </c>
      <c r="E5213" s="8" t="str">
        <f>HYPERLINK("http://twitter.com/download/iphone","Twitter for iPhone")</f>
        <v>Twitter for iPhone</v>
      </c>
      <c r="F5213" s="4">
        <v>40208.963078703702</v>
      </c>
      <c r="G5213" s="17" t="s">
        <v>13000</v>
      </c>
      <c r="H5213" s="35" t="s">
        <v>77</v>
      </c>
      <c r="I5213" s="10" t="s">
        <v>6283</v>
      </c>
    </row>
    <row r="5214" spans="1:9" s="33" customFormat="1" ht="75">
      <c r="A5214" s="4">
        <v>43564.558391203704</v>
      </c>
      <c r="B5214" s="5" t="str">
        <f>HYPERLINK("https://twitter.com/GigWage","@GigWage")</f>
        <v>@GigWage</v>
      </c>
      <c r="C5214" s="6" t="s">
        <v>6554</v>
      </c>
      <c r="D5214" s="7" t="s">
        <v>6555</v>
      </c>
      <c r="E5214" s="8" t="str">
        <f>HYPERLINK("http://twitter.com","Twitter Web Client")</f>
        <v>Twitter Web Client</v>
      </c>
      <c r="F5214" s="4">
        <v>42862.357233796298</v>
      </c>
      <c r="G5214" s="17" t="s">
        <v>13000</v>
      </c>
      <c r="H5214" s="35" t="s">
        <v>77</v>
      </c>
      <c r="I5214" s="10" t="s">
        <v>6556</v>
      </c>
    </row>
    <row r="5215" spans="1:9" s="33" customFormat="1" ht="75">
      <c r="A5215" s="4">
        <v>43564.385694444441</v>
      </c>
      <c r="B5215" s="5" t="str">
        <f>HYPERLINK("https://twitter.com/KFSullyTweets","@KFSullyTweets")</f>
        <v>@KFSullyTweets</v>
      </c>
      <c r="C5215" s="6" t="s">
        <v>75</v>
      </c>
      <c r="D5215" s="7" t="s">
        <v>1240</v>
      </c>
      <c r="E5215" s="8" t="str">
        <f>HYPERLINK("http://postplanner.com","Post Planner Inc.")</f>
        <v>Post Planner Inc.</v>
      </c>
      <c r="F5215" s="4">
        <v>42068.677650462967</v>
      </c>
      <c r="G5215" s="17" t="s">
        <v>13000</v>
      </c>
      <c r="H5215" s="35" t="s">
        <v>77</v>
      </c>
      <c r="I5215" s="10" t="s">
        <v>78</v>
      </c>
    </row>
    <row r="5216" spans="1:9" s="33" customFormat="1" ht="90">
      <c r="A5216" s="4">
        <v>43563.289884259255</v>
      </c>
      <c r="B5216" s="5" t="str">
        <f>HYPERLINK("https://twitter.com/FrozenBoxLive","@FrozenBoxLive")</f>
        <v>@FrozenBoxLive</v>
      </c>
      <c r="C5216" s="6" t="s">
        <v>10399</v>
      </c>
      <c r="D5216" s="7" t="s">
        <v>10400</v>
      </c>
      <c r="E5216" s="8" t="str">
        <f>HYPERLINK("http://twitter.com","Twitter Web Client")</f>
        <v>Twitter Web Client</v>
      </c>
      <c r="F5216" s="4">
        <v>43151.477893518517</v>
      </c>
      <c r="G5216" s="17" t="s">
        <v>13000</v>
      </c>
      <c r="H5216" s="35" t="s">
        <v>77</v>
      </c>
      <c r="I5216" s="10" t="s">
        <v>10401</v>
      </c>
    </row>
    <row r="5217" spans="1:9" s="33" customFormat="1" ht="105">
      <c r="A5217" s="4">
        <v>43561.704942129625</v>
      </c>
      <c r="B5217" s="5" t="str">
        <f>HYPERLINK("https://twitter.com/KFSullyTweets","@KFSullyTweets")</f>
        <v>@KFSullyTweets</v>
      </c>
      <c r="C5217" s="6" t="s">
        <v>75</v>
      </c>
      <c r="D5217" s="7" t="s">
        <v>2141</v>
      </c>
      <c r="E5217" s="8" t="str">
        <f>HYPERLINK("http://postplanner.com","Post Planner Inc.")</f>
        <v>Post Planner Inc.</v>
      </c>
      <c r="F5217" s="4">
        <v>42068.677650462967</v>
      </c>
      <c r="G5217" s="17" t="s">
        <v>13000</v>
      </c>
      <c r="H5217" s="35" t="s">
        <v>77</v>
      </c>
      <c r="I5217" s="10" t="s">
        <v>78</v>
      </c>
    </row>
    <row r="5218" spans="1:9" s="33" customFormat="1" ht="60">
      <c r="A5218" s="4">
        <v>43561.545173611114</v>
      </c>
      <c r="B5218" s="5" t="str">
        <f>HYPERLINK("https://twitter.com/SheilaCallaham","@SheilaCallaham")</f>
        <v>@SheilaCallaham</v>
      </c>
      <c r="C5218" s="6" t="s">
        <v>10933</v>
      </c>
      <c r="D5218" s="7" t="s">
        <v>10934</v>
      </c>
      <c r="E5218" s="8" t="str">
        <f>HYPERLINK("https://www.hootsuite.com","Hootsuite Inc.")</f>
        <v>Hootsuite Inc.</v>
      </c>
      <c r="F5218" s="4">
        <v>40437.60832175926</v>
      </c>
      <c r="G5218" s="17" t="s">
        <v>13000</v>
      </c>
      <c r="H5218" s="35" t="s">
        <v>77</v>
      </c>
      <c r="I5218" s="10" t="s">
        <v>10935</v>
      </c>
    </row>
    <row r="5219" spans="1:9" s="33" customFormat="1" ht="60">
      <c r="A5219" s="4">
        <v>43560.100717592592</v>
      </c>
      <c r="B5219" s="5" t="str">
        <f>HYPERLINK("https://twitter.com/SheilaCallaham","@SheilaCallaham")</f>
        <v>@SheilaCallaham</v>
      </c>
      <c r="C5219" s="6" t="s">
        <v>10933</v>
      </c>
      <c r="D5219" s="7" t="s">
        <v>10934</v>
      </c>
      <c r="E5219" s="8" t="str">
        <f>HYPERLINK("https://www.hootsuite.com","Hootsuite Inc.")</f>
        <v>Hootsuite Inc.</v>
      </c>
      <c r="F5219" s="4">
        <v>40437.60832175926</v>
      </c>
      <c r="G5219" s="17" t="s">
        <v>13000</v>
      </c>
      <c r="H5219" s="35" t="s">
        <v>77</v>
      </c>
      <c r="I5219" s="10" t="s">
        <v>10935</v>
      </c>
    </row>
    <row r="5220" spans="1:9" s="33" customFormat="1" ht="60">
      <c r="A5220" s="4">
        <v>43559.336851851855</v>
      </c>
      <c r="B5220" s="5" t="str">
        <f>HYPERLINK("https://twitter.com/SheilaCallaham","@SheilaCallaham")</f>
        <v>@SheilaCallaham</v>
      </c>
      <c r="C5220" s="6" t="s">
        <v>10933</v>
      </c>
      <c r="D5220" s="7" t="s">
        <v>10934</v>
      </c>
      <c r="E5220" s="8" t="str">
        <f>HYPERLINK("https://www.hootsuite.com","Hootsuite Inc.")</f>
        <v>Hootsuite Inc.</v>
      </c>
      <c r="F5220" s="4">
        <v>40437.60832175926</v>
      </c>
      <c r="G5220" s="17" t="s">
        <v>13000</v>
      </c>
      <c r="H5220" s="35" t="s">
        <v>77</v>
      </c>
      <c r="I5220" s="10" t="s">
        <v>10935</v>
      </c>
    </row>
    <row r="5221" spans="1:9" s="33" customFormat="1" ht="105">
      <c r="A5221" s="4">
        <v>43559.32309027778</v>
      </c>
      <c r="B5221" s="5" t="str">
        <f>HYPERLINK("https://twitter.com/KFSullyTweets","@KFSullyTweets")</f>
        <v>@KFSullyTweets</v>
      </c>
      <c r="C5221" s="6" t="s">
        <v>75</v>
      </c>
      <c r="D5221" s="7" t="s">
        <v>76</v>
      </c>
      <c r="E5221" s="8" t="str">
        <f>HYPERLINK("http://postplanner.com","Post Planner Inc.")</f>
        <v>Post Planner Inc.</v>
      </c>
      <c r="F5221" s="4">
        <v>42068.677650462967</v>
      </c>
      <c r="G5221" s="17" t="s">
        <v>13000</v>
      </c>
      <c r="H5221" s="35" t="s">
        <v>77</v>
      </c>
      <c r="I5221" s="10" t="s">
        <v>78</v>
      </c>
    </row>
    <row r="5222" spans="1:9" s="33" customFormat="1" ht="45">
      <c r="A5222" s="4">
        <v>43558.672812500001</v>
      </c>
      <c r="B5222" s="5" t="str">
        <f>HYPERLINK("https://twitter.com/punkrocklib","@punkrocklib")</f>
        <v>@punkrocklib</v>
      </c>
      <c r="C5222" s="6" t="s">
        <v>12075</v>
      </c>
      <c r="D5222" s="7" t="s">
        <v>12076</v>
      </c>
      <c r="E5222" s="8" t="str">
        <f>HYPERLINK("http://twitter.com","Twitter Web Client")</f>
        <v>Twitter Web Client</v>
      </c>
      <c r="F5222" s="4">
        <v>42840.464965277773</v>
      </c>
      <c r="G5222" s="17" t="s">
        <v>13000</v>
      </c>
      <c r="H5222" s="35" t="s">
        <v>77</v>
      </c>
      <c r="I5222" s="10" t="s">
        <v>12077</v>
      </c>
    </row>
    <row r="5223" spans="1:9" s="33" customFormat="1" ht="75">
      <c r="A5223" s="4">
        <v>43557.458587962959</v>
      </c>
      <c r="B5223" s="5" t="str">
        <f>HYPERLINK("https://twitter.com/KFSullyTweets","@KFSullyTweets")</f>
        <v>@KFSullyTweets</v>
      </c>
      <c r="C5223" s="6" t="s">
        <v>75</v>
      </c>
      <c r="D5223" s="7" t="s">
        <v>1240</v>
      </c>
      <c r="E5223" s="8" t="str">
        <f>HYPERLINK("http://postplanner.com","Post Planner Inc.")</f>
        <v>Post Planner Inc.</v>
      </c>
      <c r="F5223" s="4">
        <v>42068.677650462967</v>
      </c>
      <c r="G5223" s="17" t="s">
        <v>13000</v>
      </c>
      <c r="H5223" s="35" t="s">
        <v>77</v>
      </c>
      <c r="I5223" s="10" t="s">
        <v>78</v>
      </c>
    </row>
    <row r="5224" spans="1:9" s="33" customFormat="1" ht="105">
      <c r="A5224" s="12">
        <v>43580.7815625</v>
      </c>
      <c r="B5224" s="13" t="str">
        <f>HYPERLINK("https://twitter.com/KFSullyTweets","@KFSullyTweets")</f>
        <v>@KFSullyTweets</v>
      </c>
      <c r="C5224" s="14" t="s">
        <v>75</v>
      </c>
      <c r="D5224" s="15" t="s">
        <v>76</v>
      </c>
      <c r="E5224" s="16" t="str">
        <f>HYPERLINK("http://postplanner.com","Post Planner Inc.")</f>
        <v>Post Planner Inc.</v>
      </c>
      <c r="F5224" s="12">
        <v>42069.177650462967</v>
      </c>
      <c r="G5224" s="17" t="s">
        <v>13000</v>
      </c>
      <c r="H5224" s="35" t="s">
        <v>77</v>
      </c>
      <c r="I5224" s="18" t="s">
        <v>78</v>
      </c>
    </row>
    <row r="5225" spans="1:9" s="33" customFormat="1" ht="45">
      <c r="A5225" s="12">
        <v>43579.325555555552</v>
      </c>
      <c r="B5225" s="13" t="str">
        <f>HYPERLINK("https://twitter.com/Finoit","@Finoit")</f>
        <v>@Finoit</v>
      </c>
      <c r="C5225" s="14" t="s">
        <v>764</v>
      </c>
      <c r="D5225" s="15" t="s">
        <v>765</v>
      </c>
      <c r="E5225" s="16" t="str">
        <f>HYPERLINK("http://twitter.com","Twitter Web Client")</f>
        <v>Twitter Web Client</v>
      </c>
      <c r="F5225" s="12">
        <v>40331.054467592592</v>
      </c>
      <c r="G5225" s="17" t="s">
        <v>13000</v>
      </c>
      <c r="H5225" s="35" t="s">
        <v>77</v>
      </c>
      <c r="I5225" s="18" t="s">
        <v>766</v>
      </c>
    </row>
    <row r="5226" spans="1:9" s="33" customFormat="1" ht="75">
      <c r="A5226" s="12">
        <v>43578.385497685187</v>
      </c>
      <c r="B5226" s="13" t="str">
        <f>HYPERLINK("https://twitter.com/KFSullyTweets","@KFSullyTweets")</f>
        <v>@KFSullyTweets</v>
      </c>
      <c r="C5226" s="14" t="s">
        <v>75</v>
      </c>
      <c r="D5226" s="15" t="s">
        <v>1240</v>
      </c>
      <c r="E5226" s="16" t="str">
        <f>HYPERLINK("http://postplanner.com","Post Planner Inc.")</f>
        <v>Post Planner Inc.</v>
      </c>
      <c r="F5226" s="12">
        <v>42068.677650462967</v>
      </c>
      <c r="G5226" s="17" t="s">
        <v>13000</v>
      </c>
      <c r="H5226" s="35" t="s">
        <v>77</v>
      </c>
      <c r="I5226" s="18" t="s">
        <v>78</v>
      </c>
    </row>
    <row r="5227" spans="1:9" s="33" customFormat="1" ht="105">
      <c r="A5227" s="12">
        <v>43575.705208333333</v>
      </c>
      <c r="B5227" s="13" t="str">
        <f>HYPERLINK("https://twitter.com/KFSullyTweets","@KFSullyTweets")</f>
        <v>@KFSullyTweets</v>
      </c>
      <c r="C5227" s="14" t="s">
        <v>75</v>
      </c>
      <c r="D5227" s="15" t="s">
        <v>2141</v>
      </c>
      <c r="E5227" s="16" t="str">
        <f>HYPERLINK("http://postplanner.com","Post Planner Inc.")</f>
        <v>Post Planner Inc.</v>
      </c>
      <c r="F5227" s="12">
        <v>42068.677650462967</v>
      </c>
      <c r="G5227" s="17" t="s">
        <v>13000</v>
      </c>
      <c r="H5227" s="35" t="s">
        <v>77</v>
      </c>
      <c r="I5227" s="18" t="s">
        <v>78</v>
      </c>
    </row>
    <row r="5228" spans="1:9" s="33" customFormat="1" ht="105">
      <c r="A5228" s="12">
        <v>43573.323124999995</v>
      </c>
      <c r="B5228" s="13" t="str">
        <f>HYPERLINK("https://twitter.com/KFSullyTweets","@KFSullyTweets")</f>
        <v>@KFSullyTweets</v>
      </c>
      <c r="C5228" s="14" t="s">
        <v>75</v>
      </c>
      <c r="D5228" s="15" t="s">
        <v>76</v>
      </c>
      <c r="E5228" s="16" t="str">
        <f>HYPERLINK("http://postplanner.com","Post Planner Inc.")</f>
        <v>Post Planner Inc.</v>
      </c>
      <c r="F5228" s="12">
        <v>42068.677650462967</v>
      </c>
      <c r="G5228" s="17" t="s">
        <v>13000</v>
      </c>
      <c r="H5228" s="35" t="s">
        <v>77</v>
      </c>
      <c r="I5228" s="18" t="s">
        <v>78</v>
      </c>
    </row>
    <row r="5229" spans="1:9" s="33" customFormat="1" ht="60">
      <c r="A5229" s="12">
        <v>43572.84375</v>
      </c>
      <c r="B5229" s="13" t="str">
        <f>HYPERLINK("https://twitter.com/k10wilson","@k10wilson")</f>
        <v>@k10wilson</v>
      </c>
      <c r="C5229" s="14" t="s">
        <v>3076</v>
      </c>
      <c r="D5229" s="15" t="s">
        <v>405</v>
      </c>
      <c r="E5229" s="16" t="str">
        <f>HYPERLINK("https://buffer.com","Buffer")</f>
        <v>Buffer</v>
      </c>
      <c r="F5229" s="12">
        <v>40568.382835648146</v>
      </c>
      <c r="G5229" s="17" t="s">
        <v>13000</v>
      </c>
      <c r="H5229" s="35" t="s">
        <v>77</v>
      </c>
      <c r="I5229" s="18" t="s">
        <v>3077</v>
      </c>
    </row>
    <row r="5230" spans="1:9" s="33" customFormat="1" ht="75">
      <c r="A5230" s="12">
        <v>43572.375092592592</v>
      </c>
      <c r="B5230" s="13" t="str">
        <f>HYPERLINK("https://twitter.com/EMarshallVlog","@EMarshallVlog")</f>
        <v>@EMarshallVlog</v>
      </c>
      <c r="C5230" s="14" t="s">
        <v>3287</v>
      </c>
      <c r="D5230" s="15" t="s">
        <v>3288</v>
      </c>
      <c r="E5230" s="16" t="str">
        <f>HYPERLINK("https://buffer.com","Buffer")</f>
        <v>Buffer</v>
      </c>
      <c r="F5230" s="12">
        <v>43480.139641203699</v>
      </c>
      <c r="G5230" s="17" t="s">
        <v>13000</v>
      </c>
      <c r="H5230" s="35" t="s">
        <v>77</v>
      </c>
      <c r="I5230" s="18" t="s">
        <v>3289</v>
      </c>
    </row>
    <row r="5231" spans="1:9" s="33" customFormat="1" ht="75">
      <c r="A5231" s="12">
        <v>43571.458726851852</v>
      </c>
      <c r="B5231" s="13" t="str">
        <f>HYPERLINK("https://twitter.com/KFSullyTweets","@KFSullyTweets")</f>
        <v>@KFSullyTweets</v>
      </c>
      <c r="C5231" s="14" t="s">
        <v>75</v>
      </c>
      <c r="D5231" s="15" t="s">
        <v>1240</v>
      </c>
      <c r="E5231" s="16" t="str">
        <f>HYPERLINK("http://postplanner.com","Post Planner Inc.")</f>
        <v>Post Planner Inc.</v>
      </c>
      <c r="F5231" s="12">
        <v>42068.677650462967</v>
      </c>
      <c r="G5231" s="17" t="s">
        <v>13000</v>
      </c>
      <c r="H5231" s="35" t="s">
        <v>77</v>
      </c>
      <c r="I5231" s="18" t="s">
        <v>78</v>
      </c>
    </row>
    <row r="5232" spans="1:9" s="33" customFormat="1" ht="45">
      <c r="A5232" s="12">
        <v>43568.766041666662</v>
      </c>
      <c r="B5232" s="13" t="str">
        <f>HYPERLINK("https://twitter.com/Deana7ds","@Deana7ds")</f>
        <v>@Deana7ds</v>
      </c>
      <c r="C5232" s="14" t="s">
        <v>4662</v>
      </c>
      <c r="D5232" s="15" t="s">
        <v>4663</v>
      </c>
      <c r="E5232" s="16" t="str">
        <f>HYPERLINK("http://twitter.com/download/android","Twitter for Android")</f>
        <v>Twitter for Android</v>
      </c>
      <c r="F5232" s="12">
        <v>41821.284212962964</v>
      </c>
      <c r="G5232" s="17" t="s">
        <v>13000</v>
      </c>
      <c r="H5232" s="35" t="s">
        <v>77</v>
      </c>
      <c r="I5232" s="18" t="s">
        <v>4664</v>
      </c>
    </row>
    <row r="5233" spans="1:9" s="33" customFormat="1" ht="105">
      <c r="A5233" s="12">
        <v>43568.705208333333</v>
      </c>
      <c r="B5233" s="13" t="str">
        <f>HYPERLINK("https://twitter.com/KFSullyTweets","@KFSullyTweets")</f>
        <v>@KFSullyTweets</v>
      </c>
      <c r="C5233" s="14" t="s">
        <v>75</v>
      </c>
      <c r="D5233" s="15" t="s">
        <v>2141</v>
      </c>
      <c r="E5233" s="16" t="str">
        <f>HYPERLINK("http://postplanner.com","Post Planner Inc.")</f>
        <v>Post Planner Inc.</v>
      </c>
      <c r="F5233" s="12">
        <v>42068.677650462967</v>
      </c>
      <c r="G5233" s="17" t="s">
        <v>13000</v>
      </c>
      <c r="H5233" s="35" t="s">
        <v>77</v>
      </c>
      <c r="I5233" s="18" t="s">
        <v>78</v>
      </c>
    </row>
    <row r="5234" spans="1:9" s="33" customFormat="1" ht="60">
      <c r="A5234" s="12">
        <v>43566.828877314816</v>
      </c>
      <c r="B5234" s="13" t="str">
        <f>HYPERLINK("https://twitter.com/JWB28","@JWB28")</f>
        <v>@JWB28</v>
      </c>
      <c r="C5234" s="14" t="s">
        <v>5335</v>
      </c>
      <c r="D5234" s="15" t="s">
        <v>5336</v>
      </c>
      <c r="E5234" s="16" t="str">
        <f>HYPERLINK("http://twitter.com/download/android","Twitter for Android")</f>
        <v>Twitter for Android</v>
      </c>
      <c r="F5234" s="12">
        <v>40443.134502314817</v>
      </c>
      <c r="G5234" s="17" t="s">
        <v>13000</v>
      </c>
      <c r="H5234" s="35" t="s">
        <v>77</v>
      </c>
      <c r="I5234" s="18" t="s">
        <v>5337</v>
      </c>
    </row>
    <row r="5235" spans="1:9" s="33" customFormat="1" ht="105">
      <c r="A5235" s="12">
        <v>43566.323287037041</v>
      </c>
      <c r="B5235" s="13" t="str">
        <f>HYPERLINK("https://twitter.com/KFSullyTweets","@KFSullyTweets")</f>
        <v>@KFSullyTweets</v>
      </c>
      <c r="C5235" s="14" t="s">
        <v>75</v>
      </c>
      <c r="D5235" s="15" t="s">
        <v>76</v>
      </c>
      <c r="E5235" s="16" t="str">
        <f>HYPERLINK("http://postplanner.com","Post Planner Inc.")</f>
        <v>Post Planner Inc.</v>
      </c>
      <c r="F5235" s="12">
        <v>42068.677650462967</v>
      </c>
      <c r="G5235" s="17" t="s">
        <v>13000</v>
      </c>
      <c r="H5235" s="35" t="s">
        <v>77</v>
      </c>
      <c r="I5235" s="18" t="s">
        <v>78</v>
      </c>
    </row>
    <row r="5236" spans="1:9" s="33" customFormat="1" ht="90">
      <c r="A5236" s="4">
        <v>43560.325092592597</v>
      </c>
      <c r="B5236" s="5" t="str">
        <f>HYPERLINK("https://twitter.com/VoodooVan","@VoodooVan")</f>
        <v>@VoodooVan</v>
      </c>
      <c r="C5236" s="6" t="s">
        <v>11443</v>
      </c>
      <c r="D5236" s="7" t="s">
        <v>11444</v>
      </c>
      <c r="E5236" s="8" t="str">
        <f>HYPERLINK("http://instagram.com","Instagram")</f>
        <v>Instagram</v>
      </c>
      <c r="F5236" s="4">
        <v>40855.759606481479</v>
      </c>
      <c r="G5236" s="9" t="s">
        <v>13000</v>
      </c>
      <c r="H5236" s="35" t="s">
        <v>11445</v>
      </c>
      <c r="I5236" s="10"/>
    </row>
    <row r="5237" spans="1:9" s="33" customFormat="1" ht="45">
      <c r="A5237" s="12">
        <v>43579.773414351846</v>
      </c>
      <c r="B5237" s="13" t="str">
        <f>HYPERLINK("https://twitter.com/dougumberger","@dougumberger")</f>
        <v>@dougumberger</v>
      </c>
      <c r="C5237" s="14" t="s">
        <v>455</v>
      </c>
      <c r="D5237" s="15" t="s">
        <v>456</v>
      </c>
      <c r="E5237" s="16" t="str">
        <f>HYPERLINK("http://twitter.com/download/iphone","Twitter for iPhone")</f>
        <v>Twitter for iPhone</v>
      </c>
      <c r="F5237" s="12">
        <v>40727.544247685189</v>
      </c>
      <c r="G5237" s="17" t="s">
        <v>13000</v>
      </c>
      <c r="H5237" s="35" t="s">
        <v>457</v>
      </c>
      <c r="I5237" s="18" t="s">
        <v>458</v>
      </c>
    </row>
    <row r="5238" spans="1:9" s="33" customFormat="1" ht="45">
      <c r="A5238" s="4">
        <v>43562.670451388884</v>
      </c>
      <c r="B5238" s="5" t="str">
        <f>HYPERLINK("https://twitter.com/TMBCollier","@TMBCollier")</f>
        <v>@TMBCollier</v>
      </c>
      <c r="C5238" s="6" t="s">
        <v>10619</v>
      </c>
      <c r="D5238" s="7" t="s">
        <v>10620</v>
      </c>
      <c r="E5238" s="8" t="str">
        <f>HYPERLINK("http://www.facebook.com/twitter","Facebook")</f>
        <v>Facebook</v>
      </c>
      <c r="F5238" s="4">
        <v>39858.174745370372</v>
      </c>
      <c r="G5238" s="9" t="s">
        <v>13000</v>
      </c>
      <c r="H5238" s="35" t="s">
        <v>10621</v>
      </c>
      <c r="I5238" s="10" t="s">
        <v>10622</v>
      </c>
    </row>
    <row r="5239" spans="1:9" s="33" customFormat="1" ht="75">
      <c r="A5239" s="4">
        <v>43560.89099537037</v>
      </c>
      <c r="B5239" s="5" t="str">
        <f>HYPERLINK("https://twitter.com/AbaloneBayVR","@AbaloneBayVR")</f>
        <v>@AbaloneBayVR</v>
      </c>
      <c r="C5239" s="6" t="s">
        <v>11129</v>
      </c>
      <c r="D5239" s="7" t="s">
        <v>11130</v>
      </c>
      <c r="E5239" s="8" t="str">
        <f t="shared" ref="E5239:E5244" si="197">HYPERLINK("http://twitter.com","Twitter Web Client")</f>
        <v>Twitter Web Client</v>
      </c>
      <c r="F5239" s="4">
        <v>39920.689155092594</v>
      </c>
      <c r="G5239" s="9" t="s">
        <v>13000</v>
      </c>
      <c r="H5239" s="35" t="s">
        <v>11131</v>
      </c>
      <c r="I5239" s="10" t="s">
        <v>11132</v>
      </c>
    </row>
    <row r="5240" spans="1:9" s="33" customFormat="1" ht="45">
      <c r="A5240" s="19">
        <v>43548.305497685185</v>
      </c>
      <c r="B5240" s="20" t="str">
        <f t="shared" ref="B5240:B5251" si="198">HYPERLINK("https://twitter.com/mtnbvan","@mtnbvan")</f>
        <v>@mtnbvan</v>
      </c>
      <c r="C5240" s="21" t="s">
        <v>1317</v>
      </c>
      <c r="D5240" s="22" t="s">
        <v>8353</v>
      </c>
      <c r="E5240" s="23" t="str">
        <f t="shared" si="197"/>
        <v>Twitter Web Client</v>
      </c>
      <c r="F5240" s="19">
        <v>41390.553807870368</v>
      </c>
      <c r="G5240" s="17" t="s">
        <v>13000</v>
      </c>
      <c r="H5240" s="35" t="s">
        <v>1319</v>
      </c>
      <c r="I5240" s="25" t="s">
        <v>1320</v>
      </c>
    </row>
    <row r="5241" spans="1:9" s="33" customFormat="1" ht="120">
      <c r="A5241" s="19">
        <v>43545.481608796297</v>
      </c>
      <c r="B5241" s="20" t="str">
        <f t="shared" si="198"/>
        <v>@mtnbvan</v>
      </c>
      <c r="C5241" s="21" t="s">
        <v>1317</v>
      </c>
      <c r="D5241" s="22" t="s">
        <v>9120</v>
      </c>
      <c r="E5241" s="23" t="str">
        <f t="shared" si="197"/>
        <v>Twitter Web Client</v>
      </c>
      <c r="F5241" s="19">
        <v>41390.553807870368</v>
      </c>
      <c r="G5241" s="17" t="s">
        <v>13000</v>
      </c>
      <c r="H5241" s="35" t="s">
        <v>1319</v>
      </c>
      <c r="I5241" s="25" t="s">
        <v>1320</v>
      </c>
    </row>
    <row r="5242" spans="1:9" s="33" customFormat="1" ht="105">
      <c r="A5242" s="19">
        <v>43544.758761574078</v>
      </c>
      <c r="B5242" s="20" t="str">
        <f t="shared" si="198"/>
        <v>@mtnbvan</v>
      </c>
      <c r="C5242" s="21" t="s">
        <v>1317</v>
      </c>
      <c r="D5242" s="22" t="s">
        <v>9350</v>
      </c>
      <c r="E5242" s="23" t="str">
        <f t="shared" si="197"/>
        <v>Twitter Web Client</v>
      </c>
      <c r="F5242" s="19">
        <v>41390.553807870368</v>
      </c>
      <c r="G5242" s="17" t="s">
        <v>13000</v>
      </c>
      <c r="H5242" s="35" t="s">
        <v>1319</v>
      </c>
      <c r="I5242" s="25" t="s">
        <v>1320</v>
      </c>
    </row>
    <row r="5243" spans="1:9" s="33" customFormat="1" ht="90">
      <c r="A5243" s="4">
        <v>43558.420578703706</v>
      </c>
      <c r="B5243" s="5" t="str">
        <f t="shared" si="198"/>
        <v>@mtnbvan</v>
      </c>
      <c r="C5243" s="6" t="s">
        <v>1317</v>
      </c>
      <c r="D5243" s="7" t="s">
        <v>12201</v>
      </c>
      <c r="E5243" s="8" t="str">
        <f t="shared" si="197"/>
        <v>Twitter Web Client</v>
      </c>
      <c r="F5243" s="4">
        <v>41390.553807870368</v>
      </c>
      <c r="G5243" s="17" t="s">
        <v>13000</v>
      </c>
      <c r="H5243" s="35" t="s">
        <v>1319</v>
      </c>
      <c r="I5243" s="10" t="s">
        <v>1320</v>
      </c>
    </row>
    <row r="5244" spans="1:9" s="33" customFormat="1" ht="90">
      <c r="A5244" s="4">
        <v>43558.34746527778</v>
      </c>
      <c r="B5244" s="5" t="str">
        <f t="shared" si="198"/>
        <v>@mtnbvan</v>
      </c>
      <c r="C5244" s="6" t="s">
        <v>1317</v>
      </c>
      <c r="D5244" s="7" t="s">
        <v>12225</v>
      </c>
      <c r="E5244" s="8" t="str">
        <f t="shared" si="197"/>
        <v>Twitter Web Client</v>
      </c>
      <c r="F5244" s="4">
        <v>41390.553807870368</v>
      </c>
      <c r="G5244" s="17" t="s">
        <v>13000</v>
      </c>
      <c r="H5244" s="35" t="s">
        <v>1319</v>
      </c>
      <c r="I5244" s="10" t="s">
        <v>1320</v>
      </c>
    </row>
    <row r="5245" spans="1:9" s="33" customFormat="1" ht="135">
      <c r="A5245" s="4">
        <v>43557.878171296295</v>
      </c>
      <c r="B5245" s="5" t="str">
        <f t="shared" si="198"/>
        <v>@mtnbvan</v>
      </c>
      <c r="C5245" s="6" t="s">
        <v>1317</v>
      </c>
      <c r="D5245" s="7" t="s">
        <v>12371</v>
      </c>
      <c r="E5245" s="8" t="str">
        <f>HYPERLINK("http://twitter.com/download/iphone","Twitter for iPhone")</f>
        <v>Twitter for iPhone</v>
      </c>
      <c r="F5245" s="4">
        <v>41390.553807870368</v>
      </c>
      <c r="G5245" s="17" t="s">
        <v>13000</v>
      </c>
      <c r="H5245" s="35" t="s">
        <v>1319</v>
      </c>
      <c r="I5245" s="10" t="s">
        <v>1320</v>
      </c>
    </row>
    <row r="5246" spans="1:9" s="33" customFormat="1" ht="150">
      <c r="A5246" s="4">
        <v>43557.742650462962</v>
      </c>
      <c r="B5246" s="5" t="str">
        <f t="shared" si="198"/>
        <v>@mtnbvan</v>
      </c>
      <c r="C5246" s="6" t="s">
        <v>1317</v>
      </c>
      <c r="D5246" s="7" t="s">
        <v>12397</v>
      </c>
      <c r="E5246" s="8" t="str">
        <f>HYPERLINK("http://twitter.com/download/iphone","Twitter for iPhone")</f>
        <v>Twitter for iPhone</v>
      </c>
      <c r="F5246" s="4">
        <v>41390.553807870368</v>
      </c>
      <c r="G5246" s="17" t="s">
        <v>13000</v>
      </c>
      <c r="H5246" s="35" t="s">
        <v>1319</v>
      </c>
      <c r="I5246" s="10" t="s">
        <v>1320</v>
      </c>
    </row>
    <row r="5247" spans="1:9" s="33" customFormat="1" ht="105">
      <c r="A5247" s="12">
        <v>43578.285497685181</v>
      </c>
      <c r="B5247" s="13" t="str">
        <f t="shared" si="198"/>
        <v>@mtnbvan</v>
      </c>
      <c r="C5247" s="14" t="s">
        <v>1317</v>
      </c>
      <c r="D5247" s="15" t="s">
        <v>1318</v>
      </c>
      <c r="E5247" s="16" t="str">
        <f>HYPERLINK("http://twitter.com","Twitter Web Client")</f>
        <v>Twitter Web Client</v>
      </c>
      <c r="F5247" s="12">
        <v>41390.553807870368</v>
      </c>
      <c r="G5247" s="17" t="s">
        <v>13000</v>
      </c>
      <c r="H5247" s="35" t="s">
        <v>1319</v>
      </c>
      <c r="I5247" s="18" t="s">
        <v>1320</v>
      </c>
    </row>
    <row r="5248" spans="1:9" s="33" customFormat="1" ht="105">
      <c r="A5248" s="12">
        <v>43577.884999999995</v>
      </c>
      <c r="B5248" s="13" t="str">
        <f t="shared" si="198"/>
        <v>@mtnbvan</v>
      </c>
      <c r="C5248" s="14" t="s">
        <v>1317</v>
      </c>
      <c r="D5248" s="15" t="s">
        <v>1475</v>
      </c>
      <c r="E5248" s="16" t="str">
        <f>HYPERLINK("http://twitter.com/download/iphone","Twitter for iPhone")</f>
        <v>Twitter for iPhone</v>
      </c>
      <c r="F5248" s="12">
        <v>41390.553807870368</v>
      </c>
      <c r="G5248" s="17" t="s">
        <v>13000</v>
      </c>
      <c r="H5248" s="35" t="s">
        <v>1319</v>
      </c>
      <c r="I5248" s="18" t="s">
        <v>1320</v>
      </c>
    </row>
    <row r="5249" spans="1:9" s="33" customFormat="1" ht="60">
      <c r="A5249" s="12">
        <v>43577.750046296293</v>
      </c>
      <c r="B5249" s="13" t="str">
        <f t="shared" si="198"/>
        <v>@mtnbvan</v>
      </c>
      <c r="C5249" s="14" t="s">
        <v>1317</v>
      </c>
      <c r="D5249" s="15" t="s">
        <v>1513</v>
      </c>
      <c r="E5249" s="16" t="str">
        <f>HYPERLINK("http://twitter.com/download/iphone","Twitter for iPhone")</f>
        <v>Twitter for iPhone</v>
      </c>
      <c r="F5249" s="12">
        <v>41390.553807870368</v>
      </c>
      <c r="G5249" s="17" t="s">
        <v>13000</v>
      </c>
      <c r="H5249" s="35" t="s">
        <v>1319</v>
      </c>
      <c r="I5249" s="18" t="s">
        <v>1320</v>
      </c>
    </row>
    <row r="5250" spans="1:9" s="33" customFormat="1" ht="90">
      <c r="A5250" s="12">
        <v>43577.29241898148</v>
      </c>
      <c r="B5250" s="13" t="str">
        <f t="shared" si="198"/>
        <v>@mtnbvan</v>
      </c>
      <c r="C5250" s="14" t="s">
        <v>1317</v>
      </c>
      <c r="D5250" s="15" t="s">
        <v>1681</v>
      </c>
      <c r="E5250" s="16" t="str">
        <f>HYPERLINK("http://twitter.com","Twitter Web Client")</f>
        <v>Twitter Web Client</v>
      </c>
      <c r="F5250" s="12">
        <v>41390.553807870368</v>
      </c>
      <c r="G5250" s="17" t="s">
        <v>13000</v>
      </c>
      <c r="H5250" s="35" t="s">
        <v>1319</v>
      </c>
      <c r="I5250" s="18" t="s">
        <v>1320</v>
      </c>
    </row>
    <row r="5251" spans="1:9" s="33" customFormat="1" ht="60">
      <c r="A5251" s="12">
        <v>43572.347361111111</v>
      </c>
      <c r="B5251" s="13" t="str">
        <f t="shared" si="198"/>
        <v>@mtnbvan</v>
      </c>
      <c r="C5251" s="14" t="s">
        <v>1317</v>
      </c>
      <c r="D5251" s="15" t="s">
        <v>3309</v>
      </c>
      <c r="E5251" s="16" t="str">
        <f>HYPERLINK("http://twitter.com","Twitter Web Client")</f>
        <v>Twitter Web Client</v>
      </c>
      <c r="F5251" s="12">
        <v>41390.553807870368</v>
      </c>
      <c r="G5251" s="17" t="s">
        <v>13000</v>
      </c>
      <c r="H5251" s="35" t="s">
        <v>1319</v>
      </c>
      <c r="I5251" s="18" t="s">
        <v>1320</v>
      </c>
    </row>
    <row r="5252" spans="1:9" s="33" customFormat="1" ht="60">
      <c r="A5252" s="19">
        <v>43549.838275462964</v>
      </c>
      <c r="B5252" s="20" t="str">
        <f t="shared" ref="B5252:B5257" si="199">HYPERLINK("https://twitter.com/nicholson_chad","@nicholson_chad")</f>
        <v>@nicholson_chad</v>
      </c>
      <c r="C5252" s="21" t="s">
        <v>7900</v>
      </c>
      <c r="D5252" s="22" t="s">
        <v>7901</v>
      </c>
      <c r="E5252" s="23" t="str">
        <f>HYPERLINK("http://www.facebook.com/twitter","Facebook")</f>
        <v>Facebook</v>
      </c>
      <c r="F5252" s="19">
        <v>40990.992314814815</v>
      </c>
      <c r="G5252" s="9" t="s">
        <v>13000</v>
      </c>
      <c r="H5252" s="35" t="s">
        <v>7902</v>
      </c>
      <c r="I5252" s="25" t="s">
        <v>7903</v>
      </c>
    </row>
    <row r="5253" spans="1:9" s="33" customFormat="1" ht="60">
      <c r="A5253" s="19">
        <v>43549.837280092594</v>
      </c>
      <c r="B5253" s="20" t="str">
        <f t="shared" si="199"/>
        <v>@nicholson_chad</v>
      </c>
      <c r="C5253" s="21" t="s">
        <v>7900</v>
      </c>
      <c r="D5253" s="22" t="s">
        <v>7904</v>
      </c>
      <c r="E5253" s="23" t="str">
        <f>HYPERLINK("http://instagram.com","Instagram")</f>
        <v>Instagram</v>
      </c>
      <c r="F5253" s="19">
        <v>40990.992314814815</v>
      </c>
      <c r="G5253" s="9" t="s">
        <v>13000</v>
      </c>
      <c r="H5253" s="35" t="s">
        <v>7902</v>
      </c>
      <c r="I5253" s="25" t="s">
        <v>7903</v>
      </c>
    </row>
    <row r="5254" spans="1:9" s="33" customFormat="1" ht="60">
      <c r="A5254" s="19">
        <v>43549.800324074073</v>
      </c>
      <c r="B5254" s="20" t="str">
        <f t="shared" si="199"/>
        <v>@nicholson_chad</v>
      </c>
      <c r="C5254" s="21" t="s">
        <v>7900</v>
      </c>
      <c r="D5254" s="22" t="s">
        <v>7924</v>
      </c>
      <c r="E5254" s="23" t="str">
        <f>HYPERLINK("http://instagram.com","Instagram")</f>
        <v>Instagram</v>
      </c>
      <c r="F5254" s="19">
        <v>40990.992314814815</v>
      </c>
      <c r="G5254" s="9" t="s">
        <v>13000</v>
      </c>
      <c r="H5254" s="35" t="s">
        <v>7902</v>
      </c>
      <c r="I5254" s="25" t="s">
        <v>7903</v>
      </c>
    </row>
    <row r="5255" spans="1:9" s="33" customFormat="1" ht="60">
      <c r="A5255" s="19">
        <v>43547.852789351848</v>
      </c>
      <c r="B5255" s="20" t="str">
        <f t="shared" si="199"/>
        <v>@nicholson_chad</v>
      </c>
      <c r="C5255" s="21" t="s">
        <v>7900</v>
      </c>
      <c r="D5255" s="22" t="s">
        <v>8466</v>
      </c>
      <c r="E5255" s="23" t="str">
        <f>HYPERLINK("http://www.facebook.com/twitter","Facebook")</f>
        <v>Facebook</v>
      </c>
      <c r="F5255" s="19">
        <v>40990.992314814815</v>
      </c>
      <c r="G5255" s="9" t="s">
        <v>13000</v>
      </c>
      <c r="H5255" s="35" t="s">
        <v>7902</v>
      </c>
      <c r="I5255" s="25" t="s">
        <v>7903</v>
      </c>
    </row>
    <row r="5256" spans="1:9" s="33" customFormat="1" ht="90">
      <c r="A5256" s="4">
        <v>43556.723310185189</v>
      </c>
      <c r="B5256" s="5" t="str">
        <f t="shared" si="199"/>
        <v>@nicholson_chad</v>
      </c>
      <c r="C5256" s="6" t="s">
        <v>7900</v>
      </c>
      <c r="D5256" s="7" t="s">
        <v>12759</v>
      </c>
      <c r="E5256" s="8" t="str">
        <f>HYPERLINK("http://www.facebook.com/twitter","Facebook")</f>
        <v>Facebook</v>
      </c>
      <c r="F5256" s="4">
        <v>40990.992314814815</v>
      </c>
      <c r="G5256" s="9" t="s">
        <v>13000</v>
      </c>
      <c r="H5256" s="35" t="s">
        <v>7902</v>
      </c>
      <c r="I5256" s="10" t="s">
        <v>7903</v>
      </c>
    </row>
    <row r="5257" spans="1:9" s="33" customFormat="1" ht="75">
      <c r="A5257" s="4">
        <v>43556.722604166665</v>
      </c>
      <c r="B5257" s="5" t="str">
        <f t="shared" si="199"/>
        <v>@nicholson_chad</v>
      </c>
      <c r="C5257" s="6" t="s">
        <v>7900</v>
      </c>
      <c r="D5257" s="7" t="s">
        <v>12760</v>
      </c>
      <c r="E5257" s="8" t="str">
        <f>HYPERLINK("http://instagram.com","Instagram")</f>
        <v>Instagram</v>
      </c>
      <c r="F5257" s="4">
        <v>40990.992314814815</v>
      </c>
      <c r="G5257" s="9" t="s">
        <v>13000</v>
      </c>
      <c r="H5257" s="35" t="s">
        <v>7902</v>
      </c>
      <c r="I5257" s="10" t="s">
        <v>7903</v>
      </c>
    </row>
    <row r="5258" spans="1:9" s="33" customFormat="1" ht="75">
      <c r="A5258" s="12">
        <v>43577.595532407402</v>
      </c>
      <c r="B5258" s="13" t="str">
        <f>HYPERLINK("https://twitter.com/robbiebrinkley1","@robbiebrinkley1")</f>
        <v>@robbiebrinkley1</v>
      </c>
      <c r="C5258" s="14" t="s">
        <v>1552</v>
      </c>
      <c r="D5258" s="15" t="s">
        <v>1553</v>
      </c>
      <c r="E5258" s="16" t="str">
        <f>HYPERLINK("http://instagram.com","Instagram")</f>
        <v>Instagram</v>
      </c>
      <c r="F5258" s="12">
        <v>41540.335393518515</v>
      </c>
      <c r="G5258" s="17" t="s">
        <v>13000</v>
      </c>
      <c r="H5258" s="35" t="s">
        <v>1554</v>
      </c>
      <c r="I5258" s="18" t="s">
        <v>1555</v>
      </c>
    </row>
    <row r="5259" spans="1:9" s="33" customFormat="1" ht="45">
      <c r="A5259" s="12">
        <v>43570.454687500001</v>
      </c>
      <c r="B5259" s="13" t="str">
        <f>HYPERLINK("https://twitter.com/robbiebrinkley1","@robbiebrinkley1")</f>
        <v>@robbiebrinkley1</v>
      </c>
      <c r="C5259" s="14" t="s">
        <v>1552</v>
      </c>
      <c r="D5259" s="15" t="s">
        <v>4141</v>
      </c>
      <c r="E5259" s="16" t="str">
        <f>HYPERLINK("http://instagram.com","Instagram")</f>
        <v>Instagram</v>
      </c>
      <c r="F5259" s="12">
        <v>41540.335393518515</v>
      </c>
      <c r="G5259" s="17" t="s">
        <v>13000</v>
      </c>
      <c r="H5259" s="35" t="s">
        <v>1554</v>
      </c>
      <c r="I5259" s="18" t="s">
        <v>1555</v>
      </c>
    </row>
    <row r="5260" spans="1:9" s="33" customFormat="1" ht="45">
      <c r="A5260" s="19">
        <v>43545.429085648153</v>
      </c>
      <c r="B5260" s="20" t="str">
        <f>HYPERLINK("https://twitter.com/psk2329","@psk2329")</f>
        <v>@psk2329</v>
      </c>
      <c r="C5260" s="21" t="s">
        <v>9137</v>
      </c>
      <c r="D5260" s="22" t="s">
        <v>9138</v>
      </c>
      <c r="E5260" s="23" t="str">
        <f>HYPERLINK("http://twitter.com","Twitter Web Client")</f>
        <v>Twitter Web Client</v>
      </c>
      <c r="F5260" s="19">
        <v>40017.329699074078</v>
      </c>
      <c r="G5260" s="24" t="s">
        <v>13000</v>
      </c>
      <c r="H5260" s="35" t="s">
        <v>9139</v>
      </c>
      <c r="I5260" s="25" t="s">
        <v>9140</v>
      </c>
    </row>
    <row r="5261" spans="1:9" s="33" customFormat="1" ht="60">
      <c r="A5261" s="19">
        <v>43549.395138888889</v>
      </c>
      <c r="B5261" s="20" t="str">
        <f>HYPERLINK("https://twitter.com/SWNorthpointe","@SWNorthpointe")</f>
        <v>@SWNorthpointe</v>
      </c>
      <c r="C5261" s="21" t="s">
        <v>2849</v>
      </c>
      <c r="D5261" s="22" t="s">
        <v>8064</v>
      </c>
      <c r="E5261" s="23" t="str">
        <f>HYPERLINK("https://about.twitter.com/products/tweetdeck","TweetDeck")</f>
        <v>TweetDeck</v>
      </c>
      <c r="F5261" s="19">
        <v>42740.412465277783</v>
      </c>
      <c r="G5261" s="24" t="s">
        <v>13000</v>
      </c>
      <c r="H5261" s="35" t="s">
        <v>8065</v>
      </c>
      <c r="I5261" s="25" t="s">
        <v>8066</v>
      </c>
    </row>
    <row r="5262" spans="1:9" s="33" customFormat="1" ht="60">
      <c r="A5262" s="19">
        <v>43548.39444444445</v>
      </c>
      <c r="B5262" s="20" t="str">
        <f>HYPERLINK("https://twitter.com/SWNorthpointe","@SWNorthpointe")</f>
        <v>@SWNorthpointe</v>
      </c>
      <c r="C5262" s="21" t="s">
        <v>2849</v>
      </c>
      <c r="D5262" s="22" t="s">
        <v>8333</v>
      </c>
      <c r="E5262" s="23" t="str">
        <f>HYPERLINK("https://about.twitter.com/products/tweetdeck","TweetDeck")</f>
        <v>TweetDeck</v>
      </c>
      <c r="F5262" s="19">
        <v>42740.412465277783</v>
      </c>
      <c r="G5262" s="24" t="s">
        <v>13000</v>
      </c>
      <c r="H5262" s="35" t="s">
        <v>8065</v>
      </c>
      <c r="I5262" s="25" t="s">
        <v>8066</v>
      </c>
    </row>
    <row r="5263" spans="1:9" s="33" customFormat="1" ht="75">
      <c r="A5263" s="19">
        <v>43551.429791666669</v>
      </c>
      <c r="B5263" s="20" t="str">
        <f>HYPERLINK("https://twitter.com/LuisPonceTO","@LuisPonceTO")</f>
        <v>@LuisPonceTO</v>
      </c>
      <c r="C5263" s="21" t="s">
        <v>7200</v>
      </c>
      <c r="D5263" s="22" t="s">
        <v>7201</v>
      </c>
      <c r="E5263" s="23" t="str">
        <f>HYPERLINK("http://twitter.com/download/iphone","Twitter for iPhone")</f>
        <v>Twitter for iPhone</v>
      </c>
      <c r="F5263" s="19">
        <v>41760.759699074071</v>
      </c>
      <c r="G5263" s="17" t="s">
        <v>13000</v>
      </c>
      <c r="H5263" s="35" t="s">
        <v>603</v>
      </c>
      <c r="I5263" s="25" t="s">
        <v>7202</v>
      </c>
    </row>
    <row r="5264" spans="1:9" s="33" customFormat="1" ht="165">
      <c r="A5264" s="19">
        <v>43545.354537037041</v>
      </c>
      <c r="B5264" s="20" t="str">
        <f>HYPERLINK("https://twitter.com/dkrussell61","@dkrussell61")</f>
        <v>@dkrussell61</v>
      </c>
      <c r="C5264" s="21" t="s">
        <v>9174</v>
      </c>
      <c r="D5264" s="22" t="s">
        <v>9175</v>
      </c>
      <c r="E5264" s="23" t="str">
        <f>HYPERLINK("http://twitter.com/download/android","Twitter for Android")</f>
        <v>Twitter for Android</v>
      </c>
      <c r="F5264" s="19">
        <v>41268.511736111112</v>
      </c>
      <c r="G5264" s="17" t="s">
        <v>13000</v>
      </c>
      <c r="H5264" s="35" t="s">
        <v>603</v>
      </c>
      <c r="I5264" s="25" t="s">
        <v>9176</v>
      </c>
    </row>
    <row r="5265" spans="1:9" s="33" customFormat="1" ht="60">
      <c r="A5265" s="19">
        <v>43543.397615740745</v>
      </c>
      <c r="B5265" s="20" t="str">
        <f>HYPERLINK("https://twitter.com/Shanfaraa","@Shanfaraa")</f>
        <v>@Shanfaraa</v>
      </c>
      <c r="C5265" s="21" t="s">
        <v>5721</v>
      </c>
      <c r="D5265" s="22" t="s">
        <v>9829</v>
      </c>
      <c r="E5265" s="23" t="str">
        <f>HYPERLINK("http://twitter.com","Twitter Web Client")</f>
        <v>Twitter Web Client</v>
      </c>
      <c r="F5265" s="19">
        <v>40581.804456018523</v>
      </c>
      <c r="G5265" s="17" t="s">
        <v>13000</v>
      </c>
      <c r="H5265" s="35" t="s">
        <v>603</v>
      </c>
      <c r="I5265" s="25" t="s">
        <v>5723</v>
      </c>
    </row>
    <row r="5266" spans="1:9" s="33" customFormat="1" ht="45">
      <c r="A5266" s="19">
        <v>43543.257916666669</v>
      </c>
      <c r="B5266" s="20" t="str">
        <f>HYPERLINK("https://twitter.com/Shanfaraa","@Shanfaraa")</f>
        <v>@Shanfaraa</v>
      </c>
      <c r="C5266" s="21" t="s">
        <v>5721</v>
      </c>
      <c r="D5266" s="22" t="s">
        <v>9881</v>
      </c>
      <c r="E5266" s="23" t="str">
        <f>HYPERLINK("http://twitter.com/download/iphone","Twitter for iPhone")</f>
        <v>Twitter for iPhone</v>
      </c>
      <c r="F5266" s="19">
        <v>40581.804456018523</v>
      </c>
      <c r="G5266" s="17" t="s">
        <v>13000</v>
      </c>
      <c r="H5266" s="35" t="s">
        <v>603</v>
      </c>
      <c r="I5266" s="25" t="s">
        <v>5723</v>
      </c>
    </row>
    <row r="5267" spans="1:9" s="33" customFormat="1" ht="210">
      <c r="A5267" s="4">
        <v>43565.383206018523</v>
      </c>
      <c r="B5267" s="5" t="str">
        <f>HYPERLINK("https://twitter.com/twieditz","@twieditz")</f>
        <v>@twieditz</v>
      </c>
      <c r="C5267" s="6" t="s">
        <v>6126</v>
      </c>
      <c r="D5267" s="7" t="s">
        <v>6127</v>
      </c>
      <c r="E5267" s="8" t="str">
        <f>HYPERLINK("http://twitter.com/download/iphone","Twitter for iPhone")</f>
        <v>Twitter for iPhone</v>
      </c>
      <c r="F5267" s="4">
        <v>40568.380729166667</v>
      </c>
      <c r="G5267" s="17" t="s">
        <v>13000</v>
      </c>
      <c r="H5267" s="35" t="s">
        <v>603</v>
      </c>
      <c r="I5267" s="10" t="s">
        <v>10179</v>
      </c>
    </row>
    <row r="5268" spans="1:9" s="33" customFormat="1" ht="90">
      <c r="A5268" s="4">
        <v>43564.567754629628</v>
      </c>
      <c r="B5268" s="5" t="str">
        <f>HYPERLINK("https://twitter.com/twieditz","@twieditz")</f>
        <v>@twieditz</v>
      </c>
      <c r="C5268" s="6" t="s">
        <v>6126</v>
      </c>
      <c r="D5268" s="7" t="s">
        <v>6545</v>
      </c>
      <c r="E5268" s="8" t="str">
        <f>HYPERLINK("http://twitter.com/download/iphone","Twitter for iPhone")</f>
        <v>Twitter for iPhone</v>
      </c>
      <c r="F5268" s="4">
        <v>40568.380729166667</v>
      </c>
      <c r="G5268" s="17" t="s">
        <v>13000</v>
      </c>
      <c r="H5268" s="35" t="s">
        <v>603</v>
      </c>
      <c r="I5268" s="10" t="s">
        <v>10179</v>
      </c>
    </row>
    <row r="5269" spans="1:9" s="33" customFormat="1" ht="30">
      <c r="A5269" s="4">
        <v>43562.761979166666</v>
      </c>
      <c r="B5269" s="5" t="str">
        <f>HYPERLINK("https://twitter.com/seanbeckingham","@seanbeckingham")</f>
        <v>@seanbeckingham</v>
      </c>
      <c r="C5269" s="6" t="s">
        <v>10593</v>
      </c>
      <c r="D5269" s="7" t="s">
        <v>10594</v>
      </c>
      <c r="E5269" s="8" t="str">
        <f>HYPERLINK("http://twitter.com/download/iphone","Twitter for iPhone")</f>
        <v>Twitter for iPhone</v>
      </c>
      <c r="F5269" s="4">
        <v>39782.227233796293</v>
      </c>
      <c r="G5269" s="17" t="s">
        <v>13000</v>
      </c>
      <c r="H5269" s="35" t="s">
        <v>603</v>
      </c>
      <c r="I5269" s="10" t="s">
        <v>10595</v>
      </c>
    </row>
    <row r="5270" spans="1:9" s="33" customFormat="1" ht="60">
      <c r="A5270" s="4">
        <v>43560.260289351849</v>
      </c>
      <c r="B5270" s="5" t="str">
        <f>HYPERLINK("https://twitter.com/Matrraka","@Matrraka")</f>
        <v>@Matrraka</v>
      </c>
      <c r="C5270" s="6" t="s">
        <v>11526</v>
      </c>
      <c r="D5270" s="7" t="s">
        <v>11527</v>
      </c>
      <c r="E5270" s="8" t="str">
        <f>HYPERLINK("http://twitter.com/download/iphone","Twitter for iPhone")</f>
        <v>Twitter for iPhone</v>
      </c>
      <c r="F5270" s="4">
        <v>40490.42260416667</v>
      </c>
      <c r="G5270" s="17" t="s">
        <v>13000</v>
      </c>
      <c r="H5270" s="35" t="s">
        <v>603</v>
      </c>
      <c r="I5270" s="10" t="s">
        <v>11528</v>
      </c>
    </row>
    <row r="5271" spans="1:9" s="33" customFormat="1" ht="75">
      <c r="A5271" s="4">
        <v>43558.430601851855</v>
      </c>
      <c r="B5271" s="5" t="str">
        <f>HYPERLINK("https://twitter.com/PeterOudejans","@PeterOudejans")</f>
        <v>@PeterOudejans</v>
      </c>
      <c r="C5271" s="6" t="s">
        <v>12194</v>
      </c>
      <c r="D5271" s="7" t="s">
        <v>12195</v>
      </c>
      <c r="E5271" s="8" t="str">
        <f>HYPERLINK("http://twitter.com/download/android","Twitter for Android")</f>
        <v>Twitter for Android</v>
      </c>
      <c r="F5271" s="4">
        <v>40583.792662037034</v>
      </c>
      <c r="G5271" s="17" t="s">
        <v>13000</v>
      </c>
      <c r="H5271" s="35" t="s">
        <v>603</v>
      </c>
      <c r="I5271" s="10" t="s">
        <v>12196</v>
      </c>
    </row>
    <row r="5272" spans="1:9" s="33" customFormat="1" ht="105">
      <c r="A5272" s="12">
        <v>43579.523043981477</v>
      </c>
      <c r="B5272" s="13" t="str">
        <f>HYPERLINK("https://twitter.com/Vodarek","@Vodarek")</f>
        <v>@Vodarek</v>
      </c>
      <c r="C5272" s="14" t="s">
        <v>601</v>
      </c>
      <c r="D5272" s="15" t="s">
        <v>602</v>
      </c>
      <c r="E5272" s="16" t="str">
        <f>HYPERLINK("http://twitter.com/download/iphone","Twitter for iPhone")</f>
        <v>Twitter for iPhone</v>
      </c>
      <c r="F5272" s="12">
        <v>39959.400775462964</v>
      </c>
      <c r="G5272" s="17" t="s">
        <v>13000</v>
      </c>
      <c r="H5272" s="35" t="s">
        <v>603</v>
      </c>
      <c r="I5272" s="18" t="s">
        <v>604</v>
      </c>
    </row>
    <row r="5273" spans="1:9" s="33" customFormat="1" ht="75">
      <c r="A5273" s="12">
        <v>43578.677743055552</v>
      </c>
      <c r="B5273" s="13" t="str">
        <f>HYPERLINK("https://twitter.com/Travel_boomer","@Travel_boomer")</f>
        <v>@Travel_boomer</v>
      </c>
      <c r="C5273" s="14" t="s">
        <v>1109</v>
      </c>
      <c r="D5273" s="15" t="s">
        <v>1110</v>
      </c>
      <c r="E5273" s="16" t="str">
        <f>HYPERLINK("https://about.twitter.com/products/tweetdeck","TweetDeck")</f>
        <v>TweetDeck</v>
      </c>
      <c r="F5273" s="12">
        <v>41058.603217592594</v>
      </c>
      <c r="G5273" s="17" t="s">
        <v>13000</v>
      </c>
      <c r="H5273" s="35" t="s">
        <v>603</v>
      </c>
      <c r="I5273" s="18" t="s">
        <v>1111</v>
      </c>
    </row>
    <row r="5274" spans="1:9" s="33" customFormat="1" ht="105">
      <c r="A5274" s="12">
        <v>43578.529074074075</v>
      </c>
      <c r="B5274" s="13" t="str">
        <f>HYPERLINK("https://twitter.com/Vodarek","@Vodarek")</f>
        <v>@Vodarek</v>
      </c>
      <c r="C5274" s="14" t="s">
        <v>601</v>
      </c>
      <c r="D5274" s="15" t="s">
        <v>1159</v>
      </c>
      <c r="E5274" s="16" t="str">
        <f>HYPERLINK("http://twitter.com/download/iphone","Twitter for iPhone")</f>
        <v>Twitter for iPhone</v>
      </c>
      <c r="F5274" s="12">
        <v>39959.400775462964</v>
      </c>
      <c r="G5274" s="17" t="s">
        <v>13000</v>
      </c>
      <c r="H5274" s="35" t="s">
        <v>603</v>
      </c>
      <c r="I5274" s="18" t="s">
        <v>604</v>
      </c>
    </row>
    <row r="5275" spans="1:9" s="33" customFormat="1" ht="60">
      <c r="A5275" s="12">
        <v>43569.330636574072</v>
      </c>
      <c r="B5275" s="13" t="str">
        <f>HYPERLINK("https://twitter.com/TOproh","@TOproh")</f>
        <v>@TOproh</v>
      </c>
      <c r="C5275" s="14" t="s">
        <v>4549</v>
      </c>
      <c r="D5275" s="15" t="s">
        <v>4550</v>
      </c>
      <c r="E5275" s="16" t="str">
        <f>HYPERLINK("http://twitter.com/download/iphone","Twitter for iPhone")</f>
        <v>Twitter for iPhone</v>
      </c>
      <c r="F5275" s="12">
        <v>41688.791377314818</v>
      </c>
      <c r="G5275" s="17" t="s">
        <v>13000</v>
      </c>
      <c r="H5275" s="35" t="s">
        <v>603</v>
      </c>
      <c r="I5275" s="18" t="s">
        <v>4551</v>
      </c>
    </row>
    <row r="5276" spans="1:9" s="33" customFormat="1" ht="45">
      <c r="A5276" s="12">
        <v>43566.513587962967</v>
      </c>
      <c r="B5276" s="13" t="str">
        <f>HYPERLINK("https://twitter.com/JohnOCAP","@JohnOCAP")</f>
        <v>@JohnOCAP</v>
      </c>
      <c r="C5276" s="14" t="s">
        <v>5468</v>
      </c>
      <c r="D5276" s="15" t="s">
        <v>5469</v>
      </c>
      <c r="E5276" s="16" t="str">
        <f>HYPERLINK("http://twitter.com","Twitter Web Client")</f>
        <v>Twitter Web Client</v>
      </c>
      <c r="F5276" s="12">
        <v>41258.48846064815</v>
      </c>
      <c r="G5276" s="17" t="s">
        <v>13000</v>
      </c>
      <c r="H5276" s="35" t="s">
        <v>603</v>
      </c>
      <c r="I5276" s="18" t="s">
        <v>5470</v>
      </c>
    </row>
    <row r="5277" spans="1:9" s="33" customFormat="1" ht="105">
      <c r="A5277" s="12">
        <v>43566.333923611106</v>
      </c>
      <c r="B5277" s="13" t="str">
        <f>HYPERLINK("https://twitter.com/JamieGosse","@JamieGosse")</f>
        <v>@JamieGosse</v>
      </c>
      <c r="C5277" s="14" t="s">
        <v>5652</v>
      </c>
      <c r="D5277" s="15" t="s">
        <v>5653</v>
      </c>
      <c r="E5277" s="16" t="str">
        <f>HYPERLINK("http://twitter.com","Twitter Web Client")</f>
        <v>Twitter Web Client</v>
      </c>
      <c r="F5277" s="12">
        <v>41163.803796296299</v>
      </c>
      <c r="G5277" s="17" t="s">
        <v>13000</v>
      </c>
      <c r="H5277" s="35" t="s">
        <v>603</v>
      </c>
      <c r="I5277" s="18" t="s">
        <v>5654</v>
      </c>
    </row>
    <row r="5278" spans="1:9" s="33" customFormat="1" ht="60">
      <c r="A5278" s="12">
        <v>43566.218692129631</v>
      </c>
      <c r="B5278" s="13" t="str">
        <f>HYPERLINK("https://twitter.com/Shanfaraa","@Shanfaraa")</f>
        <v>@Shanfaraa</v>
      </c>
      <c r="C5278" s="14" t="s">
        <v>5721</v>
      </c>
      <c r="D5278" s="15" t="s">
        <v>5722</v>
      </c>
      <c r="E5278" s="16" t="str">
        <f>HYPERLINK("http://twitter.com/download/iphone","Twitter for iPhone")</f>
        <v>Twitter for iPhone</v>
      </c>
      <c r="F5278" s="12">
        <v>40581.804456018523</v>
      </c>
      <c r="G5278" s="17" t="s">
        <v>13000</v>
      </c>
      <c r="H5278" s="35" t="s">
        <v>603</v>
      </c>
      <c r="I5278" s="18" t="s">
        <v>5723</v>
      </c>
    </row>
    <row r="5279" spans="1:9" s="33" customFormat="1" ht="210">
      <c r="A5279" s="12">
        <v>43565.383206018523</v>
      </c>
      <c r="B5279" s="13" t="str">
        <f>HYPERLINK("https://twitter.com/twieditz","@twieditz")</f>
        <v>@twieditz</v>
      </c>
      <c r="C5279" s="14" t="s">
        <v>6126</v>
      </c>
      <c r="D5279" s="15" t="s">
        <v>6127</v>
      </c>
      <c r="E5279" s="16" t="str">
        <f>HYPERLINK("http://twitter.com/download/iphone","Twitter for iPhone")</f>
        <v>Twitter for iPhone</v>
      </c>
      <c r="F5279" s="12">
        <v>40568.380729166667</v>
      </c>
      <c r="G5279" s="17" t="s">
        <v>13000</v>
      </c>
      <c r="H5279" s="35" t="s">
        <v>603</v>
      </c>
      <c r="I5279" s="18" t="s">
        <v>6128</v>
      </c>
    </row>
    <row r="5280" spans="1:9" s="33" customFormat="1" ht="90">
      <c r="A5280" s="12">
        <v>43564.567754629628</v>
      </c>
      <c r="B5280" s="13" t="str">
        <f>HYPERLINK("https://twitter.com/twieditz","@twieditz")</f>
        <v>@twieditz</v>
      </c>
      <c r="C5280" s="14" t="s">
        <v>6126</v>
      </c>
      <c r="D5280" s="15" t="s">
        <v>6545</v>
      </c>
      <c r="E5280" s="16" t="str">
        <f>HYPERLINK("http://twitter.com/download/iphone","Twitter for iPhone")</f>
        <v>Twitter for iPhone</v>
      </c>
      <c r="F5280" s="12">
        <v>40568.380729166667</v>
      </c>
      <c r="G5280" s="17" t="s">
        <v>13000</v>
      </c>
      <c r="H5280" s="35" t="s">
        <v>603</v>
      </c>
      <c r="I5280" s="18" t="s">
        <v>6128</v>
      </c>
    </row>
    <row r="5281" spans="1:9" s="33" customFormat="1" ht="75">
      <c r="A5281" s="4">
        <v>43560.748796296291</v>
      </c>
      <c r="B5281" s="5" t="str">
        <f>HYPERLINK("https://twitter.com/Mr3ztime","@Mr3ztime")</f>
        <v>@Mr3ztime</v>
      </c>
      <c r="C5281" s="6" t="s">
        <v>11187</v>
      </c>
      <c r="D5281" s="7" t="s">
        <v>11188</v>
      </c>
      <c r="E5281" s="8" t="str">
        <f>HYPERLINK("http://twitter.com","Twitter Web Client")</f>
        <v>Twitter Web Client</v>
      </c>
      <c r="F5281" s="4">
        <v>40244.366701388892</v>
      </c>
      <c r="G5281" s="17" t="s">
        <v>13000</v>
      </c>
      <c r="H5281" s="35" t="s">
        <v>11189</v>
      </c>
      <c r="I5281" s="10"/>
    </row>
    <row r="5282" spans="1:9" s="33" customFormat="1" ht="75">
      <c r="A5282" s="12">
        <v>43576.590763888889</v>
      </c>
      <c r="B5282" s="13" t="str">
        <f>HYPERLINK("https://twitter.com/tomryanauthor","@tomryanauthor")</f>
        <v>@tomryanauthor</v>
      </c>
      <c r="C5282" s="14" t="s">
        <v>1899</v>
      </c>
      <c r="D5282" s="15" t="s">
        <v>1900</v>
      </c>
      <c r="E5282" s="16" t="str">
        <f>HYPERLINK("http://instagram.com","Instagram")</f>
        <v>Instagram</v>
      </c>
      <c r="F5282" s="12">
        <v>40637.860219907408</v>
      </c>
      <c r="G5282" s="17" t="s">
        <v>13000</v>
      </c>
      <c r="H5282" s="35" t="s">
        <v>1901</v>
      </c>
      <c r="I5282" s="18" t="s">
        <v>1902</v>
      </c>
    </row>
    <row r="5283" spans="1:9" s="33" customFormat="1" ht="45">
      <c r="A5283" s="12">
        <v>43564.613356481481</v>
      </c>
      <c r="B5283" s="13" t="str">
        <f>HYPERLINK("https://twitter.com/hinakalam","@hinakalam")</f>
        <v>@hinakalam</v>
      </c>
      <c r="C5283" s="14" t="s">
        <v>6504</v>
      </c>
      <c r="D5283" s="15" t="s">
        <v>6505</v>
      </c>
      <c r="E5283" s="16" t="str">
        <f>HYPERLINK("http://twitter.com/download/iphone","Twitter for iPhone")</f>
        <v>Twitter for iPhone</v>
      </c>
      <c r="F5283" s="12">
        <v>39710.291493055556</v>
      </c>
      <c r="G5283" s="17" t="s">
        <v>13000</v>
      </c>
      <c r="H5283" s="35" t="s">
        <v>6506</v>
      </c>
      <c r="I5283" s="18" t="s">
        <v>6507</v>
      </c>
    </row>
    <row r="5284" spans="1:9" s="33" customFormat="1" ht="45">
      <c r="A5284" s="4">
        <v>43565.675578703704</v>
      </c>
      <c r="B5284" s="5" t="str">
        <f>HYPERLINK("https://twitter.com/urbaneer","@urbaneer")</f>
        <v>@urbaneer</v>
      </c>
      <c r="C5284" s="6" t="s">
        <v>5955</v>
      </c>
      <c r="D5284" s="7" t="s">
        <v>5956</v>
      </c>
      <c r="E5284" s="8" t="str">
        <f>HYPERLINK("http://www.twitter.com","Twitter for BlackBerry")</f>
        <v>Twitter for BlackBerry</v>
      </c>
      <c r="F5284" s="4">
        <v>40651.345289351855</v>
      </c>
      <c r="G5284" s="17" t="s">
        <v>13000</v>
      </c>
      <c r="H5284" s="35" t="s">
        <v>5957</v>
      </c>
      <c r="I5284" s="10" t="s">
        <v>5958</v>
      </c>
    </row>
    <row r="5285" spans="1:9" s="33" customFormat="1" ht="45">
      <c r="A5285" s="4">
        <v>43565.671909722223</v>
      </c>
      <c r="B5285" s="5" t="str">
        <f>HYPERLINK("https://twitter.com/urbaneer","@urbaneer")</f>
        <v>@urbaneer</v>
      </c>
      <c r="C5285" s="6" t="s">
        <v>5955</v>
      </c>
      <c r="D5285" s="7" t="s">
        <v>5959</v>
      </c>
      <c r="E5285" s="8" t="str">
        <f>HYPERLINK("http://www.twitter.com","Twitter for BlackBerry")</f>
        <v>Twitter for BlackBerry</v>
      </c>
      <c r="F5285" s="4">
        <v>40651.345289351855</v>
      </c>
      <c r="G5285" s="17" t="s">
        <v>13000</v>
      </c>
      <c r="H5285" s="35" t="s">
        <v>5957</v>
      </c>
      <c r="I5285" s="10" t="s">
        <v>5958</v>
      </c>
    </row>
    <row r="5286" spans="1:9" s="33" customFormat="1" ht="105">
      <c r="A5286" s="12">
        <v>43571.470925925925</v>
      </c>
      <c r="B5286" s="13" t="str">
        <f>HYPERLINK("https://twitter.com/daleethompson","@daleethompson")</f>
        <v>@daleethompson</v>
      </c>
      <c r="C5286" s="14" t="s">
        <v>3663</v>
      </c>
      <c r="D5286" s="15" t="s">
        <v>3664</v>
      </c>
      <c r="E5286" s="16" t="str">
        <f>HYPERLINK("http://twitter.com/download/iphone","Twitter for iPhone")</f>
        <v>Twitter for iPhone</v>
      </c>
      <c r="F5286" s="12">
        <v>42719.693182870367</v>
      </c>
      <c r="G5286" s="17" t="s">
        <v>13000</v>
      </c>
      <c r="H5286" s="35" t="s">
        <v>3665</v>
      </c>
      <c r="I5286" s="18" t="s">
        <v>3666</v>
      </c>
    </row>
    <row r="5287" spans="1:9" s="33" customFormat="1" ht="75">
      <c r="A5287" s="19">
        <v>43551.5625</v>
      </c>
      <c r="B5287" s="20" t="str">
        <f>HYPERLINK("https://twitter.com/digitaljournal","@digitaljournal")</f>
        <v>@digitaljournal</v>
      </c>
      <c r="C5287" s="21" t="s">
        <v>7125</v>
      </c>
      <c r="D5287" s="22" t="s">
        <v>7126</v>
      </c>
      <c r="E5287" s="23" t="str">
        <f>HYPERLINK("https://about.twitter.com/products/tweetdeck","TweetDeck")</f>
        <v>TweetDeck</v>
      </c>
      <c r="F5287" s="19">
        <v>39615.381990740745</v>
      </c>
      <c r="G5287" s="17" t="s">
        <v>13000</v>
      </c>
      <c r="H5287" s="35" t="s">
        <v>580</v>
      </c>
      <c r="I5287" s="25" t="s">
        <v>7127</v>
      </c>
    </row>
    <row r="5288" spans="1:9" s="33" customFormat="1" ht="30">
      <c r="A5288" s="19">
        <v>43550.556446759263</v>
      </c>
      <c r="B5288" s="20" t="str">
        <f>HYPERLINK("https://twitter.com/HayleyDynes","@HayleyDynes")</f>
        <v>@HayleyDynes</v>
      </c>
      <c r="C5288" s="21" t="s">
        <v>7614</v>
      </c>
      <c r="D5288" s="22" t="s">
        <v>7615</v>
      </c>
      <c r="E5288" s="23" t="str">
        <f>HYPERLINK("http://twitter.com/download/iphone","Twitter for iPhone")</f>
        <v>Twitter for iPhone</v>
      </c>
      <c r="F5288" s="19">
        <v>40406.357453703706</v>
      </c>
      <c r="G5288" s="17" t="s">
        <v>13000</v>
      </c>
      <c r="H5288" s="35" t="s">
        <v>580</v>
      </c>
      <c r="I5288" s="25" t="s">
        <v>7616</v>
      </c>
    </row>
    <row r="5289" spans="1:9" s="33" customFormat="1" ht="45">
      <c r="A5289" s="19">
        <v>43546.222719907411</v>
      </c>
      <c r="B5289" s="20" t="str">
        <f>HYPERLINK("https://twitter.com/Torontonicity","@Torontonicity")</f>
        <v>@Torontonicity</v>
      </c>
      <c r="C5289" s="20" t="s">
        <v>8930</v>
      </c>
      <c r="D5289" s="22" t="s">
        <v>8931</v>
      </c>
      <c r="E5289" s="23" t="str">
        <f>HYPERLINK("http://twitter.com","Twitter Web Client")</f>
        <v>Twitter Web Client</v>
      </c>
      <c r="F5289" s="19">
        <v>40716.294942129629</v>
      </c>
      <c r="G5289" s="17" t="s">
        <v>13000</v>
      </c>
      <c r="H5289" s="35" t="s">
        <v>580</v>
      </c>
      <c r="I5289" s="25" t="s">
        <v>8932</v>
      </c>
    </row>
    <row r="5290" spans="1:9" s="33" customFormat="1" ht="45">
      <c r="A5290" s="4">
        <v>43560.800393518519</v>
      </c>
      <c r="B5290" s="5" t="str">
        <f>HYPERLINK("https://twitter.com/RobertJGabriel","@RobertJGabriel")</f>
        <v>@RobertJGabriel</v>
      </c>
      <c r="C5290" s="6" t="s">
        <v>11155</v>
      </c>
      <c r="D5290" s="7" t="s">
        <v>11156</v>
      </c>
      <c r="E5290" s="8" t="str">
        <f>HYPERLINK("https://mobile.twitter.com","Twitter Web App")</f>
        <v>Twitter Web App</v>
      </c>
      <c r="F5290" s="4">
        <v>40064.580185185187</v>
      </c>
      <c r="G5290" s="17" t="s">
        <v>13000</v>
      </c>
      <c r="H5290" s="35" t="s">
        <v>580</v>
      </c>
      <c r="I5290" s="10" t="s">
        <v>11157</v>
      </c>
    </row>
    <row r="5291" spans="1:9" s="33" customFormat="1" ht="90">
      <c r="A5291" s="4">
        <v>43556.682453703703</v>
      </c>
      <c r="B5291" s="5" t="str">
        <f>HYPERLINK("https://twitter.com/Building_mag","@Building_mag")</f>
        <v>@Building_mag</v>
      </c>
      <c r="C5291" s="6" t="s">
        <v>12775</v>
      </c>
      <c r="D5291" s="7" t="s">
        <v>12776</v>
      </c>
      <c r="E5291" s="8" t="str">
        <f>HYPERLINK("http://twitter.com","Twitter Web Client")</f>
        <v>Twitter Web Client</v>
      </c>
      <c r="F5291" s="4">
        <v>40939.562777777777</v>
      </c>
      <c r="G5291" s="17" t="s">
        <v>13000</v>
      </c>
      <c r="H5291" s="35" t="s">
        <v>580</v>
      </c>
      <c r="I5291" s="10" t="s">
        <v>12777</v>
      </c>
    </row>
    <row r="5292" spans="1:9" s="33" customFormat="1" ht="195">
      <c r="A5292" s="12">
        <v>43579.556261574078</v>
      </c>
      <c r="B5292" s="13" t="str">
        <f>HYPERLINK("https://twitter.com/LisaVYYZ","@LisaVYYZ")</f>
        <v>@LisaVYYZ</v>
      </c>
      <c r="C5292" s="14" t="s">
        <v>578</v>
      </c>
      <c r="D5292" s="15" t="s">
        <v>579</v>
      </c>
      <c r="E5292" s="16" t="str">
        <f>HYPERLINK("http://twitter.com/download/iphone","Twitter for iPhone")</f>
        <v>Twitter for iPhone</v>
      </c>
      <c r="F5292" s="12">
        <v>40223.471180555556</v>
      </c>
      <c r="G5292" s="17" t="s">
        <v>13000</v>
      </c>
      <c r="H5292" s="35" t="s">
        <v>580</v>
      </c>
      <c r="I5292" s="18" t="s">
        <v>581</v>
      </c>
    </row>
    <row r="5293" spans="1:9" s="33" customFormat="1" ht="75">
      <c r="A5293" s="19">
        <v>43546.956087962964</v>
      </c>
      <c r="B5293" s="20" t="str">
        <f>HYPERLINK("https://twitter.com/JoeManfredi","@JoeManfredi")</f>
        <v>@JoeManfredi</v>
      </c>
      <c r="C5293" s="21" t="s">
        <v>8695</v>
      </c>
      <c r="D5293" s="22" t="s">
        <v>8696</v>
      </c>
      <c r="E5293" s="23" t="str">
        <f>HYPERLINK("http://instagram.com","Instagram")</f>
        <v>Instagram</v>
      </c>
      <c r="F5293" s="19">
        <v>40221.851967592593</v>
      </c>
      <c r="G5293" s="17" t="s">
        <v>13000</v>
      </c>
      <c r="H5293" s="35" t="s">
        <v>797</v>
      </c>
      <c r="I5293" s="25" t="s">
        <v>8697</v>
      </c>
    </row>
    <row r="5294" spans="1:9" s="33" customFormat="1" ht="45">
      <c r="A5294" s="19">
        <v>43545.840717592597</v>
      </c>
      <c r="B5294" s="20" t="str">
        <f>HYPERLINK("https://twitter.com/BenFenlon","@BenFenlon")</f>
        <v>@BenFenlon</v>
      </c>
      <c r="C5294" s="21" t="s">
        <v>9021</v>
      </c>
      <c r="D5294" s="22" t="s">
        <v>9022</v>
      </c>
      <c r="E5294" s="23" t="str">
        <f>HYPERLINK("http://www.facebook.com/twitter","Facebook")</f>
        <v>Facebook</v>
      </c>
      <c r="F5294" s="19">
        <v>39724.783217592594</v>
      </c>
      <c r="G5294" s="17" t="s">
        <v>13000</v>
      </c>
      <c r="H5294" s="35" t="s">
        <v>797</v>
      </c>
      <c r="I5294" s="25" t="s">
        <v>9023</v>
      </c>
    </row>
    <row r="5295" spans="1:9" s="33" customFormat="1" ht="75">
      <c r="A5295" s="4">
        <v>43562.258298611108</v>
      </c>
      <c r="B5295" s="5" t="str">
        <f>HYPERLINK("https://twitter.com/JoeManfredi","@JoeManfredi")</f>
        <v>@JoeManfredi</v>
      </c>
      <c r="C5295" s="6" t="s">
        <v>8695</v>
      </c>
      <c r="D5295" s="7" t="s">
        <v>10719</v>
      </c>
      <c r="E5295" s="8" t="str">
        <f>HYPERLINK("http://instagram.com","Instagram")</f>
        <v>Instagram</v>
      </c>
      <c r="F5295" s="4">
        <v>40221.851967592593</v>
      </c>
      <c r="G5295" s="17" t="s">
        <v>13000</v>
      </c>
      <c r="H5295" s="35" t="s">
        <v>797</v>
      </c>
      <c r="I5295" s="10" t="s">
        <v>8697</v>
      </c>
    </row>
    <row r="5296" spans="1:9" s="33" customFormat="1" ht="75">
      <c r="A5296" s="4">
        <v>43558.523831018523</v>
      </c>
      <c r="B5296" s="5" t="str">
        <f>HYPERLINK("https://twitter.com/JoeManfredi","@JoeManfredi")</f>
        <v>@JoeManfredi</v>
      </c>
      <c r="C5296" s="6" t="s">
        <v>8695</v>
      </c>
      <c r="D5296" s="7" t="s">
        <v>12142</v>
      </c>
      <c r="E5296" s="8" t="str">
        <f>HYPERLINK("http://instagram.com","Instagram")</f>
        <v>Instagram</v>
      </c>
      <c r="F5296" s="4">
        <v>40221.851967592593</v>
      </c>
      <c r="G5296" s="17" t="s">
        <v>13000</v>
      </c>
      <c r="H5296" s="35" t="s">
        <v>797</v>
      </c>
      <c r="I5296" s="10" t="s">
        <v>8697</v>
      </c>
    </row>
    <row r="5297" spans="1:9" s="33" customFormat="1" ht="105">
      <c r="A5297" s="12">
        <v>43579.294432870374</v>
      </c>
      <c r="B5297" s="13" t="str">
        <f>HYPERLINK("https://twitter.com/andrea_was","@andrea_was")</f>
        <v>@andrea_was</v>
      </c>
      <c r="C5297" s="14" t="s">
        <v>795</v>
      </c>
      <c r="D5297" s="15" t="s">
        <v>796</v>
      </c>
      <c r="E5297" s="16" t="str">
        <f>HYPERLINK("https://ifttt.com","IFTTT")</f>
        <v>IFTTT</v>
      </c>
      <c r="F5297" s="12">
        <v>40297.726851851854</v>
      </c>
      <c r="G5297" s="17" t="s">
        <v>13000</v>
      </c>
      <c r="H5297" s="35" t="s">
        <v>797</v>
      </c>
      <c r="I5297" s="18" t="s">
        <v>798</v>
      </c>
    </row>
    <row r="5298" spans="1:9" s="33" customFormat="1" ht="75">
      <c r="A5298" s="12">
        <v>43577.294363425928</v>
      </c>
      <c r="B5298" s="13" t="str">
        <f>HYPERLINK("https://twitter.com/andrea_was","@andrea_was")</f>
        <v>@andrea_was</v>
      </c>
      <c r="C5298" s="14" t="s">
        <v>795</v>
      </c>
      <c r="D5298" s="15" t="s">
        <v>1680</v>
      </c>
      <c r="E5298" s="16" t="str">
        <f>HYPERLINK("https://ifttt.com","IFTTT")</f>
        <v>IFTTT</v>
      </c>
      <c r="F5298" s="12">
        <v>40297.726851851854</v>
      </c>
      <c r="G5298" s="17" t="s">
        <v>13000</v>
      </c>
      <c r="H5298" s="35" t="s">
        <v>797</v>
      </c>
      <c r="I5298" s="18" t="s">
        <v>798</v>
      </c>
    </row>
    <row r="5299" spans="1:9" s="33" customFormat="1" ht="60">
      <c r="A5299" s="12">
        <v>43571.793854166666</v>
      </c>
      <c r="B5299" s="13" t="str">
        <f>HYPERLINK("https://twitter.com/andrea_was","@andrea_was")</f>
        <v>@andrea_was</v>
      </c>
      <c r="C5299" s="14" t="s">
        <v>795</v>
      </c>
      <c r="D5299" s="15" t="s">
        <v>3544</v>
      </c>
      <c r="E5299" s="16" t="str">
        <f>HYPERLINK("https://ifttt.com","IFTTT")</f>
        <v>IFTTT</v>
      </c>
      <c r="F5299" s="12">
        <v>40297.726851851854</v>
      </c>
      <c r="G5299" s="17" t="s">
        <v>13000</v>
      </c>
      <c r="H5299" s="35" t="s">
        <v>797</v>
      </c>
      <c r="I5299" s="18" t="s">
        <v>798</v>
      </c>
    </row>
    <row r="5300" spans="1:9" s="33" customFormat="1" ht="60">
      <c r="A5300" s="12">
        <v>43571.293958333335</v>
      </c>
      <c r="B5300" s="13" t="str">
        <f>HYPERLINK("https://twitter.com/andrea_was","@andrea_was")</f>
        <v>@andrea_was</v>
      </c>
      <c r="C5300" s="14" t="s">
        <v>795</v>
      </c>
      <c r="D5300" s="15" t="s">
        <v>3750</v>
      </c>
      <c r="E5300" s="16" t="str">
        <f>HYPERLINK("https://ifttt.com","IFTTT")</f>
        <v>IFTTT</v>
      </c>
      <c r="F5300" s="12">
        <v>40297.726851851854</v>
      </c>
      <c r="G5300" s="17" t="s">
        <v>13000</v>
      </c>
      <c r="H5300" s="35" t="s">
        <v>797</v>
      </c>
      <c r="I5300" s="18" t="s">
        <v>798</v>
      </c>
    </row>
    <row r="5301" spans="1:9" s="33" customFormat="1" ht="90">
      <c r="A5301" s="4">
        <v>43557.620381944449</v>
      </c>
      <c r="B5301" s="5" t="str">
        <f>HYPERLINK("https://twitter.com/melodyhaghayegh","@melodyhaghayegh")</f>
        <v>@melodyhaghayegh</v>
      </c>
      <c r="C5301" s="6" t="s">
        <v>12437</v>
      </c>
      <c r="D5301" s="7" t="s">
        <v>12438</v>
      </c>
      <c r="E5301" s="8" t="str">
        <f>HYPERLINK("http://twitter.com/download/iphone","Twitter for iPhone")</f>
        <v>Twitter for iPhone</v>
      </c>
      <c r="F5301" s="4">
        <v>39973.282280092593</v>
      </c>
      <c r="G5301" s="17" t="s">
        <v>13000</v>
      </c>
      <c r="H5301" s="35" t="s">
        <v>12439</v>
      </c>
      <c r="I5301" s="10" t="s">
        <v>12440</v>
      </c>
    </row>
    <row r="5302" spans="1:9" s="33" customFormat="1" ht="75">
      <c r="A5302" s="19">
        <v>43551.573240740741</v>
      </c>
      <c r="B5302" s="20" t="str">
        <f>HYPERLINK("https://twitter.com/agsadtdealer","@agsadtdealer")</f>
        <v>@agsadtdealer</v>
      </c>
      <c r="C5302" s="21" t="s">
        <v>7115</v>
      </c>
      <c r="D5302" s="22" t="s">
        <v>7116</v>
      </c>
      <c r="E5302" s="23" t="str">
        <f>HYPERLINK("https://www.hootsuite.com","Hootsuite Inc.")</f>
        <v>Hootsuite Inc.</v>
      </c>
      <c r="F5302" s="19">
        <v>40947.078402777777</v>
      </c>
      <c r="G5302" s="17" t="s">
        <v>13000</v>
      </c>
      <c r="H5302" s="35" t="s">
        <v>711</v>
      </c>
      <c r="I5302" s="25" t="s">
        <v>7117</v>
      </c>
    </row>
    <row r="5303" spans="1:9" s="33" customFormat="1" ht="105">
      <c r="A5303" s="19">
        <v>43550.484583333338</v>
      </c>
      <c r="B5303" s="20" t="str">
        <f>HYPERLINK("https://twitter.com/LanewayBuilder","@LanewayBuilder")</f>
        <v>@LanewayBuilder</v>
      </c>
      <c r="C5303" s="21" t="s">
        <v>7649</v>
      </c>
      <c r="D5303" s="22" t="s">
        <v>7650</v>
      </c>
      <c r="E5303" s="23" t="str">
        <f>HYPERLINK("http://twitter.com","Twitter Web Client")</f>
        <v>Twitter Web Client</v>
      </c>
      <c r="F5303" s="19">
        <v>43495.669641203705</v>
      </c>
      <c r="G5303" s="17" t="s">
        <v>13000</v>
      </c>
      <c r="H5303" s="35" t="s">
        <v>711</v>
      </c>
      <c r="I5303" s="25" t="s">
        <v>7651</v>
      </c>
    </row>
    <row r="5304" spans="1:9" s="33" customFormat="1" ht="75">
      <c r="A5304" s="19">
        <v>43548.300555555557</v>
      </c>
      <c r="B5304" s="20" t="str">
        <f>HYPERLINK("https://twitter.com/KadeDavies","@KadeDavies")</f>
        <v>@KadeDavies</v>
      </c>
      <c r="C5304" s="21" t="s">
        <v>8354</v>
      </c>
      <c r="D5304" s="22" t="s">
        <v>8355</v>
      </c>
      <c r="E5304" s="23" t="str">
        <f>HYPERLINK("http://instagram.com","Instagram")</f>
        <v>Instagram</v>
      </c>
      <c r="F5304" s="19">
        <v>40581.698958333334</v>
      </c>
      <c r="G5304" s="17" t="s">
        <v>13000</v>
      </c>
      <c r="H5304" s="35" t="s">
        <v>711</v>
      </c>
      <c r="I5304" s="25" t="s">
        <v>8356</v>
      </c>
    </row>
    <row r="5305" spans="1:9" s="33" customFormat="1" ht="30">
      <c r="A5305" s="19">
        <v>43548.256261574075</v>
      </c>
      <c r="B5305" s="20" t="str">
        <f>HYPERLINK("https://twitter.com/nowtoronto","@nowtoronto")</f>
        <v>@nowtoronto</v>
      </c>
      <c r="C5305" s="21" t="s">
        <v>8365</v>
      </c>
      <c r="D5305" s="22" t="s">
        <v>8366</v>
      </c>
      <c r="E5305" s="23" t="str">
        <f>HYPERLINK("https://buffer.com","Buffer")</f>
        <v>Buffer</v>
      </c>
      <c r="F5305" s="19">
        <v>39709.514710648145</v>
      </c>
      <c r="G5305" s="17" t="s">
        <v>13000</v>
      </c>
      <c r="H5305" s="35" t="s">
        <v>711</v>
      </c>
      <c r="I5305" s="25" t="s">
        <v>8367</v>
      </c>
    </row>
    <row r="5306" spans="1:9" s="33" customFormat="1" ht="45">
      <c r="A5306" s="19">
        <v>43547.472256944442</v>
      </c>
      <c r="B5306" s="20" t="str">
        <f>HYPERLINK("https://twitter.com/nowtoronto","@nowtoronto")</f>
        <v>@nowtoronto</v>
      </c>
      <c r="C5306" s="21" t="s">
        <v>8365</v>
      </c>
      <c r="D5306" s="22" t="s">
        <v>8532</v>
      </c>
      <c r="E5306" s="23" t="str">
        <f>HYPERLINK("https://buffer.com","Buffer")</f>
        <v>Buffer</v>
      </c>
      <c r="F5306" s="19">
        <v>39709.514710648145</v>
      </c>
      <c r="G5306" s="17" t="s">
        <v>13000</v>
      </c>
      <c r="H5306" s="35" t="s">
        <v>711</v>
      </c>
      <c r="I5306" s="25" t="s">
        <v>8367</v>
      </c>
    </row>
    <row r="5307" spans="1:9" s="33" customFormat="1" ht="30">
      <c r="A5307" s="19">
        <v>43545.738217592589</v>
      </c>
      <c r="B5307" s="20" t="str">
        <f>HYPERLINK("https://twitter.com/nowtoronto","@nowtoronto")</f>
        <v>@nowtoronto</v>
      </c>
      <c r="C5307" s="21" t="s">
        <v>8365</v>
      </c>
      <c r="D5307" s="22" t="s">
        <v>8366</v>
      </c>
      <c r="E5307" s="23" t="str">
        <f>HYPERLINK("https://buffer.com","Buffer")</f>
        <v>Buffer</v>
      </c>
      <c r="F5307" s="19">
        <v>39709.514710648145</v>
      </c>
      <c r="G5307" s="17" t="s">
        <v>13000</v>
      </c>
      <c r="H5307" s="35" t="s">
        <v>711</v>
      </c>
      <c r="I5307" s="25" t="s">
        <v>8367</v>
      </c>
    </row>
    <row r="5308" spans="1:9" s="33" customFormat="1" ht="45">
      <c r="A5308" s="19">
        <v>43545.375115740739</v>
      </c>
      <c r="B5308" s="20" t="str">
        <f>HYPERLINK("https://twitter.com/certus_trading","@certus_trading")</f>
        <v>@certus_trading</v>
      </c>
      <c r="C5308" s="21" t="s">
        <v>9166</v>
      </c>
      <c r="D5308" s="22" t="s">
        <v>9167</v>
      </c>
      <c r="E5308" s="23" t="str">
        <f>HYPERLINK("https://buffer.com","Buffer")</f>
        <v>Buffer</v>
      </c>
      <c r="F5308" s="19">
        <v>43040.321238425924</v>
      </c>
      <c r="G5308" s="17" t="s">
        <v>13000</v>
      </c>
      <c r="H5308" s="35" t="s">
        <v>711</v>
      </c>
      <c r="I5308" s="25" t="s">
        <v>9168</v>
      </c>
    </row>
    <row r="5309" spans="1:9" s="33" customFormat="1" ht="75">
      <c r="A5309" s="4">
        <v>43564.733055555553</v>
      </c>
      <c r="B5309" s="5" t="str">
        <f>HYPERLINK("https://twitter.com/StephHughesDBRS","@StephHughesDBRS")</f>
        <v>@StephHughesDBRS</v>
      </c>
      <c r="C5309" s="6" t="s">
        <v>6440</v>
      </c>
      <c r="D5309" s="7" t="s">
        <v>6441</v>
      </c>
      <c r="E5309" s="8" t="str">
        <f>HYPERLINK("http://twitter.com","Twitter Web Client")</f>
        <v>Twitter Web Client</v>
      </c>
      <c r="F5309" s="4">
        <v>43564.645451388889</v>
      </c>
      <c r="G5309" s="17" t="s">
        <v>13000</v>
      </c>
      <c r="H5309" s="35" t="s">
        <v>711</v>
      </c>
      <c r="I5309" s="10" t="s">
        <v>6442</v>
      </c>
    </row>
    <row r="5310" spans="1:9" s="33" customFormat="1" ht="60">
      <c r="A5310" s="4">
        <v>43564.672523148147</v>
      </c>
      <c r="B5310" s="5" t="str">
        <f>HYPERLINK("https://twitter.com/StephHughesDBRS","@StephHughesDBRS")</f>
        <v>@StephHughesDBRS</v>
      </c>
      <c r="C5310" s="6" t="s">
        <v>6440</v>
      </c>
      <c r="D5310" s="7" t="s">
        <v>6458</v>
      </c>
      <c r="E5310" s="8" t="str">
        <f>HYPERLINK("http://twitter.com","Twitter Web Client")</f>
        <v>Twitter Web Client</v>
      </c>
      <c r="F5310" s="4">
        <v>43564.645451388889</v>
      </c>
      <c r="G5310" s="17" t="s">
        <v>13000</v>
      </c>
      <c r="H5310" s="35" t="s">
        <v>711</v>
      </c>
      <c r="I5310" s="10" t="s">
        <v>6442</v>
      </c>
    </row>
    <row r="5311" spans="1:9" s="33" customFormat="1" ht="90">
      <c r="A5311" s="4">
        <v>43564.636678240742</v>
      </c>
      <c r="B5311" s="5" t="str">
        <f>HYPERLINK("https://twitter.com/xraytext","@xraytext")</f>
        <v>@xraytext</v>
      </c>
      <c r="C5311" s="6" t="s">
        <v>4483</v>
      </c>
      <c r="D5311" s="7" t="s">
        <v>6481</v>
      </c>
      <c r="E5311" s="8" t="str">
        <f>HYPERLINK("http://twitter.com/download/android","Twitter for Android")</f>
        <v>Twitter for Android</v>
      </c>
      <c r="F5311" s="4">
        <v>41557.490763888891</v>
      </c>
      <c r="G5311" s="17" t="s">
        <v>13000</v>
      </c>
      <c r="H5311" s="35" t="s">
        <v>711</v>
      </c>
      <c r="I5311" s="10" t="s">
        <v>10209</v>
      </c>
    </row>
    <row r="5312" spans="1:9" s="33" customFormat="1" ht="75">
      <c r="A5312" s="4">
        <v>43563.589768518519</v>
      </c>
      <c r="B5312" s="5" t="str">
        <f>HYPERLINK("https://twitter.com/LindseyScully","@LindseyScully")</f>
        <v>@LindseyScully</v>
      </c>
      <c r="C5312" s="6" t="s">
        <v>1566</v>
      </c>
      <c r="D5312" s="7" t="s">
        <v>6960</v>
      </c>
      <c r="E5312" s="8" t="str">
        <f>HYPERLINK("http://twitter.com/download/iphone","Twitter for iPhone")</f>
        <v>Twitter for iPhone</v>
      </c>
      <c r="F5312" s="4">
        <v>40345.816168981481</v>
      </c>
      <c r="G5312" s="17" t="s">
        <v>13000</v>
      </c>
      <c r="H5312" s="35" t="s">
        <v>711</v>
      </c>
      <c r="I5312" s="10" t="s">
        <v>1568</v>
      </c>
    </row>
    <row r="5313" spans="1:9" s="33" customFormat="1" ht="75">
      <c r="A5313" s="4">
        <v>43563.58898148148</v>
      </c>
      <c r="B5313" s="5" t="str">
        <f>HYPERLINK("https://twitter.com/LindseyScully","@LindseyScully")</f>
        <v>@LindseyScully</v>
      </c>
      <c r="C5313" s="6" t="s">
        <v>1566</v>
      </c>
      <c r="D5313" s="7" t="s">
        <v>6960</v>
      </c>
      <c r="E5313" s="8" t="str">
        <f>HYPERLINK("http://twitter.com/download/iphone","Twitter for iPhone")</f>
        <v>Twitter for iPhone</v>
      </c>
      <c r="F5313" s="4">
        <v>40345.816168981481</v>
      </c>
      <c r="G5313" s="17" t="s">
        <v>13000</v>
      </c>
      <c r="H5313" s="35" t="s">
        <v>711</v>
      </c>
      <c r="I5313" s="10" t="s">
        <v>1568</v>
      </c>
    </row>
    <row r="5314" spans="1:9" s="33" customFormat="1" ht="75">
      <c r="A5314" s="4">
        <v>43563.557858796295</v>
      </c>
      <c r="B5314" s="5" t="str">
        <f>HYPERLINK("https://twitter.com/IgorCameloF","@IgorCameloF")</f>
        <v>@IgorCameloF</v>
      </c>
      <c r="C5314" s="6" t="s">
        <v>10229</v>
      </c>
      <c r="D5314" s="7" t="s">
        <v>10230</v>
      </c>
      <c r="E5314" s="8" t="str">
        <f>HYPERLINK("http://twitter.com","Twitter Web Client")</f>
        <v>Twitter Web Client</v>
      </c>
      <c r="F5314" s="4">
        <v>43332.426192129627</v>
      </c>
      <c r="G5314" s="17" t="s">
        <v>13000</v>
      </c>
      <c r="H5314" s="35" t="s">
        <v>711</v>
      </c>
      <c r="I5314" s="10" t="s">
        <v>10231</v>
      </c>
    </row>
    <row r="5315" spans="1:9" s="33" customFormat="1" ht="90">
      <c r="A5315" s="4">
        <v>43563.40420138889</v>
      </c>
      <c r="B5315" s="5" t="str">
        <f>HYPERLINK("https://twitter.com/SPPlusToronto","@SPPlusToronto")</f>
        <v>@SPPlusToronto</v>
      </c>
      <c r="C5315" s="6" t="s">
        <v>10309</v>
      </c>
      <c r="D5315" s="7" t="s">
        <v>10310</v>
      </c>
      <c r="E5315" s="8" t="str">
        <f>HYPERLINK("http://twitter.com/download/iphone","Twitter for iPhone")</f>
        <v>Twitter for iPhone</v>
      </c>
      <c r="F5315" s="4">
        <v>42164.309872685189</v>
      </c>
      <c r="G5315" s="17" t="s">
        <v>13000</v>
      </c>
      <c r="H5315" s="35" t="s">
        <v>711</v>
      </c>
      <c r="I5315" s="10" t="s">
        <v>10311</v>
      </c>
    </row>
    <row r="5316" spans="1:9" s="33" customFormat="1" ht="45">
      <c r="A5316" s="4">
        <v>43563.212974537033</v>
      </c>
      <c r="B5316" s="5" t="str">
        <f>HYPERLINK("https://twitter.com/AromatherapyTO","@AromatherapyTO")</f>
        <v>@AromatherapyTO</v>
      </c>
      <c r="C5316" s="6" t="s">
        <v>10430</v>
      </c>
      <c r="D5316" s="7" t="s">
        <v>10431</v>
      </c>
      <c r="E5316" s="8" t="str">
        <f>HYPERLINK("http://twitter.com","Twitter Web Client")</f>
        <v>Twitter Web Client</v>
      </c>
      <c r="F5316" s="4">
        <v>42044.939340277779</v>
      </c>
      <c r="G5316" s="17" t="s">
        <v>13000</v>
      </c>
      <c r="H5316" s="35" t="s">
        <v>711</v>
      </c>
      <c r="I5316" s="10" t="s">
        <v>10432</v>
      </c>
    </row>
    <row r="5317" spans="1:9" s="33" customFormat="1" ht="105">
      <c r="A5317" s="4">
        <v>43562.904490740737</v>
      </c>
      <c r="B5317" s="5" t="str">
        <f>HYPERLINK("https://twitter.com/savage_prom0","@savage_prom0")</f>
        <v>@savage_prom0</v>
      </c>
      <c r="C5317" s="6" t="s">
        <v>10552</v>
      </c>
      <c r="D5317" s="7" t="s">
        <v>10553</v>
      </c>
      <c r="E5317" s="8" t="str">
        <f t="shared" ref="E5317:E5325" si="200">HYPERLINK("http://twitter.com/download/iphone","Twitter for iPhone")</f>
        <v>Twitter for iPhone</v>
      </c>
      <c r="F5317" s="4">
        <v>40751.468263888892</v>
      </c>
      <c r="G5317" s="17" t="s">
        <v>13000</v>
      </c>
      <c r="H5317" s="35" t="s">
        <v>711</v>
      </c>
      <c r="I5317" s="10" t="s">
        <v>10554</v>
      </c>
    </row>
    <row r="5318" spans="1:9" s="33" customFormat="1" ht="105">
      <c r="A5318" s="4">
        <v>43562.90425925926</v>
      </c>
      <c r="B5318" s="5" t="str">
        <f>HYPERLINK("https://twitter.com/savage_prom0","@savage_prom0")</f>
        <v>@savage_prom0</v>
      </c>
      <c r="C5318" s="6" t="s">
        <v>10552</v>
      </c>
      <c r="D5318" s="7" t="s">
        <v>10553</v>
      </c>
      <c r="E5318" s="8" t="str">
        <f t="shared" si="200"/>
        <v>Twitter for iPhone</v>
      </c>
      <c r="F5318" s="4">
        <v>40751.468263888892</v>
      </c>
      <c r="G5318" s="17" t="s">
        <v>13000</v>
      </c>
      <c r="H5318" s="35" t="s">
        <v>711</v>
      </c>
      <c r="I5318" s="10" t="s">
        <v>10554</v>
      </c>
    </row>
    <row r="5319" spans="1:9" s="33" customFormat="1" ht="105">
      <c r="A5319" s="4">
        <v>43562.904108796298</v>
      </c>
      <c r="B5319" s="5" t="str">
        <f>HYPERLINK("https://twitter.com/savage_prom0","@savage_prom0")</f>
        <v>@savage_prom0</v>
      </c>
      <c r="C5319" s="6" t="s">
        <v>10552</v>
      </c>
      <c r="D5319" s="7" t="s">
        <v>10553</v>
      </c>
      <c r="E5319" s="8" t="str">
        <f t="shared" si="200"/>
        <v>Twitter for iPhone</v>
      </c>
      <c r="F5319" s="4">
        <v>40751.468263888892</v>
      </c>
      <c r="G5319" s="17" t="s">
        <v>13000</v>
      </c>
      <c r="H5319" s="35" t="s">
        <v>711</v>
      </c>
      <c r="I5319" s="10" t="s">
        <v>10554</v>
      </c>
    </row>
    <row r="5320" spans="1:9" s="33" customFormat="1" ht="60">
      <c r="A5320" s="4">
        <v>43560.756504629629</v>
      </c>
      <c r="B5320" s="5" t="str">
        <f>HYPERLINK("https://twitter.com/airbusybee","@airbusybee")</f>
        <v>@airbusybee</v>
      </c>
      <c r="C5320" s="6" t="s">
        <v>3960</v>
      </c>
      <c r="D5320" s="7" t="s">
        <v>11178</v>
      </c>
      <c r="E5320" s="8" t="str">
        <f t="shared" si="200"/>
        <v>Twitter for iPhone</v>
      </c>
      <c r="F5320" s="4">
        <v>42494.475474537037</v>
      </c>
      <c r="G5320" s="17" t="s">
        <v>13000</v>
      </c>
      <c r="H5320" s="35" t="s">
        <v>711</v>
      </c>
      <c r="I5320" s="10" t="s">
        <v>11179</v>
      </c>
    </row>
    <row r="5321" spans="1:9" s="33" customFormat="1" ht="105">
      <c r="A5321" s="4">
        <v>43560.372175925921</v>
      </c>
      <c r="B5321" s="5" t="str">
        <f>HYPERLINK("https://twitter.com/savage_prom0","@savage_prom0")</f>
        <v>@savage_prom0</v>
      </c>
      <c r="C5321" s="6" t="s">
        <v>10552</v>
      </c>
      <c r="D5321" s="7" t="s">
        <v>10553</v>
      </c>
      <c r="E5321" s="8" t="str">
        <f t="shared" si="200"/>
        <v>Twitter for iPhone</v>
      </c>
      <c r="F5321" s="4">
        <v>40751.468263888892</v>
      </c>
      <c r="G5321" s="17" t="s">
        <v>13000</v>
      </c>
      <c r="H5321" s="35" t="s">
        <v>711</v>
      </c>
      <c r="I5321" s="10" t="s">
        <v>10554</v>
      </c>
    </row>
    <row r="5322" spans="1:9" s="33" customFormat="1" ht="105">
      <c r="A5322" s="4">
        <v>43560.372037037036</v>
      </c>
      <c r="B5322" s="5" t="str">
        <f>HYPERLINK("https://twitter.com/savage_prom0","@savage_prom0")</f>
        <v>@savage_prom0</v>
      </c>
      <c r="C5322" s="6" t="s">
        <v>10552</v>
      </c>
      <c r="D5322" s="7" t="s">
        <v>10553</v>
      </c>
      <c r="E5322" s="8" t="str">
        <f t="shared" si="200"/>
        <v>Twitter for iPhone</v>
      </c>
      <c r="F5322" s="4">
        <v>40751.468263888892</v>
      </c>
      <c r="G5322" s="17" t="s">
        <v>13000</v>
      </c>
      <c r="H5322" s="35" t="s">
        <v>711</v>
      </c>
      <c r="I5322" s="10" t="s">
        <v>10554</v>
      </c>
    </row>
    <row r="5323" spans="1:9" s="33" customFormat="1" ht="105">
      <c r="A5323" s="4">
        <v>43560.371805555551</v>
      </c>
      <c r="B5323" s="5" t="str">
        <f>HYPERLINK("https://twitter.com/savage_prom0","@savage_prom0")</f>
        <v>@savage_prom0</v>
      </c>
      <c r="C5323" s="6" t="s">
        <v>10552</v>
      </c>
      <c r="D5323" s="7" t="s">
        <v>10553</v>
      </c>
      <c r="E5323" s="8" t="str">
        <f t="shared" si="200"/>
        <v>Twitter for iPhone</v>
      </c>
      <c r="F5323" s="4">
        <v>40751.468263888892</v>
      </c>
      <c r="G5323" s="17" t="s">
        <v>13000</v>
      </c>
      <c r="H5323" s="35" t="s">
        <v>711</v>
      </c>
      <c r="I5323" s="10" t="s">
        <v>10554</v>
      </c>
    </row>
    <row r="5324" spans="1:9" s="33" customFormat="1" ht="105">
      <c r="A5324" s="4">
        <v>43560.371493055558</v>
      </c>
      <c r="B5324" s="5" t="str">
        <f>HYPERLINK("https://twitter.com/savage_prom0","@savage_prom0")</f>
        <v>@savage_prom0</v>
      </c>
      <c r="C5324" s="6" t="s">
        <v>10552</v>
      </c>
      <c r="D5324" s="7" t="s">
        <v>10553</v>
      </c>
      <c r="E5324" s="8" t="str">
        <f t="shared" si="200"/>
        <v>Twitter for iPhone</v>
      </c>
      <c r="F5324" s="4">
        <v>40751.468263888892</v>
      </c>
      <c r="G5324" s="17" t="s">
        <v>13000</v>
      </c>
      <c r="H5324" s="35" t="s">
        <v>711</v>
      </c>
      <c r="I5324" s="10" t="s">
        <v>10554</v>
      </c>
    </row>
    <row r="5325" spans="1:9" s="33" customFormat="1" ht="105">
      <c r="A5325" s="4">
        <v>43560.36513888889</v>
      </c>
      <c r="B5325" s="5" t="str">
        <f>HYPERLINK("https://twitter.com/savage_prom0","@savage_prom0")</f>
        <v>@savage_prom0</v>
      </c>
      <c r="C5325" s="6" t="s">
        <v>10552</v>
      </c>
      <c r="D5325" s="7" t="s">
        <v>10553</v>
      </c>
      <c r="E5325" s="8" t="str">
        <f t="shared" si="200"/>
        <v>Twitter for iPhone</v>
      </c>
      <c r="F5325" s="4">
        <v>40751.468263888892</v>
      </c>
      <c r="G5325" s="17" t="s">
        <v>13000</v>
      </c>
      <c r="H5325" s="35" t="s">
        <v>711</v>
      </c>
      <c r="I5325" s="10" t="s">
        <v>10554</v>
      </c>
    </row>
    <row r="5326" spans="1:9" s="33" customFormat="1" ht="60">
      <c r="A5326" s="4">
        <v>43559.3753587963</v>
      </c>
      <c r="B5326" s="5" t="str">
        <f>HYPERLINK("https://twitter.com/certus_trading","@certus_trading")</f>
        <v>@certus_trading</v>
      </c>
      <c r="C5326" s="6" t="s">
        <v>9166</v>
      </c>
      <c r="D5326" s="7" t="s">
        <v>11868</v>
      </c>
      <c r="E5326" s="8" t="str">
        <f>HYPERLINK("https://buffer.com","Buffer")</f>
        <v>Buffer</v>
      </c>
      <c r="F5326" s="4">
        <v>43040.321238425924</v>
      </c>
      <c r="G5326" s="17" t="s">
        <v>13000</v>
      </c>
      <c r="H5326" s="35" t="s">
        <v>711</v>
      </c>
      <c r="I5326" s="10" t="s">
        <v>9168</v>
      </c>
    </row>
    <row r="5327" spans="1:9" s="33" customFormat="1" ht="90">
      <c r="A5327" s="4">
        <v>43557.642650462964</v>
      </c>
      <c r="B5327" s="5" t="str">
        <f>HYPERLINK("https://twitter.com/LindseyScully","@LindseyScully")</f>
        <v>@LindseyScully</v>
      </c>
      <c r="C5327" s="6" t="s">
        <v>1566</v>
      </c>
      <c r="D5327" s="7" t="s">
        <v>12429</v>
      </c>
      <c r="E5327" s="8" t="str">
        <f>HYPERLINK("http://twitter.com","Twitter Web Client")</f>
        <v>Twitter Web Client</v>
      </c>
      <c r="F5327" s="4">
        <v>40345.816168981481</v>
      </c>
      <c r="G5327" s="17" t="s">
        <v>13000</v>
      </c>
      <c r="H5327" s="35" t="s">
        <v>711</v>
      </c>
      <c r="I5327" s="10" t="s">
        <v>1568</v>
      </c>
    </row>
    <row r="5328" spans="1:9" s="33" customFormat="1" ht="120">
      <c r="A5328" s="4">
        <v>43557.461273148147</v>
      </c>
      <c r="B5328" s="5" t="str">
        <f>HYPERLINK("https://twitter.com/LindseyScully","@LindseyScully")</f>
        <v>@LindseyScully</v>
      </c>
      <c r="C5328" s="6" t="s">
        <v>1566</v>
      </c>
      <c r="D5328" s="7" t="s">
        <v>12510</v>
      </c>
      <c r="E5328" s="8" t="str">
        <f>HYPERLINK("http://twitter.com","Twitter Web Client")</f>
        <v>Twitter Web Client</v>
      </c>
      <c r="F5328" s="4">
        <v>40345.816168981481</v>
      </c>
      <c r="G5328" s="17" t="s">
        <v>13000</v>
      </c>
      <c r="H5328" s="35" t="s">
        <v>711</v>
      </c>
      <c r="I5328" s="10" t="s">
        <v>1568</v>
      </c>
    </row>
    <row r="5329" spans="1:9" s="33" customFormat="1" ht="45">
      <c r="A5329" s="4">
        <v>43557.402662037042</v>
      </c>
      <c r="B5329" s="5" t="str">
        <f>HYPERLINK("https://twitter.com/KadeDavies","@KadeDavies")</f>
        <v>@KadeDavies</v>
      </c>
      <c r="C5329" s="6" t="s">
        <v>8354</v>
      </c>
      <c r="D5329" s="7" t="s">
        <v>12527</v>
      </c>
      <c r="E5329" s="8" t="str">
        <f>HYPERLINK("http://instagram.com","Instagram")</f>
        <v>Instagram</v>
      </c>
      <c r="F5329" s="4">
        <v>40581.698958333334</v>
      </c>
      <c r="G5329" s="17" t="s">
        <v>13000</v>
      </c>
      <c r="H5329" s="35" t="s">
        <v>711</v>
      </c>
      <c r="I5329" s="10" t="s">
        <v>8356</v>
      </c>
    </row>
    <row r="5330" spans="1:9" s="33" customFormat="1" ht="60">
      <c r="A5330" s="4">
        <v>43556.91375</v>
      </c>
      <c r="B5330" s="5" t="str">
        <f>HYPERLINK("https://twitter.com/KadeDavies","@KadeDavies")</f>
        <v>@KadeDavies</v>
      </c>
      <c r="C5330" s="6" t="s">
        <v>8354</v>
      </c>
      <c r="D5330" s="7" t="s">
        <v>12707</v>
      </c>
      <c r="E5330" s="8" t="str">
        <f>HYPERLINK("http://instagram.com","Instagram")</f>
        <v>Instagram</v>
      </c>
      <c r="F5330" s="4">
        <v>40581.698958333334</v>
      </c>
      <c r="G5330" s="17" t="s">
        <v>13000</v>
      </c>
      <c r="H5330" s="35" t="s">
        <v>711</v>
      </c>
      <c r="I5330" s="10" t="s">
        <v>8356</v>
      </c>
    </row>
    <row r="5331" spans="1:9" s="33" customFormat="1" ht="210">
      <c r="A5331" s="12">
        <v>43579.383263888885</v>
      </c>
      <c r="B5331" s="13" t="str">
        <f>HYPERLINK("https://twitter.com/AndreiZodian","@AndreiZodian")</f>
        <v>@AndreiZodian</v>
      </c>
      <c r="C5331" s="14" t="s">
        <v>709</v>
      </c>
      <c r="D5331" s="15" t="s">
        <v>710</v>
      </c>
      <c r="E5331" s="16" t="str">
        <f>HYPERLINK("https://mobile.twitter.com","Twitter Web App")</f>
        <v>Twitter Web App</v>
      </c>
      <c r="F5331" s="12">
        <v>40755.57340277778</v>
      </c>
      <c r="G5331" s="17" t="s">
        <v>13000</v>
      </c>
      <c r="H5331" s="35" t="s">
        <v>711</v>
      </c>
      <c r="I5331" s="18" t="s">
        <v>712</v>
      </c>
    </row>
    <row r="5332" spans="1:9" s="33" customFormat="1" ht="60">
      <c r="A5332" s="12">
        <v>43577.583969907406</v>
      </c>
      <c r="B5332" s="13" t="str">
        <f>HYPERLINK("https://twitter.com/LindseyScully","@LindseyScully")</f>
        <v>@LindseyScully</v>
      </c>
      <c r="C5332" s="14" t="s">
        <v>1566</v>
      </c>
      <c r="D5332" s="15" t="s">
        <v>1567</v>
      </c>
      <c r="E5332" s="16" t="str">
        <f>HYPERLINK("http://twitter.com","Twitter Web Client")</f>
        <v>Twitter Web Client</v>
      </c>
      <c r="F5332" s="12">
        <v>40345.816168981481</v>
      </c>
      <c r="G5332" s="17" t="s">
        <v>13000</v>
      </c>
      <c r="H5332" s="35" t="s">
        <v>711</v>
      </c>
      <c r="I5332" s="18" t="s">
        <v>1568</v>
      </c>
    </row>
    <row r="5333" spans="1:9" s="33" customFormat="1" ht="45">
      <c r="A5333" s="12">
        <v>43575.498738425929</v>
      </c>
      <c r="B5333" s="13" t="str">
        <f>HYPERLINK("https://twitter.com/nisti2","@nisti2")</f>
        <v>@nisti2</v>
      </c>
      <c r="C5333" s="14" t="s">
        <v>2188</v>
      </c>
      <c r="D5333" s="15" t="s">
        <v>2189</v>
      </c>
      <c r="E5333" s="16" t="str">
        <f>HYPERLINK("http://twitter.com/download/android","Twitter for Android")</f>
        <v>Twitter for Android</v>
      </c>
      <c r="F5333" s="12">
        <v>39166.818159722221</v>
      </c>
      <c r="G5333" s="17" t="s">
        <v>13000</v>
      </c>
      <c r="H5333" s="35" t="s">
        <v>711</v>
      </c>
      <c r="I5333" s="18" t="s">
        <v>2190</v>
      </c>
    </row>
    <row r="5334" spans="1:9" s="33" customFormat="1" ht="105">
      <c r="A5334" s="12">
        <v>43575.336921296301</v>
      </c>
      <c r="B5334" s="13" t="str">
        <f>HYPERLINK("https://twitter.com/athenareich","@athenareich")</f>
        <v>@athenareich</v>
      </c>
      <c r="C5334" s="14" t="s">
        <v>2288</v>
      </c>
      <c r="D5334" s="15" t="s">
        <v>2289</v>
      </c>
      <c r="E5334" s="16" t="str">
        <f>HYPERLINK("https://www.later.com","LaterMedia")</f>
        <v>LaterMedia</v>
      </c>
      <c r="F5334" s="12">
        <v>39861.288935185185</v>
      </c>
      <c r="G5334" s="17" t="s">
        <v>13000</v>
      </c>
      <c r="H5334" s="35" t="s">
        <v>711</v>
      </c>
      <c r="I5334" s="18" t="s">
        <v>2290</v>
      </c>
    </row>
    <row r="5335" spans="1:9" s="33" customFormat="1" ht="45">
      <c r="A5335" s="12">
        <v>43572.593877314815</v>
      </c>
      <c r="B5335" s="13" t="str">
        <f>HYPERLINK("https://twitter.com/ShadiYazdan","@ShadiYazdan")</f>
        <v>@ShadiYazdan</v>
      </c>
      <c r="C5335" s="14" t="s">
        <v>3136</v>
      </c>
      <c r="D5335" s="15" t="s">
        <v>3137</v>
      </c>
      <c r="E5335" s="16" t="str">
        <f>HYPERLINK("https://www.hootsuite.com","Hootsuite Inc.")</f>
        <v>Hootsuite Inc.</v>
      </c>
      <c r="F5335" s="12">
        <v>39730.528599537036</v>
      </c>
      <c r="G5335" s="17" t="s">
        <v>13000</v>
      </c>
      <c r="H5335" s="35" t="s">
        <v>711</v>
      </c>
      <c r="I5335" s="18" t="s">
        <v>3138</v>
      </c>
    </row>
    <row r="5336" spans="1:9" s="33" customFormat="1" ht="45">
      <c r="A5336" s="12">
        <v>43571.877638888887</v>
      </c>
      <c r="B5336" s="13" t="str">
        <f>HYPERLINK("https://twitter.com/andes_str","@andes_str")</f>
        <v>@andes_str</v>
      </c>
      <c r="C5336" s="14" t="s">
        <v>3512</v>
      </c>
      <c r="D5336" s="15" t="s">
        <v>3513</v>
      </c>
      <c r="E5336" s="16" t="str">
        <f>HYPERLINK("http://twitter.com/download/android","Twitter for Android")</f>
        <v>Twitter for Android</v>
      </c>
      <c r="F5336" s="12">
        <v>43571.502141203702</v>
      </c>
      <c r="G5336" s="17" t="s">
        <v>13000</v>
      </c>
      <c r="H5336" s="35" t="s">
        <v>711</v>
      </c>
      <c r="I5336" s="18" t="s">
        <v>3514</v>
      </c>
    </row>
    <row r="5337" spans="1:9" s="33" customFormat="1" ht="60">
      <c r="A5337" s="12">
        <v>43570.839282407411</v>
      </c>
      <c r="B5337" s="13" t="str">
        <f>HYPERLINK("https://twitter.com/airbusybee","@airbusybee")</f>
        <v>@airbusybee</v>
      </c>
      <c r="C5337" s="14" t="s">
        <v>3960</v>
      </c>
      <c r="D5337" s="15" t="s">
        <v>3961</v>
      </c>
      <c r="E5337" s="16" t="str">
        <f>HYPERLINK("http://twitter.com/download/iphone","Twitter for iPhone")</f>
        <v>Twitter for iPhone</v>
      </c>
      <c r="F5337" s="12">
        <v>42494.475474537037</v>
      </c>
      <c r="G5337" s="17" t="s">
        <v>13000</v>
      </c>
      <c r="H5337" s="35" t="s">
        <v>711</v>
      </c>
      <c r="I5337" s="18" t="s">
        <v>3962</v>
      </c>
    </row>
    <row r="5338" spans="1:9" s="33" customFormat="1" ht="60">
      <c r="A5338" s="12">
        <v>43570.813680555555</v>
      </c>
      <c r="B5338" s="13" t="str">
        <f>HYPERLINK("https://twitter.com/airbusybee","@airbusybee")</f>
        <v>@airbusybee</v>
      </c>
      <c r="C5338" s="14" t="s">
        <v>3960</v>
      </c>
      <c r="D5338" s="15" t="s">
        <v>3976</v>
      </c>
      <c r="E5338" s="16" t="str">
        <f>HYPERLINK("http://twitter.com/download/iphone","Twitter for iPhone")</f>
        <v>Twitter for iPhone</v>
      </c>
      <c r="F5338" s="12">
        <v>42494.475474537037</v>
      </c>
      <c r="G5338" s="17" t="s">
        <v>13000</v>
      </c>
      <c r="H5338" s="35" t="s">
        <v>711</v>
      </c>
      <c r="I5338" s="18" t="s">
        <v>3962</v>
      </c>
    </row>
    <row r="5339" spans="1:9" s="33" customFormat="1" ht="105">
      <c r="A5339" s="12">
        <v>43569.558842592596</v>
      </c>
      <c r="B5339" s="13" t="str">
        <f>HYPERLINK("https://twitter.com/xraytext","@xraytext")</f>
        <v>@xraytext</v>
      </c>
      <c r="C5339" s="14" t="s">
        <v>4483</v>
      </c>
      <c r="D5339" s="15" t="s">
        <v>4484</v>
      </c>
      <c r="E5339" s="16" t="str">
        <f>HYPERLINK("http://twitter.com/download/android","Twitter for Android")</f>
        <v>Twitter for Android</v>
      </c>
      <c r="F5339" s="12">
        <v>41557.490763888891</v>
      </c>
      <c r="G5339" s="17" t="s">
        <v>13000</v>
      </c>
      <c r="H5339" s="35" t="s">
        <v>711</v>
      </c>
      <c r="I5339" s="18" t="s">
        <v>4485</v>
      </c>
    </row>
    <row r="5340" spans="1:9" s="33" customFormat="1" ht="90">
      <c r="A5340" s="12">
        <v>43564.636678240742</v>
      </c>
      <c r="B5340" s="13" t="str">
        <f>HYPERLINK("https://twitter.com/xraytext","@xraytext")</f>
        <v>@xraytext</v>
      </c>
      <c r="C5340" s="14" t="s">
        <v>4483</v>
      </c>
      <c r="D5340" s="15" t="s">
        <v>6481</v>
      </c>
      <c r="E5340" s="16" t="str">
        <f>HYPERLINK("http://twitter.com/download/android","Twitter for Android")</f>
        <v>Twitter for Android</v>
      </c>
      <c r="F5340" s="12">
        <v>41557.490763888891</v>
      </c>
      <c r="G5340" s="17" t="s">
        <v>13000</v>
      </c>
      <c r="H5340" s="35" t="s">
        <v>711</v>
      </c>
      <c r="I5340" s="18" t="s">
        <v>4485</v>
      </c>
    </row>
    <row r="5341" spans="1:9" s="33" customFormat="1" ht="90">
      <c r="A5341" s="19">
        <v>43550.635497685187</v>
      </c>
      <c r="B5341" s="20" t="str">
        <f>HYPERLINK("https://twitter.com/randyfmcdonald","@randyfmcdonald")</f>
        <v>@randyfmcdonald</v>
      </c>
      <c r="C5341" s="21" t="s">
        <v>7580</v>
      </c>
      <c r="D5341" s="22" t="s">
        <v>7581</v>
      </c>
      <c r="E5341" s="23" t="str">
        <f>HYPERLINK("https://www.hootsuite.com","Hootsuite Inc.")</f>
        <v>Hootsuite Inc.</v>
      </c>
      <c r="F5341" s="19">
        <v>39797.800219907411</v>
      </c>
      <c r="G5341" s="17" t="s">
        <v>13000</v>
      </c>
      <c r="H5341" s="35" t="s">
        <v>4645</v>
      </c>
      <c r="I5341" s="25"/>
    </row>
    <row r="5342" spans="1:9" s="33" customFormat="1" ht="90">
      <c r="A5342" s="19">
        <v>43546.654467592598</v>
      </c>
      <c r="B5342" s="20" t="str">
        <f>HYPERLINK("https://twitter.com/areacode416","@areacode416")</f>
        <v>@areacode416</v>
      </c>
      <c r="C5342" s="21" t="s">
        <v>8775</v>
      </c>
      <c r="D5342" s="22" t="s">
        <v>8776</v>
      </c>
      <c r="E5342" s="23" t="str">
        <f>HYPERLINK("http://twitter.com","Twitter Web Client")</f>
        <v>Twitter Web Client</v>
      </c>
      <c r="F5342" s="19">
        <v>39984.70957175926</v>
      </c>
      <c r="G5342" s="17" t="s">
        <v>13000</v>
      </c>
      <c r="H5342" s="35" t="s">
        <v>4645</v>
      </c>
      <c r="I5342" s="25" t="s">
        <v>8777</v>
      </c>
    </row>
    <row r="5343" spans="1:9" s="33" customFormat="1" ht="45">
      <c r="A5343" s="12">
        <v>43568.879178240742</v>
      </c>
      <c r="B5343" s="13" t="str">
        <f>HYPERLINK("https://twitter.com/WhatsUpTOMag","@WhatsUpTOMag")</f>
        <v>@WhatsUpTOMag</v>
      </c>
      <c r="C5343" s="14" t="s">
        <v>4643</v>
      </c>
      <c r="D5343" s="15" t="s">
        <v>4644</v>
      </c>
      <c r="E5343" s="16" t="str">
        <f>HYPERLINK("https://paper.li","Paper.li")</f>
        <v>Paper.li</v>
      </c>
      <c r="F5343" s="12">
        <v>42071.364837962959</v>
      </c>
      <c r="G5343" s="17" t="s">
        <v>13000</v>
      </c>
      <c r="H5343" s="35" t="s">
        <v>4645</v>
      </c>
      <c r="I5343" s="18" t="s">
        <v>4646</v>
      </c>
    </row>
    <row r="5344" spans="1:9" s="33" customFormat="1" ht="30">
      <c r="A5344" s="12">
        <v>43578.681597222225</v>
      </c>
      <c r="B5344" s="13" t="str">
        <f>HYPERLINK("https://twitter.com/kristynwongtam","@kristynwongtam")</f>
        <v>@kristynwongtam</v>
      </c>
      <c r="C5344" s="14" t="s">
        <v>1101</v>
      </c>
      <c r="D5344" s="15" t="s">
        <v>1102</v>
      </c>
      <c r="E5344" s="16" t="str">
        <f>HYPERLINK("http://twitter.com/download/android","Twitter for Android")</f>
        <v>Twitter for Android</v>
      </c>
      <c r="F5344" s="12">
        <v>39853.4144212963</v>
      </c>
      <c r="G5344" s="17" t="s">
        <v>13000</v>
      </c>
      <c r="H5344" s="35" t="s">
        <v>1103</v>
      </c>
      <c r="I5344" s="18" t="s">
        <v>1104</v>
      </c>
    </row>
    <row r="5345" spans="1:9" s="33" customFormat="1" ht="60">
      <c r="A5345" s="19">
        <v>43550.588796296295</v>
      </c>
      <c r="B5345" s="20" t="str">
        <f>HYPERLINK("https://twitter.com/PrefConvSvcs","@PrefConvSvcs")</f>
        <v>@PrefConvSvcs</v>
      </c>
      <c r="C5345" s="21" t="s">
        <v>718</v>
      </c>
      <c r="D5345" s="22" t="s">
        <v>7604</v>
      </c>
      <c r="E5345" s="23" t="str">
        <f>HYPERLINK("http://twitter.com","Twitter Web Client")</f>
        <v>Twitter Web Client</v>
      </c>
      <c r="F5345" s="19">
        <v>41900.373668981483</v>
      </c>
      <c r="G5345" s="17" t="s">
        <v>13000</v>
      </c>
      <c r="H5345" s="35" t="s">
        <v>720</v>
      </c>
      <c r="I5345" s="25"/>
    </row>
    <row r="5346" spans="1:9" s="33" customFormat="1" ht="75">
      <c r="A5346" s="12">
        <v>43579.374907407408</v>
      </c>
      <c r="B5346" s="13" t="str">
        <f>HYPERLINK("https://twitter.com/PrefConvSvcs","@PrefConvSvcs")</f>
        <v>@PrefConvSvcs</v>
      </c>
      <c r="C5346" s="14" t="s">
        <v>718</v>
      </c>
      <c r="D5346" s="15" t="s">
        <v>719</v>
      </c>
      <c r="E5346" s="16" t="str">
        <f>HYPERLINK("http://twitter.com","Twitter Web Client")</f>
        <v>Twitter Web Client</v>
      </c>
      <c r="F5346" s="12">
        <v>41900.373668981483</v>
      </c>
      <c r="G5346" s="17" t="s">
        <v>13000</v>
      </c>
      <c r="H5346" s="35" t="s">
        <v>720</v>
      </c>
      <c r="I5346" s="18"/>
    </row>
    <row r="5347" spans="1:9" s="33" customFormat="1" ht="60">
      <c r="A5347" s="12">
        <v>43573.422731481478</v>
      </c>
      <c r="B5347" s="13" t="str">
        <f>HYPERLINK("https://twitter.com/PrefConvSvcs","@PrefConvSvcs")</f>
        <v>@PrefConvSvcs</v>
      </c>
      <c r="C5347" s="14" t="s">
        <v>718</v>
      </c>
      <c r="D5347" s="15" t="s">
        <v>2873</v>
      </c>
      <c r="E5347" s="16" t="str">
        <f>HYPERLINK("http://twitter.com","Twitter Web Client")</f>
        <v>Twitter Web Client</v>
      </c>
      <c r="F5347" s="12">
        <v>41900.373668981483</v>
      </c>
      <c r="G5347" s="17" t="s">
        <v>13000</v>
      </c>
      <c r="H5347" s="35" t="s">
        <v>720</v>
      </c>
      <c r="I5347" s="18"/>
    </row>
    <row r="5348" spans="1:9" s="33" customFormat="1" ht="90">
      <c r="A5348" s="19">
        <v>43549.794594907406</v>
      </c>
      <c r="B5348" s="20" t="str">
        <f>HYPERLINK("https://twitter.com/MahendraSnoopy","@MahendraSnoopy")</f>
        <v>@MahendraSnoopy</v>
      </c>
      <c r="C5348" s="21" t="s">
        <v>7925</v>
      </c>
      <c r="D5348" s="22" t="s">
        <v>7926</v>
      </c>
      <c r="E5348" s="23" t="str">
        <f>HYPERLINK("http://www.facebook.com/twitter","Facebook")</f>
        <v>Facebook</v>
      </c>
      <c r="F5348" s="19">
        <v>39804.557233796295</v>
      </c>
      <c r="G5348" s="9" t="s">
        <v>13000</v>
      </c>
      <c r="H5348" s="35" t="s">
        <v>7927</v>
      </c>
      <c r="I5348" s="25" t="s">
        <v>7928</v>
      </c>
    </row>
    <row r="5349" spans="1:9" s="33" customFormat="1" ht="105">
      <c r="A5349" s="19">
        <v>43547.274328703701</v>
      </c>
      <c r="B5349" s="20" t="str">
        <f>HYPERLINK("https://twitter.com/MahendraSnoopy","@MahendraSnoopy")</f>
        <v>@MahendraSnoopy</v>
      </c>
      <c r="C5349" s="21" t="s">
        <v>7925</v>
      </c>
      <c r="D5349" s="22" t="s">
        <v>8602</v>
      </c>
      <c r="E5349" s="23" t="str">
        <f>HYPERLINK("http://www.facebook.com/twitter","Facebook")</f>
        <v>Facebook</v>
      </c>
      <c r="F5349" s="19">
        <v>39804.557233796295</v>
      </c>
      <c r="G5349" s="9" t="s">
        <v>13000</v>
      </c>
      <c r="H5349" s="35" t="s">
        <v>7927</v>
      </c>
      <c r="I5349" s="25" t="s">
        <v>7928</v>
      </c>
    </row>
    <row r="5350" spans="1:9" s="33" customFormat="1" ht="105">
      <c r="A5350" s="19">
        <v>43546.82130787037</v>
      </c>
      <c r="B5350" s="20" t="str">
        <f>HYPERLINK("https://twitter.com/MahendraSnoopy","@MahendraSnoopy")</f>
        <v>@MahendraSnoopy</v>
      </c>
      <c r="C5350" s="21" t="s">
        <v>7925</v>
      </c>
      <c r="D5350" s="22" t="s">
        <v>8602</v>
      </c>
      <c r="E5350" s="23" t="str">
        <f>HYPERLINK("http://www.facebook.com/twitter","Facebook")</f>
        <v>Facebook</v>
      </c>
      <c r="F5350" s="19">
        <v>39804.557233796295</v>
      </c>
      <c r="G5350" s="9" t="s">
        <v>13000</v>
      </c>
      <c r="H5350" s="35" t="s">
        <v>7927</v>
      </c>
      <c r="I5350" s="25" t="s">
        <v>7928</v>
      </c>
    </row>
    <row r="5351" spans="1:9" s="33" customFormat="1" ht="90">
      <c r="A5351" s="4">
        <v>43563.562534722223</v>
      </c>
      <c r="B5351" s="5" t="str">
        <f>HYPERLINK("https://twitter.com/thefour910","@thefour910")</f>
        <v>@thefour910</v>
      </c>
      <c r="C5351" s="6" t="s">
        <v>10226</v>
      </c>
      <c r="D5351" s="7" t="s">
        <v>10227</v>
      </c>
      <c r="E5351" s="8" t="str">
        <f>HYPERLINK("http://www.socialnewsdesk.com","SocialNewsDesk")</f>
        <v>SocialNewsDesk</v>
      </c>
      <c r="F5351" s="4">
        <v>43098.422442129631</v>
      </c>
      <c r="G5351" s="9" t="s">
        <v>13000</v>
      </c>
      <c r="H5351" s="35" t="s">
        <v>7927</v>
      </c>
      <c r="I5351" s="10" t="s">
        <v>10228</v>
      </c>
    </row>
    <row r="5352" spans="1:9" s="33" customFormat="1" ht="45">
      <c r="A5352" s="4">
        <v>43560.749340277776</v>
      </c>
      <c r="B5352" s="5" t="str">
        <f>HYPERLINK("https://twitter.com/StonebrookVista","@StonebrookVista")</f>
        <v>@StonebrookVista</v>
      </c>
      <c r="C5352" s="6" t="s">
        <v>11183</v>
      </c>
      <c r="D5352" s="7" t="s">
        <v>11184</v>
      </c>
      <c r="E5352" s="8" t="str">
        <f>HYPERLINK("http://twitter.com/download/iphone","Twitter for iPhone")</f>
        <v>Twitter for iPhone</v>
      </c>
      <c r="F5352" s="4">
        <v>40939.65766203704</v>
      </c>
      <c r="G5352" s="9" t="s">
        <v>13000</v>
      </c>
      <c r="H5352" s="35" t="s">
        <v>11185</v>
      </c>
      <c r="I5352" s="10" t="s">
        <v>11186</v>
      </c>
    </row>
    <row r="5353" spans="1:9" s="33" customFormat="1" ht="75">
      <c r="A5353" s="4">
        <v>43561.469525462962</v>
      </c>
      <c r="B5353" s="5" t="str">
        <f>HYPERLINK("https://twitter.com/PunkRockPippy","@PunkRockPippy")</f>
        <v>@PunkRockPippy</v>
      </c>
      <c r="C5353" s="6" t="s">
        <v>10965</v>
      </c>
      <c r="D5353" s="7" t="s">
        <v>10966</v>
      </c>
      <c r="E5353" s="8" t="str">
        <f>HYPERLINK("http://instagram.com","Instagram")</f>
        <v>Instagram</v>
      </c>
      <c r="F5353" s="4">
        <v>43551.665995370371</v>
      </c>
      <c r="G5353" s="17" t="s">
        <v>13000</v>
      </c>
      <c r="H5353" s="35" t="s">
        <v>10967</v>
      </c>
      <c r="I5353" s="10" t="s">
        <v>10968</v>
      </c>
    </row>
    <row r="5354" spans="1:9" s="33" customFormat="1" ht="75">
      <c r="A5354" s="19">
        <v>43543.631238425922</v>
      </c>
      <c r="B5354" s="20" t="str">
        <f>HYPERLINK("https://twitter.com/tuckerballister","@tuckerballister")</f>
        <v>@tuckerballister</v>
      </c>
      <c r="C5354" s="21" t="s">
        <v>9724</v>
      </c>
      <c r="D5354" s="22" t="s">
        <v>9725</v>
      </c>
      <c r="E5354" s="23" t="str">
        <f>HYPERLINK("http://twitter.com","Twitter Web Client")</f>
        <v>Twitter Web Client</v>
      </c>
      <c r="F5354" s="19">
        <v>42030.623020833329</v>
      </c>
      <c r="G5354" s="24" t="s">
        <v>13000</v>
      </c>
      <c r="H5354" s="35" t="s">
        <v>9726</v>
      </c>
      <c r="I5354" s="25" t="s">
        <v>9727</v>
      </c>
    </row>
    <row r="5355" spans="1:9" s="33" customFormat="1" ht="45">
      <c r="A5355" s="19">
        <v>43550.895902777775</v>
      </c>
      <c r="B5355" s="20" t="str">
        <f>HYPERLINK("https://twitter.com/rtehrani","@rtehrani")</f>
        <v>@rtehrani</v>
      </c>
      <c r="C5355" s="21" t="s">
        <v>7471</v>
      </c>
      <c r="D5355" s="22" t="s">
        <v>7456</v>
      </c>
      <c r="E5355" s="23" t="str">
        <f>HYPERLINK("https://buffer.com","Buffer")</f>
        <v>Buffer</v>
      </c>
      <c r="F5355" s="19">
        <v>39202.312974537039</v>
      </c>
      <c r="G5355" s="24" t="s">
        <v>13000</v>
      </c>
      <c r="H5355" s="35" t="s">
        <v>7472</v>
      </c>
      <c r="I5355" s="25" t="s">
        <v>7473</v>
      </c>
    </row>
    <row r="5356" spans="1:9" s="33" customFormat="1" ht="75">
      <c r="A5356" s="12">
        <v>43572.239710648151</v>
      </c>
      <c r="B5356" s="13" t="str">
        <f>HYPERLINK("https://twitter.com/AlanDayAuthor","@AlanDayAuthor")</f>
        <v>@AlanDayAuthor</v>
      </c>
      <c r="C5356" s="14" t="s">
        <v>3362</v>
      </c>
      <c r="D5356" s="15" t="s">
        <v>3363</v>
      </c>
      <c r="E5356" s="16" t="str">
        <f>HYPERLINK("https://www.hootsuite.com","Hootsuite Inc.")</f>
        <v>Hootsuite Inc.</v>
      </c>
      <c r="F5356" s="12">
        <v>41445.513877314814</v>
      </c>
      <c r="G5356" s="17" t="s">
        <v>13000</v>
      </c>
      <c r="H5356" s="35" t="s">
        <v>3364</v>
      </c>
      <c r="I5356" s="18" t="s">
        <v>3365</v>
      </c>
    </row>
    <row r="5357" spans="1:9" s="33" customFormat="1" ht="105">
      <c r="A5357" s="12">
        <v>43566.518692129626</v>
      </c>
      <c r="B5357" s="13" t="str">
        <f>HYPERLINK("https://twitter.com/AutumnKCampbell","@AutumnKCampbell")</f>
        <v>@AutumnKCampbell</v>
      </c>
      <c r="C5357" s="14" t="s">
        <v>5460</v>
      </c>
      <c r="D5357" s="15" t="s">
        <v>5461</v>
      </c>
      <c r="E5357" s="16" t="str">
        <f>HYPERLINK("http://twitter.com/download/android","Twitter for Android")</f>
        <v>Twitter for Android</v>
      </c>
      <c r="F5357" s="12">
        <v>42221.614039351851</v>
      </c>
      <c r="G5357" s="17" t="s">
        <v>13000</v>
      </c>
      <c r="H5357" s="35" t="s">
        <v>5462</v>
      </c>
      <c r="I5357" s="18" t="s">
        <v>5463</v>
      </c>
    </row>
    <row r="5358" spans="1:9" s="33" customFormat="1" ht="105">
      <c r="A5358" s="19">
        <v>43547.191481481481</v>
      </c>
      <c r="B5358" s="20" t="str">
        <f t="shared" ref="B5358:B5364" si="201">HYPERLINK("https://twitter.com/imaginetulum","@imaginetulum")</f>
        <v>@imaginetulum</v>
      </c>
      <c r="C5358" s="21" t="s">
        <v>637</v>
      </c>
      <c r="D5358" s="22" t="s">
        <v>8640</v>
      </c>
      <c r="E5358" s="23" t="str">
        <f t="shared" ref="E5358:E5364" si="202">HYPERLINK("http://twitter.com/download/iphone","Twitter for iPhone")</f>
        <v>Twitter for iPhone</v>
      </c>
      <c r="F5358" s="19">
        <v>43089.324016203704</v>
      </c>
      <c r="G5358" s="17" t="s">
        <v>13000</v>
      </c>
      <c r="H5358" s="35" t="s">
        <v>639</v>
      </c>
      <c r="I5358" s="25" t="s">
        <v>640</v>
      </c>
    </row>
    <row r="5359" spans="1:9" s="33" customFormat="1" ht="90">
      <c r="A5359" s="4">
        <v>43562.170381944445</v>
      </c>
      <c r="B5359" s="5" t="str">
        <f t="shared" si="201"/>
        <v>@imaginetulum</v>
      </c>
      <c r="C5359" s="6" t="s">
        <v>637</v>
      </c>
      <c r="D5359" s="7" t="s">
        <v>10737</v>
      </c>
      <c r="E5359" s="8" t="str">
        <f t="shared" si="202"/>
        <v>Twitter for iPhone</v>
      </c>
      <c r="F5359" s="4">
        <v>43089.324016203704</v>
      </c>
      <c r="G5359" s="17" t="s">
        <v>13000</v>
      </c>
      <c r="H5359" s="35" t="s">
        <v>639</v>
      </c>
      <c r="I5359" s="10" t="s">
        <v>640</v>
      </c>
    </row>
    <row r="5360" spans="1:9" s="33" customFormat="1" ht="45">
      <c r="A5360" s="12">
        <v>43579.474745370375</v>
      </c>
      <c r="B5360" s="13" t="str">
        <f t="shared" si="201"/>
        <v>@imaginetulum</v>
      </c>
      <c r="C5360" s="14" t="s">
        <v>637</v>
      </c>
      <c r="D5360" s="15" t="s">
        <v>638</v>
      </c>
      <c r="E5360" s="16" t="str">
        <f t="shared" si="202"/>
        <v>Twitter for iPhone</v>
      </c>
      <c r="F5360" s="12">
        <v>43089.324016203704</v>
      </c>
      <c r="G5360" s="17" t="s">
        <v>13000</v>
      </c>
      <c r="H5360" s="35" t="s">
        <v>639</v>
      </c>
      <c r="I5360" s="18" t="s">
        <v>640</v>
      </c>
    </row>
    <row r="5361" spans="1:9" s="33" customFormat="1" ht="105">
      <c r="A5361" s="12">
        <v>43577.157534722224</v>
      </c>
      <c r="B5361" s="13" t="str">
        <f t="shared" si="201"/>
        <v>@imaginetulum</v>
      </c>
      <c r="C5361" s="14" t="s">
        <v>637</v>
      </c>
      <c r="D5361" s="15" t="s">
        <v>1735</v>
      </c>
      <c r="E5361" s="16" t="str">
        <f t="shared" si="202"/>
        <v>Twitter for iPhone</v>
      </c>
      <c r="F5361" s="12">
        <v>43089.324016203704</v>
      </c>
      <c r="G5361" s="17" t="s">
        <v>13000</v>
      </c>
      <c r="H5361" s="35" t="s">
        <v>639</v>
      </c>
      <c r="I5361" s="18" t="s">
        <v>640</v>
      </c>
    </row>
    <row r="5362" spans="1:9" s="33" customFormat="1" ht="105">
      <c r="A5362" s="12">
        <v>43577.150300925925</v>
      </c>
      <c r="B5362" s="13" t="str">
        <f t="shared" si="201"/>
        <v>@imaginetulum</v>
      </c>
      <c r="C5362" s="14" t="s">
        <v>637</v>
      </c>
      <c r="D5362" s="15" t="s">
        <v>1737</v>
      </c>
      <c r="E5362" s="16" t="str">
        <f t="shared" si="202"/>
        <v>Twitter for iPhone</v>
      </c>
      <c r="F5362" s="12">
        <v>43089.324016203704</v>
      </c>
      <c r="G5362" s="17" t="s">
        <v>13000</v>
      </c>
      <c r="H5362" s="35" t="s">
        <v>639</v>
      </c>
      <c r="I5362" s="18" t="s">
        <v>640</v>
      </c>
    </row>
    <row r="5363" spans="1:9" s="33" customFormat="1" ht="105">
      <c r="A5363" s="12">
        <v>43575.312881944439</v>
      </c>
      <c r="B5363" s="13" t="str">
        <f t="shared" si="201"/>
        <v>@imaginetulum</v>
      </c>
      <c r="C5363" s="14" t="s">
        <v>637</v>
      </c>
      <c r="D5363" s="15" t="s">
        <v>2301</v>
      </c>
      <c r="E5363" s="16" t="str">
        <f t="shared" si="202"/>
        <v>Twitter for iPhone</v>
      </c>
      <c r="F5363" s="12">
        <v>43089.324016203704</v>
      </c>
      <c r="G5363" s="17" t="s">
        <v>13000</v>
      </c>
      <c r="H5363" s="35" t="s">
        <v>639</v>
      </c>
      <c r="I5363" s="18" t="s">
        <v>640</v>
      </c>
    </row>
    <row r="5364" spans="1:9" s="33" customFormat="1" ht="105">
      <c r="A5364" s="12">
        <v>43572.72274305555</v>
      </c>
      <c r="B5364" s="13" t="str">
        <f t="shared" si="201"/>
        <v>@imaginetulum</v>
      </c>
      <c r="C5364" s="14" t="s">
        <v>637</v>
      </c>
      <c r="D5364" s="15" t="s">
        <v>3108</v>
      </c>
      <c r="E5364" s="16" t="str">
        <f t="shared" si="202"/>
        <v>Twitter for iPhone</v>
      </c>
      <c r="F5364" s="12">
        <v>43089.324016203704</v>
      </c>
      <c r="G5364" s="17" t="s">
        <v>13000</v>
      </c>
      <c r="H5364" s="35" t="s">
        <v>639</v>
      </c>
      <c r="I5364" s="18" t="s">
        <v>640</v>
      </c>
    </row>
    <row r="5365" spans="1:9" s="33" customFormat="1" ht="75">
      <c r="A5365" s="12">
        <v>43571.84211805556</v>
      </c>
      <c r="B5365" s="13" t="str">
        <f>HYPERLINK("https://twitter.com/IamRanaldo","@IamRanaldo")</f>
        <v>@IamRanaldo</v>
      </c>
      <c r="C5365" s="14" t="s">
        <v>3524</v>
      </c>
      <c r="D5365" s="15" t="s">
        <v>3525</v>
      </c>
      <c r="E5365" s="16" t="str">
        <f>HYPERLINK("http://twitter.com/download/android","Twitter for Android")</f>
        <v>Twitter for Android</v>
      </c>
      <c r="F5365" s="12">
        <v>40052.494571759264</v>
      </c>
      <c r="G5365" s="17" t="s">
        <v>13000</v>
      </c>
      <c r="H5365" s="35" t="s">
        <v>3526</v>
      </c>
      <c r="I5365" s="18" t="s">
        <v>3527</v>
      </c>
    </row>
    <row r="5366" spans="1:9" s="33" customFormat="1" ht="45">
      <c r="A5366" s="12">
        <v>43577.133020833338</v>
      </c>
      <c r="B5366" s="13" t="str">
        <f>HYPERLINK("https://twitter.com/belladaniel","@belladaniel")</f>
        <v>@belladaniel</v>
      </c>
      <c r="C5366" s="14" t="s">
        <v>1741</v>
      </c>
      <c r="D5366" s="15" t="s">
        <v>1742</v>
      </c>
      <c r="E5366" s="16" t="str">
        <f>HYPERLINK("https://dlvrit.com/","dlvr.it")</f>
        <v>dlvr.it</v>
      </c>
      <c r="F5366" s="12">
        <v>39883.973263888889</v>
      </c>
      <c r="G5366" s="9" t="s">
        <v>13000</v>
      </c>
      <c r="H5366" s="35" t="s">
        <v>1743</v>
      </c>
      <c r="I5366" s="18" t="s">
        <v>1744</v>
      </c>
    </row>
    <row r="5367" spans="1:9" s="33" customFormat="1" ht="180">
      <c r="A5367" s="4">
        <v>43564.15623842593</v>
      </c>
      <c r="B5367" s="5" t="str">
        <f>HYPERLINK("https://twitter.com/beyrima","@beyrima")</f>
        <v>@beyrima</v>
      </c>
      <c r="C5367" s="6" t="s">
        <v>6759</v>
      </c>
      <c r="D5367" s="7" t="s">
        <v>6760</v>
      </c>
      <c r="E5367" s="8" t="str">
        <f>HYPERLINK("http://twitter.com/download/iphone","Twitter for iPhone")</f>
        <v>Twitter for iPhone</v>
      </c>
      <c r="F5367" s="4">
        <v>43125.548206018517</v>
      </c>
      <c r="G5367" s="9" t="s">
        <v>13000</v>
      </c>
      <c r="H5367" s="35" t="s">
        <v>6761</v>
      </c>
      <c r="I5367" s="10" t="s">
        <v>6762</v>
      </c>
    </row>
    <row r="5368" spans="1:9" s="33" customFormat="1" ht="90">
      <c r="A5368" s="19">
        <v>43546.341192129628</v>
      </c>
      <c r="B5368" s="20" t="str">
        <f>HYPERLINK("https://twitter.com/lauralino","@lauralino")</f>
        <v>@lauralino</v>
      </c>
      <c r="C5368" s="21" t="s">
        <v>8895</v>
      </c>
      <c r="D5368" s="22" t="s">
        <v>8896</v>
      </c>
      <c r="E5368" s="23" t="str">
        <f>HYPERLINK("http://www.facebook.com/twitter","Facebook")</f>
        <v>Facebook</v>
      </c>
      <c r="F5368" s="19">
        <v>39878.561412037037</v>
      </c>
      <c r="G5368" s="9" t="s">
        <v>13000</v>
      </c>
      <c r="H5368" s="35" t="s">
        <v>8897</v>
      </c>
      <c r="I5368" s="25" t="s">
        <v>8898</v>
      </c>
    </row>
    <row r="5369" spans="1:9" s="33" customFormat="1" ht="30">
      <c r="A5369" s="4">
        <v>43560.746967592597</v>
      </c>
      <c r="B5369" s="5" t="str">
        <f>HYPERLINK("https://twitter.com/Kimspiracy1","@Kimspiracy1")</f>
        <v>@Kimspiracy1</v>
      </c>
      <c r="C5369" s="6" t="s">
        <v>11199</v>
      </c>
      <c r="D5369" s="7" t="s">
        <v>11200</v>
      </c>
      <c r="E5369" s="8" t="str">
        <f>HYPERLINK("http://twitter.com/download/iphone","Twitter for iPhone")</f>
        <v>Twitter for iPhone</v>
      </c>
      <c r="F5369" s="4">
        <v>43533.478495370371</v>
      </c>
      <c r="G5369" s="9" t="s">
        <v>13000</v>
      </c>
      <c r="H5369" s="35" t="s">
        <v>11201</v>
      </c>
      <c r="I5369" s="10" t="s">
        <v>11202</v>
      </c>
    </row>
    <row r="5370" spans="1:9" s="33" customFormat="1" ht="45">
      <c r="A5370" s="4">
        <v>43558.525648148148</v>
      </c>
      <c r="B5370" s="5" t="str">
        <f>HYPERLINK("https://twitter.com/TinyHomesRule","@TinyHomesRule")</f>
        <v>@TinyHomesRule</v>
      </c>
      <c r="C5370" s="6" t="s">
        <v>2727</v>
      </c>
      <c r="D5370" s="7" t="s">
        <v>12141</v>
      </c>
      <c r="E5370" s="8" t="str">
        <f>HYPERLINK("http://twitter.com","Twitter Web Client")</f>
        <v>Twitter Web Client</v>
      </c>
      <c r="F5370" s="4">
        <v>42223.351631944446</v>
      </c>
      <c r="G5370" s="17" t="s">
        <v>13000</v>
      </c>
      <c r="H5370" s="35" t="s">
        <v>2729</v>
      </c>
      <c r="I5370" s="10" t="s">
        <v>2730</v>
      </c>
    </row>
    <row r="5371" spans="1:9" s="33" customFormat="1" ht="60">
      <c r="A5371" s="12">
        <v>43573.821979166663</v>
      </c>
      <c r="B5371" s="13" t="str">
        <f>HYPERLINK("https://twitter.com/TinyHomesRule","@TinyHomesRule")</f>
        <v>@TinyHomesRule</v>
      </c>
      <c r="C5371" s="14" t="s">
        <v>2727</v>
      </c>
      <c r="D5371" s="15" t="s">
        <v>2728</v>
      </c>
      <c r="E5371" s="16" t="str">
        <f>HYPERLINK("http://twitter.com","Twitter Web Client")</f>
        <v>Twitter Web Client</v>
      </c>
      <c r="F5371" s="12">
        <v>42223.351631944446</v>
      </c>
      <c r="G5371" s="17" t="s">
        <v>13000</v>
      </c>
      <c r="H5371" s="35" t="s">
        <v>2729</v>
      </c>
      <c r="I5371" s="18" t="s">
        <v>2730</v>
      </c>
    </row>
    <row r="5372" spans="1:9" s="33" customFormat="1" ht="105">
      <c r="A5372" s="12">
        <v>43565.949525462958</v>
      </c>
      <c r="B5372" s="13" t="str">
        <f>HYPERLINK("https://twitter.com/venturecompany","@venturecompany")</f>
        <v>@venturecompany</v>
      </c>
      <c r="C5372" s="14" t="s">
        <v>5839</v>
      </c>
      <c r="D5372" s="15" t="s">
        <v>5840</v>
      </c>
      <c r="E5372" s="16" t="str">
        <f>HYPERLINK("http://venturecompany.com","TVC WP-to-tweet")</f>
        <v>TVC WP-to-tweet</v>
      </c>
      <c r="F5372" s="12">
        <v>39876.521354166667</v>
      </c>
      <c r="G5372" s="17" t="s">
        <v>13000</v>
      </c>
      <c r="H5372" s="35" t="s">
        <v>5841</v>
      </c>
      <c r="I5372" s="18" t="s">
        <v>5842</v>
      </c>
    </row>
    <row r="5373" spans="1:9" s="33" customFormat="1" ht="120">
      <c r="A5373" s="19">
        <v>43551.496747685189</v>
      </c>
      <c r="B5373" s="20" t="str">
        <f>HYPERLINK("https://twitter.com/bnbprogram","@bnbprogram")</f>
        <v>@bnbprogram</v>
      </c>
      <c r="C5373" s="21" t="s">
        <v>108</v>
      </c>
      <c r="D5373" s="22" t="s">
        <v>7159</v>
      </c>
      <c r="E5373" s="23" t="str">
        <f>HYPERLINK("http://twitter.com/download/iphone","Twitter for iPhone")</f>
        <v>Twitter for iPhone</v>
      </c>
      <c r="F5373" s="19">
        <v>43182.268159722225</v>
      </c>
      <c r="G5373" s="24" t="s">
        <v>13000</v>
      </c>
      <c r="H5373" s="35" t="s">
        <v>106</v>
      </c>
      <c r="I5373" s="25" t="s">
        <v>110</v>
      </c>
    </row>
    <row r="5374" spans="1:9" s="33" customFormat="1" ht="45">
      <c r="A5374" s="19">
        <v>43550.795439814814</v>
      </c>
      <c r="B5374" s="20" t="str">
        <f>HYPERLINK("https://twitter.com/JamesMoonLaw","@JamesMoonLaw")</f>
        <v>@JamesMoonLaw</v>
      </c>
      <c r="C5374" s="21" t="s">
        <v>7503</v>
      </c>
      <c r="D5374" s="22" t="s">
        <v>7504</v>
      </c>
      <c r="E5374" s="23" t="str">
        <f>HYPERLINK("http://twitter.com/download/android","Twitter for Android")</f>
        <v>Twitter for Android</v>
      </c>
      <c r="F5374" s="19">
        <v>39898.878032407403</v>
      </c>
      <c r="G5374" s="24" t="s">
        <v>13000</v>
      </c>
      <c r="H5374" s="35" t="s">
        <v>106</v>
      </c>
      <c r="I5374" s="25" t="s">
        <v>7505</v>
      </c>
    </row>
    <row r="5375" spans="1:9" s="33" customFormat="1" ht="105">
      <c r="A5375" s="19">
        <v>43550.708368055552</v>
      </c>
      <c r="B5375" s="20" t="str">
        <f>HYPERLINK("https://twitter.com/LASavage15","@LASavage15")</f>
        <v>@LASavage15</v>
      </c>
      <c r="C5375" s="21" t="s">
        <v>3446</v>
      </c>
      <c r="D5375" s="22" t="s">
        <v>7531</v>
      </c>
      <c r="E5375" s="23" t="str">
        <f>HYPERLINK("https://buffer.com","Buffer")</f>
        <v>Buffer</v>
      </c>
      <c r="F5375" s="19">
        <v>42832.147986111115</v>
      </c>
      <c r="G5375" s="24" t="s">
        <v>13000</v>
      </c>
      <c r="H5375" s="35" t="s">
        <v>106</v>
      </c>
      <c r="I5375" s="25" t="s">
        <v>3448</v>
      </c>
    </row>
    <row r="5376" spans="1:9" s="33" customFormat="1" ht="60">
      <c r="A5376" s="19">
        <v>43550.645231481481</v>
      </c>
      <c r="B5376" s="20" t="str">
        <f>HYPERLINK("https://twitter.com/GorillaMentor","@GorillaMentor")</f>
        <v>@GorillaMentor</v>
      </c>
      <c r="C5376" s="21" t="s">
        <v>1971</v>
      </c>
      <c r="D5376" s="22" t="s">
        <v>7578</v>
      </c>
      <c r="E5376" s="23" t="str">
        <f>HYPERLINK("http://instagram.com","Instagram")</f>
        <v>Instagram</v>
      </c>
      <c r="F5376" s="19">
        <v>39997.894976851851</v>
      </c>
      <c r="G5376" s="24" t="s">
        <v>13000</v>
      </c>
      <c r="H5376" s="35" t="s">
        <v>106</v>
      </c>
      <c r="I5376" s="25" t="s">
        <v>1973</v>
      </c>
    </row>
    <row r="5377" spans="1:9" s="33" customFormat="1" ht="75">
      <c r="A5377" s="19">
        <v>43550.644513888888</v>
      </c>
      <c r="B5377" s="20" t="str">
        <f>HYPERLINK("https://twitter.com/GorillaMentor","@GorillaMentor")</f>
        <v>@GorillaMentor</v>
      </c>
      <c r="C5377" s="21" t="s">
        <v>1971</v>
      </c>
      <c r="D5377" s="22" t="s">
        <v>7579</v>
      </c>
      <c r="E5377" s="23" t="str">
        <f>HYPERLINK("http://instagram.com","Instagram")</f>
        <v>Instagram</v>
      </c>
      <c r="F5377" s="19">
        <v>39997.894976851851</v>
      </c>
      <c r="G5377" s="24" t="s">
        <v>13000</v>
      </c>
      <c r="H5377" s="35" t="s">
        <v>106</v>
      </c>
      <c r="I5377" s="25" t="s">
        <v>1973</v>
      </c>
    </row>
    <row r="5378" spans="1:9" s="33" customFormat="1" ht="45">
      <c r="A5378" s="19">
        <v>43549.951562499999</v>
      </c>
      <c r="B5378" s="20" t="str">
        <f>HYPERLINK("https://twitter.com/CouponFleek","@CouponFleek")</f>
        <v>@CouponFleek</v>
      </c>
      <c r="C5378" s="21" t="s">
        <v>1717</v>
      </c>
      <c r="D5378" s="22" t="s">
        <v>3158</v>
      </c>
      <c r="E5378" s="23" t="str">
        <f>HYPERLINK("http://twitter.com","Twitter Web Client")</f>
        <v>Twitter Web Client</v>
      </c>
      <c r="F5378" s="19">
        <v>42574.170451388884</v>
      </c>
      <c r="G5378" s="24" t="s">
        <v>13000</v>
      </c>
      <c r="H5378" s="35" t="s">
        <v>106</v>
      </c>
      <c r="I5378" s="25" t="s">
        <v>1719</v>
      </c>
    </row>
    <row r="5379" spans="1:9" s="33" customFormat="1" ht="90">
      <c r="A5379" s="19">
        <v>43549.833449074074</v>
      </c>
      <c r="B5379" s="20" t="str">
        <f>HYPERLINK("https://twitter.com/LASavage15","@LASavage15")</f>
        <v>@LASavage15</v>
      </c>
      <c r="C5379" s="21" t="s">
        <v>3446</v>
      </c>
      <c r="D5379" s="22" t="s">
        <v>7908</v>
      </c>
      <c r="E5379" s="23" t="str">
        <f>HYPERLINK("https://buffer.com","Buffer")</f>
        <v>Buffer</v>
      </c>
      <c r="F5379" s="19">
        <v>42832.147986111115</v>
      </c>
      <c r="G5379" s="24" t="s">
        <v>13000</v>
      </c>
      <c r="H5379" s="35" t="s">
        <v>106</v>
      </c>
      <c r="I5379" s="25" t="s">
        <v>3448</v>
      </c>
    </row>
    <row r="5380" spans="1:9" s="33" customFormat="1" ht="60">
      <c r="A5380" s="19">
        <v>43549.719467592593</v>
      </c>
      <c r="B5380" s="20" t="str">
        <f>HYPERLINK("https://twitter.com/GorillaMentor","@GorillaMentor")</f>
        <v>@GorillaMentor</v>
      </c>
      <c r="C5380" s="21" t="s">
        <v>1971</v>
      </c>
      <c r="D5380" s="22" t="s">
        <v>7937</v>
      </c>
      <c r="E5380" s="23" t="str">
        <f>HYPERLINK("http://instagram.com","Instagram")</f>
        <v>Instagram</v>
      </c>
      <c r="F5380" s="19">
        <v>39997.894976851851</v>
      </c>
      <c r="G5380" s="24" t="s">
        <v>13000</v>
      </c>
      <c r="H5380" s="35" t="s">
        <v>106</v>
      </c>
      <c r="I5380" s="25" t="s">
        <v>1973</v>
      </c>
    </row>
    <row r="5381" spans="1:9" s="33" customFormat="1" ht="60">
      <c r="A5381" s="19">
        <v>43549.718287037038</v>
      </c>
      <c r="B5381" s="20" t="str">
        <f>HYPERLINK("https://twitter.com/GorillaMentor","@GorillaMentor")</f>
        <v>@GorillaMentor</v>
      </c>
      <c r="C5381" s="21" t="s">
        <v>1971</v>
      </c>
      <c r="D5381" s="22" t="s">
        <v>7938</v>
      </c>
      <c r="E5381" s="23" t="str">
        <f>HYPERLINK("http://instagram.com","Instagram")</f>
        <v>Instagram</v>
      </c>
      <c r="F5381" s="19">
        <v>39997.894976851851</v>
      </c>
      <c r="G5381" s="24" t="s">
        <v>13000</v>
      </c>
      <c r="H5381" s="35" t="s">
        <v>106</v>
      </c>
      <c r="I5381" s="25" t="s">
        <v>1973</v>
      </c>
    </row>
    <row r="5382" spans="1:9" s="33" customFormat="1" ht="90">
      <c r="A5382" s="19">
        <v>43549.619456018518</v>
      </c>
      <c r="B5382" s="20" t="str">
        <f>HYPERLINK("https://twitter.com/cbizVRI","@cbizVRI")</f>
        <v>@cbizVRI</v>
      </c>
      <c r="C5382" s="21" t="s">
        <v>2560</v>
      </c>
      <c r="D5382" s="22" t="s">
        <v>7959</v>
      </c>
      <c r="E5382" s="23" t="str">
        <f>HYPERLINK("http://www.hubspot.com/","HubSpot")</f>
        <v>HubSpot</v>
      </c>
      <c r="F5382" s="19">
        <v>42893.499884259261</v>
      </c>
      <c r="G5382" s="24" t="s">
        <v>13000</v>
      </c>
      <c r="H5382" s="35" t="s">
        <v>106</v>
      </c>
      <c r="I5382" s="25" t="s">
        <v>2562</v>
      </c>
    </row>
    <row r="5383" spans="1:9" s="33" customFormat="1" ht="105">
      <c r="A5383" s="19">
        <v>43549.583506944444</v>
      </c>
      <c r="B5383" s="20" t="str">
        <f>HYPERLINK("https://twitter.com/LASavage15","@LASavage15")</f>
        <v>@LASavage15</v>
      </c>
      <c r="C5383" s="21" t="s">
        <v>3446</v>
      </c>
      <c r="D5383" s="22" t="s">
        <v>7980</v>
      </c>
      <c r="E5383" s="23" t="str">
        <f>HYPERLINK("https://buffer.com","Buffer")</f>
        <v>Buffer</v>
      </c>
      <c r="F5383" s="19">
        <v>42832.147986111115</v>
      </c>
      <c r="G5383" s="24" t="s">
        <v>13000</v>
      </c>
      <c r="H5383" s="35" t="s">
        <v>106</v>
      </c>
      <c r="I5383" s="25" t="s">
        <v>3448</v>
      </c>
    </row>
    <row r="5384" spans="1:9" s="33" customFormat="1" ht="120">
      <c r="A5384" s="19">
        <v>43549.506215277783</v>
      </c>
      <c r="B5384" s="20" t="str">
        <f>HYPERLINK("https://twitter.com/bnbprogram","@bnbprogram")</f>
        <v>@bnbprogram</v>
      </c>
      <c r="C5384" s="21" t="s">
        <v>108</v>
      </c>
      <c r="D5384" s="22" t="s">
        <v>8011</v>
      </c>
      <c r="E5384" s="23" t="str">
        <f>HYPERLINK("http://twitter.com/download/iphone","Twitter for iPhone")</f>
        <v>Twitter for iPhone</v>
      </c>
      <c r="F5384" s="19">
        <v>43182.268159722225</v>
      </c>
      <c r="G5384" s="24" t="s">
        <v>13000</v>
      </c>
      <c r="H5384" s="35" t="s">
        <v>106</v>
      </c>
      <c r="I5384" s="25" t="s">
        <v>110</v>
      </c>
    </row>
    <row r="5385" spans="1:9" s="33" customFormat="1" ht="30">
      <c r="A5385" s="19">
        <v>43549.274317129632</v>
      </c>
      <c r="B5385" s="20" t="str">
        <f>HYPERLINK("https://twitter.com/JamesMoonLaw","@JamesMoonLaw")</f>
        <v>@JamesMoonLaw</v>
      </c>
      <c r="C5385" s="21" t="s">
        <v>7503</v>
      </c>
      <c r="D5385" s="22" t="s">
        <v>8111</v>
      </c>
      <c r="E5385" s="23" t="str">
        <f>HYPERLINK("http://twitter.com/download/android","Twitter for Android")</f>
        <v>Twitter for Android</v>
      </c>
      <c r="F5385" s="19">
        <v>39898.878032407403</v>
      </c>
      <c r="G5385" s="24" t="s">
        <v>13000</v>
      </c>
      <c r="H5385" s="35" t="s">
        <v>106</v>
      </c>
      <c r="I5385" s="25" t="s">
        <v>7505</v>
      </c>
    </row>
    <row r="5386" spans="1:9" s="33" customFormat="1" ht="90">
      <c r="A5386" s="19">
        <v>43549.270138888889</v>
      </c>
      <c r="B5386" s="20" t="str">
        <f>HYPERLINK("https://twitter.com/AMYCREDITGIRL","@AMYCREDITGIRL")</f>
        <v>@AMYCREDITGIRL</v>
      </c>
      <c r="C5386" s="21" t="s">
        <v>3571</v>
      </c>
      <c r="D5386" s="22" t="s">
        <v>6859</v>
      </c>
      <c r="E5386" s="23" t="str">
        <f>HYPERLINK("https://buffer.com","Buffer")</f>
        <v>Buffer</v>
      </c>
      <c r="F5386" s="19">
        <v>43265.764976851853</v>
      </c>
      <c r="G5386" s="24" t="s">
        <v>13000</v>
      </c>
      <c r="H5386" s="35" t="s">
        <v>106</v>
      </c>
      <c r="I5386" s="25" t="s">
        <v>3573</v>
      </c>
    </row>
    <row r="5387" spans="1:9" s="33" customFormat="1" ht="90">
      <c r="A5387" s="19">
        <v>43549.208530092597</v>
      </c>
      <c r="B5387" s="20" t="str">
        <f>HYPERLINK("https://twitter.com/LASavage15","@LASavage15")</f>
        <v>@LASavage15</v>
      </c>
      <c r="C5387" s="21" t="s">
        <v>3446</v>
      </c>
      <c r="D5387" s="22" t="s">
        <v>8132</v>
      </c>
      <c r="E5387" s="23" t="str">
        <f>HYPERLINK("https://buffer.com","Buffer")</f>
        <v>Buffer</v>
      </c>
      <c r="F5387" s="19">
        <v>42832.147986111115</v>
      </c>
      <c r="G5387" s="24" t="s">
        <v>13000</v>
      </c>
      <c r="H5387" s="35" t="s">
        <v>106</v>
      </c>
      <c r="I5387" s="25" t="s">
        <v>3448</v>
      </c>
    </row>
    <row r="5388" spans="1:9" s="33" customFormat="1" ht="90">
      <c r="A5388" s="19">
        <v>43549.125115740739</v>
      </c>
      <c r="B5388" s="20" t="str">
        <f>HYPERLINK("https://twitter.com/AMYCREDITGIRL","@AMYCREDITGIRL")</f>
        <v>@AMYCREDITGIRL</v>
      </c>
      <c r="C5388" s="21" t="s">
        <v>3571</v>
      </c>
      <c r="D5388" s="22" t="s">
        <v>5340</v>
      </c>
      <c r="E5388" s="23" t="str">
        <f>HYPERLINK("https://buffer.com","Buffer")</f>
        <v>Buffer</v>
      </c>
      <c r="F5388" s="19">
        <v>43265.764976851853</v>
      </c>
      <c r="G5388" s="24" t="s">
        <v>13000</v>
      </c>
      <c r="H5388" s="35" t="s">
        <v>106</v>
      </c>
      <c r="I5388" s="25" t="s">
        <v>3573</v>
      </c>
    </row>
    <row r="5389" spans="1:9" s="33" customFormat="1" ht="60">
      <c r="A5389" s="19">
        <v>43549.104699074072</v>
      </c>
      <c r="B5389" s="20" t="str">
        <f>HYPERLINK("https://twitter.com/escoutmeUSA","@escoutmeUSA")</f>
        <v>@escoutmeUSA</v>
      </c>
      <c r="C5389" s="20" t="s">
        <v>8168</v>
      </c>
      <c r="D5389" s="22" t="s">
        <v>8169</v>
      </c>
      <c r="E5389" s="23" t="str">
        <f>HYPERLINK("http://twitter.com/download/iphone","Twitter for iPhone")</f>
        <v>Twitter for iPhone</v>
      </c>
      <c r="F5389" s="19">
        <v>42757.427662037036</v>
      </c>
      <c r="G5389" s="24" t="s">
        <v>13000</v>
      </c>
      <c r="H5389" s="35" t="s">
        <v>106</v>
      </c>
      <c r="I5389" s="25" t="s">
        <v>8170</v>
      </c>
    </row>
    <row r="5390" spans="1:9" s="33" customFormat="1" ht="90">
      <c r="A5390" s="19">
        <v>43549.000023148154</v>
      </c>
      <c r="B5390" s="20" t="str">
        <f>HYPERLINK("https://twitter.com/AMYCREDITGIRL","@AMYCREDITGIRL")</f>
        <v>@AMYCREDITGIRL</v>
      </c>
      <c r="C5390" s="21" t="s">
        <v>3571</v>
      </c>
      <c r="D5390" s="22" t="s">
        <v>6061</v>
      </c>
      <c r="E5390" s="23" t="str">
        <f>HYPERLINK("https://buffer.com","Buffer")</f>
        <v>Buffer</v>
      </c>
      <c r="F5390" s="19">
        <v>43265.764976851853</v>
      </c>
      <c r="G5390" s="24" t="s">
        <v>13000</v>
      </c>
      <c r="H5390" s="35" t="s">
        <v>106</v>
      </c>
      <c r="I5390" s="25" t="s">
        <v>3573</v>
      </c>
    </row>
    <row r="5391" spans="1:9" s="33" customFormat="1" ht="45">
      <c r="A5391" s="19">
        <v>43548.96876157407</v>
      </c>
      <c r="B5391" s="20" t="str">
        <f>HYPERLINK("https://twitter.com/ReneeMelanin1","@ReneeMelanin1")</f>
        <v>@ReneeMelanin1</v>
      </c>
      <c r="C5391" s="21" t="s">
        <v>8191</v>
      </c>
      <c r="D5391" s="22" t="s">
        <v>8192</v>
      </c>
      <c r="E5391" s="23" t="str">
        <f>HYPERLINK("http://twitter.com/download/iphone","Twitter for iPhone")</f>
        <v>Twitter for iPhone</v>
      </c>
      <c r="F5391" s="19">
        <v>43523.448622685188</v>
      </c>
      <c r="G5391" s="24" t="s">
        <v>13000</v>
      </c>
      <c r="H5391" s="35" t="s">
        <v>106</v>
      </c>
      <c r="I5391" s="25" t="s">
        <v>8193</v>
      </c>
    </row>
    <row r="5392" spans="1:9" s="33" customFormat="1" ht="105">
      <c r="A5392" s="19">
        <v>43548.958460648151</v>
      </c>
      <c r="B5392" s="20" t="str">
        <f>HYPERLINK("https://twitter.com/LASavage15","@LASavage15")</f>
        <v>@LASavage15</v>
      </c>
      <c r="C5392" s="21" t="s">
        <v>3446</v>
      </c>
      <c r="D5392" s="22" t="s">
        <v>8195</v>
      </c>
      <c r="E5392" s="23" t="str">
        <f>HYPERLINK("https://buffer.com","Buffer")</f>
        <v>Buffer</v>
      </c>
      <c r="F5392" s="19">
        <v>42832.147986111115</v>
      </c>
      <c r="G5392" s="24" t="s">
        <v>13000</v>
      </c>
      <c r="H5392" s="35" t="s">
        <v>106</v>
      </c>
      <c r="I5392" s="25" t="s">
        <v>3448</v>
      </c>
    </row>
    <row r="5393" spans="1:9" s="33" customFormat="1" ht="45">
      <c r="A5393" s="19">
        <v>43548.840486111112</v>
      </c>
      <c r="B5393" s="20" t="str">
        <f>HYPERLINK("https://twitter.com/CouponFleek","@CouponFleek")</f>
        <v>@CouponFleek</v>
      </c>
      <c r="C5393" s="21" t="s">
        <v>1717</v>
      </c>
      <c r="D5393" s="22" t="s">
        <v>4263</v>
      </c>
      <c r="E5393" s="23" t="str">
        <f>HYPERLINK("http://twitter.com","Twitter Web Client")</f>
        <v>Twitter Web Client</v>
      </c>
      <c r="F5393" s="19">
        <v>42574.170451388884</v>
      </c>
      <c r="G5393" s="24" t="s">
        <v>13000</v>
      </c>
      <c r="H5393" s="35" t="s">
        <v>106</v>
      </c>
      <c r="I5393" s="25" t="s">
        <v>1719</v>
      </c>
    </row>
    <row r="5394" spans="1:9" s="33" customFormat="1" ht="90">
      <c r="A5394" s="19">
        <v>43548.541666666672</v>
      </c>
      <c r="B5394" s="20" t="str">
        <f>HYPERLINK("https://twitter.com/AMYCREDITGIRL","@AMYCREDITGIRL")</f>
        <v>@AMYCREDITGIRL</v>
      </c>
      <c r="C5394" s="21" t="s">
        <v>3571</v>
      </c>
      <c r="D5394" s="22" t="s">
        <v>8292</v>
      </c>
      <c r="E5394" s="23" t="str">
        <f>HYPERLINK("https://buffer.com","Buffer")</f>
        <v>Buffer</v>
      </c>
      <c r="F5394" s="19">
        <v>43265.764976851853</v>
      </c>
      <c r="G5394" s="24" t="s">
        <v>13000</v>
      </c>
      <c r="H5394" s="35" t="s">
        <v>106</v>
      </c>
      <c r="I5394" s="25" t="s">
        <v>3573</v>
      </c>
    </row>
    <row r="5395" spans="1:9" s="33" customFormat="1" ht="75">
      <c r="A5395" s="19">
        <v>43548.431261574078</v>
      </c>
      <c r="B5395" s="20" t="str">
        <f>HYPERLINK("https://twitter.com/ipaintcomics","@ipaintcomics")</f>
        <v>@ipaintcomics</v>
      </c>
      <c r="C5395" s="21" t="s">
        <v>8322</v>
      </c>
      <c r="D5395" s="22" t="s">
        <v>8323</v>
      </c>
      <c r="E5395" s="23" t="str">
        <f>HYPERLINK("http://twitter.com/download/android","Twitter for Android")</f>
        <v>Twitter for Android</v>
      </c>
      <c r="F5395" s="19">
        <v>42201.901087962964</v>
      </c>
      <c r="G5395" s="24" t="s">
        <v>13000</v>
      </c>
      <c r="H5395" s="35" t="s">
        <v>106</v>
      </c>
      <c r="I5395" s="25" t="s">
        <v>8324</v>
      </c>
    </row>
    <row r="5396" spans="1:9" s="33" customFormat="1" ht="90">
      <c r="A5396" s="19">
        <v>43548.41678240741</v>
      </c>
      <c r="B5396" s="20" t="str">
        <f>HYPERLINK("https://twitter.com/AMYCREDITGIRL","@AMYCREDITGIRL")</f>
        <v>@AMYCREDITGIRL</v>
      </c>
      <c r="C5396" s="21" t="s">
        <v>3571</v>
      </c>
      <c r="D5396" s="22" t="s">
        <v>8327</v>
      </c>
      <c r="E5396" s="23" t="str">
        <f>HYPERLINK("https://buffer.com","Buffer")</f>
        <v>Buffer</v>
      </c>
      <c r="F5396" s="19">
        <v>43265.764976851853</v>
      </c>
      <c r="G5396" s="24" t="s">
        <v>13000</v>
      </c>
      <c r="H5396" s="35" t="s">
        <v>106</v>
      </c>
      <c r="I5396" s="25" t="s">
        <v>3573</v>
      </c>
    </row>
    <row r="5397" spans="1:9" s="33" customFormat="1" ht="90">
      <c r="A5397" s="19">
        <v>43548.375069444446</v>
      </c>
      <c r="B5397" s="20" t="str">
        <f>HYPERLINK("https://twitter.com/LASavage15","@LASavage15")</f>
        <v>@LASavage15</v>
      </c>
      <c r="C5397" s="21" t="s">
        <v>3446</v>
      </c>
      <c r="D5397" s="22" t="s">
        <v>8340</v>
      </c>
      <c r="E5397" s="23" t="str">
        <f>HYPERLINK("https://buffer.com","Buffer")</f>
        <v>Buffer</v>
      </c>
      <c r="F5397" s="19">
        <v>42832.147986111115</v>
      </c>
      <c r="G5397" s="24" t="s">
        <v>13000</v>
      </c>
      <c r="H5397" s="35" t="s">
        <v>106</v>
      </c>
      <c r="I5397" s="25" t="s">
        <v>3448</v>
      </c>
    </row>
    <row r="5398" spans="1:9" s="33" customFormat="1" ht="105">
      <c r="A5398" s="19">
        <v>43548.29179398148</v>
      </c>
      <c r="B5398" s="20" t="str">
        <f>HYPERLINK("https://twitter.com/AMYCREDITGIRL","@AMYCREDITGIRL")</f>
        <v>@AMYCREDITGIRL</v>
      </c>
      <c r="C5398" s="21" t="s">
        <v>3571</v>
      </c>
      <c r="D5398" s="22" t="s">
        <v>8308</v>
      </c>
      <c r="E5398" s="23" t="str">
        <f>HYPERLINK("https://buffer.com","Buffer")</f>
        <v>Buffer</v>
      </c>
      <c r="F5398" s="19">
        <v>43265.764976851853</v>
      </c>
      <c r="G5398" s="24" t="s">
        <v>13000</v>
      </c>
      <c r="H5398" s="35" t="s">
        <v>106</v>
      </c>
      <c r="I5398" s="25" t="s">
        <v>3573</v>
      </c>
    </row>
    <row r="5399" spans="1:9" s="33" customFormat="1" ht="105">
      <c r="A5399" s="19">
        <v>43548.250196759254</v>
      </c>
      <c r="B5399" s="20" t="str">
        <f>HYPERLINK("https://twitter.com/LASavage15","@LASavage15")</f>
        <v>@LASavage15</v>
      </c>
      <c r="C5399" s="21" t="s">
        <v>3446</v>
      </c>
      <c r="D5399" s="22" t="s">
        <v>8371</v>
      </c>
      <c r="E5399" s="23" t="str">
        <f>HYPERLINK("https://buffer.com","Buffer")</f>
        <v>Buffer</v>
      </c>
      <c r="F5399" s="19">
        <v>42832.147986111115</v>
      </c>
      <c r="G5399" s="24" t="s">
        <v>13000</v>
      </c>
      <c r="H5399" s="35" t="s">
        <v>106</v>
      </c>
      <c r="I5399" s="25" t="s">
        <v>3448</v>
      </c>
    </row>
    <row r="5400" spans="1:9" s="33" customFormat="1" ht="60">
      <c r="A5400" s="19">
        <v>43548.239444444444</v>
      </c>
      <c r="B5400" s="20" t="str">
        <f>HYPERLINK("https://twitter.com/5MonthsApart","@5MonthsApart")</f>
        <v>@5MonthsApart</v>
      </c>
      <c r="C5400" s="21" t="s">
        <v>8378</v>
      </c>
      <c r="D5400" s="22" t="s">
        <v>8379</v>
      </c>
      <c r="E5400" s="23" t="str">
        <f>HYPERLINK("http://twitter.com/download/iphone","Twitter for iPhone")</f>
        <v>Twitter for iPhone</v>
      </c>
      <c r="F5400" s="19">
        <v>42488.247476851851</v>
      </c>
      <c r="G5400" s="24" t="s">
        <v>13000</v>
      </c>
      <c r="H5400" s="35" t="s">
        <v>106</v>
      </c>
      <c r="I5400" s="25" t="s">
        <v>8380</v>
      </c>
    </row>
    <row r="5401" spans="1:9" s="33" customFormat="1" ht="90">
      <c r="A5401" s="19">
        <v>43547</v>
      </c>
      <c r="B5401" s="20" t="str">
        <f>HYPERLINK("https://twitter.com/LASavage15","@LASavage15")</f>
        <v>@LASavage15</v>
      </c>
      <c r="C5401" s="21" t="s">
        <v>3446</v>
      </c>
      <c r="D5401" s="22" t="s">
        <v>5515</v>
      </c>
      <c r="E5401" s="23" t="str">
        <f t="shared" ref="E5401:E5407" si="203">HYPERLINK("https://buffer.com","Buffer")</f>
        <v>Buffer</v>
      </c>
      <c r="F5401" s="19">
        <v>42832.147986111115</v>
      </c>
      <c r="G5401" s="24" t="s">
        <v>13000</v>
      </c>
      <c r="H5401" s="35" t="s">
        <v>106</v>
      </c>
      <c r="I5401" s="25" t="s">
        <v>3448</v>
      </c>
    </row>
    <row r="5402" spans="1:9" s="33" customFormat="1" ht="90">
      <c r="A5402" s="19">
        <v>43546.916666666672</v>
      </c>
      <c r="B5402" s="20" t="str">
        <f>HYPERLINK("https://twitter.com/AMYCREDITGIRL","@AMYCREDITGIRL")</f>
        <v>@AMYCREDITGIRL</v>
      </c>
      <c r="C5402" s="21" t="s">
        <v>3571</v>
      </c>
      <c r="D5402" s="22" t="s">
        <v>5340</v>
      </c>
      <c r="E5402" s="23" t="str">
        <f t="shared" si="203"/>
        <v>Buffer</v>
      </c>
      <c r="F5402" s="19">
        <v>43265.764976851853</v>
      </c>
      <c r="G5402" s="24" t="s">
        <v>13000</v>
      </c>
      <c r="H5402" s="35" t="s">
        <v>106</v>
      </c>
      <c r="I5402" s="25" t="s">
        <v>3573</v>
      </c>
    </row>
    <row r="5403" spans="1:9" s="33" customFormat="1" ht="75">
      <c r="A5403" s="19">
        <v>43546.8753587963</v>
      </c>
      <c r="B5403" s="20" t="str">
        <f>HYPERLINK("https://twitter.com/LASavage15","@LASavage15")</f>
        <v>@LASavage15</v>
      </c>
      <c r="C5403" s="21" t="s">
        <v>3446</v>
      </c>
      <c r="D5403" s="22" t="s">
        <v>6391</v>
      </c>
      <c r="E5403" s="23" t="str">
        <f t="shared" si="203"/>
        <v>Buffer</v>
      </c>
      <c r="F5403" s="19">
        <v>42832.147986111115</v>
      </c>
      <c r="G5403" s="24" t="s">
        <v>13000</v>
      </c>
      <c r="H5403" s="35" t="s">
        <v>106</v>
      </c>
      <c r="I5403" s="25" t="s">
        <v>3448</v>
      </c>
    </row>
    <row r="5404" spans="1:9" s="33" customFormat="1" ht="90">
      <c r="A5404" s="19">
        <v>43546.79178240741</v>
      </c>
      <c r="B5404" s="20" t="str">
        <f>HYPERLINK("https://twitter.com/AMYCREDITGIRL","@AMYCREDITGIRL")</f>
        <v>@AMYCREDITGIRL</v>
      </c>
      <c r="C5404" s="21" t="s">
        <v>3571</v>
      </c>
      <c r="D5404" s="22" t="s">
        <v>6061</v>
      </c>
      <c r="E5404" s="23" t="str">
        <f t="shared" si="203"/>
        <v>Buffer</v>
      </c>
      <c r="F5404" s="19">
        <v>43265.764976851853</v>
      </c>
      <c r="G5404" s="24" t="s">
        <v>13000</v>
      </c>
      <c r="H5404" s="35" t="s">
        <v>106</v>
      </c>
      <c r="I5404" s="25" t="s">
        <v>3573</v>
      </c>
    </row>
    <row r="5405" spans="1:9" s="33" customFormat="1" ht="105">
      <c r="A5405" s="19">
        <v>43546.750150462962</v>
      </c>
      <c r="B5405" s="20" t="str">
        <f>HYPERLINK("https://twitter.com/LASavage15","@LASavage15")</f>
        <v>@LASavage15</v>
      </c>
      <c r="C5405" s="21" t="s">
        <v>3446</v>
      </c>
      <c r="D5405" s="22" t="s">
        <v>8741</v>
      </c>
      <c r="E5405" s="23" t="str">
        <f t="shared" si="203"/>
        <v>Buffer</v>
      </c>
      <c r="F5405" s="19">
        <v>42832.147986111115</v>
      </c>
      <c r="G5405" s="24" t="s">
        <v>13000</v>
      </c>
      <c r="H5405" s="35" t="s">
        <v>106</v>
      </c>
      <c r="I5405" s="25" t="s">
        <v>3448</v>
      </c>
    </row>
    <row r="5406" spans="1:9" s="33" customFormat="1" ht="45">
      <c r="A5406" s="19">
        <v>43546.708506944444</v>
      </c>
      <c r="B5406" s="20" t="str">
        <f>HYPERLINK("https://twitter.com/DomesticPodcast","@DomesticPodcast")</f>
        <v>@DomesticPodcast</v>
      </c>
      <c r="C5406" s="21" t="s">
        <v>8752</v>
      </c>
      <c r="D5406" s="22" t="s">
        <v>8753</v>
      </c>
      <c r="E5406" s="23" t="str">
        <f t="shared" si="203"/>
        <v>Buffer</v>
      </c>
      <c r="F5406" s="19">
        <v>42916.555937500001</v>
      </c>
      <c r="G5406" s="24" t="s">
        <v>13000</v>
      </c>
      <c r="H5406" s="35" t="s">
        <v>106</v>
      </c>
      <c r="I5406" s="25" t="s">
        <v>8754</v>
      </c>
    </row>
    <row r="5407" spans="1:9" s="33" customFormat="1" ht="105">
      <c r="A5407" s="19">
        <v>43546.667025462964</v>
      </c>
      <c r="B5407" s="20" t="str">
        <f>HYPERLINK("https://twitter.com/AMYCREDITGIRL","@AMYCREDITGIRL")</f>
        <v>@AMYCREDITGIRL</v>
      </c>
      <c r="C5407" s="21" t="s">
        <v>3571</v>
      </c>
      <c r="D5407" s="22" t="s">
        <v>8768</v>
      </c>
      <c r="E5407" s="23" t="str">
        <f t="shared" si="203"/>
        <v>Buffer</v>
      </c>
      <c r="F5407" s="19">
        <v>43265.764976851853</v>
      </c>
      <c r="G5407" s="24" t="s">
        <v>13000</v>
      </c>
      <c r="H5407" s="35" t="s">
        <v>106</v>
      </c>
      <c r="I5407" s="25" t="s">
        <v>3573</v>
      </c>
    </row>
    <row r="5408" spans="1:9" s="33" customFormat="1" ht="75">
      <c r="A5408" s="19">
        <v>43546.651030092587</v>
      </c>
      <c r="B5408" s="20" t="str">
        <f>HYPERLINK("https://twitter.com/BubbleHutsLLC","@BubbleHutsLLC")</f>
        <v>@BubbleHutsLLC</v>
      </c>
      <c r="C5408" s="21" t="s">
        <v>1098</v>
      </c>
      <c r="D5408" s="22" t="s">
        <v>8782</v>
      </c>
      <c r="E5408" s="23" t="str">
        <f>HYPERLINK("http://www.facebook.com/twitter","Facebook")</f>
        <v>Facebook</v>
      </c>
      <c r="F5408" s="19">
        <v>41846.565393518518</v>
      </c>
      <c r="G5408" s="24" t="s">
        <v>13000</v>
      </c>
      <c r="H5408" s="35" t="s">
        <v>106</v>
      </c>
      <c r="I5408" s="25" t="s">
        <v>1100</v>
      </c>
    </row>
    <row r="5409" spans="1:9" s="33" customFormat="1" ht="90">
      <c r="A5409" s="19">
        <v>43546.625127314815</v>
      </c>
      <c r="B5409" s="20" t="str">
        <f>HYPERLINK("https://twitter.com/LASavage15","@LASavage15")</f>
        <v>@LASavage15</v>
      </c>
      <c r="C5409" s="21" t="s">
        <v>3446</v>
      </c>
      <c r="D5409" s="22" t="s">
        <v>8785</v>
      </c>
      <c r="E5409" s="23" t="str">
        <f>HYPERLINK("https://buffer.com","Buffer")</f>
        <v>Buffer</v>
      </c>
      <c r="F5409" s="19">
        <v>42832.147986111115</v>
      </c>
      <c r="G5409" s="24" t="s">
        <v>13000</v>
      </c>
      <c r="H5409" s="35" t="s">
        <v>106</v>
      </c>
      <c r="I5409" s="25" t="s">
        <v>3448</v>
      </c>
    </row>
    <row r="5410" spans="1:9" s="33" customFormat="1" ht="105">
      <c r="A5410" s="19">
        <v>43546.547210648147</v>
      </c>
      <c r="B5410" s="20" t="str">
        <f>HYPERLINK("https://twitter.com/cbizVRI","@cbizVRI")</f>
        <v>@cbizVRI</v>
      </c>
      <c r="C5410" s="21" t="s">
        <v>2560</v>
      </c>
      <c r="D5410" s="22" t="s">
        <v>8813</v>
      </c>
      <c r="E5410" s="23" t="str">
        <f>HYPERLINK("http://www.hubspot.com/","HubSpot")</f>
        <v>HubSpot</v>
      </c>
      <c r="F5410" s="19">
        <v>42893.499884259261</v>
      </c>
      <c r="G5410" s="24" t="s">
        <v>13000</v>
      </c>
      <c r="H5410" s="35" t="s">
        <v>106</v>
      </c>
      <c r="I5410" s="25" t="s">
        <v>2562</v>
      </c>
    </row>
    <row r="5411" spans="1:9" s="33" customFormat="1" ht="105">
      <c r="A5411" s="19">
        <v>43546.511504629627</v>
      </c>
      <c r="B5411" s="20" t="str">
        <f>HYPERLINK("https://twitter.com/bnbprogram","@bnbprogram")</f>
        <v>@bnbprogram</v>
      </c>
      <c r="C5411" s="21" t="s">
        <v>108</v>
      </c>
      <c r="D5411" s="22" t="s">
        <v>8817</v>
      </c>
      <c r="E5411" s="23" t="str">
        <f>HYPERLINK("http://twitter.com/download/iphone","Twitter for iPhone")</f>
        <v>Twitter for iPhone</v>
      </c>
      <c r="F5411" s="19">
        <v>43182.268159722225</v>
      </c>
      <c r="G5411" s="24" t="s">
        <v>13000</v>
      </c>
      <c r="H5411" s="35" t="s">
        <v>106</v>
      </c>
      <c r="I5411" s="25" t="s">
        <v>110</v>
      </c>
    </row>
    <row r="5412" spans="1:9" s="33" customFormat="1" ht="45">
      <c r="A5412" s="19">
        <v>43546.292037037041</v>
      </c>
      <c r="B5412" s="20" t="str">
        <f>HYPERLINK("https://twitter.com/CouponFleek","@CouponFleek")</f>
        <v>@CouponFleek</v>
      </c>
      <c r="C5412" s="21" t="s">
        <v>1717</v>
      </c>
      <c r="D5412" s="22" t="s">
        <v>8916</v>
      </c>
      <c r="E5412" s="23" t="str">
        <f>HYPERLINK("http://twitter.com","Twitter Web Client")</f>
        <v>Twitter Web Client</v>
      </c>
      <c r="F5412" s="19">
        <v>42574.170451388884</v>
      </c>
      <c r="G5412" s="24" t="s">
        <v>13000</v>
      </c>
      <c r="H5412" s="35" t="s">
        <v>106</v>
      </c>
      <c r="I5412" s="25" t="s">
        <v>1719</v>
      </c>
    </row>
    <row r="5413" spans="1:9" s="33" customFormat="1" ht="90">
      <c r="A5413" s="19">
        <v>43545.958402777775</v>
      </c>
      <c r="B5413" s="20" t="str">
        <f>HYPERLINK("https://twitter.com/LASavage15","@LASavage15")</f>
        <v>@LASavage15</v>
      </c>
      <c r="C5413" s="21" t="s">
        <v>3446</v>
      </c>
      <c r="D5413" s="22" t="s">
        <v>8990</v>
      </c>
      <c r="E5413" s="23" t="str">
        <f>HYPERLINK("https://buffer.com","Buffer")</f>
        <v>Buffer</v>
      </c>
      <c r="F5413" s="19">
        <v>42832.147986111115</v>
      </c>
      <c r="G5413" s="24" t="s">
        <v>13000</v>
      </c>
      <c r="H5413" s="35" t="s">
        <v>106</v>
      </c>
      <c r="I5413" s="25" t="s">
        <v>3448</v>
      </c>
    </row>
    <row r="5414" spans="1:9" s="33" customFormat="1" ht="60">
      <c r="A5414" s="19">
        <v>43545.335902777777</v>
      </c>
      <c r="B5414" s="20" t="str">
        <f>HYPERLINK("https://twitter.com/50Campfires","@50Campfires")</f>
        <v>@50Campfires</v>
      </c>
      <c r="C5414" s="21" t="s">
        <v>9195</v>
      </c>
      <c r="D5414" s="22" t="s">
        <v>9196</v>
      </c>
      <c r="E5414" s="23" t="str">
        <f>HYPERLINK("https://coschedule.com","CoSchedule")</f>
        <v>CoSchedule</v>
      </c>
      <c r="F5414" s="19">
        <v>41463.336273148147</v>
      </c>
      <c r="G5414" s="24" t="s">
        <v>13000</v>
      </c>
      <c r="H5414" s="35" t="s">
        <v>106</v>
      </c>
      <c r="I5414" s="25" t="s">
        <v>9197</v>
      </c>
    </row>
    <row r="5415" spans="1:9" s="33" customFormat="1" ht="60">
      <c r="A5415" s="19">
        <v>43545.265833333338</v>
      </c>
      <c r="B5415" s="20" t="str">
        <f>HYPERLINK("https://twitter.com/REI2day","@REI2day")</f>
        <v>@REI2day</v>
      </c>
      <c r="C5415" s="21" t="s">
        <v>183</v>
      </c>
      <c r="D5415" s="22" t="s">
        <v>9228</v>
      </c>
      <c r="E5415" s="23" t="str">
        <f>HYPERLINK("http://publicize.wp.com/","WordPress.com")</f>
        <v>WordPress.com</v>
      </c>
      <c r="F5415" s="19">
        <v>42222.517465277779</v>
      </c>
      <c r="G5415" s="24" t="s">
        <v>13000</v>
      </c>
      <c r="H5415" s="35" t="s">
        <v>106</v>
      </c>
      <c r="I5415" s="25" t="s">
        <v>185</v>
      </c>
    </row>
    <row r="5416" spans="1:9" s="33" customFormat="1" ht="75">
      <c r="A5416" s="19">
        <v>43545.208483796298</v>
      </c>
      <c r="B5416" s="20" t="str">
        <f>HYPERLINK("https://twitter.com/AMYCREDITGIRL","@AMYCREDITGIRL")</f>
        <v>@AMYCREDITGIRL</v>
      </c>
      <c r="C5416" s="21" t="s">
        <v>3571</v>
      </c>
      <c r="D5416" s="22" t="s">
        <v>7507</v>
      </c>
      <c r="E5416" s="23" t="str">
        <f>HYPERLINK("https://buffer.com","Buffer")</f>
        <v>Buffer</v>
      </c>
      <c r="F5416" s="19">
        <v>43265.764976851853</v>
      </c>
      <c r="G5416" s="24" t="s">
        <v>13000</v>
      </c>
      <c r="H5416" s="35" t="s">
        <v>106</v>
      </c>
      <c r="I5416" s="25" t="s">
        <v>3573</v>
      </c>
    </row>
    <row r="5417" spans="1:9" s="33" customFormat="1" ht="105">
      <c r="A5417" s="19">
        <v>43544.617094907408</v>
      </c>
      <c r="B5417" s="20" t="str">
        <f>HYPERLINK("https://twitter.com/cbizVRI","@cbizVRI")</f>
        <v>@cbizVRI</v>
      </c>
      <c r="C5417" s="21" t="s">
        <v>2560</v>
      </c>
      <c r="D5417" s="22" t="s">
        <v>9397</v>
      </c>
      <c r="E5417" s="23" t="str">
        <f>HYPERLINK("http://twitter.com","Twitter Web Client")</f>
        <v>Twitter Web Client</v>
      </c>
      <c r="F5417" s="19">
        <v>42893.499884259261</v>
      </c>
      <c r="G5417" s="24" t="s">
        <v>13000</v>
      </c>
      <c r="H5417" s="35" t="s">
        <v>106</v>
      </c>
      <c r="I5417" s="25" t="s">
        <v>2562</v>
      </c>
    </row>
    <row r="5418" spans="1:9" s="33" customFormat="1" ht="105">
      <c r="A5418" s="19">
        <v>43544.458761574075</v>
      </c>
      <c r="B5418" s="20" t="str">
        <f>HYPERLINK("https://twitter.com/AMYCREDITGIRL","@AMYCREDITGIRL")</f>
        <v>@AMYCREDITGIRL</v>
      </c>
      <c r="C5418" s="21" t="s">
        <v>3571</v>
      </c>
      <c r="D5418" s="22" t="s">
        <v>9459</v>
      </c>
      <c r="E5418" s="23" t="str">
        <f>HYPERLINK("https://buffer.com","Buffer")</f>
        <v>Buffer</v>
      </c>
      <c r="F5418" s="19">
        <v>43265.764976851853</v>
      </c>
      <c r="G5418" s="24" t="s">
        <v>13000</v>
      </c>
      <c r="H5418" s="35" t="s">
        <v>106</v>
      </c>
      <c r="I5418" s="25" t="s">
        <v>3573</v>
      </c>
    </row>
    <row r="5419" spans="1:9" s="33" customFormat="1" ht="105">
      <c r="A5419" s="19">
        <v>43544.44903935185</v>
      </c>
      <c r="B5419" s="20" t="str">
        <f>HYPERLINK("https://twitter.com/bnbprogram","@bnbprogram")</f>
        <v>@bnbprogram</v>
      </c>
      <c r="C5419" s="21" t="s">
        <v>108</v>
      </c>
      <c r="D5419" s="22" t="s">
        <v>9461</v>
      </c>
      <c r="E5419" s="23" t="str">
        <f>HYPERLINK("http://twitter.com/download/iphone","Twitter for iPhone")</f>
        <v>Twitter for iPhone</v>
      </c>
      <c r="F5419" s="19">
        <v>43182.268159722225</v>
      </c>
      <c r="G5419" s="24" t="s">
        <v>13000</v>
      </c>
      <c r="H5419" s="35" t="s">
        <v>106</v>
      </c>
      <c r="I5419" s="25" t="s">
        <v>110</v>
      </c>
    </row>
    <row r="5420" spans="1:9" s="33" customFormat="1" ht="105">
      <c r="A5420" s="19">
        <v>43544.417071759264</v>
      </c>
      <c r="B5420" s="20" t="str">
        <f>HYPERLINK("https://twitter.com/LASavage15","@LASavage15")</f>
        <v>@LASavage15</v>
      </c>
      <c r="C5420" s="21" t="s">
        <v>3446</v>
      </c>
      <c r="D5420" s="22" t="s">
        <v>9475</v>
      </c>
      <c r="E5420" s="23" t="str">
        <f>HYPERLINK("https://buffer.com","Buffer")</f>
        <v>Buffer</v>
      </c>
      <c r="F5420" s="19">
        <v>42832.147986111115</v>
      </c>
      <c r="G5420" s="24" t="s">
        <v>13000</v>
      </c>
      <c r="H5420" s="35" t="s">
        <v>106</v>
      </c>
      <c r="I5420" s="25" t="s">
        <v>3448</v>
      </c>
    </row>
    <row r="5421" spans="1:9" s="33" customFormat="1" ht="105">
      <c r="A5421" s="19">
        <v>43543.985289351855</v>
      </c>
      <c r="B5421" s="20" t="str">
        <f>HYPERLINK("https://twitter.com/DustinJenk","@DustinJenk")</f>
        <v>@DustinJenk</v>
      </c>
      <c r="C5421" s="21" t="s">
        <v>9647</v>
      </c>
      <c r="D5421" s="22" t="s">
        <v>9648</v>
      </c>
      <c r="E5421" s="23" t="str">
        <f>HYPERLINK("https://ifttt.com","IFTTT")</f>
        <v>IFTTT</v>
      </c>
      <c r="F5421" s="19">
        <v>39542.506203703706</v>
      </c>
      <c r="G5421" s="24" t="s">
        <v>13000</v>
      </c>
      <c r="H5421" s="35" t="s">
        <v>106</v>
      </c>
      <c r="I5421" s="25" t="s">
        <v>9649</v>
      </c>
    </row>
    <row r="5422" spans="1:9" s="33" customFormat="1" ht="90">
      <c r="A5422" s="19">
        <v>43543.87501157407</v>
      </c>
      <c r="B5422" s="20" t="str">
        <f>HYPERLINK("https://twitter.com/AMYCREDITGIRL","@AMYCREDITGIRL")</f>
        <v>@AMYCREDITGIRL</v>
      </c>
      <c r="C5422" s="21" t="s">
        <v>3571</v>
      </c>
      <c r="D5422" s="22" t="s">
        <v>6061</v>
      </c>
      <c r="E5422" s="23" t="str">
        <f>HYPERLINK("https://buffer.com","Buffer")</f>
        <v>Buffer</v>
      </c>
      <c r="F5422" s="19">
        <v>43265.764976851853</v>
      </c>
      <c r="G5422" s="24" t="s">
        <v>13000</v>
      </c>
      <c r="H5422" s="35" t="s">
        <v>106</v>
      </c>
      <c r="I5422" s="25" t="s">
        <v>3573</v>
      </c>
    </row>
    <row r="5423" spans="1:9" s="33" customFormat="1" ht="90">
      <c r="A5423" s="19">
        <v>43543.833483796298</v>
      </c>
      <c r="B5423" s="20" t="str">
        <f>HYPERLINK("https://twitter.com/LASavage15","@LASavage15")</f>
        <v>@LASavage15</v>
      </c>
      <c r="C5423" s="21" t="s">
        <v>3446</v>
      </c>
      <c r="D5423" s="22" t="s">
        <v>9676</v>
      </c>
      <c r="E5423" s="23" t="str">
        <f>HYPERLINK("https://buffer.com","Buffer")</f>
        <v>Buffer</v>
      </c>
      <c r="F5423" s="19">
        <v>42832.147986111115</v>
      </c>
      <c r="G5423" s="24" t="s">
        <v>13000</v>
      </c>
      <c r="H5423" s="35" t="s">
        <v>106</v>
      </c>
      <c r="I5423" s="25" t="s">
        <v>3448</v>
      </c>
    </row>
    <row r="5424" spans="1:9" s="33" customFormat="1" ht="90">
      <c r="A5424" s="19">
        <v>43543.750069444446</v>
      </c>
      <c r="B5424" s="20" t="str">
        <f>HYPERLINK("https://twitter.com/AMYCREDITGIRL","@AMYCREDITGIRL")</f>
        <v>@AMYCREDITGIRL</v>
      </c>
      <c r="C5424" s="21" t="s">
        <v>3571</v>
      </c>
      <c r="D5424" s="22" t="s">
        <v>9684</v>
      </c>
      <c r="E5424" s="23" t="str">
        <f>HYPERLINK("https://buffer.com","Buffer")</f>
        <v>Buffer</v>
      </c>
      <c r="F5424" s="19">
        <v>43265.764976851853</v>
      </c>
      <c r="G5424" s="24" t="s">
        <v>13000</v>
      </c>
      <c r="H5424" s="35" t="s">
        <v>106</v>
      </c>
      <c r="I5424" s="25" t="s">
        <v>3573</v>
      </c>
    </row>
    <row r="5425" spans="1:9" s="33" customFormat="1" ht="90">
      <c r="A5425" s="19">
        <v>43543.708622685182</v>
      </c>
      <c r="B5425" s="20" t="str">
        <f>HYPERLINK("https://twitter.com/LASavage15","@LASavage15")</f>
        <v>@LASavage15</v>
      </c>
      <c r="C5425" s="21" t="s">
        <v>3446</v>
      </c>
      <c r="D5425" s="22" t="s">
        <v>9693</v>
      </c>
      <c r="E5425" s="23" t="str">
        <f>HYPERLINK("https://buffer.com","Buffer")</f>
        <v>Buffer</v>
      </c>
      <c r="F5425" s="19">
        <v>42832.147986111115</v>
      </c>
      <c r="G5425" s="24" t="s">
        <v>13000</v>
      </c>
      <c r="H5425" s="35" t="s">
        <v>106</v>
      </c>
      <c r="I5425" s="25" t="s">
        <v>3448</v>
      </c>
    </row>
    <row r="5426" spans="1:9" s="33" customFormat="1" ht="90">
      <c r="A5426" s="19">
        <v>43543.62537037037</v>
      </c>
      <c r="B5426" s="20" t="str">
        <f>HYPERLINK("https://twitter.com/AMYCREDITGIRL","@AMYCREDITGIRL")</f>
        <v>@AMYCREDITGIRL</v>
      </c>
      <c r="C5426" s="21" t="s">
        <v>3571</v>
      </c>
      <c r="D5426" s="22" t="s">
        <v>9735</v>
      </c>
      <c r="E5426" s="23" t="str">
        <f>HYPERLINK("https://buffer.com","Buffer")</f>
        <v>Buffer</v>
      </c>
      <c r="F5426" s="19">
        <v>43265.764976851853</v>
      </c>
      <c r="G5426" s="24" t="s">
        <v>13000</v>
      </c>
      <c r="H5426" s="35" t="s">
        <v>106</v>
      </c>
      <c r="I5426" s="25" t="s">
        <v>3573</v>
      </c>
    </row>
    <row r="5427" spans="1:9" s="33" customFormat="1" ht="105">
      <c r="A5427" s="19">
        <v>43543.616018518514</v>
      </c>
      <c r="B5427" s="20" t="str">
        <f>HYPERLINK("https://twitter.com/cbizVRI","@cbizVRI")</f>
        <v>@cbizVRI</v>
      </c>
      <c r="C5427" s="21" t="s">
        <v>2560</v>
      </c>
      <c r="D5427" s="22" t="s">
        <v>9739</v>
      </c>
      <c r="E5427" s="23" t="str">
        <f>HYPERLINK("http://www.hubspot.com/","HubSpot")</f>
        <v>HubSpot</v>
      </c>
      <c r="F5427" s="19">
        <v>42893.499884259261</v>
      </c>
      <c r="G5427" s="24" t="s">
        <v>13000</v>
      </c>
      <c r="H5427" s="35" t="s">
        <v>106</v>
      </c>
      <c r="I5427" s="25" t="s">
        <v>2562</v>
      </c>
    </row>
    <row r="5428" spans="1:9" s="33" customFormat="1" ht="120">
      <c r="A5428" s="19">
        <v>43543.493298611109</v>
      </c>
      <c r="B5428" s="20" t="str">
        <f>HYPERLINK("https://twitter.com/bnbprogram","@bnbprogram")</f>
        <v>@bnbprogram</v>
      </c>
      <c r="C5428" s="21" t="s">
        <v>108</v>
      </c>
      <c r="D5428" s="22" t="s">
        <v>9777</v>
      </c>
      <c r="E5428" s="23" t="str">
        <f>HYPERLINK("http://twitter.com/download/iphone","Twitter for iPhone")</f>
        <v>Twitter for iPhone</v>
      </c>
      <c r="F5428" s="19">
        <v>43182.268159722225</v>
      </c>
      <c r="G5428" s="24" t="s">
        <v>13000</v>
      </c>
      <c r="H5428" s="35" t="s">
        <v>106</v>
      </c>
      <c r="I5428" s="25" t="s">
        <v>110</v>
      </c>
    </row>
    <row r="5429" spans="1:9" s="33" customFormat="1" ht="75">
      <c r="A5429" s="19">
        <v>43543.182256944448</v>
      </c>
      <c r="B5429" s="20" t="str">
        <f>HYPERLINK("https://twitter.com/GorillaMentor","@GorillaMentor")</f>
        <v>@GorillaMentor</v>
      </c>
      <c r="C5429" s="21" t="s">
        <v>1971</v>
      </c>
      <c r="D5429" s="22" t="s">
        <v>9905</v>
      </c>
      <c r="E5429" s="23" t="str">
        <f>HYPERLINK("http://instagram.com","Instagram")</f>
        <v>Instagram</v>
      </c>
      <c r="F5429" s="19">
        <v>39997.894976851851</v>
      </c>
      <c r="G5429" s="24" t="s">
        <v>13000</v>
      </c>
      <c r="H5429" s="35" t="s">
        <v>106</v>
      </c>
      <c r="I5429" s="25" t="s">
        <v>1973</v>
      </c>
    </row>
    <row r="5430" spans="1:9" s="33" customFormat="1" ht="60">
      <c r="A5430" s="19">
        <v>43543.180983796294</v>
      </c>
      <c r="B5430" s="20" t="str">
        <f>HYPERLINK("https://twitter.com/GorillaMentor","@GorillaMentor")</f>
        <v>@GorillaMentor</v>
      </c>
      <c r="C5430" s="21" t="s">
        <v>1971</v>
      </c>
      <c r="D5430" s="22" t="s">
        <v>9907</v>
      </c>
      <c r="E5430" s="23" t="str">
        <f>HYPERLINK("http://instagram.com","Instagram")</f>
        <v>Instagram</v>
      </c>
      <c r="F5430" s="19">
        <v>39997.894976851851</v>
      </c>
      <c r="G5430" s="24" t="s">
        <v>13000</v>
      </c>
      <c r="H5430" s="35" t="s">
        <v>106</v>
      </c>
      <c r="I5430" s="25" t="s">
        <v>1973</v>
      </c>
    </row>
    <row r="5431" spans="1:9" s="33" customFormat="1" ht="75">
      <c r="A5431" s="19">
        <v>43543.180173611108</v>
      </c>
      <c r="B5431" s="20" t="str">
        <f>HYPERLINK("https://twitter.com/GorillaMentor","@GorillaMentor")</f>
        <v>@GorillaMentor</v>
      </c>
      <c r="C5431" s="21" t="s">
        <v>1971</v>
      </c>
      <c r="D5431" s="22" t="s">
        <v>9908</v>
      </c>
      <c r="E5431" s="23" t="str">
        <f>HYPERLINK("http://instagram.com","Instagram")</f>
        <v>Instagram</v>
      </c>
      <c r="F5431" s="19">
        <v>39997.894976851851</v>
      </c>
      <c r="G5431" s="24" t="s">
        <v>13000</v>
      </c>
      <c r="H5431" s="35" t="s">
        <v>106</v>
      </c>
      <c r="I5431" s="25" t="s">
        <v>1973</v>
      </c>
    </row>
    <row r="5432" spans="1:9" s="33" customFormat="1" ht="90">
      <c r="A5432" s="19">
        <v>43542.958356481482</v>
      </c>
      <c r="B5432" s="20" t="str">
        <f>HYPERLINK("https://twitter.com/AMYCREDITGIRL","@AMYCREDITGIRL")</f>
        <v>@AMYCREDITGIRL</v>
      </c>
      <c r="C5432" s="21" t="s">
        <v>3571</v>
      </c>
      <c r="D5432" s="22" t="s">
        <v>9985</v>
      </c>
      <c r="E5432" s="23" t="str">
        <f>HYPERLINK("https://buffer.com","Buffer")</f>
        <v>Buffer</v>
      </c>
      <c r="F5432" s="19">
        <v>43265.764976851853</v>
      </c>
      <c r="G5432" s="24" t="s">
        <v>13000</v>
      </c>
      <c r="H5432" s="35" t="s">
        <v>106</v>
      </c>
      <c r="I5432" s="25" t="s">
        <v>3573</v>
      </c>
    </row>
    <row r="5433" spans="1:9" s="33" customFormat="1" ht="90">
      <c r="A5433" s="19">
        <v>43542.91678240741</v>
      </c>
      <c r="B5433" s="20" t="str">
        <f>HYPERLINK("https://twitter.com/LASavage15","@LASavage15")</f>
        <v>@LASavage15</v>
      </c>
      <c r="C5433" s="21" t="s">
        <v>3446</v>
      </c>
      <c r="D5433" s="22" t="s">
        <v>9994</v>
      </c>
      <c r="E5433" s="23" t="str">
        <f>HYPERLINK("https://buffer.com","Buffer")</f>
        <v>Buffer</v>
      </c>
      <c r="F5433" s="19">
        <v>42832.147986111115</v>
      </c>
      <c r="G5433" s="24" t="s">
        <v>13000</v>
      </c>
      <c r="H5433" s="35" t="s">
        <v>106</v>
      </c>
      <c r="I5433" s="25" t="s">
        <v>3448</v>
      </c>
    </row>
    <row r="5434" spans="1:9" s="33" customFormat="1" ht="90">
      <c r="A5434" s="19">
        <v>43542.833414351851</v>
      </c>
      <c r="B5434" s="20" t="str">
        <f>HYPERLINK("https://twitter.com/AMYCREDITGIRL","@AMYCREDITGIRL")</f>
        <v>@AMYCREDITGIRL</v>
      </c>
      <c r="C5434" s="21" t="s">
        <v>3571</v>
      </c>
      <c r="D5434" s="22" t="s">
        <v>10008</v>
      </c>
      <c r="E5434" s="23" t="str">
        <f>HYPERLINK("https://buffer.com","Buffer")</f>
        <v>Buffer</v>
      </c>
      <c r="F5434" s="19">
        <v>43265.764976851853</v>
      </c>
      <c r="G5434" s="24" t="s">
        <v>13000</v>
      </c>
      <c r="H5434" s="35" t="s">
        <v>106</v>
      </c>
      <c r="I5434" s="25" t="s">
        <v>3573</v>
      </c>
    </row>
    <row r="5435" spans="1:9" s="33" customFormat="1" ht="45">
      <c r="A5435" s="19">
        <v>43542.820543981477</v>
      </c>
      <c r="B5435" s="20" t="str">
        <f>HYPERLINK("https://twitter.com/GorillaMentor","@GorillaMentor")</f>
        <v>@GorillaMentor</v>
      </c>
      <c r="C5435" s="21" t="s">
        <v>1971</v>
      </c>
      <c r="D5435" s="22" t="s">
        <v>10009</v>
      </c>
      <c r="E5435" s="23" t="str">
        <f>HYPERLINK("http://instagram.com","Instagram")</f>
        <v>Instagram</v>
      </c>
      <c r="F5435" s="19">
        <v>39997.894976851851</v>
      </c>
      <c r="G5435" s="24" t="s">
        <v>13000</v>
      </c>
      <c r="H5435" s="35" t="s">
        <v>106</v>
      </c>
      <c r="I5435" s="25" t="s">
        <v>1973</v>
      </c>
    </row>
    <row r="5436" spans="1:9" s="33" customFormat="1" ht="90">
      <c r="A5436" s="19">
        <v>43542.79179398148</v>
      </c>
      <c r="B5436" s="20" t="str">
        <f>HYPERLINK("https://twitter.com/LASavage15","@LASavage15")</f>
        <v>@LASavage15</v>
      </c>
      <c r="C5436" s="21" t="s">
        <v>3446</v>
      </c>
      <c r="D5436" s="22" t="s">
        <v>10019</v>
      </c>
      <c r="E5436" s="23" t="str">
        <f>HYPERLINK("https://buffer.com","Buffer")</f>
        <v>Buffer</v>
      </c>
      <c r="F5436" s="19">
        <v>42832.147986111115</v>
      </c>
      <c r="G5436" s="24" t="s">
        <v>13000</v>
      </c>
      <c r="H5436" s="35" t="s">
        <v>106</v>
      </c>
      <c r="I5436" s="25" t="s">
        <v>3448</v>
      </c>
    </row>
    <row r="5437" spans="1:9" s="33" customFormat="1" ht="90">
      <c r="A5437" s="19">
        <v>43542.708530092597</v>
      </c>
      <c r="B5437" s="20" t="str">
        <f>HYPERLINK("https://twitter.com/AMYCREDITGIRL","@AMYCREDITGIRL")</f>
        <v>@AMYCREDITGIRL</v>
      </c>
      <c r="C5437" s="21" t="s">
        <v>3571</v>
      </c>
      <c r="D5437" s="22" t="s">
        <v>6061</v>
      </c>
      <c r="E5437" s="23" t="str">
        <f>HYPERLINK("https://buffer.com","Buffer")</f>
        <v>Buffer</v>
      </c>
      <c r="F5437" s="19">
        <v>43265.764976851853</v>
      </c>
      <c r="G5437" s="24" t="s">
        <v>13000</v>
      </c>
      <c r="H5437" s="35" t="s">
        <v>106</v>
      </c>
      <c r="I5437" s="25" t="s">
        <v>3573</v>
      </c>
    </row>
    <row r="5438" spans="1:9" s="33" customFormat="1" ht="90">
      <c r="A5438" s="19">
        <v>43542.666689814811</v>
      </c>
      <c r="B5438" s="20" t="str">
        <f>HYPERLINK("https://twitter.com/LASavage15","@LASavage15")</f>
        <v>@LASavage15</v>
      </c>
      <c r="C5438" s="21" t="s">
        <v>3446</v>
      </c>
      <c r="D5438" s="22" t="s">
        <v>6385</v>
      </c>
      <c r="E5438" s="23" t="str">
        <f>HYPERLINK("https://buffer.com","Buffer")</f>
        <v>Buffer</v>
      </c>
      <c r="F5438" s="19">
        <v>42832.147986111115</v>
      </c>
      <c r="G5438" s="24" t="s">
        <v>13000</v>
      </c>
      <c r="H5438" s="35" t="s">
        <v>106</v>
      </c>
      <c r="I5438" s="25" t="s">
        <v>3448</v>
      </c>
    </row>
    <row r="5439" spans="1:9" s="33" customFormat="1" ht="180">
      <c r="A5439" s="19">
        <v>43542.625902777778</v>
      </c>
      <c r="B5439" s="20" t="str">
        <f>HYPERLINK("https://twitter.com/ItsChristiQ","@ItsChristiQ")</f>
        <v>@ItsChristiQ</v>
      </c>
      <c r="C5439" s="21" t="s">
        <v>10061</v>
      </c>
      <c r="D5439" s="22" t="s">
        <v>10062</v>
      </c>
      <c r="E5439" s="23" t="str">
        <f>HYPERLINK("http://twitter.com/download/android","Twitter for Android")</f>
        <v>Twitter for Android</v>
      </c>
      <c r="F5439" s="19">
        <v>41168.669594907406</v>
      </c>
      <c r="G5439" s="24" t="s">
        <v>13000</v>
      </c>
      <c r="H5439" s="35" t="s">
        <v>106</v>
      </c>
      <c r="I5439" s="25" t="s">
        <v>10063</v>
      </c>
    </row>
    <row r="5440" spans="1:9" s="33" customFormat="1" ht="90">
      <c r="A5440" s="4">
        <v>43565.81251157407</v>
      </c>
      <c r="B5440" s="5" t="str">
        <f>HYPERLINK("https://twitter.com/LASavage15","@LASavage15")</f>
        <v>@LASavage15</v>
      </c>
      <c r="C5440" s="6" t="s">
        <v>3446</v>
      </c>
      <c r="D5440" s="7" t="s">
        <v>5891</v>
      </c>
      <c r="E5440" s="8" t="str">
        <f t="shared" ref="E5440:E5445" si="204">HYPERLINK("https://buffer.com","Buffer")</f>
        <v>Buffer</v>
      </c>
      <c r="F5440" s="4">
        <v>42832.147986111115</v>
      </c>
      <c r="G5440" s="24" t="s">
        <v>13000</v>
      </c>
      <c r="H5440" s="35" t="s">
        <v>106</v>
      </c>
      <c r="I5440" s="10" t="s">
        <v>3448</v>
      </c>
    </row>
    <row r="5441" spans="1:9" s="33" customFormat="1" ht="90">
      <c r="A5441" s="4">
        <v>43565.729166666672</v>
      </c>
      <c r="B5441" s="5" t="str">
        <f>HYPERLINK("https://twitter.com/AMYCREDITGIRL","@AMYCREDITGIRL")</f>
        <v>@AMYCREDITGIRL</v>
      </c>
      <c r="C5441" s="6" t="s">
        <v>3571</v>
      </c>
      <c r="D5441" s="7" t="s">
        <v>5930</v>
      </c>
      <c r="E5441" s="8" t="str">
        <f t="shared" si="204"/>
        <v>Buffer</v>
      </c>
      <c r="F5441" s="4">
        <v>43265.764976851853</v>
      </c>
      <c r="G5441" s="24" t="s">
        <v>13000</v>
      </c>
      <c r="H5441" s="35" t="s">
        <v>106</v>
      </c>
      <c r="I5441" s="10" t="s">
        <v>3573</v>
      </c>
    </row>
    <row r="5442" spans="1:9" s="33" customFormat="1" ht="90">
      <c r="A5442" s="4">
        <v>43565.687534722223</v>
      </c>
      <c r="B5442" s="5" t="str">
        <f>HYPERLINK("https://twitter.com/LASavage15","@LASavage15")</f>
        <v>@LASavage15</v>
      </c>
      <c r="C5442" s="6" t="s">
        <v>3446</v>
      </c>
      <c r="D5442" s="7" t="s">
        <v>5340</v>
      </c>
      <c r="E5442" s="8" t="str">
        <f t="shared" si="204"/>
        <v>Buffer</v>
      </c>
      <c r="F5442" s="4">
        <v>42832.147986111115</v>
      </c>
      <c r="G5442" s="24" t="s">
        <v>13000</v>
      </c>
      <c r="H5442" s="35" t="s">
        <v>106</v>
      </c>
      <c r="I5442" s="10" t="s">
        <v>3448</v>
      </c>
    </row>
    <row r="5443" spans="1:9" s="33" customFormat="1" ht="90">
      <c r="A5443" s="4">
        <v>43565.60429398148</v>
      </c>
      <c r="B5443" s="5" t="str">
        <f>HYPERLINK("https://twitter.com/AMYCREDITGIRL","@AMYCREDITGIRL")</f>
        <v>@AMYCREDITGIRL</v>
      </c>
      <c r="C5443" s="6" t="s">
        <v>3571</v>
      </c>
      <c r="D5443" s="7" t="s">
        <v>6000</v>
      </c>
      <c r="E5443" s="8" t="str">
        <f t="shared" si="204"/>
        <v>Buffer</v>
      </c>
      <c r="F5443" s="4">
        <v>43265.764976851853</v>
      </c>
      <c r="G5443" s="24" t="s">
        <v>13000</v>
      </c>
      <c r="H5443" s="35" t="s">
        <v>106</v>
      </c>
      <c r="I5443" s="10" t="s">
        <v>3573</v>
      </c>
    </row>
    <row r="5444" spans="1:9" s="33" customFormat="1" ht="90">
      <c r="A5444" s="4">
        <v>43565.562546296293</v>
      </c>
      <c r="B5444" s="5" t="str">
        <f>HYPERLINK("https://twitter.com/LASavage15","@LASavage15")</f>
        <v>@LASavage15</v>
      </c>
      <c r="C5444" s="6" t="s">
        <v>3446</v>
      </c>
      <c r="D5444" s="7" t="s">
        <v>6025</v>
      </c>
      <c r="E5444" s="8" t="str">
        <f t="shared" si="204"/>
        <v>Buffer</v>
      </c>
      <c r="F5444" s="4">
        <v>42832.147986111115</v>
      </c>
      <c r="G5444" s="24" t="s">
        <v>13000</v>
      </c>
      <c r="H5444" s="35" t="s">
        <v>106</v>
      </c>
      <c r="I5444" s="10" t="s">
        <v>3448</v>
      </c>
    </row>
    <row r="5445" spans="1:9" s="33" customFormat="1" ht="90">
      <c r="A5445" s="4">
        <v>43565.479386574079</v>
      </c>
      <c r="B5445" s="5" t="str">
        <f>HYPERLINK("https://twitter.com/AMYCREDITGIRL","@AMYCREDITGIRL")</f>
        <v>@AMYCREDITGIRL</v>
      </c>
      <c r="C5445" s="6" t="s">
        <v>3571</v>
      </c>
      <c r="D5445" s="7" t="s">
        <v>6061</v>
      </c>
      <c r="E5445" s="8" t="str">
        <f t="shared" si="204"/>
        <v>Buffer</v>
      </c>
      <c r="F5445" s="4">
        <v>43265.764976851853</v>
      </c>
      <c r="G5445" s="24" t="s">
        <v>13000</v>
      </c>
      <c r="H5445" s="35" t="s">
        <v>106</v>
      </c>
      <c r="I5445" s="10" t="s">
        <v>3573</v>
      </c>
    </row>
    <row r="5446" spans="1:9" s="33" customFormat="1" ht="105">
      <c r="A5446" s="4">
        <v>43565.462384259255</v>
      </c>
      <c r="B5446" s="5" t="str">
        <f>HYPERLINK("https://twitter.com/bnbprogram","@bnbprogram")</f>
        <v>@bnbprogram</v>
      </c>
      <c r="C5446" s="6" t="s">
        <v>108</v>
      </c>
      <c r="D5446" s="7" t="s">
        <v>6070</v>
      </c>
      <c r="E5446" s="8" t="str">
        <f>HYPERLINK("http://twitter.com/download/iphone","Twitter for iPhone")</f>
        <v>Twitter for iPhone</v>
      </c>
      <c r="F5446" s="4">
        <v>43182.268159722225</v>
      </c>
      <c r="G5446" s="24" t="s">
        <v>13000</v>
      </c>
      <c r="H5446" s="35" t="s">
        <v>106</v>
      </c>
      <c r="I5446" s="10" t="s">
        <v>110</v>
      </c>
    </row>
    <row r="5447" spans="1:9" s="33" customFormat="1" ht="90">
      <c r="A5447" s="4">
        <v>43565.43751157407</v>
      </c>
      <c r="B5447" s="5" t="str">
        <f>HYPERLINK("https://twitter.com/LASavage15","@LASavage15")</f>
        <v>@LASavage15</v>
      </c>
      <c r="C5447" s="6" t="s">
        <v>3446</v>
      </c>
      <c r="D5447" s="7" t="s">
        <v>6091</v>
      </c>
      <c r="E5447" s="8" t="str">
        <f>HYPERLINK("https://buffer.com","Buffer")</f>
        <v>Buffer</v>
      </c>
      <c r="F5447" s="4">
        <v>42832.147986111115</v>
      </c>
      <c r="G5447" s="24" t="s">
        <v>13000</v>
      </c>
      <c r="H5447" s="35" t="s">
        <v>106</v>
      </c>
      <c r="I5447" s="10" t="s">
        <v>3448</v>
      </c>
    </row>
    <row r="5448" spans="1:9" s="33" customFormat="1" ht="105">
      <c r="A5448" s="4">
        <v>43565.41978009259</v>
      </c>
      <c r="B5448" s="5" t="str">
        <f>HYPERLINK("https://twitter.com/cbizVRI","@cbizVRI")</f>
        <v>@cbizVRI</v>
      </c>
      <c r="C5448" s="6" t="s">
        <v>2560</v>
      </c>
      <c r="D5448" s="7" t="s">
        <v>6099</v>
      </c>
      <c r="E5448" s="8" t="str">
        <f>HYPERLINK("http://www.hubspot.com/","HubSpot")</f>
        <v>HubSpot</v>
      </c>
      <c r="F5448" s="4">
        <v>42893.499884259261</v>
      </c>
      <c r="G5448" s="24" t="s">
        <v>13000</v>
      </c>
      <c r="H5448" s="35" t="s">
        <v>106</v>
      </c>
      <c r="I5448" s="10" t="s">
        <v>2562</v>
      </c>
    </row>
    <row r="5449" spans="1:9" s="33" customFormat="1" ht="105">
      <c r="A5449" s="4">
        <v>43565.354467592595</v>
      </c>
      <c r="B5449" s="5" t="str">
        <f>HYPERLINK("https://twitter.com/AMYCREDITGIRL","@AMYCREDITGIRL")</f>
        <v>@AMYCREDITGIRL</v>
      </c>
      <c r="C5449" s="6" t="s">
        <v>3571</v>
      </c>
      <c r="D5449" s="7" t="s">
        <v>6147</v>
      </c>
      <c r="E5449" s="8" t="str">
        <f t="shared" ref="E5449:E5454" si="205">HYPERLINK("https://buffer.com","Buffer")</f>
        <v>Buffer</v>
      </c>
      <c r="F5449" s="4">
        <v>43265.764976851853</v>
      </c>
      <c r="G5449" s="24" t="s">
        <v>13000</v>
      </c>
      <c r="H5449" s="35" t="s">
        <v>106</v>
      </c>
      <c r="I5449" s="10" t="s">
        <v>3573</v>
      </c>
    </row>
    <row r="5450" spans="1:9" s="33" customFormat="1" ht="105">
      <c r="A5450" s="4">
        <v>43565.312939814816</v>
      </c>
      <c r="B5450" s="5" t="str">
        <f>HYPERLINK("https://twitter.com/LASavage15","@LASavage15")</f>
        <v>@LASavage15</v>
      </c>
      <c r="C5450" s="6" t="s">
        <v>3446</v>
      </c>
      <c r="D5450" s="7" t="s">
        <v>6183</v>
      </c>
      <c r="E5450" s="8" t="str">
        <f t="shared" si="205"/>
        <v>Buffer</v>
      </c>
      <c r="F5450" s="4">
        <v>42832.147986111115</v>
      </c>
      <c r="G5450" s="24" t="s">
        <v>13000</v>
      </c>
      <c r="H5450" s="35" t="s">
        <v>106</v>
      </c>
      <c r="I5450" s="10" t="s">
        <v>3448</v>
      </c>
    </row>
    <row r="5451" spans="1:9" s="33" customFormat="1" ht="90">
      <c r="A5451" s="4">
        <v>43565.125092592592</v>
      </c>
      <c r="B5451" s="5" t="str">
        <f>HYPERLINK("https://twitter.com/AMYCREDITGIRL","@AMYCREDITGIRL")</f>
        <v>@AMYCREDITGIRL</v>
      </c>
      <c r="C5451" s="6" t="s">
        <v>3571</v>
      </c>
      <c r="D5451" s="7" t="s">
        <v>5891</v>
      </c>
      <c r="E5451" s="8" t="str">
        <f t="shared" si="205"/>
        <v>Buffer</v>
      </c>
      <c r="F5451" s="4">
        <v>43265.764976851853</v>
      </c>
      <c r="G5451" s="24" t="s">
        <v>13000</v>
      </c>
      <c r="H5451" s="35" t="s">
        <v>106</v>
      </c>
      <c r="I5451" s="10" t="s">
        <v>3573</v>
      </c>
    </row>
    <row r="5452" spans="1:9" s="33" customFormat="1" ht="90">
      <c r="A5452" s="4">
        <v>43565.083518518513</v>
      </c>
      <c r="B5452" s="5" t="str">
        <f>HYPERLINK("https://twitter.com/LASavage15","@LASavage15")</f>
        <v>@LASavage15</v>
      </c>
      <c r="C5452" s="6" t="s">
        <v>3446</v>
      </c>
      <c r="D5452" s="7" t="s">
        <v>5429</v>
      </c>
      <c r="E5452" s="8" t="str">
        <f t="shared" si="205"/>
        <v>Buffer</v>
      </c>
      <c r="F5452" s="4">
        <v>42832.147986111115</v>
      </c>
      <c r="G5452" s="24" t="s">
        <v>13000</v>
      </c>
      <c r="H5452" s="35" t="s">
        <v>106</v>
      </c>
      <c r="I5452" s="10" t="s">
        <v>3448</v>
      </c>
    </row>
    <row r="5453" spans="1:9" s="33" customFormat="1" ht="90">
      <c r="A5453" s="4">
        <v>43565.000069444446</v>
      </c>
      <c r="B5453" s="5" t="str">
        <f>HYPERLINK("https://twitter.com/AMYCREDITGIRL","@AMYCREDITGIRL")</f>
        <v>@AMYCREDITGIRL</v>
      </c>
      <c r="C5453" s="6" t="s">
        <v>3571</v>
      </c>
      <c r="D5453" s="7" t="s">
        <v>6346</v>
      </c>
      <c r="E5453" s="8" t="str">
        <f t="shared" si="205"/>
        <v>Buffer</v>
      </c>
      <c r="F5453" s="4">
        <v>43265.764976851853</v>
      </c>
      <c r="G5453" s="24" t="s">
        <v>13000</v>
      </c>
      <c r="H5453" s="35" t="s">
        <v>106</v>
      </c>
      <c r="I5453" s="10" t="s">
        <v>3573</v>
      </c>
    </row>
    <row r="5454" spans="1:9" s="33" customFormat="1" ht="90">
      <c r="A5454" s="4">
        <v>43564.958391203705</v>
      </c>
      <c r="B5454" s="5" t="str">
        <f>HYPERLINK("https://twitter.com/LASavage15","@LASavage15")</f>
        <v>@LASavage15</v>
      </c>
      <c r="C5454" s="6" t="s">
        <v>3446</v>
      </c>
      <c r="D5454" s="7" t="s">
        <v>6371</v>
      </c>
      <c r="E5454" s="8" t="str">
        <f t="shared" si="205"/>
        <v>Buffer</v>
      </c>
      <c r="F5454" s="4">
        <v>42832.147986111115</v>
      </c>
      <c r="G5454" s="24" t="s">
        <v>13000</v>
      </c>
      <c r="H5454" s="35" t="s">
        <v>106</v>
      </c>
      <c r="I5454" s="10" t="s">
        <v>3448</v>
      </c>
    </row>
    <row r="5455" spans="1:9" s="33" customFormat="1" ht="105">
      <c r="A5455" s="4">
        <v>43564.93350694445</v>
      </c>
      <c r="B5455" s="5" t="str">
        <f>HYPERLINK("https://twitter.com/Nexcloudz1231","@Nexcloudz1231")</f>
        <v>@Nexcloudz1231</v>
      </c>
      <c r="C5455" s="6" t="s">
        <v>3474</v>
      </c>
      <c r="D5455" s="7" t="s">
        <v>6378</v>
      </c>
      <c r="E5455" s="8" t="str">
        <f>HYPERLINK("http://twitter.com","Twitter Web Client")</f>
        <v>Twitter Web Client</v>
      </c>
      <c r="F5455" s="4">
        <v>43405.153368055559</v>
      </c>
      <c r="G5455" s="24" t="s">
        <v>13000</v>
      </c>
      <c r="H5455" s="35" t="s">
        <v>106</v>
      </c>
      <c r="I5455" s="10" t="s">
        <v>3476</v>
      </c>
    </row>
    <row r="5456" spans="1:9" s="33" customFormat="1" ht="75">
      <c r="A5456" s="4">
        <v>43564.875</v>
      </c>
      <c r="B5456" s="5" t="str">
        <f>HYPERLINK("https://twitter.com/AMYCREDITGIRL","@AMYCREDITGIRL")</f>
        <v>@AMYCREDITGIRL</v>
      </c>
      <c r="C5456" s="6" t="s">
        <v>3571</v>
      </c>
      <c r="D5456" s="7" t="s">
        <v>6391</v>
      </c>
      <c r="E5456" s="8" t="str">
        <f>HYPERLINK("https://buffer.com","Buffer")</f>
        <v>Buffer</v>
      </c>
      <c r="F5456" s="4">
        <v>43265.764976851853</v>
      </c>
      <c r="G5456" s="24" t="s">
        <v>13000</v>
      </c>
      <c r="H5456" s="35" t="s">
        <v>106</v>
      </c>
      <c r="I5456" s="10" t="s">
        <v>3573</v>
      </c>
    </row>
    <row r="5457" spans="1:9" s="33" customFormat="1" ht="105">
      <c r="A5457" s="4">
        <v>43564.833344907413</v>
      </c>
      <c r="B5457" s="5" t="str">
        <f>HYPERLINK("https://twitter.com/LASavage15","@LASavage15")</f>
        <v>@LASavage15</v>
      </c>
      <c r="C5457" s="6" t="s">
        <v>3446</v>
      </c>
      <c r="D5457" s="7" t="s">
        <v>6400</v>
      </c>
      <c r="E5457" s="8" t="str">
        <f>HYPERLINK("https://buffer.com","Buffer")</f>
        <v>Buffer</v>
      </c>
      <c r="F5457" s="4">
        <v>42832.147986111115</v>
      </c>
      <c r="G5457" s="24" t="s">
        <v>13000</v>
      </c>
      <c r="H5457" s="35" t="s">
        <v>106</v>
      </c>
      <c r="I5457" s="10" t="s">
        <v>3448</v>
      </c>
    </row>
    <row r="5458" spans="1:9" s="33" customFormat="1" ht="90">
      <c r="A5458" s="4">
        <v>43564.754432870366</v>
      </c>
      <c r="B5458" s="5" t="str">
        <f>HYPERLINK("https://twitter.com/innerDemons89","@innerDemons89")</f>
        <v>@innerDemons89</v>
      </c>
      <c r="C5458" s="6" t="s">
        <v>6428</v>
      </c>
      <c r="D5458" s="7" t="s">
        <v>6429</v>
      </c>
      <c r="E5458" s="8" t="str">
        <f>HYPERLINK("http://twitter.com/download/android","Twitter for Android")</f>
        <v>Twitter for Android</v>
      </c>
      <c r="F5458" s="4">
        <v>40792.383206018516</v>
      </c>
      <c r="G5458" s="24" t="s">
        <v>13000</v>
      </c>
      <c r="H5458" s="35" t="s">
        <v>106</v>
      </c>
      <c r="I5458" s="10" t="s">
        <v>6430</v>
      </c>
    </row>
    <row r="5459" spans="1:9" s="33" customFormat="1" ht="90">
      <c r="A5459" s="4">
        <v>43564.750590277778</v>
      </c>
      <c r="B5459" s="5" t="str">
        <f>HYPERLINK("https://twitter.com/AMYCREDITGIRL","@AMYCREDITGIRL")</f>
        <v>@AMYCREDITGIRL</v>
      </c>
      <c r="C5459" s="6" t="s">
        <v>3571</v>
      </c>
      <c r="D5459" s="7" t="s">
        <v>6435</v>
      </c>
      <c r="E5459" s="8" t="str">
        <f>HYPERLINK("https://buffer.com","Buffer")</f>
        <v>Buffer</v>
      </c>
      <c r="F5459" s="4">
        <v>43265.764976851853</v>
      </c>
      <c r="G5459" s="24" t="s">
        <v>13000</v>
      </c>
      <c r="H5459" s="35" t="s">
        <v>106</v>
      </c>
      <c r="I5459" s="10" t="s">
        <v>3573</v>
      </c>
    </row>
    <row r="5460" spans="1:9" s="33" customFormat="1" ht="90">
      <c r="A5460" s="4">
        <v>43564.708333333328</v>
      </c>
      <c r="B5460" s="5" t="str">
        <f>HYPERLINK("https://twitter.com/LASavage15","@LASavage15")</f>
        <v>@LASavage15</v>
      </c>
      <c r="C5460" s="6" t="s">
        <v>3446</v>
      </c>
      <c r="D5460" s="7" t="s">
        <v>6450</v>
      </c>
      <c r="E5460" s="8" t="str">
        <f>HYPERLINK("https://buffer.com","Buffer")</f>
        <v>Buffer</v>
      </c>
      <c r="F5460" s="4">
        <v>42832.147986111115</v>
      </c>
      <c r="G5460" s="24" t="s">
        <v>13000</v>
      </c>
      <c r="H5460" s="35" t="s">
        <v>106</v>
      </c>
      <c r="I5460" s="10" t="s">
        <v>3448</v>
      </c>
    </row>
    <row r="5461" spans="1:9" s="33" customFormat="1" ht="90">
      <c r="A5461" s="4">
        <v>43564.625150462962</v>
      </c>
      <c r="B5461" s="5" t="str">
        <f>HYPERLINK("https://twitter.com/AMYCREDITGIRL","@AMYCREDITGIRL")</f>
        <v>@AMYCREDITGIRL</v>
      </c>
      <c r="C5461" s="6" t="s">
        <v>3571</v>
      </c>
      <c r="D5461" s="7" t="s">
        <v>6491</v>
      </c>
      <c r="E5461" s="8" t="str">
        <f>HYPERLINK("https://buffer.com","Buffer")</f>
        <v>Buffer</v>
      </c>
      <c r="F5461" s="4">
        <v>43265.764976851853</v>
      </c>
      <c r="G5461" s="24" t="s">
        <v>13000</v>
      </c>
      <c r="H5461" s="35" t="s">
        <v>106</v>
      </c>
      <c r="I5461" s="10" t="s">
        <v>3573</v>
      </c>
    </row>
    <row r="5462" spans="1:9" s="33" customFormat="1" ht="60">
      <c r="A5462" s="4">
        <v>43564.615960648152</v>
      </c>
      <c r="B5462" s="5" t="str">
        <f>HYPERLINK("https://twitter.com/cbizVRI","@cbizVRI")</f>
        <v>@cbizVRI</v>
      </c>
      <c r="C5462" s="6" t="s">
        <v>2560</v>
      </c>
      <c r="D5462" s="7" t="s">
        <v>6503</v>
      </c>
      <c r="E5462" s="8" t="str">
        <f>HYPERLINK("http://www.hubspot.com/","HubSpot")</f>
        <v>HubSpot</v>
      </c>
      <c r="F5462" s="4">
        <v>42893.499884259261</v>
      </c>
      <c r="G5462" s="24" t="s">
        <v>13000</v>
      </c>
      <c r="H5462" s="35" t="s">
        <v>106</v>
      </c>
      <c r="I5462" s="10" t="s">
        <v>2562</v>
      </c>
    </row>
    <row r="5463" spans="1:9" s="33" customFormat="1" ht="90">
      <c r="A5463" s="4">
        <v>43564.583993055552</v>
      </c>
      <c r="B5463" s="5" t="str">
        <f>HYPERLINK("https://twitter.com/LASavage15","@LASavage15")</f>
        <v>@LASavage15</v>
      </c>
      <c r="C5463" s="6" t="s">
        <v>3446</v>
      </c>
      <c r="D5463" s="7" t="s">
        <v>6535</v>
      </c>
      <c r="E5463" s="8" t="str">
        <f>HYPERLINK("https://buffer.com","Buffer")</f>
        <v>Buffer</v>
      </c>
      <c r="F5463" s="4">
        <v>42832.147986111115</v>
      </c>
      <c r="G5463" s="24" t="s">
        <v>13000</v>
      </c>
      <c r="H5463" s="35" t="s">
        <v>106</v>
      </c>
      <c r="I5463" s="10" t="s">
        <v>3448</v>
      </c>
    </row>
    <row r="5464" spans="1:9" s="33" customFormat="1" ht="90">
      <c r="A5464" s="4">
        <v>43564.500405092593</v>
      </c>
      <c r="B5464" s="5" t="str">
        <f>HYPERLINK("https://twitter.com/AMYCREDITGIRL","@AMYCREDITGIRL")</f>
        <v>@AMYCREDITGIRL</v>
      </c>
      <c r="C5464" s="6" t="s">
        <v>3571</v>
      </c>
      <c r="D5464" s="7" t="s">
        <v>6580</v>
      </c>
      <c r="E5464" s="8" t="str">
        <f>HYPERLINK("https://buffer.com","Buffer")</f>
        <v>Buffer</v>
      </c>
      <c r="F5464" s="4">
        <v>43265.764976851853</v>
      </c>
      <c r="G5464" s="24" t="s">
        <v>13000</v>
      </c>
      <c r="H5464" s="35" t="s">
        <v>106</v>
      </c>
      <c r="I5464" s="10" t="s">
        <v>3573</v>
      </c>
    </row>
    <row r="5465" spans="1:9" s="33" customFormat="1" ht="90">
      <c r="A5465" s="4">
        <v>43564.45857638889</v>
      </c>
      <c r="B5465" s="5" t="str">
        <f>HYPERLINK("https://twitter.com/LASavage15","@LASavage15")</f>
        <v>@LASavage15</v>
      </c>
      <c r="C5465" s="6" t="s">
        <v>3446</v>
      </c>
      <c r="D5465" s="7" t="s">
        <v>6601</v>
      </c>
      <c r="E5465" s="8" t="str">
        <f>HYPERLINK("https://buffer.com","Buffer")</f>
        <v>Buffer</v>
      </c>
      <c r="F5465" s="4">
        <v>42832.147986111115</v>
      </c>
      <c r="G5465" s="24" t="s">
        <v>13000</v>
      </c>
      <c r="H5465" s="35" t="s">
        <v>106</v>
      </c>
      <c r="I5465" s="10" t="s">
        <v>3448</v>
      </c>
    </row>
    <row r="5466" spans="1:9" s="33" customFormat="1" ht="105">
      <c r="A5466" s="4">
        <v>43564.249074074076</v>
      </c>
      <c r="B5466" s="5" t="str">
        <f>HYPERLINK("https://twitter.com/bnbprogram","@bnbprogram")</f>
        <v>@bnbprogram</v>
      </c>
      <c r="C5466" s="6" t="s">
        <v>108</v>
      </c>
      <c r="D5466" s="7" t="s">
        <v>6722</v>
      </c>
      <c r="E5466" s="8" t="str">
        <f>HYPERLINK("http://twitter.com/download/iphone","Twitter for iPhone")</f>
        <v>Twitter for iPhone</v>
      </c>
      <c r="F5466" s="4">
        <v>43182.268159722225</v>
      </c>
      <c r="G5466" s="24" t="s">
        <v>13000</v>
      </c>
      <c r="H5466" s="35" t="s">
        <v>106</v>
      </c>
      <c r="I5466" s="10" t="s">
        <v>110</v>
      </c>
    </row>
    <row r="5467" spans="1:9" s="33" customFormat="1" ht="105">
      <c r="A5467" s="4">
        <v>43563.97729166667</v>
      </c>
      <c r="B5467" s="5" t="str">
        <f>HYPERLINK("https://twitter.com/Nexcloudz1231","@Nexcloudz1231")</f>
        <v>@Nexcloudz1231</v>
      </c>
      <c r="C5467" s="6" t="s">
        <v>3474</v>
      </c>
      <c r="D5467" s="7" t="s">
        <v>6838</v>
      </c>
      <c r="E5467" s="8" t="str">
        <f>HYPERLINK("http://twitter.com","Twitter Web Client")</f>
        <v>Twitter Web Client</v>
      </c>
      <c r="F5467" s="4">
        <v>43405.153368055559</v>
      </c>
      <c r="G5467" s="24" t="s">
        <v>13000</v>
      </c>
      <c r="H5467" s="35" t="s">
        <v>106</v>
      </c>
      <c r="I5467" s="10" t="s">
        <v>3476</v>
      </c>
    </row>
    <row r="5468" spans="1:9" s="33" customFormat="1" ht="90">
      <c r="A5468" s="4">
        <v>43563.85423611111</v>
      </c>
      <c r="B5468" s="5" t="str">
        <f>HYPERLINK("https://twitter.com/AMYCREDITGIRL","@AMYCREDITGIRL")</f>
        <v>@AMYCREDITGIRL</v>
      </c>
      <c r="C5468" s="6" t="s">
        <v>3571</v>
      </c>
      <c r="D5468" s="7" t="s">
        <v>6859</v>
      </c>
      <c r="E5468" s="8" t="str">
        <f>HYPERLINK("https://buffer.com","Buffer")</f>
        <v>Buffer</v>
      </c>
      <c r="F5468" s="4">
        <v>43265.764976851853</v>
      </c>
      <c r="G5468" s="24" t="s">
        <v>13000</v>
      </c>
      <c r="H5468" s="35" t="s">
        <v>106</v>
      </c>
      <c r="I5468" s="10" t="s">
        <v>3573</v>
      </c>
    </row>
    <row r="5469" spans="1:9" s="33" customFormat="1" ht="45">
      <c r="A5469" s="4">
        <v>43563.819178240738</v>
      </c>
      <c r="B5469" s="5" t="str">
        <f>HYPERLINK("https://twitter.com/JamesMoonLaw","@JamesMoonLaw")</f>
        <v>@JamesMoonLaw</v>
      </c>
      <c r="C5469" s="6" t="s">
        <v>5740</v>
      </c>
      <c r="D5469" s="7" t="s">
        <v>6870</v>
      </c>
      <c r="E5469" s="8" t="str">
        <f>HYPERLINK("http://twitter.com/download/android","Twitter for Android")</f>
        <v>Twitter for Android</v>
      </c>
      <c r="F5469" s="4">
        <v>39898.878032407403</v>
      </c>
      <c r="G5469" s="24" t="s">
        <v>13000</v>
      </c>
      <c r="H5469" s="35" t="s">
        <v>106</v>
      </c>
      <c r="I5469" s="10" t="s">
        <v>5742</v>
      </c>
    </row>
    <row r="5470" spans="1:9" s="33" customFormat="1" ht="90">
      <c r="A5470" s="4">
        <v>43563.812581018516</v>
      </c>
      <c r="B5470" s="5" t="str">
        <f>HYPERLINK("https://twitter.com/LASavage15","@LASavage15")</f>
        <v>@LASavage15</v>
      </c>
      <c r="C5470" s="6" t="s">
        <v>3446</v>
      </c>
      <c r="D5470" s="7" t="s">
        <v>6872</v>
      </c>
      <c r="E5470" s="8" t="str">
        <f>HYPERLINK("https://buffer.com","Buffer")</f>
        <v>Buffer</v>
      </c>
      <c r="F5470" s="4">
        <v>42832.147986111115</v>
      </c>
      <c r="G5470" s="24" t="s">
        <v>13000</v>
      </c>
      <c r="H5470" s="35" t="s">
        <v>106</v>
      </c>
      <c r="I5470" s="10" t="s">
        <v>3448</v>
      </c>
    </row>
    <row r="5471" spans="1:9" s="33" customFormat="1" ht="90">
      <c r="A5471" s="4">
        <v>43563.72928240741</v>
      </c>
      <c r="B5471" s="5" t="str">
        <f>HYPERLINK("https://twitter.com/AMYCREDITGIRL","@AMYCREDITGIRL")</f>
        <v>@AMYCREDITGIRL</v>
      </c>
      <c r="C5471" s="6" t="s">
        <v>3571</v>
      </c>
      <c r="D5471" s="7" t="s">
        <v>6061</v>
      </c>
      <c r="E5471" s="8" t="str">
        <f>HYPERLINK("https://buffer.com","Buffer")</f>
        <v>Buffer</v>
      </c>
      <c r="F5471" s="4">
        <v>43265.764976851853</v>
      </c>
      <c r="G5471" s="24" t="s">
        <v>13000</v>
      </c>
      <c r="H5471" s="35" t="s">
        <v>106</v>
      </c>
      <c r="I5471" s="10" t="s">
        <v>3573</v>
      </c>
    </row>
    <row r="5472" spans="1:9" s="33" customFormat="1" ht="75">
      <c r="A5472" s="4">
        <v>43563.729259259257</v>
      </c>
      <c r="B5472" s="5" t="str">
        <f>HYPERLINK("https://twitter.com/LASavage15","@LASavage15")</f>
        <v>@LASavage15</v>
      </c>
      <c r="C5472" s="6" t="s">
        <v>3446</v>
      </c>
      <c r="D5472" s="7" t="s">
        <v>6911</v>
      </c>
      <c r="E5472" s="8" t="str">
        <f>HYPERLINK("https://buffer.com","Buffer")</f>
        <v>Buffer</v>
      </c>
      <c r="F5472" s="4">
        <v>42832.147986111115</v>
      </c>
      <c r="G5472" s="24" t="s">
        <v>13000</v>
      </c>
      <c r="H5472" s="35" t="s">
        <v>106</v>
      </c>
      <c r="I5472" s="10" t="s">
        <v>3448</v>
      </c>
    </row>
    <row r="5473" spans="1:9" s="33" customFormat="1" ht="90">
      <c r="A5473" s="4">
        <v>43563.37537037037</v>
      </c>
      <c r="B5473" s="5" t="str">
        <f>HYPERLINK("https://twitter.com/AMYCREDITGIRL","@AMYCREDITGIRL")</f>
        <v>@AMYCREDITGIRL</v>
      </c>
      <c r="C5473" s="6" t="s">
        <v>3571</v>
      </c>
      <c r="D5473" s="7" t="s">
        <v>10323</v>
      </c>
      <c r="E5473" s="8" t="str">
        <f>HYPERLINK("https://buffer.com","Buffer")</f>
        <v>Buffer</v>
      </c>
      <c r="F5473" s="4">
        <v>43265.764976851853</v>
      </c>
      <c r="G5473" s="24" t="s">
        <v>13000</v>
      </c>
      <c r="H5473" s="35" t="s">
        <v>106</v>
      </c>
      <c r="I5473" s="10" t="s">
        <v>3573</v>
      </c>
    </row>
    <row r="5474" spans="1:9" s="33" customFormat="1" ht="90">
      <c r="A5474" s="4">
        <v>43563.369432870371</v>
      </c>
      <c r="B5474" s="5" t="str">
        <f>HYPERLINK("https://twitter.com/MunichRe_US","@MunichRe_US")</f>
        <v>@MunichRe_US</v>
      </c>
      <c r="C5474" s="6" t="s">
        <v>10329</v>
      </c>
      <c r="D5474" s="7" t="s">
        <v>10330</v>
      </c>
      <c r="E5474" s="8" t="str">
        <f>HYPERLINK("https://mobile.twitter.com","Twitter Web App")</f>
        <v>Twitter Web App</v>
      </c>
      <c r="F5474" s="4">
        <v>40269.755636574075</v>
      </c>
      <c r="G5474" s="24" t="s">
        <v>13000</v>
      </c>
      <c r="H5474" s="35" t="s">
        <v>106</v>
      </c>
      <c r="I5474" s="10" t="s">
        <v>10331</v>
      </c>
    </row>
    <row r="5475" spans="1:9" s="33" customFormat="1" ht="105">
      <c r="A5475" s="4">
        <v>43563.292361111111</v>
      </c>
      <c r="B5475" s="5" t="str">
        <f>HYPERLINK("https://twitter.com/cbizVRI","@cbizVRI")</f>
        <v>@cbizVRI</v>
      </c>
      <c r="C5475" s="6" t="s">
        <v>2560</v>
      </c>
      <c r="D5475" s="7" t="s">
        <v>10394</v>
      </c>
      <c r="E5475" s="8" t="str">
        <f>HYPERLINK("http://www.hubspot.com/","HubSpot")</f>
        <v>HubSpot</v>
      </c>
      <c r="F5475" s="4">
        <v>42893.499884259261</v>
      </c>
      <c r="G5475" s="24" t="s">
        <v>13000</v>
      </c>
      <c r="H5475" s="35" t="s">
        <v>106</v>
      </c>
      <c r="I5475" s="10" t="s">
        <v>2562</v>
      </c>
    </row>
    <row r="5476" spans="1:9" s="33" customFormat="1" ht="90">
      <c r="A5476" s="4">
        <v>43563.292268518519</v>
      </c>
      <c r="B5476" s="5" t="str">
        <f>HYPERLINK("https://twitter.com/LASavage15","@LASavage15")</f>
        <v>@LASavage15</v>
      </c>
      <c r="C5476" s="6" t="s">
        <v>3446</v>
      </c>
      <c r="D5476" s="7" t="s">
        <v>10395</v>
      </c>
      <c r="E5476" s="8" t="str">
        <f t="shared" ref="E5476:E5482" si="206">HYPERLINK("https://buffer.com","Buffer")</f>
        <v>Buffer</v>
      </c>
      <c r="F5476" s="4">
        <v>42832.147986111115</v>
      </c>
      <c r="G5476" s="24" t="s">
        <v>13000</v>
      </c>
      <c r="H5476" s="35" t="s">
        <v>106</v>
      </c>
      <c r="I5476" s="10" t="s">
        <v>3448</v>
      </c>
    </row>
    <row r="5477" spans="1:9" s="33" customFormat="1" ht="90">
      <c r="A5477" s="4">
        <v>43563.208668981482</v>
      </c>
      <c r="B5477" s="5" t="str">
        <f>HYPERLINK("https://twitter.com/AMYCREDITGIRL","@AMYCREDITGIRL")</f>
        <v>@AMYCREDITGIRL</v>
      </c>
      <c r="C5477" s="6" t="s">
        <v>3571</v>
      </c>
      <c r="D5477" s="7" t="s">
        <v>10434</v>
      </c>
      <c r="E5477" s="8" t="str">
        <f t="shared" si="206"/>
        <v>Buffer</v>
      </c>
      <c r="F5477" s="4">
        <v>43265.764976851853</v>
      </c>
      <c r="G5477" s="24" t="s">
        <v>13000</v>
      </c>
      <c r="H5477" s="35" t="s">
        <v>106</v>
      </c>
      <c r="I5477" s="10" t="s">
        <v>3573</v>
      </c>
    </row>
    <row r="5478" spans="1:9" s="33" customFormat="1" ht="90">
      <c r="A5478" s="4">
        <v>43563.166678240741</v>
      </c>
      <c r="B5478" s="5" t="str">
        <f>HYPERLINK("https://twitter.com/LASavage15","@LASavage15")</f>
        <v>@LASavage15</v>
      </c>
      <c r="C5478" s="6" t="s">
        <v>3446</v>
      </c>
      <c r="D5478" s="7" t="s">
        <v>10448</v>
      </c>
      <c r="E5478" s="8" t="str">
        <f t="shared" si="206"/>
        <v>Buffer</v>
      </c>
      <c r="F5478" s="4">
        <v>42832.147986111115</v>
      </c>
      <c r="G5478" s="24" t="s">
        <v>13000</v>
      </c>
      <c r="H5478" s="35" t="s">
        <v>106</v>
      </c>
      <c r="I5478" s="10" t="s">
        <v>3448</v>
      </c>
    </row>
    <row r="5479" spans="1:9" s="33" customFormat="1" ht="90">
      <c r="A5479" s="4">
        <v>43563.083553240736</v>
      </c>
      <c r="B5479" s="5" t="str">
        <f>HYPERLINK("https://twitter.com/AMYCREDITGIRL","@AMYCREDITGIRL")</f>
        <v>@AMYCREDITGIRL</v>
      </c>
      <c r="C5479" s="6" t="s">
        <v>3571</v>
      </c>
      <c r="D5479" s="7" t="s">
        <v>5340</v>
      </c>
      <c r="E5479" s="8" t="str">
        <f t="shared" si="206"/>
        <v>Buffer</v>
      </c>
      <c r="F5479" s="4">
        <v>43265.764976851853</v>
      </c>
      <c r="G5479" s="24" t="s">
        <v>13000</v>
      </c>
      <c r="H5479" s="35" t="s">
        <v>106</v>
      </c>
      <c r="I5479" s="10" t="s">
        <v>3573</v>
      </c>
    </row>
    <row r="5480" spans="1:9" s="33" customFormat="1" ht="90">
      <c r="A5480" s="4">
        <v>43563.041817129633</v>
      </c>
      <c r="B5480" s="5" t="str">
        <f>HYPERLINK("https://twitter.com/LASavage15","@LASavage15")</f>
        <v>@LASavage15</v>
      </c>
      <c r="C5480" s="6" t="s">
        <v>3446</v>
      </c>
      <c r="D5480" s="7" t="s">
        <v>10492</v>
      </c>
      <c r="E5480" s="8" t="str">
        <f t="shared" si="206"/>
        <v>Buffer</v>
      </c>
      <c r="F5480" s="4">
        <v>42832.147986111115</v>
      </c>
      <c r="G5480" s="24" t="s">
        <v>13000</v>
      </c>
      <c r="H5480" s="35" t="s">
        <v>106</v>
      </c>
      <c r="I5480" s="10" t="s">
        <v>3448</v>
      </c>
    </row>
    <row r="5481" spans="1:9" s="33" customFormat="1" ht="90">
      <c r="A5481" s="4">
        <v>43562.958472222221</v>
      </c>
      <c r="B5481" s="5" t="str">
        <f>HYPERLINK("https://twitter.com/AMYCREDITGIRL","@AMYCREDITGIRL")</f>
        <v>@AMYCREDITGIRL</v>
      </c>
      <c r="C5481" s="6" t="s">
        <v>3571</v>
      </c>
      <c r="D5481" s="7" t="s">
        <v>10529</v>
      </c>
      <c r="E5481" s="8" t="str">
        <f t="shared" si="206"/>
        <v>Buffer</v>
      </c>
      <c r="F5481" s="4">
        <v>43265.764976851853</v>
      </c>
      <c r="G5481" s="24" t="s">
        <v>13000</v>
      </c>
      <c r="H5481" s="35" t="s">
        <v>106</v>
      </c>
      <c r="I5481" s="10" t="s">
        <v>3573</v>
      </c>
    </row>
    <row r="5482" spans="1:9" s="33" customFormat="1" ht="90">
      <c r="A5482" s="4">
        <v>43562.916759259257</v>
      </c>
      <c r="B5482" s="5" t="str">
        <f>HYPERLINK("https://twitter.com/LASavage15","@LASavage15")</f>
        <v>@LASavage15</v>
      </c>
      <c r="C5482" s="6" t="s">
        <v>3446</v>
      </c>
      <c r="D5482" s="7" t="s">
        <v>10549</v>
      </c>
      <c r="E5482" s="8" t="str">
        <f t="shared" si="206"/>
        <v>Buffer</v>
      </c>
      <c r="F5482" s="4">
        <v>42832.147986111115</v>
      </c>
      <c r="G5482" s="24" t="s">
        <v>13000</v>
      </c>
      <c r="H5482" s="35" t="s">
        <v>106</v>
      </c>
      <c r="I5482" s="10" t="s">
        <v>3448</v>
      </c>
    </row>
    <row r="5483" spans="1:9" s="33" customFormat="1" ht="75">
      <c r="A5483" s="4">
        <v>43562.787025462967</v>
      </c>
      <c r="B5483" s="5" t="str">
        <f>HYPERLINK("https://twitter.com/GorillaMentor","@GorillaMentor")</f>
        <v>@GorillaMentor</v>
      </c>
      <c r="C5483" s="6" t="s">
        <v>1971</v>
      </c>
      <c r="D5483" s="7" t="s">
        <v>10585</v>
      </c>
      <c r="E5483" s="8" t="str">
        <f>HYPERLINK("http://instagram.com","Instagram")</f>
        <v>Instagram</v>
      </c>
      <c r="F5483" s="4">
        <v>39997.894976851851</v>
      </c>
      <c r="G5483" s="24" t="s">
        <v>13000</v>
      </c>
      <c r="H5483" s="35" t="s">
        <v>106</v>
      </c>
      <c r="I5483" s="10" t="s">
        <v>1973</v>
      </c>
    </row>
    <row r="5484" spans="1:9" s="33" customFormat="1" ht="60">
      <c r="A5484" s="4">
        <v>43562.785844907412</v>
      </c>
      <c r="B5484" s="5" t="str">
        <f>HYPERLINK("https://twitter.com/GorillaMentor","@GorillaMentor")</f>
        <v>@GorillaMentor</v>
      </c>
      <c r="C5484" s="6" t="s">
        <v>1971</v>
      </c>
      <c r="D5484" s="7" t="s">
        <v>10587</v>
      </c>
      <c r="E5484" s="8" t="str">
        <f>HYPERLINK("http://instagram.com","Instagram")</f>
        <v>Instagram</v>
      </c>
      <c r="F5484" s="4">
        <v>39997.894976851851</v>
      </c>
      <c r="G5484" s="24" t="s">
        <v>13000</v>
      </c>
      <c r="H5484" s="35" t="s">
        <v>106</v>
      </c>
      <c r="I5484" s="10" t="s">
        <v>1973</v>
      </c>
    </row>
    <row r="5485" spans="1:9" s="33" customFormat="1" ht="60">
      <c r="A5485" s="4">
        <v>43562.633969907409</v>
      </c>
      <c r="B5485" s="5" t="str">
        <f>HYPERLINK("https://twitter.com/Susan15230373","@Susan15230373")</f>
        <v>@Susan15230373</v>
      </c>
      <c r="C5485" s="6" t="s">
        <v>10632</v>
      </c>
      <c r="D5485" s="7" t="s">
        <v>10633</v>
      </c>
      <c r="E5485" s="8" t="str">
        <f>HYPERLINK("http://twitter.com/download/iphone","Twitter for iPhone")</f>
        <v>Twitter for iPhone</v>
      </c>
      <c r="F5485" s="4">
        <v>43562.511249999996</v>
      </c>
      <c r="G5485" s="24" t="s">
        <v>13000</v>
      </c>
      <c r="H5485" s="35" t="s">
        <v>106</v>
      </c>
      <c r="I5485" s="10"/>
    </row>
    <row r="5486" spans="1:9" s="33" customFormat="1" ht="30">
      <c r="A5486" s="4">
        <v>43562.54210648148</v>
      </c>
      <c r="B5486" s="5" t="str">
        <f>HYPERLINK("https://twitter.com/CouponFleek","@CouponFleek")</f>
        <v>@CouponFleek</v>
      </c>
      <c r="C5486" s="6" t="s">
        <v>1717</v>
      </c>
      <c r="D5486" s="7" t="s">
        <v>10653</v>
      </c>
      <c r="E5486" s="8" t="str">
        <f>HYPERLINK("http://twitter.com","Twitter Web Client")</f>
        <v>Twitter Web Client</v>
      </c>
      <c r="F5486" s="4">
        <v>42574.170451388884</v>
      </c>
      <c r="G5486" s="24" t="s">
        <v>13000</v>
      </c>
      <c r="H5486" s="35" t="s">
        <v>106</v>
      </c>
      <c r="I5486" s="10" t="s">
        <v>1719</v>
      </c>
    </row>
    <row r="5487" spans="1:9" s="33" customFormat="1" ht="90">
      <c r="A5487" s="4">
        <v>43562.354270833333</v>
      </c>
      <c r="B5487" s="5" t="str">
        <f>HYPERLINK("https://twitter.com/AMYCREDITGIRL","@AMYCREDITGIRL")</f>
        <v>@AMYCREDITGIRL</v>
      </c>
      <c r="C5487" s="6" t="s">
        <v>3571</v>
      </c>
      <c r="D5487" s="7" t="s">
        <v>5891</v>
      </c>
      <c r="E5487" s="8" t="str">
        <f>HYPERLINK("https://buffer.com","Buffer")</f>
        <v>Buffer</v>
      </c>
      <c r="F5487" s="4">
        <v>43265.764976851853</v>
      </c>
      <c r="G5487" s="24" t="s">
        <v>13000</v>
      </c>
      <c r="H5487" s="35" t="s">
        <v>106</v>
      </c>
      <c r="I5487" s="10" t="s">
        <v>3573</v>
      </c>
    </row>
    <row r="5488" spans="1:9" s="33" customFormat="1" ht="105">
      <c r="A5488" s="4">
        <v>43562.312581018516</v>
      </c>
      <c r="B5488" s="5" t="str">
        <f>HYPERLINK("https://twitter.com/LASavage15","@LASavage15")</f>
        <v>@LASavage15</v>
      </c>
      <c r="C5488" s="6" t="s">
        <v>3446</v>
      </c>
      <c r="D5488" s="7" t="s">
        <v>10708</v>
      </c>
      <c r="E5488" s="8" t="str">
        <f>HYPERLINK("https://buffer.com","Buffer")</f>
        <v>Buffer</v>
      </c>
      <c r="F5488" s="4">
        <v>42832.147986111115</v>
      </c>
      <c r="G5488" s="24" t="s">
        <v>13000</v>
      </c>
      <c r="H5488" s="35" t="s">
        <v>106</v>
      </c>
      <c r="I5488" s="10" t="s">
        <v>3448</v>
      </c>
    </row>
    <row r="5489" spans="1:9" s="33" customFormat="1" ht="90">
      <c r="A5489" s="4">
        <v>43562.229351851856</v>
      </c>
      <c r="B5489" s="5" t="str">
        <f>HYPERLINK("https://twitter.com/AMYCREDITGIRL","@AMYCREDITGIRL")</f>
        <v>@AMYCREDITGIRL</v>
      </c>
      <c r="C5489" s="6" t="s">
        <v>3571</v>
      </c>
      <c r="D5489" s="7" t="s">
        <v>10723</v>
      </c>
      <c r="E5489" s="8" t="str">
        <f>HYPERLINK("https://buffer.com","Buffer")</f>
        <v>Buffer</v>
      </c>
      <c r="F5489" s="4">
        <v>43265.764976851853</v>
      </c>
      <c r="G5489" s="24" t="s">
        <v>13000</v>
      </c>
      <c r="H5489" s="35" t="s">
        <v>106</v>
      </c>
      <c r="I5489" s="10" t="s">
        <v>3573</v>
      </c>
    </row>
    <row r="5490" spans="1:9" s="33" customFormat="1" ht="45">
      <c r="A5490" s="4">
        <v>43562.187835648147</v>
      </c>
      <c r="B5490" s="5" t="str">
        <f>HYPERLINK("https://twitter.com/VernaPolitics","@VernaPolitics")</f>
        <v>@VernaPolitics</v>
      </c>
      <c r="C5490" s="6" t="s">
        <v>10729</v>
      </c>
      <c r="D5490" s="7" t="s">
        <v>10730</v>
      </c>
      <c r="E5490" s="8" t="str">
        <f>HYPERLINK("http://twitter.com/download/iphone","Twitter for iPhone")</f>
        <v>Twitter for iPhone</v>
      </c>
      <c r="F5490" s="4">
        <v>39731.494386574072</v>
      </c>
      <c r="G5490" s="24" t="s">
        <v>13000</v>
      </c>
      <c r="H5490" s="35" t="s">
        <v>106</v>
      </c>
      <c r="I5490" s="10" t="s">
        <v>10731</v>
      </c>
    </row>
    <row r="5491" spans="1:9" s="33" customFormat="1" ht="90">
      <c r="A5491" s="4">
        <v>43562.187685185185</v>
      </c>
      <c r="B5491" s="5" t="str">
        <f>HYPERLINK("https://twitter.com/LASavage15","@LASavage15")</f>
        <v>@LASavage15</v>
      </c>
      <c r="C5491" s="6" t="s">
        <v>3446</v>
      </c>
      <c r="D5491" s="7" t="s">
        <v>5429</v>
      </c>
      <c r="E5491" s="8" t="str">
        <f>HYPERLINK("https://buffer.com","Buffer")</f>
        <v>Buffer</v>
      </c>
      <c r="F5491" s="4">
        <v>42832.147986111115</v>
      </c>
      <c r="G5491" s="24" t="s">
        <v>13000</v>
      </c>
      <c r="H5491" s="35" t="s">
        <v>106</v>
      </c>
      <c r="I5491" s="10" t="s">
        <v>3448</v>
      </c>
    </row>
    <row r="5492" spans="1:9" s="33" customFormat="1" ht="90">
      <c r="A5492" s="4">
        <v>43562.104212962964</v>
      </c>
      <c r="B5492" s="5" t="str">
        <f>HYPERLINK("https://twitter.com/AMYCREDITGIRL","@AMYCREDITGIRL")</f>
        <v>@AMYCREDITGIRL</v>
      </c>
      <c r="C5492" s="6" t="s">
        <v>3571</v>
      </c>
      <c r="D5492" s="7" t="s">
        <v>10751</v>
      </c>
      <c r="E5492" s="8" t="str">
        <f>HYPERLINK("https://buffer.com","Buffer")</f>
        <v>Buffer</v>
      </c>
      <c r="F5492" s="4">
        <v>43265.764976851853</v>
      </c>
      <c r="G5492" s="24" t="s">
        <v>13000</v>
      </c>
      <c r="H5492" s="35" t="s">
        <v>106</v>
      </c>
      <c r="I5492" s="10" t="s">
        <v>3573</v>
      </c>
    </row>
    <row r="5493" spans="1:9" s="33" customFormat="1" ht="90">
      <c r="A5493" s="4">
        <v>43562.062534722223</v>
      </c>
      <c r="B5493" s="5" t="str">
        <f>HYPERLINK("https://twitter.com/LASavage15","@LASavage15")</f>
        <v>@LASavage15</v>
      </c>
      <c r="C5493" s="6" t="s">
        <v>3446</v>
      </c>
      <c r="D5493" s="7" t="s">
        <v>5515</v>
      </c>
      <c r="E5493" s="8" t="str">
        <f>HYPERLINK("https://buffer.com","Buffer")</f>
        <v>Buffer</v>
      </c>
      <c r="F5493" s="4">
        <v>42832.147986111115</v>
      </c>
      <c r="G5493" s="24" t="s">
        <v>13000</v>
      </c>
      <c r="H5493" s="35" t="s">
        <v>106</v>
      </c>
      <c r="I5493" s="10" t="s">
        <v>3448</v>
      </c>
    </row>
    <row r="5494" spans="1:9" s="33" customFormat="1" ht="105">
      <c r="A5494" s="4">
        <v>43561.524027777778</v>
      </c>
      <c r="B5494" s="5" t="str">
        <f>HYPERLINK("https://twitter.com/bnbprogram","@bnbprogram")</f>
        <v>@bnbprogram</v>
      </c>
      <c r="C5494" s="6" t="s">
        <v>108</v>
      </c>
      <c r="D5494" s="7" t="s">
        <v>10947</v>
      </c>
      <c r="E5494" s="8" t="str">
        <f>HYPERLINK("http://twitter.com/download/iphone","Twitter for iPhone")</f>
        <v>Twitter for iPhone</v>
      </c>
      <c r="F5494" s="4">
        <v>43182.268159722225</v>
      </c>
      <c r="G5494" s="24" t="s">
        <v>13000</v>
      </c>
      <c r="H5494" s="35" t="s">
        <v>106</v>
      </c>
      <c r="I5494" s="10" t="s">
        <v>110</v>
      </c>
    </row>
    <row r="5495" spans="1:9" s="33" customFormat="1" ht="90">
      <c r="A5495" s="4">
        <v>43561.365405092598</v>
      </c>
      <c r="B5495" s="5" t="str">
        <f>HYPERLINK("https://twitter.com/BubbleHutsLLC","@BubbleHutsLLC")</f>
        <v>@BubbleHutsLLC</v>
      </c>
      <c r="C5495" s="6" t="s">
        <v>1098</v>
      </c>
      <c r="D5495" s="7" t="s">
        <v>10998</v>
      </c>
      <c r="E5495" s="8" t="str">
        <f>HYPERLINK("http://twitter.com","Twitter Web Client")</f>
        <v>Twitter Web Client</v>
      </c>
      <c r="F5495" s="4">
        <v>41846.565393518518</v>
      </c>
      <c r="G5495" s="24" t="s">
        <v>13000</v>
      </c>
      <c r="H5495" s="35" t="s">
        <v>106</v>
      </c>
      <c r="I5495" s="10" t="s">
        <v>1100</v>
      </c>
    </row>
    <row r="5496" spans="1:9" s="33" customFormat="1" ht="105">
      <c r="A5496" s="4">
        <v>43560.929629629631</v>
      </c>
      <c r="B5496" s="5" t="str">
        <f>HYPERLINK("https://twitter.com/unminced11","@unminced11")</f>
        <v>@unminced11</v>
      </c>
      <c r="C5496" s="6" t="s">
        <v>11126</v>
      </c>
      <c r="D5496" s="7" t="s">
        <v>11127</v>
      </c>
      <c r="E5496" s="8" t="str">
        <f>HYPERLINK("http://twitter.com/download/iphone","Twitter for iPhone")</f>
        <v>Twitter for iPhone</v>
      </c>
      <c r="F5496" s="4">
        <v>43317.994432870371</v>
      </c>
      <c r="G5496" s="24" t="s">
        <v>13000</v>
      </c>
      <c r="H5496" s="35" t="s">
        <v>106</v>
      </c>
      <c r="I5496" s="10" t="s">
        <v>11128</v>
      </c>
    </row>
    <row r="5497" spans="1:9" s="33" customFormat="1" ht="45">
      <c r="A5497" s="4">
        <v>43560.773298611108</v>
      </c>
      <c r="B5497" s="5" t="str">
        <f>HYPERLINK("https://twitter.com/SixSagesGaming","@SixSagesGaming")</f>
        <v>@SixSagesGaming</v>
      </c>
      <c r="C5497" s="6" t="s">
        <v>11174</v>
      </c>
      <c r="D5497" s="7" t="s">
        <v>11175</v>
      </c>
      <c r="E5497" s="8" t="str">
        <f>HYPERLINK("http://twitter.com/download/iphone","Twitter for iPhone")</f>
        <v>Twitter for iPhone</v>
      </c>
      <c r="F5497" s="4">
        <v>42101.492222222223</v>
      </c>
      <c r="G5497" s="24" t="s">
        <v>13000</v>
      </c>
      <c r="H5497" s="35" t="s">
        <v>106</v>
      </c>
      <c r="I5497" s="10" t="s">
        <v>11176</v>
      </c>
    </row>
    <row r="5498" spans="1:9" s="33" customFormat="1" ht="90">
      <c r="A5498" s="4">
        <v>43560.770914351851</v>
      </c>
      <c r="B5498" s="5" t="str">
        <f>HYPERLINK("https://twitter.com/AMYCREDITGIRL","@AMYCREDITGIRL")</f>
        <v>@AMYCREDITGIRL</v>
      </c>
      <c r="C5498" s="6" t="s">
        <v>3571</v>
      </c>
      <c r="D5498" s="7" t="s">
        <v>11177</v>
      </c>
      <c r="E5498" s="8" t="str">
        <f>HYPERLINK("https://buffer.com","Buffer")</f>
        <v>Buffer</v>
      </c>
      <c r="F5498" s="4">
        <v>43265.764976851853</v>
      </c>
      <c r="G5498" s="24" t="s">
        <v>13000</v>
      </c>
      <c r="H5498" s="35" t="s">
        <v>106</v>
      </c>
      <c r="I5498" s="10" t="s">
        <v>3573</v>
      </c>
    </row>
    <row r="5499" spans="1:9" s="33" customFormat="1" ht="90">
      <c r="A5499" s="4">
        <v>43560.729317129633</v>
      </c>
      <c r="B5499" s="5" t="str">
        <f>HYPERLINK("https://twitter.com/LASavage15","@LASavage15")</f>
        <v>@LASavage15</v>
      </c>
      <c r="C5499" s="6" t="s">
        <v>3446</v>
      </c>
      <c r="D5499" s="7" t="s">
        <v>5891</v>
      </c>
      <c r="E5499" s="8" t="str">
        <f>HYPERLINK("https://buffer.com","Buffer")</f>
        <v>Buffer</v>
      </c>
      <c r="F5499" s="4">
        <v>42832.147986111115</v>
      </c>
      <c r="G5499" s="24" t="s">
        <v>13000</v>
      </c>
      <c r="H5499" s="35" t="s">
        <v>106</v>
      </c>
      <c r="I5499" s="10" t="s">
        <v>3448</v>
      </c>
    </row>
    <row r="5500" spans="1:9" s="33" customFormat="1" ht="90">
      <c r="A5500" s="4">
        <v>43560.646018518513</v>
      </c>
      <c r="B5500" s="5" t="str">
        <f>HYPERLINK("https://twitter.com/AMYCREDITGIRL","@AMYCREDITGIRL")</f>
        <v>@AMYCREDITGIRL</v>
      </c>
      <c r="C5500" s="6" t="s">
        <v>3571</v>
      </c>
      <c r="D5500" s="7" t="s">
        <v>11232</v>
      </c>
      <c r="E5500" s="8" t="str">
        <f>HYPERLINK("https://buffer.com","Buffer")</f>
        <v>Buffer</v>
      </c>
      <c r="F5500" s="4">
        <v>43265.764976851853</v>
      </c>
      <c r="G5500" s="24" t="s">
        <v>13000</v>
      </c>
      <c r="H5500" s="35" t="s">
        <v>106</v>
      </c>
      <c r="I5500" s="10" t="s">
        <v>3573</v>
      </c>
    </row>
    <row r="5501" spans="1:9" s="33" customFormat="1" ht="90">
      <c r="A5501" s="4">
        <v>43560.604178240741</v>
      </c>
      <c r="B5501" s="5" t="str">
        <f>HYPERLINK("https://twitter.com/LASavage15","@LASavage15")</f>
        <v>@LASavage15</v>
      </c>
      <c r="C5501" s="6" t="s">
        <v>3446</v>
      </c>
      <c r="D5501" s="7" t="s">
        <v>11258</v>
      </c>
      <c r="E5501" s="8" t="str">
        <f>HYPERLINK("https://buffer.com","Buffer")</f>
        <v>Buffer</v>
      </c>
      <c r="F5501" s="4">
        <v>42832.147986111115</v>
      </c>
      <c r="G5501" s="24" t="s">
        <v>13000</v>
      </c>
      <c r="H5501" s="35" t="s">
        <v>106</v>
      </c>
      <c r="I5501" s="10" t="s">
        <v>3448</v>
      </c>
    </row>
    <row r="5502" spans="1:9" s="33" customFormat="1" ht="75">
      <c r="A5502" s="4">
        <v>43560.358460648145</v>
      </c>
      <c r="B5502" s="5" t="str">
        <f>HYPERLINK("https://twitter.com/AOC_Security","@AOC_Security")</f>
        <v>@AOC_Security</v>
      </c>
      <c r="C5502" s="6" t="s">
        <v>11431</v>
      </c>
      <c r="D5502" s="7" t="s">
        <v>11432</v>
      </c>
      <c r="E5502" s="8" t="str">
        <f>HYPERLINK("http://twitter.com/download/android","Twitter for Android")</f>
        <v>Twitter for Android</v>
      </c>
      <c r="F5502" s="4">
        <v>42156.706886574073</v>
      </c>
      <c r="G5502" s="24" t="s">
        <v>13000</v>
      </c>
      <c r="H5502" s="35" t="s">
        <v>106</v>
      </c>
      <c r="I5502" s="10" t="s">
        <v>11433</v>
      </c>
    </row>
    <row r="5503" spans="1:9" s="33" customFormat="1" ht="75">
      <c r="A5503" s="4">
        <v>43560.279016203705</v>
      </c>
      <c r="B5503" s="5" t="str">
        <f>HYPERLINK("https://twitter.com/GorillaMentor","@GorillaMentor")</f>
        <v>@GorillaMentor</v>
      </c>
      <c r="C5503" s="6" t="s">
        <v>1971</v>
      </c>
      <c r="D5503" s="7" t="s">
        <v>11512</v>
      </c>
      <c r="E5503" s="8" t="str">
        <f>HYPERLINK("http://instagram.com","Instagram")</f>
        <v>Instagram</v>
      </c>
      <c r="F5503" s="4">
        <v>39997.894976851851</v>
      </c>
      <c r="G5503" s="24" t="s">
        <v>13000</v>
      </c>
      <c r="H5503" s="35" t="s">
        <v>106</v>
      </c>
      <c r="I5503" s="10" t="s">
        <v>1973</v>
      </c>
    </row>
    <row r="5504" spans="1:9" s="33" customFormat="1" ht="120">
      <c r="A5504" s="4">
        <v>43560.265578703707</v>
      </c>
      <c r="B5504" s="5" t="str">
        <f>HYPERLINK("https://twitter.com/bnbprogram","@bnbprogram")</f>
        <v>@bnbprogram</v>
      </c>
      <c r="C5504" s="6" t="s">
        <v>108</v>
      </c>
      <c r="D5504" s="7" t="s">
        <v>11521</v>
      </c>
      <c r="E5504" s="8" t="str">
        <f>HYPERLINK("http://twitter.com/download/iphone","Twitter for iPhone")</f>
        <v>Twitter for iPhone</v>
      </c>
      <c r="F5504" s="4">
        <v>43182.268159722225</v>
      </c>
      <c r="G5504" s="24" t="s">
        <v>13000</v>
      </c>
      <c r="H5504" s="35" t="s">
        <v>106</v>
      </c>
      <c r="I5504" s="10" t="s">
        <v>110</v>
      </c>
    </row>
    <row r="5505" spans="1:9" s="33" customFormat="1" ht="75">
      <c r="A5505" s="4">
        <v>43560.261932870373</v>
      </c>
      <c r="B5505" s="5" t="str">
        <f>HYPERLINK("https://twitter.com/4nonM","@4nonM")</f>
        <v>@4nonM</v>
      </c>
      <c r="C5505" s="6" t="s">
        <v>11522</v>
      </c>
      <c r="D5505" s="7" t="s">
        <v>11523</v>
      </c>
      <c r="E5505" s="8" t="str">
        <f>HYPERLINK("http://twitter.com/download/android","Twitter for Android")</f>
        <v>Twitter for Android</v>
      </c>
      <c r="F5505" s="4">
        <v>43378.680428240739</v>
      </c>
      <c r="G5505" s="24" t="s">
        <v>13000</v>
      </c>
      <c r="H5505" s="35" t="s">
        <v>106</v>
      </c>
      <c r="I5505" s="10" t="s">
        <v>11524</v>
      </c>
    </row>
    <row r="5506" spans="1:9" s="33" customFormat="1" ht="30">
      <c r="A5506" s="4">
        <v>43560.256736111114</v>
      </c>
      <c r="B5506" s="5" t="str">
        <f>HYPERLINK("https://twitter.com/jaredmarinlopez","@jaredmarinlopez")</f>
        <v>@jaredmarinlopez</v>
      </c>
      <c r="C5506" s="6" t="s">
        <v>11529</v>
      </c>
      <c r="D5506" s="7" t="s">
        <v>11530</v>
      </c>
      <c r="E5506" s="8" t="str">
        <f>HYPERLINK("http://twitter.com/download/android","Twitter for Android")</f>
        <v>Twitter for Android</v>
      </c>
      <c r="F5506" s="4">
        <v>41220.035775462966</v>
      </c>
      <c r="G5506" s="24" t="s">
        <v>13000</v>
      </c>
      <c r="H5506" s="35" t="s">
        <v>106</v>
      </c>
      <c r="I5506" s="10" t="s">
        <v>11531</v>
      </c>
    </row>
    <row r="5507" spans="1:9" s="33" customFormat="1" ht="90">
      <c r="A5507" s="4">
        <v>43560.250868055555</v>
      </c>
      <c r="B5507" s="5" t="str">
        <f>HYPERLINK("https://twitter.com/cbizVRI","@cbizVRI")</f>
        <v>@cbizVRI</v>
      </c>
      <c r="C5507" s="6" t="s">
        <v>2560</v>
      </c>
      <c r="D5507" s="7" t="s">
        <v>11535</v>
      </c>
      <c r="E5507" s="8" t="str">
        <f>HYPERLINK("http://www.hubspot.com/","HubSpot")</f>
        <v>HubSpot</v>
      </c>
      <c r="F5507" s="4">
        <v>42893.499884259261</v>
      </c>
      <c r="G5507" s="24" t="s">
        <v>13000</v>
      </c>
      <c r="H5507" s="35" t="s">
        <v>106</v>
      </c>
      <c r="I5507" s="10" t="s">
        <v>2562</v>
      </c>
    </row>
    <row r="5508" spans="1:9" s="33" customFormat="1" ht="45">
      <c r="A5508" s="4">
        <v>43560.233935185184</v>
      </c>
      <c r="B5508" s="5" t="str">
        <f>HYPERLINK("https://twitter.com/SK_Sleuth","@SK_Sleuth")</f>
        <v>@SK_Sleuth</v>
      </c>
      <c r="C5508" s="6" t="s">
        <v>11547</v>
      </c>
      <c r="D5508" s="7" t="s">
        <v>11548</v>
      </c>
      <c r="E5508" s="8" t="str">
        <f>HYPERLINK("http://twitter.com/download/iphone","Twitter for iPhone")</f>
        <v>Twitter for iPhone</v>
      </c>
      <c r="F5508" s="4">
        <v>41757.731956018521</v>
      </c>
      <c r="G5508" s="24" t="s">
        <v>13000</v>
      </c>
      <c r="H5508" s="35" t="s">
        <v>106</v>
      </c>
      <c r="I5508" s="10" t="s">
        <v>11549</v>
      </c>
    </row>
    <row r="5509" spans="1:9" s="33" customFormat="1" ht="105">
      <c r="A5509" s="4">
        <v>43559.957534722227</v>
      </c>
      <c r="B5509" s="5" t="str">
        <f>HYPERLINK("https://twitter.com/Nexcloudz1231","@Nexcloudz1231")</f>
        <v>@Nexcloudz1231</v>
      </c>
      <c r="C5509" s="6" t="s">
        <v>3474</v>
      </c>
      <c r="D5509" s="7" t="s">
        <v>11649</v>
      </c>
      <c r="E5509" s="8" t="str">
        <f>HYPERLINK("http://twitter.com","Twitter Web Client")</f>
        <v>Twitter Web Client</v>
      </c>
      <c r="F5509" s="4">
        <v>43405.153368055559</v>
      </c>
      <c r="G5509" s="24" t="s">
        <v>13000</v>
      </c>
      <c r="H5509" s="35" t="s">
        <v>106</v>
      </c>
      <c r="I5509" s="10" t="s">
        <v>3476</v>
      </c>
    </row>
    <row r="5510" spans="1:9" s="33" customFormat="1" ht="45">
      <c r="A5510" s="4">
        <v>43559.802233796298</v>
      </c>
      <c r="B5510" s="5" t="str">
        <f>HYPERLINK("https://twitter.com/DMidnightDoc","@DMidnightDoc")</f>
        <v>@DMidnightDoc</v>
      </c>
      <c r="C5510" s="6" t="s">
        <v>11690</v>
      </c>
      <c r="D5510" s="7" t="s">
        <v>11691</v>
      </c>
      <c r="E5510" s="8" t="str">
        <f>HYPERLINK("http://twitter.com","Twitter Web Client")</f>
        <v>Twitter Web Client</v>
      </c>
      <c r="F5510" s="4">
        <v>41260.795497685183</v>
      </c>
      <c r="G5510" s="24" t="s">
        <v>13000</v>
      </c>
      <c r="H5510" s="35" t="s">
        <v>106</v>
      </c>
      <c r="I5510" s="10" t="s">
        <v>11692</v>
      </c>
    </row>
    <row r="5511" spans="1:9" s="33" customFormat="1" ht="90">
      <c r="A5511" s="4">
        <v>43559.729305555556</v>
      </c>
      <c r="B5511" s="5" t="str">
        <f>HYPERLINK("https://twitter.com/AMYCREDITGIRL","@AMYCREDITGIRL")</f>
        <v>@AMYCREDITGIRL</v>
      </c>
      <c r="C5511" s="6" t="s">
        <v>3571</v>
      </c>
      <c r="D5511" s="7" t="s">
        <v>6629</v>
      </c>
      <c r="E5511" s="8" t="str">
        <f>HYPERLINK("https://buffer.com","Buffer")</f>
        <v>Buffer</v>
      </c>
      <c r="F5511" s="4">
        <v>43265.764976851853</v>
      </c>
      <c r="G5511" s="24" t="s">
        <v>13000</v>
      </c>
      <c r="H5511" s="35" t="s">
        <v>106</v>
      </c>
      <c r="I5511" s="10" t="s">
        <v>3573</v>
      </c>
    </row>
    <row r="5512" spans="1:9" s="33" customFormat="1" ht="90">
      <c r="A5512" s="4">
        <v>43559.687534722223</v>
      </c>
      <c r="B5512" s="5" t="str">
        <f>HYPERLINK("https://twitter.com/LASavage15","@LASavage15")</f>
        <v>@LASavage15</v>
      </c>
      <c r="C5512" s="6" t="s">
        <v>3446</v>
      </c>
      <c r="D5512" s="7" t="s">
        <v>5340</v>
      </c>
      <c r="E5512" s="8" t="str">
        <f>HYPERLINK("https://buffer.com","Buffer")</f>
        <v>Buffer</v>
      </c>
      <c r="F5512" s="4">
        <v>42832.147986111115</v>
      </c>
      <c r="G5512" s="24" t="s">
        <v>13000</v>
      </c>
      <c r="H5512" s="35" t="s">
        <v>106</v>
      </c>
      <c r="I5512" s="10" t="s">
        <v>3448</v>
      </c>
    </row>
    <row r="5513" spans="1:9" s="33" customFormat="1" ht="90">
      <c r="A5513" s="4">
        <v>43559.562534722223</v>
      </c>
      <c r="B5513" s="5" t="str">
        <f>HYPERLINK("https://twitter.com/AMYCREDITGIRL","@AMYCREDITGIRL")</f>
        <v>@AMYCREDITGIRL</v>
      </c>
      <c r="C5513" s="6" t="s">
        <v>3571</v>
      </c>
      <c r="D5513" s="7" t="s">
        <v>11761</v>
      </c>
      <c r="E5513" s="8" t="str">
        <f>HYPERLINK("https://buffer.com","Buffer")</f>
        <v>Buffer</v>
      </c>
      <c r="F5513" s="4">
        <v>43265.764976851853</v>
      </c>
      <c r="G5513" s="24" t="s">
        <v>13000</v>
      </c>
      <c r="H5513" s="35" t="s">
        <v>106</v>
      </c>
      <c r="I5513" s="10" t="s">
        <v>3573</v>
      </c>
    </row>
    <row r="5514" spans="1:9" s="33" customFormat="1" ht="90">
      <c r="A5514" s="4">
        <v>43559.530208333337</v>
      </c>
      <c r="B5514" s="5" t="str">
        <f>HYPERLINK("https://twitter.com/BubbleHutsLLC","@BubbleHutsLLC")</f>
        <v>@BubbleHutsLLC</v>
      </c>
      <c r="C5514" s="6" t="s">
        <v>1098</v>
      </c>
      <c r="D5514" s="7" t="s">
        <v>11776</v>
      </c>
      <c r="E5514" s="8" t="str">
        <f>HYPERLINK("http://twitter.com/download/android","Twitter for Android")</f>
        <v>Twitter for Android</v>
      </c>
      <c r="F5514" s="4">
        <v>41846.565393518518</v>
      </c>
      <c r="G5514" s="24" t="s">
        <v>13000</v>
      </c>
      <c r="H5514" s="35" t="s">
        <v>106</v>
      </c>
      <c r="I5514" s="10" t="s">
        <v>1100</v>
      </c>
    </row>
    <row r="5515" spans="1:9" s="33" customFormat="1" ht="120">
      <c r="A5515" s="4">
        <v>43559.431076388893</v>
      </c>
      <c r="B5515" s="5" t="str">
        <f>HYPERLINK("https://twitter.com/bnbprogram","@bnbprogram")</f>
        <v>@bnbprogram</v>
      </c>
      <c r="C5515" s="6" t="s">
        <v>108</v>
      </c>
      <c r="D5515" s="7" t="s">
        <v>11842</v>
      </c>
      <c r="E5515" s="8" t="str">
        <f>HYPERLINK("http://twitter.com/download/iphone","Twitter for iPhone")</f>
        <v>Twitter for iPhone</v>
      </c>
      <c r="F5515" s="4">
        <v>43182.268159722225</v>
      </c>
      <c r="G5515" s="24" t="s">
        <v>13000</v>
      </c>
      <c r="H5515" s="35" t="s">
        <v>106</v>
      </c>
      <c r="I5515" s="10" t="s">
        <v>110</v>
      </c>
    </row>
    <row r="5516" spans="1:9" s="33" customFormat="1" ht="60">
      <c r="A5516" s="4">
        <v>43559.374201388884</v>
      </c>
      <c r="B5516" s="5" t="str">
        <f>HYPERLINK("https://twitter.com/50Campfires","@50Campfires")</f>
        <v>@50Campfires</v>
      </c>
      <c r="C5516" s="6" t="s">
        <v>9195</v>
      </c>
      <c r="D5516" s="7" t="s">
        <v>9196</v>
      </c>
      <c r="E5516" s="8" t="str">
        <f>HYPERLINK("https://coschedule.com","CoSchedule")</f>
        <v>CoSchedule</v>
      </c>
      <c r="F5516" s="4">
        <v>41463.336273148147</v>
      </c>
      <c r="G5516" s="24" t="s">
        <v>13000</v>
      </c>
      <c r="H5516" s="35" t="s">
        <v>106</v>
      </c>
      <c r="I5516" s="10" t="s">
        <v>9197</v>
      </c>
    </row>
    <row r="5517" spans="1:9" s="33" customFormat="1" ht="120">
      <c r="A5517" s="4">
        <v>43559.302152777775</v>
      </c>
      <c r="B5517" s="5" t="str">
        <f>HYPERLINK("https://twitter.com/cbizVRI","@cbizVRI")</f>
        <v>@cbizVRI</v>
      </c>
      <c r="C5517" s="6" t="s">
        <v>2560</v>
      </c>
      <c r="D5517" s="7" t="s">
        <v>11889</v>
      </c>
      <c r="E5517" s="8" t="str">
        <f>HYPERLINK("http://www.hubspot.com/","HubSpot")</f>
        <v>HubSpot</v>
      </c>
      <c r="F5517" s="4">
        <v>42893.499884259261</v>
      </c>
      <c r="G5517" s="24" t="s">
        <v>13000</v>
      </c>
      <c r="H5517" s="35" t="s">
        <v>106</v>
      </c>
      <c r="I5517" s="10" t="s">
        <v>2562</v>
      </c>
    </row>
    <row r="5518" spans="1:9" s="33" customFormat="1" ht="120">
      <c r="A5518" s="4">
        <v>43558.921134259261</v>
      </c>
      <c r="B5518" s="5" t="str">
        <f>HYPERLINK("https://twitter.com/Nexcloudz1231","@Nexcloudz1231")</f>
        <v>@Nexcloudz1231</v>
      </c>
      <c r="C5518" s="6" t="s">
        <v>3474</v>
      </c>
      <c r="D5518" s="7" t="s">
        <v>11996</v>
      </c>
      <c r="E5518" s="8" t="str">
        <f>HYPERLINK("http://twitter.com","Twitter Web Client")</f>
        <v>Twitter Web Client</v>
      </c>
      <c r="F5518" s="4">
        <v>43405.153368055559</v>
      </c>
      <c r="G5518" s="24" t="s">
        <v>13000</v>
      </c>
      <c r="H5518" s="35" t="s">
        <v>106</v>
      </c>
      <c r="I5518" s="10" t="s">
        <v>3476</v>
      </c>
    </row>
    <row r="5519" spans="1:9" s="33" customFormat="1" ht="45">
      <c r="A5519" s="4">
        <v>43558.904282407406</v>
      </c>
      <c r="B5519" s="5" t="str">
        <f>HYPERLINK("https://twitter.com/CouponFleek","@CouponFleek")</f>
        <v>@CouponFleek</v>
      </c>
      <c r="C5519" s="6" t="s">
        <v>1717</v>
      </c>
      <c r="D5519" s="7" t="s">
        <v>12001</v>
      </c>
      <c r="E5519" s="8" t="str">
        <f>HYPERLINK("http://twitter.com","Twitter Web Client")</f>
        <v>Twitter Web Client</v>
      </c>
      <c r="F5519" s="4">
        <v>42574.170451388884</v>
      </c>
      <c r="G5519" s="24" t="s">
        <v>13000</v>
      </c>
      <c r="H5519" s="35" t="s">
        <v>106</v>
      </c>
      <c r="I5519" s="10" t="s">
        <v>1719</v>
      </c>
    </row>
    <row r="5520" spans="1:9" s="33" customFormat="1" ht="90">
      <c r="A5520" s="4">
        <v>43558.87501157407</v>
      </c>
      <c r="B5520" s="5" t="str">
        <f>HYPERLINK("https://twitter.com/AMYCREDITGIRL","@AMYCREDITGIRL")</f>
        <v>@AMYCREDITGIRL</v>
      </c>
      <c r="C5520" s="6" t="s">
        <v>3571</v>
      </c>
      <c r="D5520" s="7" t="s">
        <v>12005</v>
      </c>
      <c r="E5520" s="8" t="str">
        <f t="shared" ref="E5520:E5527" si="207">HYPERLINK("https://buffer.com","Buffer")</f>
        <v>Buffer</v>
      </c>
      <c r="F5520" s="4">
        <v>43265.764976851853</v>
      </c>
      <c r="G5520" s="24" t="s">
        <v>13000</v>
      </c>
      <c r="H5520" s="35" t="s">
        <v>106</v>
      </c>
      <c r="I5520" s="10" t="s">
        <v>3573</v>
      </c>
    </row>
    <row r="5521" spans="1:9" s="33" customFormat="1" ht="90">
      <c r="A5521" s="4">
        <v>43558.833750000005</v>
      </c>
      <c r="B5521" s="5" t="str">
        <f>HYPERLINK("https://twitter.com/LASavage15","@LASavage15")</f>
        <v>@LASavage15</v>
      </c>
      <c r="C5521" s="6" t="s">
        <v>3446</v>
      </c>
      <c r="D5521" s="7" t="s">
        <v>6385</v>
      </c>
      <c r="E5521" s="8" t="str">
        <f t="shared" si="207"/>
        <v>Buffer</v>
      </c>
      <c r="F5521" s="4">
        <v>42832.147986111115</v>
      </c>
      <c r="G5521" s="24" t="s">
        <v>13000</v>
      </c>
      <c r="H5521" s="35" t="s">
        <v>106</v>
      </c>
      <c r="I5521" s="10" t="s">
        <v>3448</v>
      </c>
    </row>
    <row r="5522" spans="1:9" s="33" customFormat="1" ht="90">
      <c r="A5522" s="4">
        <v>43558.75001157407</v>
      </c>
      <c r="B5522" s="5" t="str">
        <f>HYPERLINK("https://twitter.com/AMYCREDITGIRL","@AMYCREDITGIRL")</f>
        <v>@AMYCREDITGIRL</v>
      </c>
      <c r="C5522" s="6" t="s">
        <v>3571</v>
      </c>
      <c r="D5522" s="7" t="s">
        <v>12052</v>
      </c>
      <c r="E5522" s="8" t="str">
        <f t="shared" si="207"/>
        <v>Buffer</v>
      </c>
      <c r="F5522" s="4">
        <v>43265.764976851853</v>
      </c>
      <c r="G5522" s="24" t="s">
        <v>13000</v>
      </c>
      <c r="H5522" s="35" t="s">
        <v>106</v>
      </c>
      <c r="I5522" s="10" t="s">
        <v>3573</v>
      </c>
    </row>
    <row r="5523" spans="1:9" s="33" customFormat="1" ht="90">
      <c r="A5523" s="4">
        <v>43558.70857638889</v>
      </c>
      <c r="B5523" s="5" t="str">
        <f>HYPERLINK("https://twitter.com/LASavage15","@LASavage15")</f>
        <v>@LASavage15</v>
      </c>
      <c r="C5523" s="6" t="s">
        <v>3446</v>
      </c>
      <c r="D5523" s="7" t="s">
        <v>12065</v>
      </c>
      <c r="E5523" s="8" t="str">
        <f t="shared" si="207"/>
        <v>Buffer</v>
      </c>
      <c r="F5523" s="4">
        <v>42832.147986111115</v>
      </c>
      <c r="G5523" s="24" t="s">
        <v>13000</v>
      </c>
      <c r="H5523" s="35" t="s">
        <v>106</v>
      </c>
      <c r="I5523" s="10" t="s">
        <v>3448</v>
      </c>
    </row>
    <row r="5524" spans="1:9" s="33" customFormat="1" ht="90">
      <c r="A5524" s="4">
        <v>43558.625208333338</v>
      </c>
      <c r="B5524" s="5" t="str">
        <f>HYPERLINK("https://twitter.com/AMYCREDITGIRL","@AMYCREDITGIRL")</f>
        <v>@AMYCREDITGIRL</v>
      </c>
      <c r="C5524" s="6" t="s">
        <v>3571</v>
      </c>
      <c r="D5524" s="7" t="s">
        <v>6061</v>
      </c>
      <c r="E5524" s="8" t="str">
        <f t="shared" si="207"/>
        <v>Buffer</v>
      </c>
      <c r="F5524" s="4">
        <v>43265.764976851853</v>
      </c>
      <c r="G5524" s="24" t="s">
        <v>13000</v>
      </c>
      <c r="H5524" s="35" t="s">
        <v>106</v>
      </c>
      <c r="I5524" s="10" t="s">
        <v>3573</v>
      </c>
    </row>
    <row r="5525" spans="1:9" s="33" customFormat="1" ht="90">
      <c r="A5525" s="4">
        <v>43558.583692129629</v>
      </c>
      <c r="B5525" s="5" t="str">
        <f>HYPERLINK("https://twitter.com/LASavage15","@LASavage15")</f>
        <v>@LASavage15</v>
      </c>
      <c r="C5525" s="6" t="s">
        <v>3446</v>
      </c>
      <c r="D5525" s="7" t="s">
        <v>12123</v>
      </c>
      <c r="E5525" s="8" t="str">
        <f t="shared" si="207"/>
        <v>Buffer</v>
      </c>
      <c r="F5525" s="4">
        <v>42832.147986111115</v>
      </c>
      <c r="G5525" s="24" t="s">
        <v>13000</v>
      </c>
      <c r="H5525" s="35" t="s">
        <v>106</v>
      </c>
      <c r="I5525" s="10" t="s">
        <v>3448</v>
      </c>
    </row>
    <row r="5526" spans="1:9" s="33" customFormat="1" ht="105">
      <c r="A5526" s="4">
        <v>43558.500150462962</v>
      </c>
      <c r="B5526" s="5" t="str">
        <f>HYPERLINK("https://twitter.com/AMYCREDITGIRL","@AMYCREDITGIRL")</f>
        <v>@AMYCREDITGIRL</v>
      </c>
      <c r="C5526" s="6" t="s">
        <v>3571</v>
      </c>
      <c r="D5526" s="7" t="s">
        <v>12159</v>
      </c>
      <c r="E5526" s="8" t="str">
        <f t="shared" si="207"/>
        <v>Buffer</v>
      </c>
      <c r="F5526" s="4">
        <v>43265.764976851853</v>
      </c>
      <c r="G5526" s="24" t="s">
        <v>13000</v>
      </c>
      <c r="H5526" s="35" t="s">
        <v>106</v>
      </c>
      <c r="I5526" s="10" t="s">
        <v>3573</v>
      </c>
    </row>
    <row r="5527" spans="1:9" s="33" customFormat="1" ht="105">
      <c r="A5527" s="4">
        <v>43558.458506944444</v>
      </c>
      <c r="B5527" s="5" t="str">
        <f>HYPERLINK("https://twitter.com/LASavage15","@LASavage15")</f>
        <v>@LASavage15</v>
      </c>
      <c r="C5527" s="6" t="s">
        <v>3446</v>
      </c>
      <c r="D5527" s="7" t="s">
        <v>12174</v>
      </c>
      <c r="E5527" s="8" t="str">
        <f t="shared" si="207"/>
        <v>Buffer</v>
      </c>
      <c r="F5527" s="4">
        <v>42832.147986111115</v>
      </c>
      <c r="G5527" s="24" t="s">
        <v>13000</v>
      </c>
      <c r="H5527" s="35" t="s">
        <v>106</v>
      </c>
      <c r="I5527" s="10" t="s">
        <v>3448</v>
      </c>
    </row>
    <row r="5528" spans="1:9" s="33" customFormat="1" ht="30">
      <c r="A5528" s="4">
        <v>43558.386041666672</v>
      </c>
      <c r="B5528" s="5" t="str">
        <f>HYPERLINK("https://twitter.com/BubbleHutsLLC","@BubbleHutsLLC")</f>
        <v>@BubbleHutsLLC</v>
      </c>
      <c r="C5528" s="6" t="s">
        <v>1098</v>
      </c>
      <c r="D5528" s="7" t="s">
        <v>12216</v>
      </c>
      <c r="E5528" s="8" t="str">
        <f>HYPERLINK("http://twitter.com/download/android","Twitter for Android")</f>
        <v>Twitter for Android</v>
      </c>
      <c r="F5528" s="4">
        <v>41846.565393518518</v>
      </c>
      <c r="G5528" s="24" t="s">
        <v>13000</v>
      </c>
      <c r="H5528" s="35" t="s">
        <v>106</v>
      </c>
      <c r="I5528" s="10" t="s">
        <v>1100</v>
      </c>
    </row>
    <row r="5529" spans="1:9" s="33" customFormat="1" ht="120">
      <c r="A5529" s="4">
        <v>43558.381261574075</v>
      </c>
      <c r="B5529" s="5" t="str">
        <f>HYPERLINK("https://twitter.com/bnbprogram","@bnbprogram")</f>
        <v>@bnbprogram</v>
      </c>
      <c r="C5529" s="6" t="s">
        <v>108</v>
      </c>
      <c r="D5529" s="7" t="s">
        <v>11521</v>
      </c>
      <c r="E5529" s="8" t="str">
        <f>HYPERLINK("http://twitter.com/download/iphone","Twitter for iPhone")</f>
        <v>Twitter for iPhone</v>
      </c>
      <c r="F5529" s="4">
        <v>43182.268159722225</v>
      </c>
      <c r="G5529" s="24" t="s">
        <v>13000</v>
      </c>
      <c r="H5529" s="35" t="s">
        <v>106</v>
      </c>
      <c r="I5529" s="10" t="s">
        <v>110</v>
      </c>
    </row>
    <row r="5530" spans="1:9" s="33" customFormat="1" ht="45">
      <c r="A5530" s="4">
        <v>43558.266273148147</v>
      </c>
      <c r="B5530" s="5" t="str">
        <f>HYPERLINK("https://twitter.com/CouponFleek","@CouponFleek")</f>
        <v>@CouponFleek</v>
      </c>
      <c r="C5530" s="6" t="s">
        <v>1717</v>
      </c>
      <c r="D5530" s="7" t="s">
        <v>12257</v>
      </c>
      <c r="E5530" s="8" t="str">
        <f>HYPERLINK("http://twitter.com","Twitter Web Client")</f>
        <v>Twitter Web Client</v>
      </c>
      <c r="F5530" s="4">
        <v>42574.170451388884</v>
      </c>
      <c r="G5530" s="24" t="s">
        <v>13000</v>
      </c>
      <c r="H5530" s="35" t="s">
        <v>106</v>
      </c>
      <c r="I5530" s="10" t="s">
        <v>1719</v>
      </c>
    </row>
    <row r="5531" spans="1:9" s="33" customFormat="1" ht="120">
      <c r="A5531" s="4">
        <v>43558.232858796298</v>
      </c>
      <c r="B5531" s="5" t="str">
        <f>HYPERLINK("https://twitter.com/innerDemons89","@innerDemons89")</f>
        <v>@innerDemons89</v>
      </c>
      <c r="C5531" s="6" t="s">
        <v>6428</v>
      </c>
      <c r="D5531" s="7" t="s">
        <v>12276</v>
      </c>
      <c r="E5531" s="8" t="str">
        <f>HYPERLINK("http://twitter.com/download/android","Twitter for Android")</f>
        <v>Twitter for Android</v>
      </c>
      <c r="F5531" s="4">
        <v>40792.383206018516</v>
      </c>
      <c r="G5531" s="24" t="s">
        <v>13000</v>
      </c>
      <c r="H5531" s="35" t="s">
        <v>106</v>
      </c>
      <c r="I5531" s="10" t="s">
        <v>6430</v>
      </c>
    </row>
    <row r="5532" spans="1:9" s="33" customFormat="1" ht="90">
      <c r="A5532" s="4">
        <v>43558.187638888892</v>
      </c>
      <c r="B5532" s="5" t="str">
        <f>HYPERLINK("https://twitter.com/Syncbnb","@Syncbnb")</f>
        <v>@Syncbnb</v>
      </c>
      <c r="C5532" s="6" t="s">
        <v>12293</v>
      </c>
      <c r="D5532" s="7" t="s">
        <v>12294</v>
      </c>
      <c r="E5532" s="8" t="str">
        <f>HYPERLINK("http://twitter.com","Twitter Web Client")</f>
        <v>Twitter Web Client</v>
      </c>
      <c r="F5532" s="4">
        <v>43056.435150462959</v>
      </c>
      <c r="G5532" s="24" t="s">
        <v>13000</v>
      </c>
      <c r="H5532" s="35" t="s">
        <v>106</v>
      </c>
      <c r="I5532" s="10" t="s">
        <v>12295</v>
      </c>
    </row>
    <row r="5533" spans="1:9" s="33" customFormat="1" ht="105">
      <c r="A5533" s="4">
        <v>43557.958958333329</v>
      </c>
      <c r="B5533" s="5" t="str">
        <f>HYPERLINK("https://twitter.com/Nexcloudz1231","@Nexcloudz1231")</f>
        <v>@Nexcloudz1231</v>
      </c>
      <c r="C5533" s="6" t="s">
        <v>3474</v>
      </c>
      <c r="D5533" s="7" t="s">
        <v>12357</v>
      </c>
      <c r="E5533" s="8" t="str">
        <f>HYPERLINK("http://twitter.com","Twitter Web Client")</f>
        <v>Twitter Web Client</v>
      </c>
      <c r="F5533" s="4">
        <v>43405.153368055559</v>
      </c>
      <c r="G5533" s="24" t="s">
        <v>13000</v>
      </c>
      <c r="H5533" s="35" t="s">
        <v>106</v>
      </c>
      <c r="I5533" s="10" t="s">
        <v>3476</v>
      </c>
    </row>
    <row r="5534" spans="1:9" s="33" customFormat="1" ht="75">
      <c r="A5534" s="4">
        <v>43557.860868055555</v>
      </c>
      <c r="B5534" s="5" t="str">
        <f>HYPERLINK("https://twitter.com/LogicSpice","@LogicSpice")</f>
        <v>@LogicSpice</v>
      </c>
      <c r="C5534" s="6" t="s">
        <v>12373</v>
      </c>
      <c r="D5534" s="7" t="s">
        <v>12374</v>
      </c>
      <c r="E5534" s="8" t="str">
        <f>HYPERLINK("http://twitter.com","Twitter Web Client")</f>
        <v>Twitter Web Client</v>
      </c>
      <c r="F5534" s="4">
        <v>40471.213125000002</v>
      </c>
      <c r="G5534" s="24" t="s">
        <v>13000</v>
      </c>
      <c r="H5534" s="35" t="s">
        <v>106</v>
      </c>
      <c r="I5534" s="10" t="s">
        <v>12375</v>
      </c>
    </row>
    <row r="5535" spans="1:9" s="33" customFormat="1" ht="105">
      <c r="A5535" s="4">
        <v>43557.844780092593</v>
      </c>
      <c r="B5535" s="5" t="str">
        <f>HYPERLINK("https://twitter.com/KsThoughtPalace","@KsThoughtPalace")</f>
        <v>@KsThoughtPalace</v>
      </c>
      <c r="C5535" s="6" t="s">
        <v>12376</v>
      </c>
      <c r="D5535" s="7" t="s">
        <v>12377</v>
      </c>
      <c r="E5535" s="8" t="str">
        <f>HYPERLINK("http://twitter.com","Twitter Web Client")</f>
        <v>Twitter Web Client</v>
      </c>
      <c r="F5535" s="4">
        <v>42632.523877314816</v>
      </c>
      <c r="G5535" s="24" t="s">
        <v>13000</v>
      </c>
      <c r="H5535" s="35" t="s">
        <v>106</v>
      </c>
      <c r="I5535" s="10" t="s">
        <v>12378</v>
      </c>
    </row>
    <row r="5536" spans="1:9" s="33" customFormat="1" ht="45">
      <c r="A5536" s="4">
        <v>43557.83394675926</v>
      </c>
      <c r="B5536" s="5" t="str">
        <f>HYPERLINK("https://twitter.com/JamesMoonLaw","@JamesMoonLaw")</f>
        <v>@JamesMoonLaw</v>
      </c>
      <c r="C5536" s="6" t="s">
        <v>5740</v>
      </c>
      <c r="D5536" s="7" t="s">
        <v>12380</v>
      </c>
      <c r="E5536" s="8" t="str">
        <f>HYPERLINK("http://twitter.com/download/android","Twitter for Android")</f>
        <v>Twitter for Android</v>
      </c>
      <c r="F5536" s="4">
        <v>39898.878032407403</v>
      </c>
      <c r="G5536" s="24" t="s">
        <v>13000</v>
      </c>
      <c r="H5536" s="35" t="s">
        <v>106</v>
      </c>
      <c r="I5536" s="10" t="s">
        <v>5742</v>
      </c>
    </row>
    <row r="5537" spans="1:9" s="33" customFormat="1" ht="120">
      <c r="A5537" s="4">
        <v>43557.375300925924</v>
      </c>
      <c r="B5537" s="5" t="str">
        <f>HYPERLINK("https://twitter.com/bnbprogram","@bnbprogram")</f>
        <v>@bnbprogram</v>
      </c>
      <c r="C5537" s="6" t="s">
        <v>108</v>
      </c>
      <c r="D5537" s="7" t="s">
        <v>11521</v>
      </c>
      <c r="E5537" s="8" t="str">
        <f>HYPERLINK("http://twitter.com/download/iphone","Twitter for iPhone")</f>
        <v>Twitter for iPhone</v>
      </c>
      <c r="F5537" s="4">
        <v>43182.268159722225</v>
      </c>
      <c r="G5537" s="24" t="s">
        <v>13000</v>
      </c>
      <c r="H5537" s="35" t="s">
        <v>106</v>
      </c>
      <c r="I5537" s="10" t="s">
        <v>110</v>
      </c>
    </row>
    <row r="5538" spans="1:9" s="33" customFormat="1" ht="30">
      <c r="A5538" s="4">
        <v>43556.835659722223</v>
      </c>
      <c r="B5538" s="5" t="str">
        <f>HYPERLINK("https://twitter.com/CouponFleek","@CouponFleek")</f>
        <v>@CouponFleek</v>
      </c>
      <c r="C5538" s="6" t="s">
        <v>1717</v>
      </c>
      <c r="D5538" s="7" t="s">
        <v>8214</v>
      </c>
      <c r="E5538" s="8" t="str">
        <f>HYPERLINK("http://twitter.com","Twitter Web Client")</f>
        <v>Twitter Web Client</v>
      </c>
      <c r="F5538" s="4">
        <v>42574.170451388884</v>
      </c>
      <c r="G5538" s="24" t="s">
        <v>13000</v>
      </c>
      <c r="H5538" s="35" t="s">
        <v>106</v>
      </c>
      <c r="I5538" s="10" t="s">
        <v>1719</v>
      </c>
    </row>
    <row r="5539" spans="1:9" s="33" customFormat="1" ht="105">
      <c r="A5539" s="4">
        <v>43556.715486111112</v>
      </c>
      <c r="B5539" s="5" t="str">
        <f>HYPERLINK("https://twitter.com/innerDemons89","@innerDemons89")</f>
        <v>@innerDemons89</v>
      </c>
      <c r="C5539" s="6" t="s">
        <v>6428</v>
      </c>
      <c r="D5539" s="7" t="s">
        <v>12764</v>
      </c>
      <c r="E5539" s="8" t="str">
        <f>HYPERLINK("http://twitter.com/download/android","Twitter for Android")</f>
        <v>Twitter for Android</v>
      </c>
      <c r="F5539" s="4">
        <v>40792.383206018516</v>
      </c>
      <c r="G5539" s="24" t="s">
        <v>13000</v>
      </c>
      <c r="H5539" s="35" t="s">
        <v>106</v>
      </c>
      <c r="I5539" s="10" t="s">
        <v>6430</v>
      </c>
    </row>
    <row r="5540" spans="1:9" s="33" customFormat="1" ht="30">
      <c r="A5540" s="12">
        <v>43580.73809027778</v>
      </c>
      <c r="B5540" s="13" t="str">
        <f>HYPERLINK("https://twitter.com/realSatish","@realSatish")</f>
        <v>@realSatish</v>
      </c>
      <c r="C5540" s="14" t="s">
        <v>104</v>
      </c>
      <c r="D5540" s="15" t="s">
        <v>105</v>
      </c>
      <c r="E5540" s="16" t="str">
        <f>HYPERLINK("http://twitter.com/download/android","Twitter for Android")</f>
        <v>Twitter for Android</v>
      </c>
      <c r="F5540" s="12">
        <v>40186.92832175926</v>
      </c>
      <c r="G5540" s="24" t="s">
        <v>13000</v>
      </c>
      <c r="H5540" s="35" t="s">
        <v>106</v>
      </c>
      <c r="I5540" s="18" t="s">
        <v>107</v>
      </c>
    </row>
    <row r="5541" spans="1:9" s="33" customFormat="1" ht="105">
      <c r="A5541" s="12">
        <v>43580.737673611111</v>
      </c>
      <c r="B5541" s="13" t="str">
        <f>HYPERLINK("https://twitter.com/bnbprogram","@bnbprogram")</f>
        <v>@bnbprogram</v>
      </c>
      <c r="C5541" s="14" t="s">
        <v>108</v>
      </c>
      <c r="D5541" s="15" t="s">
        <v>109</v>
      </c>
      <c r="E5541" s="16" t="str">
        <f>HYPERLINK("http://twitter.com/download/iphone","Twitter for iPhone")</f>
        <v>Twitter for iPhone</v>
      </c>
      <c r="F5541" s="12">
        <v>43182.726493055554</v>
      </c>
      <c r="G5541" s="24" t="s">
        <v>13000</v>
      </c>
      <c r="H5541" s="35" t="s">
        <v>106</v>
      </c>
      <c r="I5541" s="18" t="s">
        <v>110</v>
      </c>
    </row>
    <row r="5542" spans="1:9" s="33" customFormat="1" ht="45">
      <c r="A5542" s="12">
        <v>43580.645810185189</v>
      </c>
      <c r="B5542" s="13" t="str">
        <f>HYPERLINK("https://twitter.com/REI2day","@REI2day")</f>
        <v>@REI2day</v>
      </c>
      <c r="C5542" s="14" t="s">
        <v>183</v>
      </c>
      <c r="D5542" s="15" t="s">
        <v>184</v>
      </c>
      <c r="E5542" s="16" t="str">
        <f>HYPERLINK("http://publicize.wp.com/","WordPress.com")</f>
        <v>WordPress.com</v>
      </c>
      <c r="F5542" s="12">
        <v>42222.975798611107</v>
      </c>
      <c r="G5542" s="24" t="s">
        <v>13000</v>
      </c>
      <c r="H5542" s="35" t="s">
        <v>106</v>
      </c>
      <c r="I5542" s="18" t="s">
        <v>185</v>
      </c>
    </row>
    <row r="5543" spans="1:9" s="33" customFormat="1" ht="105">
      <c r="A5543" s="12">
        <v>43579.506377314814</v>
      </c>
      <c r="B5543" s="13" t="str">
        <f>HYPERLINK("https://twitter.com/bnbprogram","@bnbprogram")</f>
        <v>@bnbprogram</v>
      </c>
      <c r="C5543" s="14" t="s">
        <v>108</v>
      </c>
      <c r="D5543" s="15" t="s">
        <v>109</v>
      </c>
      <c r="E5543" s="16" t="str">
        <f>HYPERLINK("http://twitter.com/download/iphone","Twitter for iPhone")</f>
        <v>Twitter for iPhone</v>
      </c>
      <c r="F5543" s="12">
        <v>43182.268159722225</v>
      </c>
      <c r="G5543" s="24" t="s">
        <v>13000</v>
      </c>
      <c r="H5543" s="35" t="s">
        <v>106</v>
      </c>
      <c r="I5543" s="18" t="s">
        <v>110</v>
      </c>
    </row>
    <row r="5544" spans="1:9" s="33" customFormat="1" ht="45">
      <c r="A5544" s="12">
        <v>43578.852071759262</v>
      </c>
      <c r="B5544" s="13" t="str">
        <f>HYPERLINK("https://twitter.com/WeThinkRealty","@WeThinkRealty")</f>
        <v>@WeThinkRealty</v>
      </c>
      <c r="C5544" s="14" t="s">
        <v>1018</v>
      </c>
      <c r="D5544" s="15" t="s">
        <v>1019</v>
      </c>
      <c r="E5544" s="16" t="str">
        <f>HYPERLINK("http://twitter.com/download/iphone","Twitter for iPhone")</f>
        <v>Twitter for iPhone</v>
      </c>
      <c r="F5544" s="12">
        <v>40567.981168981481</v>
      </c>
      <c r="G5544" s="24" t="s">
        <v>13000</v>
      </c>
      <c r="H5544" s="35" t="s">
        <v>106</v>
      </c>
      <c r="I5544" s="18" t="s">
        <v>1020</v>
      </c>
    </row>
    <row r="5545" spans="1:9" s="33" customFormat="1" ht="60">
      <c r="A5545" s="12">
        <v>43578.687418981484</v>
      </c>
      <c r="B5545" s="13" t="str">
        <f>HYPERLINK("https://twitter.com/BubbleHutsLLC","@BubbleHutsLLC")</f>
        <v>@BubbleHutsLLC</v>
      </c>
      <c r="C5545" s="14" t="s">
        <v>1098</v>
      </c>
      <c r="D5545" s="15" t="s">
        <v>1099</v>
      </c>
      <c r="E5545" s="16" t="str">
        <f>HYPERLINK("http://twitter.com","Twitter Web Client")</f>
        <v>Twitter Web Client</v>
      </c>
      <c r="F5545" s="12">
        <v>41846.565393518518</v>
      </c>
      <c r="G5545" s="24" t="s">
        <v>13000</v>
      </c>
      <c r="H5545" s="35" t="s">
        <v>106</v>
      </c>
      <c r="I5545" s="18" t="s">
        <v>1100</v>
      </c>
    </row>
    <row r="5546" spans="1:9" s="33" customFormat="1" ht="45">
      <c r="A5546" s="12">
        <v>43578.441111111111</v>
      </c>
      <c r="B5546" s="13" t="str">
        <f>HYPERLINK("https://twitter.com/5starstagers","@5starstagers")</f>
        <v>@5starstagers</v>
      </c>
      <c r="C5546" s="14" t="s">
        <v>1203</v>
      </c>
      <c r="D5546" s="15" t="s">
        <v>1202</v>
      </c>
      <c r="E5546" s="16" t="str">
        <f>HYPERLINK("https://www.circlepix.com/","Circlepix")</f>
        <v>Circlepix</v>
      </c>
      <c r="F5546" s="12">
        <v>42741.61347222222</v>
      </c>
      <c r="G5546" s="24" t="s">
        <v>13000</v>
      </c>
      <c r="H5546" s="35" t="s">
        <v>106</v>
      </c>
      <c r="I5546" s="18" t="s">
        <v>1204</v>
      </c>
    </row>
    <row r="5547" spans="1:9" s="33" customFormat="1" ht="120">
      <c r="A5547" s="12">
        <v>43577.280949074076</v>
      </c>
      <c r="B5547" s="13" t="str">
        <f>HYPERLINK("https://twitter.com/bnbprogram","@bnbprogram")</f>
        <v>@bnbprogram</v>
      </c>
      <c r="C5547" s="14" t="s">
        <v>108</v>
      </c>
      <c r="D5547" s="15" t="s">
        <v>1682</v>
      </c>
      <c r="E5547" s="16" t="str">
        <f>HYPERLINK("http://twitter.com/download/iphone","Twitter for iPhone")</f>
        <v>Twitter for iPhone</v>
      </c>
      <c r="F5547" s="12">
        <v>43182.268159722225</v>
      </c>
      <c r="G5547" s="24" t="s">
        <v>13000</v>
      </c>
      <c r="H5547" s="35" t="s">
        <v>106</v>
      </c>
      <c r="I5547" s="18" t="s">
        <v>110</v>
      </c>
    </row>
    <row r="5548" spans="1:9" s="33" customFormat="1" ht="45">
      <c r="A5548" s="12">
        <v>43577.198391203703</v>
      </c>
      <c r="B5548" s="13" t="str">
        <f>HYPERLINK("https://twitter.com/iliketodabble","@iliketodabble")</f>
        <v>@iliketodabble</v>
      </c>
      <c r="C5548" s="14" t="s">
        <v>1708</v>
      </c>
      <c r="D5548" s="15" t="s">
        <v>1709</v>
      </c>
      <c r="E5548" s="16" t="str">
        <f>HYPERLINK("http://twitter.com/download/android","Twitter for Android")</f>
        <v>Twitter for Android</v>
      </c>
      <c r="F5548" s="12">
        <v>42824.340347222227</v>
      </c>
      <c r="G5548" s="24" t="s">
        <v>13000</v>
      </c>
      <c r="H5548" s="35" t="s">
        <v>106</v>
      </c>
      <c r="I5548" s="18" t="s">
        <v>1710</v>
      </c>
    </row>
    <row r="5549" spans="1:9" s="33" customFormat="1" ht="30">
      <c r="A5549" s="12">
        <v>43577.18414351852</v>
      </c>
      <c r="B5549" s="13" t="str">
        <f>HYPERLINK("https://twitter.com/CouponFleek","@CouponFleek")</f>
        <v>@CouponFleek</v>
      </c>
      <c r="C5549" s="14" t="s">
        <v>1717</v>
      </c>
      <c r="D5549" s="15" t="s">
        <v>1718</v>
      </c>
      <c r="E5549" s="16" t="str">
        <f>HYPERLINK("http://twitter.com","Twitter Web Client")</f>
        <v>Twitter Web Client</v>
      </c>
      <c r="F5549" s="12">
        <v>42574.170451388884</v>
      </c>
      <c r="G5549" s="24" t="s">
        <v>13000</v>
      </c>
      <c r="H5549" s="35" t="s">
        <v>106</v>
      </c>
      <c r="I5549" s="18" t="s">
        <v>1719</v>
      </c>
    </row>
    <row r="5550" spans="1:9" s="33" customFormat="1" ht="105">
      <c r="A5550" s="12">
        <v>43576.467187499999</v>
      </c>
      <c r="B5550" s="13" t="str">
        <f>HYPERLINK("https://twitter.com/bnbprogram","@bnbprogram")</f>
        <v>@bnbprogram</v>
      </c>
      <c r="C5550" s="14" t="s">
        <v>108</v>
      </c>
      <c r="D5550" s="15" t="s">
        <v>1936</v>
      </c>
      <c r="E5550" s="16" t="str">
        <f>HYPERLINK("http://twitter.com/download/iphone","Twitter for iPhone")</f>
        <v>Twitter for iPhone</v>
      </c>
      <c r="F5550" s="12">
        <v>43182.268159722225</v>
      </c>
      <c r="G5550" s="24" t="s">
        <v>13000</v>
      </c>
      <c r="H5550" s="35" t="s">
        <v>106</v>
      </c>
      <c r="I5550" s="18" t="s">
        <v>110</v>
      </c>
    </row>
    <row r="5551" spans="1:9" s="33" customFormat="1" ht="75">
      <c r="A5551" s="12">
        <v>43576.381018518514</v>
      </c>
      <c r="B5551" s="13" t="str">
        <f>HYPERLINK("https://twitter.com/GorillaMentor","@GorillaMentor")</f>
        <v>@GorillaMentor</v>
      </c>
      <c r="C5551" s="14" t="s">
        <v>1971</v>
      </c>
      <c r="D5551" s="15" t="s">
        <v>1972</v>
      </c>
      <c r="E5551" s="16" t="str">
        <f>HYPERLINK("http://instagram.com","Instagram")</f>
        <v>Instagram</v>
      </c>
      <c r="F5551" s="12">
        <v>39997.894976851851</v>
      </c>
      <c r="G5551" s="24" t="s">
        <v>13000</v>
      </c>
      <c r="H5551" s="35" t="s">
        <v>106</v>
      </c>
      <c r="I5551" s="18" t="s">
        <v>1973</v>
      </c>
    </row>
    <row r="5552" spans="1:9" s="33" customFormat="1" ht="75">
      <c r="A5552" s="12">
        <v>43576.379942129628</v>
      </c>
      <c r="B5552" s="13" t="str">
        <f>HYPERLINK("https://twitter.com/GorillaMentor","@GorillaMentor")</f>
        <v>@GorillaMentor</v>
      </c>
      <c r="C5552" s="14" t="s">
        <v>1971</v>
      </c>
      <c r="D5552" s="15" t="s">
        <v>1974</v>
      </c>
      <c r="E5552" s="16" t="str">
        <f>HYPERLINK("http://instagram.com","Instagram")</f>
        <v>Instagram</v>
      </c>
      <c r="F5552" s="12">
        <v>39997.894976851851</v>
      </c>
      <c r="G5552" s="24" t="s">
        <v>13000</v>
      </c>
      <c r="H5552" s="35" t="s">
        <v>106</v>
      </c>
      <c r="I5552" s="18" t="s">
        <v>1973</v>
      </c>
    </row>
    <row r="5553" spans="1:9" s="33" customFormat="1" ht="30">
      <c r="A5553" s="12">
        <v>43575.465509259258</v>
      </c>
      <c r="B5553" s="13" t="str">
        <f>HYPERLINK("https://twitter.com/CouponFleek","@CouponFleek")</f>
        <v>@CouponFleek</v>
      </c>
      <c r="C5553" s="14" t="s">
        <v>1717</v>
      </c>
      <c r="D5553" s="15" t="s">
        <v>2208</v>
      </c>
      <c r="E5553" s="16" t="str">
        <f>HYPERLINK("http://twitter.com","Twitter Web Client")</f>
        <v>Twitter Web Client</v>
      </c>
      <c r="F5553" s="12">
        <v>42574.170451388884</v>
      </c>
      <c r="G5553" s="24" t="s">
        <v>13000</v>
      </c>
      <c r="H5553" s="35" t="s">
        <v>106</v>
      </c>
      <c r="I5553" s="18" t="s">
        <v>1719</v>
      </c>
    </row>
    <row r="5554" spans="1:9" s="33" customFormat="1" ht="30">
      <c r="A5554" s="12">
        <v>43574.598935185189</v>
      </c>
      <c r="B5554" s="13" t="str">
        <f>HYPERLINK("https://twitter.com/CouponFleek","@CouponFleek")</f>
        <v>@CouponFleek</v>
      </c>
      <c r="C5554" s="14" t="s">
        <v>1717</v>
      </c>
      <c r="D5554" s="15" t="s">
        <v>2503</v>
      </c>
      <c r="E5554" s="16" t="str">
        <f>HYPERLINK("http://twitter.com","Twitter Web Client")</f>
        <v>Twitter Web Client</v>
      </c>
      <c r="F5554" s="12">
        <v>42574.170451388884</v>
      </c>
      <c r="G5554" s="24" t="s">
        <v>13000</v>
      </c>
      <c r="H5554" s="35" t="s">
        <v>106</v>
      </c>
      <c r="I5554" s="18" t="s">
        <v>1719</v>
      </c>
    </row>
    <row r="5555" spans="1:9" s="33" customFormat="1" ht="105">
      <c r="A5555" s="12">
        <v>43574.476851851854</v>
      </c>
      <c r="B5555" s="13" t="str">
        <f>HYPERLINK("https://twitter.com/bnbprogram","@bnbprogram")</f>
        <v>@bnbprogram</v>
      </c>
      <c r="C5555" s="14" t="s">
        <v>108</v>
      </c>
      <c r="D5555" s="15" t="s">
        <v>2537</v>
      </c>
      <c r="E5555" s="16" t="str">
        <f>HYPERLINK("http://twitter.com/download/iphone","Twitter for iPhone")</f>
        <v>Twitter for iPhone</v>
      </c>
      <c r="F5555" s="12">
        <v>43182.268159722225</v>
      </c>
      <c r="G5555" s="24" t="s">
        <v>13000</v>
      </c>
      <c r="H5555" s="35" t="s">
        <v>106</v>
      </c>
      <c r="I5555" s="18" t="s">
        <v>110</v>
      </c>
    </row>
    <row r="5556" spans="1:9" s="33" customFormat="1" ht="105">
      <c r="A5556" s="12">
        <v>43574.395844907413</v>
      </c>
      <c r="B5556" s="13" t="str">
        <f>HYPERLINK("https://twitter.com/cbizVRI","@cbizVRI")</f>
        <v>@cbizVRI</v>
      </c>
      <c r="C5556" s="14" t="s">
        <v>2560</v>
      </c>
      <c r="D5556" s="15" t="s">
        <v>2561</v>
      </c>
      <c r="E5556" s="16" t="str">
        <f>HYPERLINK("http://www.hubspot.com/","HubSpot")</f>
        <v>HubSpot</v>
      </c>
      <c r="F5556" s="12">
        <v>42893.499884259261</v>
      </c>
      <c r="G5556" s="24" t="s">
        <v>13000</v>
      </c>
      <c r="H5556" s="35" t="s">
        <v>106</v>
      </c>
      <c r="I5556" s="18" t="s">
        <v>2562</v>
      </c>
    </row>
    <row r="5557" spans="1:9" s="33" customFormat="1" ht="105">
      <c r="A5557" s="12">
        <v>43573.629270833335</v>
      </c>
      <c r="B5557" s="13" t="str">
        <f>HYPERLINK("https://twitter.com/FloteInc","@FloteInc")</f>
        <v>@FloteInc</v>
      </c>
      <c r="C5557" s="14" t="s">
        <v>2801</v>
      </c>
      <c r="D5557" s="15" t="s">
        <v>2802</v>
      </c>
      <c r="E5557" s="16" t="str">
        <f>HYPERLINK("http://twitter.com","Twitter Web Client")</f>
        <v>Twitter Web Client</v>
      </c>
      <c r="F5557" s="12">
        <v>43447.613449074073</v>
      </c>
      <c r="G5557" s="24" t="s">
        <v>13000</v>
      </c>
      <c r="H5557" s="35" t="s">
        <v>106</v>
      </c>
      <c r="I5557" s="18" t="s">
        <v>2803</v>
      </c>
    </row>
    <row r="5558" spans="1:9" s="33" customFormat="1" ht="45">
      <c r="A5558" s="12">
        <v>43572.572233796294</v>
      </c>
      <c r="B5558" s="13" t="str">
        <f>HYPERLINK("https://twitter.com/CouponFleek","@CouponFleek")</f>
        <v>@CouponFleek</v>
      </c>
      <c r="C5558" s="14" t="s">
        <v>1717</v>
      </c>
      <c r="D5558" s="15" t="s">
        <v>3157</v>
      </c>
      <c r="E5558" s="16" t="str">
        <f>HYPERLINK("http://twitter.com","Twitter Web Client")</f>
        <v>Twitter Web Client</v>
      </c>
      <c r="F5558" s="12">
        <v>42574.170451388884</v>
      </c>
      <c r="G5558" s="24" t="s">
        <v>13000</v>
      </c>
      <c r="H5558" s="35" t="s">
        <v>106</v>
      </c>
      <c r="I5558" s="18" t="s">
        <v>1719</v>
      </c>
    </row>
    <row r="5559" spans="1:9" s="33" customFormat="1" ht="75">
      <c r="A5559" s="12">
        <v>43572.452951388885</v>
      </c>
      <c r="B5559" s="13" t="str">
        <f>HYPERLINK("https://twitter.com/autismplusmath","@autismplusmath")</f>
        <v>@autismplusmath</v>
      </c>
      <c r="C5559" s="14" t="s">
        <v>3237</v>
      </c>
      <c r="D5559" s="15" t="s">
        <v>3238</v>
      </c>
      <c r="E5559" s="16" t="str">
        <f>HYPERLINK("http://twitter.com/download/iphone","Twitter for iPhone")</f>
        <v>Twitter for iPhone</v>
      </c>
      <c r="F5559" s="12">
        <v>41656.346585648149</v>
      </c>
      <c r="G5559" s="24" t="s">
        <v>13000</v>
      </c>
      <c r="H5559" s="35" t="s">
        <v>106</v>
      </c>
      <c r="I5559" s="18" t="s">
        <v>3239</v>
      </c>
    </row>
    <row r="5560" spans="1:9" s="33" customFormat="1" ht="90">
      <c r="A5560" s="12">
        <v>43572.062534722223</v>
      </c>
      <c r="B5560" s="13" t="str">
        <f>HYPERLINK("https://twitter.com/LASavage15","@LASavage15")</f>
        <v>@LASavage15</v>
      </c>
      <c r="C5560" s="14" t="s">
        <v>3446</v>
      </c>
      <c r="D5560" s="15" t="s">
        <v>3447</v>
      </c>
      <c r="E5560" s="16" t="str">
        <f>HYPERLINK("https://buffer.com","Buffer")</f>
        <v>Buffer</v>
      </c>
      <c r="F5560" s="12">
        <v>42832.147986111115</v>
      </c>
      <c r="G5560" s="24" t="s">
        <v>13000</v>
      </c>
      <c r="H5560" s="35" t="s">
        <v>106</v>
      </c>
      <c r="I5560" s="18" t="s">
        <v>3448</v>
      </c>
    </row>
    <row r="5561" spans="1:9" s="33" customFormat="1" ht="120">
      <c r="A5561" s="12">
        <v>43571.963495370372</v>
      </c>
      <c r="B5561" s="13" t="str">
        <f>HYPERLINK("https://twitter.com/Nexcloudz1231","@Nexcloudz1231")</f>
        <v>@Nexcloudz1231</v>
      </c>
      <c r="C5561" s="14" t="s">
        <v>3474</v>
      </c>
      <c r="D5561" s="15" t="s">
        <v>3475</v>
      </c>
      <c r="E5561" s="16" t="str">
        <f>HYPERLINK("http://twitter.com","Twitter Web Client")</f>
        <v>Twitter Web Client</v>
      </c>
      <c r="F5561" s="12">
        <v>43405.153368055559</v>
      </c>
      <c r="G5561" s="24" t="s">
        <v>13000</v>
      </c>
      <c r="H5561" s="35" t="s">
        <v>106</v>
      </c>
      <c r="I5561" s="18" t="s">
        <v>3476</v>
      </c>
    </row>
    <row r="5562" spans="1:9" s="33" customFormat="1" ht="90">
      <c r="A5562" s="12">
        <v>43571.937662037039</v>
      </c>
      <c r="B5562" s="13" t="str">
        <f>HYPERLINK("https://twitter.com/LASavage15","@LASavage15")</f>
        <v>@LASavage15</v>
      </c>
      <c r="C5562" s="14" t="s">
        <v>3446</v>
      </c>
      <c r="D5562" s="15" t="s">
        <v>3491</v>
      </c>
      <c r="E5562" s="16" t="str">
        <f>HYPERLINK("https://buffer.com","Buffer")</f>
        <v>Buffer</v>
      </c>
      <c r="F5562" s="12">
        <v>42832.147986111115</v>
      </c>
      <c r="G5562" s="24" t="s">
        <v>13000</v>
      </c>
      <c r="H5562" s="35" t="s">
        <v>106</v>
      </c>
      <c r="I5562" s="18" t="s">
        <v>3448</v>
      </c>
    </row>
    <row r="5563" spans="1:9" s="33" customFormat="1" ht="75">
      <c r="A5563" s="12">
        <v>43571.898564814815</v>
      </c>
      <c r="B5563" s="13" t="str">
        <f>HYPERLINK("https://twitter.com/pattiremax200","@pattiremax200")</f>
        <v>@pattiremax200</v>
      </c>
      <c r="C5563" s="14" t="s">
        <v>3505</v>
      </c>
      <c r="D5563" s="15" t="s">
        <v>3506</v>
      </c>
      <c r="E5563" s="16" t="str">
        <f>HYPERLINK("http://instagram.com","Instagram")</f>
        <v>Instagram</v>
      </c>
      <c r="F5563" s="12">
        <v>42790.717592592591</v>
      </c>
      <c r="G5563" s="24" t="s">
        <v>13000</v>
      </c>
      <c r="H5563" s="35" t="s">
        <v>106</v>
      </c>
      <c r="I5563" s="18" t="s">
        <v>3507</v>
      </c>
    </row>
    <row r="5564" spans="1:9" s="33" customFormat="1" ht="90">
      <c r="A5564" s="12">
        <v>43571.72929398148</v>
      </c>
      <c r="B5564" s="13" t="str">
        <f>HYPERLINK("https://twitter.com/AMYCREDITGIRL","@AMYCREDITGIRL")</f>
        <v>@AMYCREDITGIRL</v>
      </c>
      <c r="C5564" s="14" t="s">
        <v>3571</v>
      </c>
      <c r="D5564" s="15" t="s">
        <v>3572</v>
      </c>
      <c r="E5564" s="16" t="str">
        <f>HYPERLINK("https://buffer.com","Buffer")</f>
        <v>Buffer</v>
      </c>
      <c r="F5564" s="12">
        <v>43265.764976851853</v>
      </c>
      <c r="G5564" s="24" t="s">
        <v>13000</v>
      </c>
      <c r="H5564" s="35" t="s">
        <v>106</v>
      </c>
      <c r="I5564" s="18" t="s">
        <v>3573</v>
      </c>
    </row>
    <row r="5565" spans="1:9" s="33" customFormat="1" ht="90">
      <c r="A5565" s="12">
        <v>43571.68751157407</v>
      </c>
      <c r="B5565" s="13" t="str">
        <f>HYPERLINK("https://twitter.com/LASavage15","@LASavage15")</f>
        <v>@LASavage15</v>
      </c>
      <c r="C5565" s="14" t="s">
        <v>3446</v>
      </c>
      <c r="D5565" s="15" t="s">
        <v>3589</v>
      </c>
      <c r="E5565" s="16" t="str">
        <f>HYPERLINK("https://buffer.com","Buffer")</f>
        <v>Buffer</v>
      </c>
      <c r="F5565" s="12">
        <v>42832.147986111115</v>
      </c>
      <c r="G5565" s="24" t="s">
        <v>13000</v>
      </c>
      <c r="H5565" s="35" t="s">
        <v>106</v>
      </c>
      <c r="I5565" s="18" t="s">
        <v>3448</v>
      </c>
    </row>
    <row r="5566" spans="1:9" s="33" customFormat="1" ht="45">
      <c r="A5566" s="12">
        <v>43571.673472222217</v>
      </c>
      <c r="B5566" s="13" t="str">
        <f>HYPERLINK("https://twitter.com/GorillaMentor","@GorillaMentor")</f>
        <v>@GorillaMentor</v>
      </c>
      <c r="C5566" s="14" t="s">
        <v>1971</v>
      </c>
      <c r="D5566" s="15" t="s">
        <v>3596</v>
      </c>
      <c r="E5566" s="16" t="str">
        <f>HYPERLINK("http://instagram.com","Instagram")</f>
        <v>Instagram</v>
      </c>
      <c r="F5566" s="12">
        <v>39997.894976851851</v>
      </c>
      <c r="G5566" s="24" t="s">
        <v>13000</v>
      </c>
      <c r="H5566" s="35" t="s">
        <v>106</v>
      </c>
      <c r="I5566" s="18" t="s">
        <v>1973</v>
      </c>
    </row>
    <row r="5567" spans="1:9" s="33" customFormat="1" ht="90">
      <c r="A5567" s="12">
        <v>43571.604166666672</v>
      </c>
      <c r="B5567" s="13" t="str">
        <f>HYPERLINK("https://twitter.com/AMYCREDITGIRL","@AMYCREDITGIRL")</f>
        <v>@AMYCREDITGIRL</v>
      </c>
      <c r="C5567" s="14" t="s">
        <v>3571</v>
      </c>
      <c r="D5567" s="15" t="s">
        <v>3620</v>
      </c>
      <c r="E5567" s="16" t="str">
        <f>HYPERLINK("https://buffer.com","Buffer")</f>
        <v>Buffer</v>
      </c>
      <c r="F5567" s="12">
        <v>43265.764976851853</v>
      </c>
      <c r="G5567" s="24" t="s">
        <v>13000</v>
      </c>
      <c r="H5567" s="35" t="s">
        <v>106</v>
      </c>
      <c r="I5567" s="18" t="s">
        <v>3573</v>
      </c>
    </row>
    <row r="5568" spans="1:9" s="33" customFormat="1" ht="90">
      <c r="A5568" s="12">
        <v>43571.562708333338</v>
      </c>
      <c r="B5568" s="13" t="str">
        <f>HYPERLINK("https://twitter.com/LASavage15","@LASavage15")</f>
        <v>@LASavage15</v>
      </c>
      <c r="C5568" s="14" t="s">
        <v>3446</v>
      </c>
      <c r="D5568" s="15" t="s">
        <v>3635</v>
      </c>
      <c r="E5568" s="16" t="str">
        <f>HYPERLINK("https://buffer.com","Buffer")</f>
        <v>Buffer</v>
      </c>
      <c r="F5568" s="12">
        <v>42832.147986111115</v>
      </c>
      <c r="G5568" s="24" t="s">
        <v>13000</v>
      </c>
      <c r="H5568" s="35" t="s">
        <v>106</v>
      </c>
      <c r="I5568" s="18" t="s">
        <v>3448</v>
      </c>
    </row>
    <row r="5569" spans="1:9" s="33" customFormat="1" ht="120">
      <c r="A5569" s="12">
        <v>43571.554872685185</v>
      </c>
      <c r="B5569" s="13" t="str">
        <f>HYPERLINK("https://twitter.com/bnbprogram","@bnbprogram")</f>
        <v>@bnbprogram</v>
      </c>
      <c r="C5569" s="14" t="s">
        <v>108</v>
      </c>
      <c r="D5569" s="15" t="s">
        <v>3636</v>
      </c>
      <c r="E5569" s="16" t="str">
        <f>HYPERLINK("http://twitter.com/download/iphone","Twitter for iPhone")</f>
        <v>Twitter for iPhone</v>
      </c>
      <c r="F5569" s="12">
        <v>43182.268159722225</v>
      </c>
      <c r="G5569" s="24" t="s">
        <v>13000</v>
      </c>
      <c r="H5569" s="35" t="s">
        <v>106</v>
      </c>
      <c r="I5569" s="18" t="s">
        <v>110</v>
      </c>
    </row>
    <row r="5570" spans="1:9" s="33" customFormat="1" ht="90">
      <c r="A5570" s="12">
        <v>43571.479421296295</v>
      </c>
      <c r="B5570" s="13" t="str">
        <f>HYPERLINK("https://twitter.com/AMYCREDITGIRL","@AMYCREDITGIRL")</f>
        <v>@AMYCREDITGIRL</v>
      </c>
      <c r="C5570" s="14" t="s">
        <v>3571</v>
      </c>
      <c r="D5570" s="15" t="s">
        <v>3661</v>
      </c>
      <c r="E5570" s="16" t="str">
        <f>HYPERLINK("https://buffer.com","Buffer")</f>
        <v>Buffer</v>
      </c>
      <c r="F5570" s="12">
        <v>43265.764976851853</v>
      </c>
      <c r="G5570" s="24" t="s">
        <v>13000</v>
      </c>
      <c r="H5570" s="35" t="s">
        <v>106</v>
      </c>
      <c r="I5570" s="18" t="s">
        <v>3573</v>
      </c>
    </row>
    <row r="5571" spans="1:9" s="33" customFormat="1" ht="90">
      <c r="A5571" s="12">
        <v>43571.437696759254</v>
      </c>
      <c r="B5571" s="13" t="str">
        <f>HYPERLINK("https://twitter.com/LASavage15","@LASavage15")</f>
        <v>@LASavage15</v>
      </c>
      <c r="C5571" s="14" t="s">
        <v>3446</v>
      </c>
      <c r="D5571" s="15" t="s">
        <v>3671</v>
      </c>
      <c r="E5571" s="16" t="str">
        <f>HYPERLINK("https://buffer.com","Buffer")</f>
        <v>Buffer</v>
      </c>
      <c r="F5571" s="12">
        <v>42832.147986111115</v>
      </c>
      <c r="G5571" s="24" t="s">
        <v>13000</v>
      </c>
      <c r="H5571" s="35" t="s">
        <v>106</v>
      </c>
      <c r="I5571" s="18" t="s">
        <v>3448</v>
      </c>
    </row>
    <row r="5572" spans="1:9" s="33" customFormat="1" ht="105">
      <c r="A5572" s="12">
        <v>43571.381574074076</v>
      </c>
      <c r="B5572" s="13" t="str">
        <f>HYPERLINK("https://twitter.com/cbizVRI","@cbizVRI")</f>
        <v>@cbizVRI</v>
      </c>
      <c r="C5572" s="14" t="s">
        <v>2560</v>
      </c>
      <c r="D5572" s="15" t="s">
        <v>3703</v>
      </c>
      <c r="E5572" s="16" t="str">
        <f>HYPERLINK("http://www.hubspot.com/","HubSpot")</f>
        <v>HubSpot</v>
      </c>
      <c r="F5572" s="12">
        <v>42893.499884259261</v>
      </c>
      <c r="G5572" s="24" t="s">
        <v>13000</v>
      </c>
      <c r="H5572" s="35" t="s">
        <v>106</v>
      </c>
      <c r="I5572" s="18" t="s">
        <v>2562</v>
      </c>
    </row>
    <row r="5573" spans="1:9" s="33" customFormat="1" ht="105">
      <c r="A5573" s="12">
        <v>43571.354166666672</v>
      </c>
      <c r="B5573" s="13" t="str">
        <f>HYPERLINK("https://twitter.com/AMYCREDITGIRL","@AMYCREDITGIRL")</f>
        <v>@AMYCREDITGIRL</v>
      </c>
      <c r="C5573" s="14" t="s">
        <v>3571</v>
      </c>
      <c r="D5573" s="15" t="s">
        <v>3717</v>
      </c>
      <c r="E5573" s="16" t="str">
        <f>HYPERLINK("https://buffer.com","Buffer")</f>
        <v>Buffer</v>
      </c>
      <c r="F5573" s="12">
        <v>43265.764976851853</v>
      </c>
      <c r="G5573" s="24" t="s">
        <v>13000</v>
      </c>
      <c r="H5573" s="35" t="s">
        <v>106</v>
      </c>
      <c r="I5573" s="18" t="s">
        <v>3573</v>
      </c>
    </row>
    <row r="5574" spans="1:9" s="33" customFormat="1" ht="90">
      <c r="A5574" s="12">
        <v>43571.312743055554</v>
      </c>
      <c r="B5574" s="13" t="str">
        <f>HYPERLINK("https://twitter.com/LASavage15","@LASavage15")</f>
        <v>@LASavage15</v>
      </c>
      <c r="C5574" s="14" t="s">
        <v>3446</v>
      </c>
      <c r="D5574" s="15" t="s">
        <v>3744</v>
      </c>
      <c r="E5574" s="16" t="str">
        <f>HYPERLINK("https://buffer.com","Buffer")</f>
        <v>Buffer</v>
      </c>
      <c r="F5574" s="12">
        <v>42832.147986111115</v>
      </c>
      <c r="G5574" s="24" t="s">
        <v>13000</v>
      </c>
      <c r="H5574" s="35" t="s">
        <v>106</v>
      </c>
      <c r="I5574" s="18" t="s">
        <v>3448</v>
      </c>
    </row>
    <row r="5575" spans="1:9" s="33" customFormat="1" ht="105">
      <c r="A5575" s="12">
        <v>43570.917141203703</v>
      </c>
      <c r="B5575" s="13" t="str">
        <f>HYPERLINK("https://twitter.com/Nexcloudz1231","@Nexcloudz1231")</f>
        <v>@Nexcloudz1231</v>
      </c>
      <c r="C5575" s="14" t="s">
        <v>3474</v>
      </c>
      <c r="D5575" s="15" t="s">
        <v>3939</v>
      </c>
      <c r="E5575" s="16" t="str">
        <f>HYPERLINK("http://twitter.com","Twitter Web Client")</f>
        <v>Twitter Web Client</v>
      </c>
      <c r="F5575" s="12">
        <v>43405.153368055559</v>
      </c>
      <c r="G5575" s="24" t="s">
        <v>13000</v>
      </c>
      <c r="H5575" s="35" t="s">
        <v>106</v>
      </c>
      <c r="I5575" s="18" t="s">
        <v>3476</v>
      </c>
    </row>
    <row r="5576" spans="1:9" s="33" customFormat="1" ht="75">
      <c r="A5576" s="12">
        <v>43570.773379629631</v>
      </c>
      <c r="B5576" s="13" t="str">
        <f>HYPERLINK("https://twitter.com/GorillaMentor","@GorillaMentor")</f>
        <v>@GorillaMentor</v>
      </c>
      <c r="C5576" s="14" t="s">
        <v>1971</v>
      </c>
      <c r="D5576" s="15" t="s">
        <v>3983</v>
      </c>
      <c r="E5576" s="16" t="str">
        <f>HYPERLINK("http://instagram.com","Instagram")</f>
        <v>Instagram</v>
      </c>
      <c r="F5576" s="12">
        <v>39997.894976851851</v>
      </c>
      <c r="G5576" s="24" t="s">
        <v>13000</v>
      </c>
      <c r="H5576" s="35" t="s">
        <v>106</v>
      </c>
      <c r="I5576" s="18" t="s">
        <v>1973</v>
      </c>
    </row>
    <row r="5577" spans="1:9" s="33" customFormat="1" ht="45">
      <c r="A5577" s="12">
        <v>43570.280972222223</v>
      </c>
      <c r="B5577" s="13" t="str">
        <f>HYPERLINK("https://twitter.com/CouponFleek","@CouponFleek")</f>
        <v>@CouponFleek</v>
      </c>
      <c r="C5577" s="14" t="s">
        <v>1717</v>
      </c>
      <c r="D5577" s="15" t="s">
        <v>4264</v>
      </c>
      <c r="E5577" s="16" t="str">
        <f>HYPERLINK("http://twitter.com","Twitter Web Client")</f>
        <v>Twitter Web Client</v>
      </c>
      <c r="F5577" s="12">
        <v>42574.170451388884</v>
      </c>
      <c r="G5577" s="24" t="s">
        <v>13000</v>
      </c>
      <c r="H5577" s="35" t="s">
        <v>106</v>
      </c>
      <c r="I5577" s="18" t="s">
        <v>1719</v>
      </c>
    </row>
    <row r="5578" spans="1:9" s="33" customFormat="1" ht="105">
      <c r="A5578" s="12">
        <v>43569.940960648149</v>
      </c>
      <c r="B5578" s="13" t="str">
        <f>HYPERLINK("https://twitter.com/Nexcloudz1231","@Nexcloudz1231")</f>
        <v>@Nexcloudz1231</v>
      </c>
      <c r="C5578" s="14" t="s">
        <v>3474</v>
      </c>
      <c r="D5578" s="15" t="s">
        <v>4375</v>
      </c>
      <c r="E5578" s="16" t="str">
        <f>HYPERLINK("http://twitter.com","Twitter Web Client")</f>
        <v>Twitter Web Client</v>
      </c>
      <c r="F5578" s="12">
        <v>43405.153368055559</v>
      </c>
      <c r="G5578" s="24" t="s">
        <v>13000</v>
      </c>
      <c r="H5578" s="35" t="s">
        <v>106</v>
      </c>
      <c r="I5578" s="18" t="s">
        <v>3476</v>
      </c>
    </row>
    <row r="5579" spans="1:9" s="33" customFormat="1" ht="60">
      <c r="A5579" s="12">
        <v>43568.836550925931</v>
      </c>
      <c r="B5579" s="13" t="str">
        <f>HYPERLINK("https://twitter.com/MB7Art","@MB7Art")</f>
        <v>@MB7Art</v>
      </c>
      <c r="C5579" s="14" t="s">
        <v>4649</v>
      </c>
      <c r="D5579" s="15" t="s">
        <v>4650</v>
      </c>
      <c r="E5579" s="16" t="str">
        <f>HYPERLINK("http://twitter.com","Twitter Web Client")</f>
        <v>Twitter Web Client</v>
      </c>
      <c r="F5579" s="12">
        <v>39762.585694444446</v>
      </c>
      <c r="G5579" s="24" t="s">
        <v>13000</v>
      </c>
      <c r="H5579" s="35" t="s">
        <v>106</v>
      </c>
      <c r="I5579" s="18" t="s">
        <v>4651</v>
      </c>
    </row>
    <row r="5580" spans="1:9" s="33" customFormat="1" ht="105">
      <c r="A5580" s="12">
        <v>43568.59584490741</v>
      </c>
      <c r="B5580" s="13" t="str">
        <f>HYPERLINK("https://twitter.com/bnbprogram","@bnbprogram")</f>
        <v>@bnbprogram</v>
      </c>
      <c r="C5580" s="14" t="s">
        <v>108</v>
      </c>
      <c r="D5580" s="15" t="s">
        <v>4690</v>
      </c>
      <c r="E5580" s="16" t="str">
        <f>HYPERLINK("http://twitter.com/download/iphone","Twitter for iPhone")</f>
        <v>Twitter for iPhone</v>
      </c>
      <c r="F5580" s="12">
        <v>43182.268159722225</v>
      </c>
      <c r="G5580" s="24" t="s">
        <v>13000</v>
      </c>
      <c r="H5580" s="35" t="s">
        <v>106</v>
      </c>
      <c r="I5580" s="18" t="s">
        <v>110</v>
      </c>
    </row>
    <row r="5581" spans="1:9" s="33" customFormat="1" ht="45">
      <c r="A5581" s="12">
        <v>43568.305289351847</v>
      </c>
      <c r="B5581" s="13" t="str">
        <f>HYPERLINK("https://twitter.com/CouponFleek","@CouponFleek")</f>
        <v>@CouponFleek</v>
      </c>
      <c r="C5581" s="14" t="s">
        <v>1717</v>
      </c>
      <c r="D5581" s="15" t="s">
        <v>4814</v>
      </c>
      <c r="E5581" s="16" t="str">
        <f>HYPERLINK("http://twitter.com","Twitter Web Client")</f>
        <v>Twitter Web Client</v>
      </c>
      <c r="F5581" s="12">
        <v>42574.170451388884</v>
      </c>
      <c r="G5581" s="24" t="s">
        <v>13000</v>
      </c>
      <c r="H5581" s="35" t="s">
        <v>106</v>
      </c>
      <c r="I5581" s="18" t="s">
        <v>1719</v>
      </c>
    </row>
    <row r="5582" spans="1:9" s="33" customFormat="1" ht="75">
      <c r="A5582" s="12">
        <v>43567.700972222221</v>
      </c>
      <c r="B5582" s="13" t="str">
        <f>HYPERLINK("https://twitter.com/GorillaMentor","@GorillaMentor")</f>
        <v>@GorillaMentor</v>
      </c>
      <c r="C5582" s="14" t="s">
        <v>1971</v>
      </c>
      <c r="D5582" s="15" t="s">
        <v>4992</v>
      </c>
      <c r="E5582" s="16" t="str">
        <f>HYPERLINK("http://instagram.com","Instagram")</f>
        <v>Instagram</v>
      </c>
      <c r="F5582" s="12">
        <v>39997.894976851851</v>
      </c>
      <c r="G5582" s="24" t="s">
        <v>13000</v>
      </c>
      <c r="H5582" s="35" t="s">
        <v>106</v>
      </c>
      <c r="I5582" s="18" t="s">
        <v>1973</v>
      </c>
    </row>
    <row r="5583" spans="1:9" s="33" customFormat="1" ht="105">
      <c r="A5583" s="12">
        <v>43567.604259259257</v>
      </c>
      <c r="B5583" s="13" t="str">
        <f>HYPERLINK("https://twitter.com/LASavage15","@LASavage15")</f>
        <v>@LASavage15</v>
      </c>
      <c r="C5583" s="14" t="s">
        <v>3446</v>
      </c>
      <c r="D5583" s="15" t="s">
        <v>5025</v>
      </c>
      <c r="E5583" s="16" t="str">
        <f>HYPERLINK("https://buffer.com","Buffer")</f>
        <v>Buffer</v>
      </c>
      <c r="F5583" s="12">
        <v>42832.147986111115</v>
      </c>
      <c r="G5583" s="24" t="s">
        <v>13000</v>
      </c>
      <c r="H5583" s="35" t="s">
        <v>106</v>
      </c>
      <c r="I5583" s="18" t="s">
        <v>3448</v>
      </c>
    </row>
    <row r="5584" spans="1:9" s="33" customFormat="1" ht="120">
      <c r="A5584" s="12">
        <v>43567.354259259257</v>
      </c>
      <c r="B5584" s="13" t="str">
        <f>HYPERLINK("https://twitter.com/LASavage15","@LASavage15")</f>
        <v>@LASavage15</v>
      </c>
      <c r="C5584" s="14" t="s">
        <v>3446</v>
      </c>
      <c r="D5584" s="15" t="s">
        <v>5140</v>
      </c>
      <c r="E5584" s="16" t="str">
        <f>HYPERLINK("https://buffer.com","Buffer")</f>
        <v>Buffer</v>
      </c>
      <c r="F5584" s="12">
        <v>42832.147986111115</v>
      </c>
      <c r="G5584" s="24" t="s">
        <v>13000</v>
      </c>
      <c r="H5584" s="35" t="s">
        <v>106</v>
      </c>
      <c r="I5584" s="18" t="s">
        <v>3448</v>
      </c>
    </row>
    <row r="5585" spans="1:9" s="33" customFormat="1" ht="105">
      <c r="A5585" s="12">
        <v>43567.314942129626</v>
      </c>
      <c r="B5585" s="13" t="str">
        <f>HYPERLINK("https://twitter.com/bnbprogram","@bnbprogram")</f>
        <v>@bnbprogram</v>
      </c>
      <c r="C5585" s="14" t="s">
        <v>108</v>
      </c>
      <c r="D5585" s="15" t="s">
        <v>5168</v>
      </c>
      <c r="E5585" s="16" t="str">
        <f>HYPERLINK("http://twitter.com/download/iphone","Twitter for iPhone")</f>
        <v>Twitter for iPhone</v>
      </c>
      <c r="F5585" s="12">
        <v>43182.268159722225</v>
      </c>
      <c r="G5585" s="24" t="s">
        <v>13000</v>
      </c>
      <c r="H5585" s="35" t="s">
        <v>106</v>
      </c>
      <c r="I5585" s="18" t="s">
        <v>110</v>
      </c>
    </row>
    <row r="5586" spans="1:9" s="33" customFormat="1" ht="105">
      <c r="A5586" s="12">
        <v>43567.298472222217</v>
      </c>
      <c r="B5586" s="13" t="str">
        <f>HYPERLINK("https://twitter.com/cbizVRI","@cbizVRI")</f>
        <v>@cbizVRI</v>
      </c>
      <c r="C5586" s="14" t="s">
        <v>2560</v>
      </c>
      <c r="D5586" s="15" t="s">
        <v>5181</v>
      </c>
      <c r="E5586" s="16" t="str">
        <f>HYPERLINK("http://twitter.com","Twitter Web Client")</f>
        <v>Twitter Web Client</v>
      </c>
      <c r="F5586" s="12">
        <v>42893.499884259261</v>
      </c>
      <c r="G5586" s="24" t="s">
        <v>13000</v>
      </c>
      <c r="H5586" s="35" t="s">
        <v>106</v>
      </c>
      <c r="I5586" s="18" t="s">
        <v>2562</v>
      </c>
    </row>
    <row r="5587" spans="1:9" s="33" customFormat="1" ht="120">
      <c r="A5587" s="12">
        <v>43566.943807870368</v>
      </c>
      <c r="B5587" s="13" t="str">
        <f>HYPERLINK("https://twitter.com/Nexcloudz1231","@Nexcloudz1231")</f>
        <v>@Nexcloudz1231</v>
      </c>
      <c r="C5587" s="14" t="s">
        <v>3474</v>
      </c>
      <c r="D5587" s="15" t="s">
        <v>5302</v>
      </c>
      <c r="E5587" s="16" t="str">
        <f>HYPERLINK("http://twitter.com","Twitter Web Client")</f>
        <v>Twitter Web Client</v>
      </c>
      <c r="F5587" s="12">
        <v>43405.153368055559</v>
      </c>
      <c r="G5587" s="24" t="s">
        <v>13000</v>
      </c>
      <c r="H5587" s="35" t="s">
        <v>106</v>
      </c>
      <c r="I5587" s="18" t="s">
        <v>3476</v>
      </c>
    </row>
    <row r="5588" spans="1:9" s="33" customFormat="1" ht="90">
      <c r="A5588" s="12">
        <v>43566.87501157407</v>
      </c>
      <c r="B5588" s="13" t="str">
        <f>HYPERLINK("https://twitter.com/AMYCREDITGIRL","@AMYCREDITGIRL")</f>
        <v>@AMYCREDITGIRL</v>
      </c>
      <c r="C5588" s="14" t="s">
        <v>3571</v>
      </c>
      <c r="D5588" s="15" t="s">
        <v>5316</v>
      </c>
      <c r="E5588" s="16" t="str">
        <f t="shared" ref="E5588:E5593" si="208">HYPERLINK("https://buffer.com","Buffer")</f>
        <v>Buffer</v>
      </c>
      <c r="F5588" s="12">
        <v>43265.764976851853</v>
      </c>
      <c r="G5588" s="24" t="s">
        <v>13000</v>
      </c>
      <c r="H5588" s="35" t="s">
        <v>106</v>
      </c>
      <c r="I5588" s="18" t="s">
        <v>3573</v>
      </c>
    </row>
    <row r="5589" spans="1:9" s="33" customFormat="1" ht="90">
      <c r="A5589" s="12">
        <v>43566.833472222221</v>
      </c>
      <c r="B5589" s="13" t="str">
        <f>HYPERLINK("https://twitter.com/LASavage15","@LASavage15")</f>
        <v>@LASavage15</v>
      </c>
      <c r="C5589" s="14" t="s">
        <v>3446</v>
      </c>
      <c r="D5589" s="15" t="s">
        <v>5330</v>
      </c>
      <c r="E5589" s="16" t="str">
        <f t="shared" si="208"/>
        <v>Buffer</v>
      </c>
      <c r="F5589" s="12">
        <v>42832.147986111115</v>
      </c>
      <c r="G5589" s="24" t="s">
        <v>13000</v>
      </c>
      <c r="H5589" s="35" t="s">
        <v>106</v>
      </c>
      <c r="I5589" s="18" t="s">
        <v>3448</v>
      </c>
    </row>
    <row r="5590" spans="1:9" s="33" customFormat="1" ht="90">
      <c r="A5590" s="12">
        <v>43566.750196759254</v>
      </c>
      <c r="B5590" s="13" t="str">
        <f>HYPERLINK("https://twitter.com/AMYCREDITGIRL","@AMYCREDITGIRL")</f>
        <v>@AMYCREDITGIRL</v>
      </c>
      <c r="C5590" s="14" t="s">
        <v>3571</v>
      </c>
      <c r="D5590" s="15" t="s">
        <v>5358</v>
      </c>
      <c r="E5590" s="16" t="str">
        <f t="shared" si="208"/>
        <v>Buffer</v>
      </c>
      <c r="F5590" s="12">
        <v>43265.764976851853</v>
      </c>
      <c r="G5590" s="24" t="s">
        <v>13000</v>
      </c>
      <c r="H5590" s="35" t="s">
        <v>106</v>
      </c>
      <c r="I5590" s="18" t="s">
        <v>3573</v>
      </c>
    </row>
    <row r="5591" spans="1:9" s="33" customFormat="1" ht="90">
      <c r="A5591" s="12">
        <v>43566.708530092597</v>
      </c>
      <c r="B5591" s="13" t="str">
        <f>HYPERLINK("https://twitter.com/LASavage15","@LASavage15")</f>
        <v>@LASavage15</v>
      </c>
      <c r="C5591" s="14" t="s">
        <v>3446</v>
      </c>
      <c r="D5591" s="15" t="s">
        <v>5371</v>
      </c>
      <c r="E5591" s="16" t="str">
        <f t="shared" si="208"/>
        <v>Buffer</v>
      </c>
      <c r="F5591" s="12">
        <v>42832.147986111115</v>
      </c>
      <c r="G5591" s="24" t="s">
        <v>13000</v>
      </c>
      <c r="H5591" s="35" t="s">
        <v>106</v>
      </c>
      <c r="I5591" s="18" t="s">
        <v>3448</v>
      </c>
    </row>
    <row r="5592" spans="1:9" s="33" customFormat="1" ht="90">
      <c r="A5592" s="12">
        <v>43566.625</v>
      </c>
      <c r="B5592" s="13" t="str">
        <f>HYPERLINK("https://twitter.com/AMYCREDITGIRL","@AMYCREDITGIRL")</f>
        <v>@AMYCREDITGIRL</v>
      </c>
      <c r="C5592" s="14" t="s">
        <v>3571</v>
      </c>
      <c r="D5592" s="15" t="s">
        <v>5394</v>
      </c>
      <c r="E5592" s="16" t="str">
        <f t="shared" si="208"/>
        <v>Buffer</v>
      </c>
      <c r="F5592" s="12">
        <v>43265.764976851853</v>
      </c>
      <c r="G5592" s="24" t="s">
        <v>13000</v>
      </c>
      <c r="H5592" s="35" t="s">
        <v>106</v>
      </c>
      <c r="I5592" s="18" t="s">
        <v>3573</v>
      </c>
    </row>
    <row r="5593" spans="1:9" s="33" customFormat="1" ht="90">
      <c r="A5593" s="12">
        <v>43566.583796296298</v>
      </c>
      <c r="B5593" s="13" t="str">
        <f>HYPERLINK("https://twitter.com/LASavage15","@LASavage15")</f>
        <v>@LASavage15</v>
      </c>
      <c r="C5593" s="14" t="s">
        <v>3446</v>
      </c>
      <c r="D5593" s="15" t="s">
        <v>5429</v>
      </c>
      <c r="E5593" s="16" t="str">
        <f t="shared" si="208"/>
        <v>Buffer</v>
      </c>
      <c r="F5593" s="12">
        <v>42832.147986111115</v>
      </c>
      <c r="G5593" s="24" t="s">
        <v>13000</v>
      </c>
      <c r="H5593" s="35" t="s">
        <v>106</v>
      </c>
      <c r="I5593" s="18" t="s">
        <v>3448</v>
      </c>
    </row>
    <row r="5594" spans="1:9" s="33" customFormat="1" ht="90">
      <c r="A5594" s="12">
        <v>43566.504467592589</v>
      </c>
      <c r="B5594" s="13" t="str">
        <f>HYPERLINK("https://twitter.com/cbizVRI","@cbizVRI")</f>
        <v>@cbizVRI</v>
      </c>
      <c r="C5594" s="14" t="s">
        <v>2560</v>
      </c>
      <c r="D5594" s="15" t="s">
        <v>5473</v>
      </c>
      <c r="E5594" s="16" t="str">
        <f>HYPERLINK("http://www.hubspot.com/","HubSpot")</f>
        <v>HubSpot</v>
      </c>
      <c r="F5594" s="12">
        <v>42893.499884259261</v>
      </c>
      <c r="G5594" s="24" t="s">
        <v>13000</v>
      </c>
      <c r="H5594" s="35" t="s">
        <v>106</v>
      </c>
      <c r="I5594" s="18" t="s">
        <v>2562</v>
      </c>
    </row>
    <row r="5595" spans="1:9" s="33" customFormat="1" ht="90">
      <c r="A5595" s="12">
        <v>43566.500231481477</v>
      </c>
      <c r="B5595" s="13" t="str">
        <f>HYPERLINK("https://twitter.com/AMYCREDITGIRL","@AMYCREDITGIRL")</f>
        <v>@AMYCREDITGIRL</v>
      </c>
      <c r="C5595" s="14" t="s">
        <v>3571</v>
      </c>
      <c r="D5595" s="15" t="s">
        <v>5340</v>
      </c>
      <c r="E5595" s="16" t="str">
        <f>HYPERLINK("https://buffer.com","Buffer")</f>
        <v>Buffer</v>
      </c>
      <c r="F5595" s="12">
        <v>43265.764976851853</v>
      </c>
      <c r="G5595" s="24" t="s">
        <v>13000</v>
      </c>
      <c r="H5595" s="35" t="s">
        <v>106</v>
      </c>
      <c r="I5595" s="18" t="s">
        <v>3573</v>
      </c>
    </row>
    <row r="5596" spans="1:9" s="33" customFormat="1" ht="90">
      <c r="A5596" s="12">
        <v>43566.458599537036</v>
      </c>
      <c r="B5596" s="13" t="str">
        <f>HYPERLINK("https://twitter.com/LASavage15","@LASavage15")</f>
        <v>@LASavage15</v>
      </c>
      <c r="C5596" s="14" t="s">
        <v>3446</v>
      </c>
      <c r="D5596" s="15" t="s">
        <v>5515</v>
      </c>
      <c r="E5596" s="16" t="str">
        <f>HYPERLINK("https://buffer.com","Buffer")</f>
        <v>Buffer</v>
      </c>
      <c r="F5596" s="12">
        <v>42832.147986111115</v>
      </c>
      <c r="G5596" s="24" t="s">
        <v>13000</v>
      </c>
      <c r="H5596" s="35" t="s">
        <v>106</v>
      </c>
      <c r="I5596" s="18" t="s">
        <v>3448</v>
      </c>
    </row>
    <row r="5597" spans="1:9" s="33" customFormat="1" ht="90">
      <c r="A5597" s="12">
        <v>43566.375706018516</v>
      </c>
      <c r="B5597" s="13" t="str">
        <f>HYPERLINK("https://twitter.com/AMYCREDITGIRL","@AMYCREDITGIRL")</f>
        <v>@AMYCREDITGIRL</v>
      </c>
      <c r="C5597" s="14" t="s">
        <v>3571</v>
      </c>
      <c r="D5597" s="15" t="s">
        <v>5590</v>
      </c>
      <c r="E5597" s="16" t="str">
        <f>HYPERLINK("https://buffer.com","Buffer")</f>
        <v>Buffer</v>
      </c>
      <c r="F5597" s="12">
        <v>43265.764976851853</v>
      </c>
      <c r="G5597" s="24" t="s">
        <v>13000</v>
      </c>
      <c r="H5597" s="35" t="s">
        <v>106</v>
      </c>
      <c r="I5597" s="18" t="s">
        <v>3573</v>
      </c>
    </row>
    <row r="5598" spans="1:9" s="33" customFormat="1" ht="90">
      <c r="A5598" s="12">
        <v>43566.366979166662</v>
      </c>
      <c r="B5598" s="13" t="str">
        <f>HYPERLINK("https://twitter.com/roswell787","@roswell787")</f>
        <v>@roswell787</v>
      </c>
      <c r="C5598" s="14" t="s">
        <v>5609</v>
      </c>
      <c r="D5598" s="15" t="s">
        <v>5610</v>
      </c>
      <c r="E5598" s="16" t="str">
        <f>HYPERLINK("http://twitter.com","Twitter Web Client")</f>
        <v>Twitter Web Client</v>
      </c>
      <c r="F5598" s="12">
        <v>40622.835787037038</v>
      </c>
      <c r="G5598" s="24" t="s">
        <v>13000</v>
      </c>
      <c r="H5598" s="35" t="s">
        <v>106</v>
      </c>
      <c r="I5598" s="18" t="s">
        <v>5611</v>
      </c>
    </row>
    <row r="5599" spans="1:9" s="33" customFormat="1" ht="105">
      <c r="A5599" s="12">
        <v>43566.360694444447</v>
      </c>
      <c r="B5599" s="13" t="str">
        <f>HYPERLINK("https://twitter.com/bnbprogram","@bnbprogram")</f>
        <v>@bnbprogram</v>
      </c>
      <c r="C5599" s="14" t="s">
        <v>108</v>
      </c>
      <c r="D5599" s="15" t="s">
        <v>5616</v>
      </c>
      <c r="E5599" s="16" t="str">
        <f>HYPERLINK("http://twitter.com/download/iphone","Twitter for iPhone")</f>
        <v>Twitter for iPhone</v>
      </c>
      <c r="F5599" s="12">
        <v>43182.268159722225</v>
      </c>
      <c r="G5599" s="24" t="s">
        <v>13000</v>
      </c>
      <c r="H5599" s="35" t="s">
        <v>106</v>
      </c>
      <c r="I5599" s="18" t="s">
        <v>110</v>
      </c>
    </row>
    <row r="5600" spans="1:9" s="33" customFormat="1" ht="90">
      <c r="A5600" s="12">
        <v>43566.33421296296</v>
      </c>
      <c r="B5600" s="13" t="str">
        <f>HYPERLINK("https://twitter.com/LASavage15","@LASavage15")</f>
        <v>@LASavage15</v>
      </c>
      <c r="C5600" s="14" t="s">
        <v>3446</v>
      </c>
      <c r="D5600" s="15" t="s">
        <v>5643</v>
      </c>
      <c r="E5600" s="16" t="str">
        <f>HYPERLINK("https://buffer.com","Buffer")</f>
        <v>Buffer</v>
      </c>
      <c r="F5600" s="12">
        <v>42832.147986111115</v>
      </c>
      <c r="G5600" s="24" t="s">
        <v>13000</v>
      </c>
      <c r="H5600" s="35" t="s">
        <v>106</v>
      </c>
      <c r="I5600" s="18" t="s">
        <v>3448</v>
      </c>
    </row>
    <row r="5601" spans="1:9" s="33" customFormat="1" ht="60">
      <c r="A5601" s="12">
        <v>43566.179062499999</v>
      </c>
      <c r="B5601" s="13" t="str">
        <f>HYPERLINK("https://twitter.com/JamesMoonLaw","@JamesMoonLaw")</f>
        <v>@JamesMoonLaw</v>
      </c>
      <c r="C5601" s="14" t="s">
        <v>5740</v>
      </c>
      <c r="D5601" s="15" t="s">
        <v>5741</v>
      </c>
      <c r="E5601" s="16" t="str">
        <f>HYPERLINK("http://twitter.com/download/android","Twitter for Android")</f>
        <v>Twitter for Android</v>
      </c>
      <c r="F5601" s="12">
        <v>39898.878032407403</v>
      </c>
      <c r="G5601" s="24" t="s">
        <v>13000</v>
      </c>
      <c r="H5601" s="35" t="s">
        <v>106</v>
      </c>
      <c r="I5601" s="18" t="s">
        <v>5742</v>
      </c>
    </row>
    <row r="5602" spans="1:9" s="33" customFormat="1" ht="105">
      <c r="A5602" s="12">
        <v>43565.941168981481</v>
      </c>
      <c r="B5602" s="13" t="str">
        <f>HYPERLINK("https://twitter.com/Nexcloudz1231","@Nexcloudz1231")</f>
        <v>@Nexcloudz1231</v>
      </c>
      <c r="C5602" s="14" t="s">
        <v>3474</v>
      </c>
      <c r="D5602" s="15" t="s">
        <v>5843</v>
      </c>
      <c r="E5602" s="16" t="str">
        <f>HYPERLINK("http://twitter.com","Twitter Web Client")</f>
        <v>Twitter Web Client</v>
      </c>
      <c r="F5602" s="12">
        <v>43405.153368055559</v>
      </c>
      <c r="G5602" s="24" t="s">
        <v>13000</v>
      </c>
      <c r="H5602" s="35" t="s">
        <v>106</v>
      </c>
      <c r="I5602" s="18" t="s">
        <v>3476</v>
      </c>
    </row>
    <row r="5603" spans="1:9" s="33" customFormat="1" ht="90">
      <c r="A5603" s="12">
        <v>43577.750208333338</v>
      </c>
      <c r="B5603" s="13" t="str">
        <f>HYPERLINK("https://twitter.com/unitehere","@unitehere")</f>
        <v>@unitehere</v>
      </c>
      <c r="C5603" s="14" t="s">
        <v>1509</v>
      </c>
      <c r="D5603" s="15" t="s">
        <v>1510</v>
      </c>
      <c r="E5603" s="16" t="str">
        <f>HYPERLINK("https://www.hootsuite.com","Hootsuite Inc.")</f>
        <v>Hootsuite Inc.</v>
      </c>
      <c r="F5603" s="12">
        <v>40779.386504629627</v>
      </c>
      <c r="G5603" s="24" t="s">
        <v>13000</v>
      </c>
      <c r="H5603" s="35" t="s">
        <v>1511</v>
      </c>
      <c r="I5603" s="18" t="s">
        <v>1512</v>
      </c>
    </row>
    <row r="5604" spans="1:9" s="33" customFormat="1" ht="45">
      <c r="A5604" s="4">
        <v>43565.485995370371</v>
      </c>
      <c r="B5604" s="5" t="str">
        <f>HYPERLINK("https://twitter.com/realIMSirius","@realIMSirius")</f>
        <v>@realIMSirius</v>
      </c>
      <c r="C5604" s="6" t="s">
        <v>6057</v>
      </c>
      <c r="D5604" s="7" t="s">
        <v>6058</v>
      </c>
      <c r="E5604" s="8" t="str">
        <f>HYPERLINK("http://twitter.com","Twitter Web Client")</f>
        <v>Twitter Web Client</v>
      </c>
      <c r="F5604" s="4">
        <v>40254.043611111112</v>
      </c>
      <c r="G5604" s="24" t="s">
        <v>13000</v>
      </c>
      <c r="H5604" s="35" t="s">
        <v>2007</v>
      </c>
      <c r="I5604" s="10" t="s">
        <v>6059</v>
      </c>
    </row>
    <row r="5605" spans="1:9" s="33" customFormat="1" ht="30">
      <c r="A5605" s="12">
        <v>43576.301851851851</v>
      </c>
      <c r="B5605" s="13" t="str">
        <f>HYPERLINK("https://twitter.com/AmterKevin","@AmterKevin")</f>
        <v>@AmterKevin</v>
      </c>
      <c r="C5605" s="14" t="s">
        <v>2005</v>
      </c>
      <c r="D5605" s="15" t="s">
        <v>2006</v>
      </c>
      <c r="E5605" s="16" t="str">
        <f>HYPERLINK("http://twitter.com","Twitter Web Client")</f>
        <v>Twitter Web Client</v>
      </c>
      <c r="F5605" s="12">
        <v>39947.341944444444</v>
      </c>
      <c r="G5605" s="24" t="s">
        <v>13000</v>
      </c>
      <c r="H5605" s="35" t="s">
        <v>2007</v>
      </c>
      <c r="I5605" s="18" t="s">
        <v>2008</v>
      </c>
    </row>
    <row r="5606" spans="1:9" s="33" customFormat="1" ht="75">
      <c r="A5606" s="4">
        <v>43563.022118055553</v>
      </c>
      <c r="B5606" s="5" t="str">
        <f>HYPERLINK("https://twitter.com/JoeLebosi","@JoeLebosi")</f>
        <v>@JoeLebosi</v>
      </c>
      <c r="C5606" s="6" t="s">
        <v>10503</v>
      </c>
      <c r="D5606" s="7" t="s">
        <v>10504</v>
      </c>
      <c r="E5606" s="8" t="str">
        <f>HYPERLINK("http://instagram.com","Instagram")</f>
        <v>Instagram</v>
      </c>
      <c r="F5606" s="4">
        <v>40181.462592592594</v>
      </c>
      <c r="G5606" s="24" t="s">
        <v>13000</v>
      </c>
      <c r="H5606" s="35" t="s">
        <v>10505</v>
      </c>
      <c r="I5606" s="10" t="s">
        <v>10506</v>
      </c>
    </row>
    <row r="5607" spans="1:9" s="33" customFormat="1" ht="90">
      <c r="A5607" s="4">
        <v>43558.331064814818</v>
      </c>
      <c r="B5607" s="5" t="str">
        <f>HYPERLINK("https://twitter.com/JoeLebosi","@JoeLebosi")</f>
        <v>@JoeLebosi</v>
      </c>
      <c r="C5607" s="6" t="s">
        <v>10503</v>
      </c>
      <c r="D5607" s="7" t="s">
        <v>12232</v>
      </c>
      <c r="E5607" s="8" t="str">
        <f>HYPERLINK("http://instagram.com","Instagram")</f>
        <v>Instagram</v>
      </c>
      <c r="F5607" s="4">
        <v>40181.462592592594</v>
      </c>
      <c r="G5607" s="24" t="s">
        <v>13000</v>
      </c>
      <c r="H5607" s="35" t="s">
        <v>10505</v>
      </c>
      <c r="I5607" s="10" t="s">
        <v>10506</v>
      </c>
    </row>
    <row r="5608" spans="1:9" s="33" customFormat="1" ht="60">
      <c r="A5608" s="4">
        <v>43558.118113425924</v>
      </c>
      <c r="B5608" s="5" t="str">
        <f>HYPERLINK("https://twitter.com/JoeLebosi","@JoeLebosi")</f>
        <v>@JoeLebosi</v>
      </c>
      <c r="C5608" s="6" t="s">
        <v>10503</v>
      </c>
      <c r="D5608" s="7" t="s">
        <v>12315</v>
      </c>
      <c r="E5608" s="8" t="str">
        <f>HYPERLINK("http://instagram.com","Instagram")</f>
        <v>Instagram</v>
      </c>
      <c r="F5608" s="4">
        <v>40181.462592592594</v>
      </c>
      <c r="G5608" s="24" t="s">
        <v>13000</v>
      </c>
      <c r="H5608" s="35" t="s">
        <v>10505</v>
      </c>
      <c r="I5608" s="10" t="s">
        <v>10506</v>
      </c>
    </row>
    <row r="5609" spans="1:9" s="33" customFormat="1" ht="45">
      <c r="A5609" s="4">
        <v>43558.013414351852</v>
      </c>
      <c r="B5609" s="5" t="str">
        <f>HYPERLINK("https://twitter.com/JoeLebosi","@JoeLebosi")</f>
        <v>@JoeLebosi</v>
      </c>
      <c r="C5609" s="6" t="s">
        <v>10503</v>
      </c>
      <c r="D5609" s="7" t="s">
        <v>12342</v>
      </c>
      <c r="E5609" s="8" t="str">
        <f>HYPERLINK("http://instagram.com","Instagram")</f>
        <v>Instagram</v>
      </c>
      <c r="F5609" s="4">
        <v>40181.462592592594</v>
      </c>
      <c r="G5609" s="24" t="s">
        <v>13000</v>
      </c>
      <c r="H5609" s="35" t="s">
        <v>10505</v>
      </c>
      <c r="I5609" s="10" t="s">
        <v>10506</v>
      </c>
    </row>
    <row r="5610" spans="1:9" s="33" customFormat="1" ht="75">
      <c r="A5610" s="19">
        <v>43545.34207175926</v>
      </c>
      <c r="B5610" s="20" t="str">
        <f>HYPERLINK("https://twitter.com/UW_CSTV","@UW_CSTV")</f>
        <v>@UW_CSTV</v>
      </c>
      <c r="C5610" s="21" t="s">
        <v>9187</v>
      </c>
      <c r="D5610" s="22" t="s">
        <v>9188</v>
      </c>
      <c r="E5610" s="23" t="str">
        <f>HYPERLINK("https://mobile.twitter.com","Twitter Web App")</f>
        <v>Twitter Web App</v>
      </c>
      <c r="F5610" s="19">
        <v>41411.382824074077</v>
      </c>
      <c r="G5610" s="24" t="s">
        <v>13000</v>
      </c>
      <c r="H5610" s="35" t="s">
        <v>9189</v>
      </c>
      <c r="I5610" s="25" t="s">
        <v>9190</v>
      </c>
    </row>
    <row r="5611" spans="1:9" s="33" customFormat="1" ht="75">
      <c r="A5611" s="4">
        <v>43561.645925925928</v>
      </c>
      <c r="B5611" s="5" t="str">
        <f>HYPERLINK("https://twitter.com/simpson_sherri","@simpson_sherri")</f>
        <v>@simpson_sherri</v>
      </c>
      <c r="C5611" s="6" t="s">
        <v>3314</v>
      </c>
      <c r="D5611" s="7" t="s">
        <v>10883</v>
      </c>
      <c r="E5611" s="8" t="str">
        <f>HYPERLINK("http://instagram.com","Instagram")</f>
        <v>Instagram</v>
      </c>
      <c r="F5611" s="4">
        <v>40888.391319444447</v>
      </c>
      <c r="G5611" s="24" t="s">
        <v>13000</v>
      </c>
      <c r="H5611" s="35" t="s">
        <v>3316</v>
      </c>
      <c r="I5611" s="10" t="s">
        <v>3317</v>
      </c>
    </row>
    <row r="5612" spans="1:9" s="33" customFormat="1" ht="75">
      <c r="A5612" s="12">
        <v>43572.341435185182</v>
      </c>
      <c r="B5612" s="13" t="str">
        <f>HYPERLINK("https://twitter.com/simpson_sherri","@simpson_sherri")</f>
        <v>@simpson_sherri</v>
      </c>
      <c r="C5612" s="14" t="s">
        <v>3314</v>
      </c>
      <c r="D5612" s="15" t="s">
        <v>3315</v>
      </c>
      <c r="E5612" s="16" t="str">
        <f>HYPERLINK("http://www.facebook.com/twitter","Facebook")</f>
        <v>Facebook</v>
      </c>
      <c r="F5612" s="12">
        <v>40888.391319444447</v>
      </c>
      <c r="G5612" s="24" t="s">
        <v>13000</v>
      </c>
      <c r="H5612" s="35" t="s">
        <v>3316</v>
      </c>
      <c r="I5612" s="18" t="s">
        <v>3317</v>
      </c>
    </row>
    <row r="5613" spans="1:9" s="33" customFormat="1" ht="45">
      <c r="A5613" s="19">
        <v>43548.709050925929</v>
      </c>
      <c r="B5613" s="20" t="str">
        <f>HYPERLINK("https://twitter.com/Review_Dingo","@Review_Dingo")</f>
        <v>@Review_Dingo</v>
      </c>
      <c r="C5613" s="21" t="s">
        <v>8238</v>
      </c>
      <c r="D5613" s="22" t="s">
        <v>8239</v>
      </c>
      <c r="E5613" s="23" t="str">
        <f>HYPERLINK("https://dlvrit.com/","dlvr.it")</f>
        <v>dlvr.it</v>
      </c>
      <c r="F5613" s="19">
        <v>41568.764456018514</v>
      </c>
      <c r="G5613" s="24" t="s">
        <v>13000</v>
      </c>
      <c r="H5613" s="35" t="s">
        <v>8240</v>
      </c>
      <c r="I5613" s="25" t="s">
        <v>8241</v>
      </c>
    </row>
    <row r="5614" spans="1:9" s="33" customFormat="1" ht="75">
      <c r="A5614" s="19">
        <v>43543.625439814816</v>
      </c>
      <c r="B5614" s="20" t="str">
        <f>HYPERLINK("https://twitter.com/WillowCreekCape","@WillowCreekCape")</f>
        <v>@WillowCreekCape</v>
      </c>
      <c r="C5614" s="21" t="s">
        <v>9732</v>
      </c>
      <c r="D5614" s="22" t="s">
        <v>12823</v>
      </c>
      <c r="E5614" s="23" t="str">
        <f>HYPERLINK("http://instagram.com","Instagram")</f>
        <v>Instagram</v>
      </c>
      <c r="F5614" s="19">
        <v>40683.324907407405</v>
      </c>
      <c r="G5614" s="24" t="s">
        <v>13000</v>
      </c>
      <c r="H5614" s="35" t="s">
        <v>9733</v>
      </c>
      <c r="I5614" s="25" t="s">
        <v>9734</v>
      </c>
    </row>
    <row r="5615" spans="1:9" s="33" customFormat="1" ht="120">
      <c r="A5615" s="19">
        <v>43547.543020833335</v>
      </c>
      <c r="B5615" s="20" t="str">
        <f>HYPERLINK("https://twitter.com/LupineVillage","@LupineVillage")</f>
        <v>@LupineVillage</v>
      </c>
      <c r="C5615" s="21" t="s">
        <v>7950</v>
      </c>
      <c r="D5615" s="22" t="s">
        <v>12826</v>
      </c>
      <c r="E5615" s="23" t="str">
        <f>HYPERLINK("http://twitter.com/download/android","Twitter for Android")</f>
        <v>Twitter for Android</v>
      </c>
      <c r="F5615" s="19">
        <v>42637.78707175926</v>
      </c>
      <c r="G5615" s="24" t="s">
        <v>13000</v>
      </c>
      <c r="H5615" s="35" t="s">
        <v>7951</v>
      </c>
      <c r="I5615" s="25" t="s">
        <v>7952</v>
      </c>
    </row>
    <row r="5616" spans="1:9" s="33" customFormat="1" ht="120">
      <c r="A5616" s="19">
        <v>43544.489004629635</v>
      </c>
      <c r="B5616" s="20" t="str">
        <f>HYPERLINK("https://twitter.com/LupineVillage","@LupineVillage")</f>
        <v>@LupineVillage</v>
      </c>
      <c r="C5616" s="21" t="s">
        <v>7950</v>
      </c>
      <c r="D5616" s="22" t="s">
        <v>12827</v>
      </c>
      <c r="E5616" s="23" t="str">
        <f>HYPERLINK("http://twitter.com/download/android","Twitter for Android")</f>
        <v>Twitter for Android</v>
      </c>
      <c r="F5616" s="19">
        <v>42637.78707175926</v>
      </c>
      <c r="G5616" s="24" t="s">
        <v>13000</v>
      </c>
      <c r="H5616" s="35" t="s">
        <v>7951</v>
      </c>
      <c r="I5616" s="25" t="s">
        <v>7952</v>
      </c>
    </row>
    <row r="5617" spans="1:9" s="33" customFormat="1" ht="120">
      <c r="A5617" s="4">
        <v>43559.460972222223</v>
      </c>
      <c r="B5617" s="5" t="str">
        <f>HYPERLINK("https://twitter.com/LupineVillage","@LupineVillage")</f>
        <v>@LupineVillage</v>
      </c>
      <c r="C5617" s="6" t="s">
        <v>7950</v>
      </c>
      <c r="D5617" s="7" t="s">
        <v>12828</v>
      </c>
      <c r="E5617" s="8" t="str">
        <f>HYPERLINK("http://twitter.com/download/android","Twitter for Android")</f>
        <v>Twitter for Android</v>
      </c>
      <c r="F5617" s="4">
        <v>42637.78707175926</v>
      </c>
      <c r="G5617" s="24" t="s">
        <v>13000</v>
      </c>
      <c r="H5617" s="35" t="s">
        <v>7951</v>
      </c>
      <c r="I5617" s="10" t="s">
        <v>7952</v>
      </c>
    </row>
    <row r="5618" spans="1:9" s="33" customFormat="1" ht="120">
      <c r="A5618" s="4">
        <v>43557.367349537039</v>
      </c>
      <c r="B5618" s="5" t="str">
        <f>HYPERLINK("https://twitter.com/LupineVillage","@LupineVillage")</f>
        <v>@LupineVillage</v>
      </c>
      <c r="C5618" s="6" t="s">
        <v>7950</v>
      </c>
      <c r="D5618" s="7" t="s">
        <v>12829</v>
      </c>
      <c r="E5618" s="8" t="str">
        <f>HYPERLINK("http://twitter.com/download/android","Twitter for Android")</f>
        <v>Twitter for Android</v>
      </c>
      <c r="F5618" s="4">
        <v>42637.78707175926</v>
      </c>
      <c r="G5618" s="24" t="s">
        <v>13000</v>
      </c>
      <c r="H5618" s="35" t="s">
        <v>7951</v>
      </c>
      <c r="I5618" s="10" t="s">
        <v>7952</v>
      </c>
    </row>
    <row r="5619" spans="1:9" s="33" customFormat="1" ht="75">
      <c r="A5619" s="19">
        <v>43548.717442129629</v>
      </c>
      <c r="B5619" s="20" t="str">
        <f>HYPERLINK("https://twitter.com/Nellielabellgm1","@Nellielabellgm1")</f>
        <v>@Nellielabellgm1</v>
      </c>
      <c r="C5619" s="21" t="s">
        <v>8235</v>
      </c>
      <c r="D5619" s="22" t="s">
        <v>12854</v>
      </c>
      <c r="E5619" s="23" t="str">
        <f>HYPERLINK("http://twitter.com/download/android","Twitter for Android")</f>
        <v>Twitter for Android</v>
      </c>
      <c r="F5619" s="19">
        <v>43114.792141203703</v>
      </c>
      <c r="G5619" s="24" t="s">
        <v>13000</v>
      </c>
      <c r="H5619" s="35" t="s">
        <v>8236</v>
      </c>
      <c r="I5619" s="25" t="s">
        <v>8237</v>
      </c>
    </row>
    <row r="5620" spans="1:9" s="33" customFormat="1" ht="45">
      <c r="A5620" s="12">
        <v>43575.920381944445</v>
      </c>
      <c r="B5620" s="13" t="str">
        <f t="shared" ref="B5620:B5625" si="209">HYPERLINK("https://twitter.com/JulianaLoBiondo","@JulianaLoBiondo")</f>
        <v>@JulianaLoBiondo</v>
      </c>
      <c r="C5620" s="14" t="s">
        <v>2101</v>
      </c>
      <c r="D5620" s="15" t="s">
        <v>12857</v>
      </c>
      <c r="E5620" s="16" t="str">
        <f>HYPERLINK("http://twitter.com/download/iphone","Twitter for iPhone")</f>
        <v>Twitter for iPhone</v>
      </c>
      <c r="F5620" s="12">
        <v>41282.859317129631</v>
      </c>
      <c r="G5620" s="24" t="s">
        <v>13000</v>
      </c>
      <c r="H5620" s="35" t="s">
        <v>2102</v>
      </c>
      <c r="I5620" s="18" t="s">
        <v>2103</v>
      </c>
    </row>
    <row r="5621" spans="1:9" s="33" customFormat="1" ht="30">
      <c r="A5621" s="12">
        <v>43575.560624999998</v>
      </c>
      <c r="B5621" s="13" t="str">
        <f t="shared" si="209"/>
        <v>@JulianaLoBiondo</v>
      </c>
      <c r="C5621" s="14" t="s">
        <v>2101</v>
      </c>
      <c r="D5621" s="15" t="s">
        <v>12858</v>
      </c>
      <c r="E5621" s="16" t="str">
        <f>HYPERLINK("http://twitter.com/download/iphone","Twitter for iPhone")</f>
        <v>Twitter for iPhone</v>
      </c>
      <c r="F5621" s="12">
        <v>41282.859317129631</v>
      </c>
      <c r="G5621" s="24" t="s">
        <v>13000</v>
      </c>
      <c r="H5621" s="35" t="s">
        <v>2102</v>
      </c>
      <c r="I5621" s="18" t="s">
        <v>2103</v>
      </c>
    </row>
    <row r="5622" spans="1:9" s="33" customFormat="1" ht="60">
      <c r="A5622" s="12">
        <v>43575.559178240743</v>
      </c>
      <c r="B5622" s="13" t="str">
        <f t="shared" si="209"/>
        <v>@JulianaLoBiondo</v>
      </c>
      <c r="C5622" s="14" t="s">
        <v>2101</v>
      </c>
      <c r="D5622" s="15" t="s">
        <v>12859</v>
      </c>
      <c r="E5622" s="16" t="str">
        <f>HYPERLINK("http://instagram.com","Instagram")</f>
        <v>Instagram</v>
      </c>
      <c r="F5622" s="12">
        <v>41282.859317129631</v>
      </c>
      <c r="G5622" s="24" t="s">
        <v>13000</v>
      </c>
      <c r="H5622" s="35" t="s">
        <v>2102</v>
      </c>
      <c r="I5622" s="18" t="s">
        <v>2103</v>
      </c>
    </row>
    <row r="5623" spans="1:9" s="33" customFormat="1" ht="45">
      <c r="A5623" s="12">
        <v>43574.81962962963</v>
      </c>
      <c r="B5623" s="13" t="str">
        <f t="shared" si="209"/>
        <v>@JulianaLoBiondo</v>
      </c>
      <c r="C5623" s="14" t="s">
        <v>2101</v>
      </c>
      <c r="D5623" s="15" t="s">
        <v>12860</v>
      </c>
      <c r="E5623" s="16" t="str">
        <f>HYPERLINK("http://twitter.com/download/iphone","Twitter for iPhone")</f>
        <v>Twitter for iPhone</v>
      </c>
      <c r="F5623" s="12">
        <v>41282.859317129631</v>
      </c>
      <c r="G5623" s="24" t="s">
        <v>13000</v>
      </c>
      <c r="H5623" s="35" t="s">
        <v>2102</v>
      </c>
      <c r="I5623" s="18" t="s">
        <v>2103</v>
      </c>
    </row>
    <row r="5624" spans="1:9" s="33" customFormat="1" ht="105">
      <c r="A5624" s="12">
        <v>43574.281597222223</v>
      </c>
      <c r="B5624" s="13" t="str">
        <f t="shared" si="209"/>
        <v>@JulianaLoBiondo</v>
      </c>
      <c r="C5624" s="14" t="s">
        <v>2101</v>
      </c>
      <c r="D5624" s="15" t="s">
        <v>12861</v>
      </c>
      <c r="E5624" s="16" t="str">
        <f>HYPERLINK("http://twitter.com/download/iphone","Twitter for iPhone")</f>
        <v>Twitter for iPhone</v>
      </c>
      <c r="F5624" s="12">
        <v>41282.859317129631</v>
      </c>
      <c r="G5624" s="24" t="s">
        <v>13000</v>
      </c>
      <c r="H5624" s="35" t="s">
        <v>2102</v>
      </c>
      <c r="I5624" s="18" t="s">
        <v>2103</v>
      </c>
    </row>
    <row r="5625" spans="1:9" s="33" customFormat="1" ht="45">
      <c r="A5625" s="12">
        <v>43573.839120370365</v>
      </c>
      <c r="B5625" s="13" t="str">
        <f t="shared" si="209"/>
        <v>@JulianaLoBiondo</v>
      </c>
      <c r="C5625" s="14" t="s">
        <v>2101</v>
      </c>
      <c r="D5625" s="15" t="s">
        <v>12862</v>
      </c>
      <c r="E5625" s="16" t="str">
        <f>HYPERLINK("http://twitter.com/download/iphone","Twitter for iPhone")</f>
        <v>Twitter for iPhone</v>
      </c>
      <c r="F5625" s="12">
        <v>41282.859317129631</v>
      </c>
      <c r="G5625" s="24" t="s">
        <v>13000</v>
      </c>
      <c r="H5625" s="35" t="s">
        <v>2102</v>
      </c>
      <c r="I5625" s="18" t="s">
        <v>2103</v>
      </c>
    </row>
    <row r="5626" spans="1:9" s="33" customFormat="1" ht="45">
      <c r="A5626" s="19">
        <v>43547.426539351851</v>
      </c>
      <c r="B5626" s="20" t="str">
        <f>HYPERLINK("https://twitter.com/AGoodMansWife","@AGoodMansWife")</f>
        <v>@AGoodMansWife</v>
      </c>
      <c r="C5626" s="21" t="s">
        <v>8552</v>
      </c>
      <c r="D5626" s="22" t="s">
        <v>8553</v>
      </c>
      <c r="E5626" s="23" t="str">
        <f>HYPERLINK("http://instagram.com","Instagram")</f>
        <v>Instagram</v>
      </c>
      <c r="F5626" s="19">
        <v>40711.428310185183</v>
      </c>
      <c r="G5626" s="24" t="s">
        <v>13000</v>
      </c>
      <c r="H5626" s="35" t="s">
        <v>2320</v>
      </c>
      <c r="I5626" s="25" t="s">
        <v>8554</v>
      </c>
    </row>
    <row r="5627" spans="1:9" s="33" customFormat="1" ht="105">
      <c r="A5627" s="19">
        <v>43546.760011574079</v>
      </c>
      <c r="B5627" s="20" t="str">
        <f>HYPERLINK("https://twitter.com/MultiCareerGirl","@MultiCareerGirl")</f>
        <v>@MultiCareerGirl</v>
      </c>
      <c r="C5627" s="21" t="s">
        <v>8738</v>
      </c>
      <c r="D5627" s="22" t="s">
        <v>8739</v>
      </c>
      <c r="E5627" s="23" t="str">
        <f>HYPERLINK("http://twitter.com","Twitter Web Client")</f>
        <v>Twitter Web Client</v>
      </c>
      <c r="F5627" s="19">
        <v>42946.399918981479</v>
      </c>
      <c r="G5627" s="24" t="s">
        <v>13000</v>
      </c>
      <c r="H5627" s="35" t="s">
        <v>2320</v>
      </c>
      <c r="I5627" s="25" t="s">
        <v>8740</v>
      </c>
    </row>
    <row r="5628" spans="1:9" s="33" customFormat="1" ht="90">
      <c r="A5628" s="19">
        <v>43545.364652777775</v>
      </c>
      <c r="B5628" s="20" t="str">
        <f>HYPERLINK("https://twitter.com/AltexSoft","@AltexSoft")</f>
        <v>@AltexSoft</v>
      </c>
      <c r="C5628" s="21" t="s">
        <v>9170</v>
      </c>
      <c r="D5628" s="22" t="s">
        <v>9171</v>
      </c>
      <c r="E5628" s="23" t="str">
        <f>HYPERLINK("https://buffer.com","Buffer")</f>
        <v>Buffer</v>
      </c>
      <c r="F5628" s="19">
        <v>42104.101273148146</v>
      </c>
      <c r="G5628" s="24" t="s">
        <v>13000</v>
      </c>
      <c r="H5628" s="35" t="s">
        <v>2320</v>
      </c>
      <c r="I5628" s="25" t="s">
        <v>9172</v>
      </c>
    </row>
    <row r="5629" spans="1:9" s="33" customFormat="1" ht="60">
      <c r="A5629" s="19">
        <v>43543.634282407409</v>
      </c>
      <c r="B5629" s="20" t="str">
        <f>HYPERLINK("https://twitter.com/MultiCareerGirl","@MultiCareerGirl")</f>
        <v>@MultiCareerGirl</v>
      </c>
      <c r="C5629" s="21" t="s">
        <v>8738</v>
      </c>
      <c r="D5629" s="22" t="s">
        <v>9723</v>
      </c>
      <c r="E5629" s="23" t="str">
        <f>HYPERLINK("https://buffer.com","Buffer")</f>
        <v>Buffer</v>
      </c>
      <c r="F5629" s="19">
        <v>42946.399918981479</v>
      </c>
      <c r="G5629" s="24" t="s">
        <v>13000</v>
      </c>
      <c r="H5629" s="35" t="s">
        <v>2320</v>
      </c>
      <c r="I5629" s="25" t="s">
        <v>8740</v>
      </c>
    </row>
    <row r="5630" spans="1:9" s="33" customFormat="1" ht="45">
      <c r="A5630" s="4">
        <v>43565.408356481479</v>
      </c>
      <c r="B5630" s="5" t="str">
        <f>HYPERLINK("https://twitter.com/DirigoPost","@DirigoPost")</f>
        <v>@DirigoPost</v>
      </c>
      <c r="C5630" s="6" t="s">
        <v>6107</v>
      </c>
      <c r="D5630" s="7" t="s">
        <v>6108</v>
      </c>
      <c r="E5630" s="8" t="str">
        <f>HYPERLINK("http://twitter.com/#!/download/ipad","Twitter for iPad")</f>
        <v>Twitter for iPad</v>
      </c>
      <c r="F5630" s="4">
        <v>42945.475428240738</v>
      </c>
      <c r="G5630" s="24" t="s">
        <v>13000</v>
      </c>
      <c r="H5630" s="35" t="s">
        <v>2320</v>
      </c>
      <c r="I5630" s="10" t="s">
        <v>6109</v>
      </c>
    </row>
    <row r="5631" spans="1:9" s="33" customFormat="1" ht="45">
      <c r="A5631" s="4">
        <v>43562.107430555552</v>
      </c>
      <c r="B5631" s="5" t="str">
        <f>HYPERLINK("https://twitter.com/BorisPaloma","@BorisPaloma")</f>
        <v>@BorisPaloma</v>
      </c>
      <c r="C5631" s="6" t="s">
        <v>10748</v>
      </c>
      <c r="D5631" s="7" t="s">
        <v>10749</v>
      </c>
      <c r="E5631" s="8" t="str">
        <f>HYPERLINK("http://twitter.com/download/iphone","Twitter for iPhone")</f>
        <v>Twitter for iPhone</v>
      </c>
      <c r="F5631" s="4">
        <v>40995.494756944448</v>
      </c>
      <c r="G5631" s="24" t="s">
        <v>13000</v>
      </c>
      <c r="H5631" s="35" t="s">
        <v>2320</v>
      </c>
      <c r="I5631" s="10" t="s">
        <v>10750</v>
      </c>
    </row>
    <row r="5632" spans="1:9" s="33" customFormat="1" ht="75">
      <c r="A5632" s="4">
        <v>43560.848217592589</v>
      </c>
      <c r="B5632" s="5" t="str">
        <f>HYPERLINK("https://twitter.com/Go2WebMarketing","@Go2WebMarketing")</f>
        <v>@Go2WebMarketing</v>
      </c>
      <c r="C5632" s="6" t="s">
        <v>11146</v>
      </c>
      <c r="D5632" s="7" t="s">
        <v>11147</v>
      </c>
      <c r="E5632" s="8" t="str">
        <f>HYPERLINK("http://twitter.com/download/android","Twitter for Android")</f>
        <v>Twitter for Android</v>
      </c>
      <c r="F5632" s="4">
        <v>40051.881192129629</v>
      </c>
      <c r="G5632" s="24" t="s">
        <v>13000</v>
      </c>
      <c r="H5632" s="35" t="s">
        <v>2320</v>
      </c>
      <c r="I5632" s="10" t="s">
        <v>11148</v>
      </c>
    </row>
    <row r="5633" spans="1:9" s="33" customFormat="1" ht="45">
      <c r="A5633" s="4">
        <v>43560.319895833338</v>
      </c>
      <c r="B5633" s="5" t="str">
        <f>HYPERLINK("https://twitter.com/BorisPaloma","@BorisPaloma")</f>
        <v>@BorisPaloma</v>
      </c>
      <c r="C5633" s="6" t="s">
        <v>10748</v>
      </c>
      <c r="D5633" s="7" t="s">
        <v>11450</v>
      </c>
      <c r="E5633" s="8" t="str">
        <f>HYPERLINK("http://twitter.com/download/iphone","Twitter for iPhone")</f>
        <v>Twitter for iPhone</v>
      </c>
      <c r="F5633" s="4">
        <v>40995.494756944448</v>
      </c>
      <c r="G5633" s="24" t="s">
        <v>13000</v>
      </c>
      <c r="H5633" s="35" t="s">
        <v>2320</v>
      </c>
      <c r="I5633" s="10" t="s">
        <v>10750</v>
      </c>
    </row>
    <row r="5634" spans="1:9" s="33" customFormat="1" ht="75">
      <c r="A5634" s="12">
        <v>43575.275902777779</v>
      </c>
      <c r="B5634" s="13" t="str">
        <f>HYPERLINK("https://twitter.com/smsold","@smsold")</f>
        <v>@smsold</v>
      </c>
      <c r="C5634" s="14" t="s">
        <v>2318</v>
      </c>
      <c r="D5634" s="15" t="s">
        <v>2319</v>
      </c>
      <c r="E5634" s="16" t="str">
        <f>HYPERLINK("http://twitter.com/#!/download/ipad","Twitter for iPad")</f>
        <v>Twitter for iPad</v>
      </c>
      <c r="F5634" s="12">
        <v>39905.631215277775</v>
      </c>
      <c r="G5634" s="24" t="s">
        <v>13000</v>
      </c>
      <c r="H5634" s="35" t="s">
        <v>2320</v>
      </c>
      <c r="I5634" s="18" t="s">
        <v>2321</v>
      </c>
    </row>
    <row r="5635" spans="1:9" s="33" customFormat="1" ht="60">
      <c r="A5635" s="12">
        <v>43573.238888888889</v>
      </c>
      <c r="B5635" s="13" t="str">
        <f>HYPERLINK("https://twitter.com/ClaytonReid","@ClaytonReid")</f>
        <v>@ClaytonReid</v>
      </c>
      <c r="C5635" s="14" t="s">
        <v>2960</v>
      </c>
      <c r="D5635" s="15" t="s">
        <v>2961</v>
      </c>
      <c r="E5635" s="16" t="str">
        <f>HYPERLINK("http://twitter.com","Twitter Web Client")</f>
        <v>Twitter Web Client</v>
      </c>
      <c r="F5635" s="12">
        <v>39856.60732638889</v>
      </c>
      <c r="G5635" s="24" t="s">
        <v>13000</v>
      </c>
      <c r="H5635" s="35" t="s">
        <v>2320</v>
      </c>
      <c r="I5635" s="18" t="s">
        <v>2962</v>
      </c>
    </row>
    <row r="5636" spans="1:9" s="33" customFormat="1" ht="45">
      <c r="A5636" s="12">
        <v>43571.064733796295</v>
      </c>
      <c r="B5636" s="13" t="str">
        <f>HYPERLINK("https://twitter.com/IoENews","@IoENews")</f>
        <v>@IoENews</v>
      </c>
      <c r="C5636" s="14" t="s">
        <v>3865</v>
      </c>
      <c r="D5636" s="15" t="s">
        <v>3866</v>
      </c>
      <c r="E5636" s="16" t="str">
        <f>HYPERLINK("http://twitter.com","Twitter Web Client")</f>
        <v>Twitter Web Client</v>
      </c>
      <c r="F5636" s="12">
        <v>42163.495104166665</v>
      </c>
      <c r="G5636" s="24" t="s">
        <v>13000</v>
      </c>
      <c r="H5636" s="35" t="s">
        <v>2320</v>
      </c>
      <c r="I5636" s="18" t="s">
        <v>3867</v>
      </c>
    </row>
    <row r="5637" spans="1:9" s="33" customFormat="1" ht="105">
      <c r="A5637" s="12">
        <v>43569.108472222222</v>
      </c>
      <c r="B5637" s="13" t="str">
        <f>HYPERLINK("https://twitter.com/karangoenka2","@karangoenka2")</f>
        <v>@karangoenka2</v>
      </c>
      <c r="C5637" s="14" t="s">
        <v>4598</v>
      </c>
      <c r="D5637" s="15" t="s">
        <v>4599</v>
      </c>
      <c r="E5637" s="16" t="str">
        <f>HYPERLINK("http://twitter.com/download/iphone","Twitter for iPhone")</f>
        <v>Twitter for iPhone</v>
      </c>
      <c r="F5637" s="12">
        <v>40972.100636574076</v>
      </c>
      <c r="G5637" s="24" t="s">
        <v>13000</v>
      </c>
      <c r="H5637" s="35" t="s">
        <v>2320</v>
      </c>
      <c r="I5637" s="18" t="s">
        <v>4600</v>
      </c>
    </row>
    <row r="5638" spans="1:9" s="33" customFormat="1" ht="120">
      <c r="A5638" s="4">
        <v>43562.774201388893</v>
      </c>
      <c r="B5638" s="5" t="str">
        <f>HYPERLINK("https://twitter.com/travelingtck","@travelingtck")</f>
        <v>@travelingtck</v>
      </c>
      <c r="C5638" s="6" t="s">
        <v>10589</v>
      </c>
      <c r="D5638" s="7" t="s">
        <v>10590</v>
      </c>
      <c r="E5638" s="8" t="str">
        <f>HYPERLINK("https://mobile.twitter.com","Twitter Web App")</f>
        <v>Twitter Web App</v>
      </c>
      <c r="F5638" s="4">
        <v>41644.290277777778</v>
      </c>
      <c r="G5638" s="24" t="s">
        <v>13000</v>
      </c>
      <c r="H5638" s="35" t="s">
        <v>10591</v>
      </c>
      <c r="I5638" s="10" t="s">
        <v>10592</v>
      </c>
    </row>
    <row r="5639" spans="1:9" s="33" customFormat="1" ht="30">
      <c r="A5639" s="4">
        <v>43557.432974537034</v>
      </c>
      <c r="B5639" s="5" t="str">
        <f>HYPERLINK("https://twitter.com/usacustomers","@usacustomers")</f>
        <v>@usacustomers</v>
      </c>
      <c r="C5639" s="6" t="s">
        <v>12514</v>
      </c>
      <c r="D5639" s="7" t="s">
        <v>12515</v>
      </c>
      <c r="E5639" s="8" t="str">
        <f>HYPERLINK("http://publicize.wp.com/","WordPress.com")</f>
        <v>WordPress.com</v>
      </c>
      <c r="F5639" s="4">
        <v>41590.443865740745</v>
      </c>
      <c r="G5639" s="24" t="s">
        <v>13000</v>
      </c>
      <c r="H5639" s="35" t="s">
        <v>12516</v>
      </c>
      <c r="I5639" s="10" t="s">
        <v>12517</v>
      </c>
    </row>
    <row r="5640" spans="1:9" s="33" customFormat="1" ht="30">
      <c r="A5640" s="4">
        <v>43557.424166666664</v>
      </c>
      <c r="B5640" s="5" t="str">
        <f>HYPERLINK("https://twitter.com/usacustomers","@usacustomers")</f>
        <v>@usacustomers</v>
      </c>
      <c r="C5640" s="6" t="s">
        <v>12514</v>
      </c>
      <c r="D5640" s="7" t="s">
        <v>12518</v>
      </c>
      <c r="E5640" s="8" t="str">
        <f>HYPERLINK("http://publicize.wp.com/","WordPress.com")</f>
        <v>WordPress.com</v>
      </c>
      <c r="F5640" s="4">
        <v>41590.443865740745</v>
      </c>
      <c r="G5640" s="24" t="s">
        <v>13000</v>
      </c>
      <c r="H5640" s="35" t="s">
        <v>12516</v>
      </c>
      <c r="I5640" s="10" t="s">
        <v>12517</v>
      </c>
    </row>
    <row r="5641" spans="1:9" s="33" customFormat="1" ht="75">
      <c r="A5641" s="19">
        <v>43544.784432870365</v>
      </c>
      <c r="B5641" s="20" t="str">
        <f>HYPERLINK("https://twitter.com/cgershonrn","@cgershonrn")</f>
        <v>@cgershonrn</v>
      </c>
      <c r="C5641" s="21" t="s">
        <v>9333</v>
      </c>
      <c r="D5641" s="22" t="s">
        <v>9334</v>
      </c>
      <c r="E5641" s="23" t="str">
        <f>HYPERLINK("http://instagram.com","Instagram")</f>
        <v>Instagram</v>
      </c>
      <c r="F5641" s="19">
        <v>41522.442395833335</v>
      </c>
      <c r="G5641" s="24" t="s">
        <v>13000</v>
      </c>
      <c r="H5641" s="35" t="s">
        <v>9335</v>
      </c>
      <c r="I5641" s="25" t="s">
        <v>9336</v>
      </c>
    </row>
    <row r="5642" spans="1:9" s="33" customFormat="1" ht="45">
      <c r="A5642" s="19">
        <v>43542.494629629626</v>
      </c>
      <c r="B5642" s="20" t="str">
        <f>HYPERLINK("https://twitter.com/LAinFlight","@LAinFlight")</f>
        <v>@LAinFlight</v>
      </c>
      <c r="C5642" s="21" t="s">
        <v>10134</v>
      </c>
      <c r="D5642" s="22" t="s">
        <v>10135</v>
      </c>
      <c r="E5642" s="23" t="str">
        <f>HYPERLINK("http://twitter.com","Twitter Web Client")</f>
        <v>Twitter Web Client</v>
      </c>
      <c r="F5642" s="19">
        <v>39876.015150462961</v>
      </c>
      <c r="G5642" s="24" t="s">
        <v>13000</v>
      </c>
      <c r="H5642" s="35" t="s">
        <v>10136</v>
      </c>
      <c r="I5642" s="25" t="s">
        <v>10137</v>
      </c>
    </row>
    <row r="5643" spans="1:9" s="33" customFormat="1" ht="75">
      <c r="A5643" s="19">
        <v>43550.500763888893</v>
      </c>
      <c r="B5643" s="20" t="str">
        <f>HYPERLINK("https://twitter.com/tigerladies","@tigerladies")</f>
        <v>@tigerladies</v>
      </c>
      <c r="C5643" s="21" t="s">
        <v>7637</v>
      </c>
      <c r="D5643" s="22" t="s">
        <v>7638</v>
      </c>
      <c r="E5643" s="23" t="str">
        <f>HYPERLINK("http://www.facebook.com/twitter","Facebook")</f>
        <v>Facebook</v>
      </c>
      <c r="F5643" s="19">
        <v>40442.675636574073</v>
      </c>
      <c r="G5643" s="17" t="s">
        <v>13000</v>
      </c>
      <c r="H5643" s="35" t="s">
        <v>2581</v>
      </c>
      <c r="I5643" s="25" t="s">
        <v>7639</v>
      </c>
    </row>
    <row r="5644" spans="1:9" s="33" customFormat="1" ht="75">
      <c r="A5644" s="19">
        <v>43546.708622685182</v>
      </c>
      <c r="B5644" s="20" t="str">
        <f>HYPERLINK("https://twitter.com/tigerladies","@tigerladies")</f>
        <v>@tigerladies</v>
      </c>
      <c r="C5644" s="21" t="s">
        <v>7637</v>
      </c>
      <c r="D5644" s="22" t="s">
        <v>7638</v>
      </c>
      <c r="E5644" s="23" t="str">
        <f>HYPERLINK("https://buffer.com","Buffer")</f>
        <v>Buffer</v>
      </c>
      <c r="F5644" s="19">
        <v>40442.675636574073</v>
      </c>
      <c r="G5644" s="17" t="s">
        <v>13000</v>
      </c>
      <c r="H5644" s="35" t="s">
        <v>2581</v>
      </c>
      <c r="I5644" s="25" t="s">
        <v>7639</v>
      </c>
    </row>
    <row r="5645" spans="1:9" s="33" customFormat="1" ht="45">
      <c r="A5645" s="12">
        <v>43574.355023148149</v>
      </c>
      <c r="B5645" s="13" t="str">
        <f>HYPERLINK("https://twitter.com/sherde01","@sherde01")</f>
        <v>@sherde01</v>
      </c>
      <c r="C5645" s="14" t="s">
        <v>2580</v>
      </c>
      <c r="D5645" s="15" t="s">
        <v>1890</v>
      </c>
      <c r="E5645" s="16" t="str">
        <f>HYPERLINK("https://www.circlepix.com/","Circlepix")</f>
        <v>Circlepix</v>
      </c>
      <c r="F5645" s="12">
        <v>40771.345092592594</v>
      </c>
      <c r="G5645" s="17" t="s">
        <v>13000</v>
      </c>
      <c r="H5645" s="35" t="s">
        <v>2581</v>
      </c>
      <c r="I5645" s="18" t="s">
        <v>2582</v>
      </c>
    </row>
    <row r="5646" spans="1:9" s="33" customFormat="1" ht="90">
      <c r="A5646" s="12">
        <v>43573.575115740736</v>
      </c>
      <c r="B5646" s="13" t="str">
        <f>HYPERLINK("https://twitter.com/IrisisRadtastic","@IrisisRadtastic")</f>
        <v>@IrisisRadtastic</v>
      </c>
      <c r="C5646" s="14" t="s">
        <v>2812</v>
      </c>
      <c r="D5646" s="15" t="s">
        <v>2813</v>
      </c>
      <c r="E5646" s="16" t="str">
        <f>HYPERLINK("http://twitter.com","Twitter Web Client")</f>
        <v>Twitter Web Client</v>
      </c>
      <c r="F5646" s="12">
        <v>40289.276342592595</v>
      </c>
      <c r="G5646" s="17" t="s">
        <v>13000</v>
      </c>
      <c r="H5646" s="35" t="s">
        <v>2581</v>
      </c>
      <c r="I5646" s="18" t="s">
        <v>2814</v>
      </c>
    </row>
    <row r="5647" spans="1:9" s="33" customFormat="1" ht="75">
      <c r="A5647" s="19">
        <v>43550.267094907409</v>
      </c>
      <c r="B5647" s="20" t="str">
        <f>HYPERLINK("https://twitter.com/Brainvire","@Brainvire")</f>
        <v>@Brainvire</v>
      </c>
      <c r="C5647" s="21" t="s">
        <v>7754</v>
      </c>
      <c r="D5647" s="22" t="s">
        <v>7755</v>
      </c>
      <c r="E5647" s="23" t="str">
        <f>HYPERLINK("https://panel.socialpilot.co/","SocialPilot.co")</f>
        <v>SocialPilot.co</v>
      </c>
      <c r="F5647" s="19">
        <v>41366.139120370368</v>
      </c>
      <c r="G5647" s="17" t="s">
        <v>13000</v>
      </c>
      <c r="H5647" s="35" t="s">
        <v>6675</v>
      </c>
      <c r="I5647" s="25" t="s">
        <v>7756</v>
      </c>
    </row>
    <row r="5648" spans="1:9" s="33" customFormat="1" ht="75">
      <c r="A5648" s="4">
        <v>43564.341851851852</v>
      </c>
      <c r="B5648" s="5" t="str">
        <f>HYPERLINK("https://twitter.com/rchansen80","@rchansen80")</f>
        <v>@rchansen80</v>
      </c>
      <c r="C5648" s="6" t="s">
        <v>6673</v>
      </c>
      <c r="D5648" s="7" t="s">
        <v>6674</v>
      </c>
      <c r="E5648" s="8" t="str">
        <f>HYPERLINK("http://twitter.com","Twitter Web Client")</f>
        <v>Twitter Web Client</v>
      </c>
      <c r="F5648" s="4">
        <v>42621.537986111114</v>
      </c>
      <c r="G5648" s="17" t="s">
        <v>13000</v>
      </c>
      <c r="H5648" s="35" t="s">
        <v>6675</v>
      </c>
      <c r="I5648" s="10" t="s">
        <v>6676</v>
      </c>
    </row>
    <row r="5649" spans="1:9" s="33" customFormat="1" ht="75">
      <c r="A5649" s="4">
        <v>43564.190011574072</v>
      </c>
      <c r="B5649" s="5" t="str">
        <f>HYPERLINK("https://twitter.com/Supercords","@Supercords")</f>
        <v>@Supercords</v>
      </c>
      <c r="C5649" s="6" t="s">
        <v>6742</v>
      </c>
      <c r="D5649" s="7" t="s">
        <v>6743</v>
      </c>
      <c r="E5649" s="8" t="str">
        <f>HYPERLINK("http://twitter.com/download/android","Twitter for Android")</f>
        <v>Twitter for Android</v>
      </c>
      <c r="F5649" s="4">
        <v>40520.437349537038</v>
      </c>
      <c r="G5649" s="17" t="s">
        <v>13000</v>
      </c>
      <c r="H5649" s="35" t="s">
        <v>6675</v>
      </c>
      <c r="I5649" s="10" t="s">
        <v>6744</v>
      </c>
    </row>
    <row r="5650" spans="1:9" s="33" customFormat="1" ht="30">
      <c r="A5650" s="4">
        <v>43560.150277777779</v>
      </c>
      <c r="B5650" s="5" t="str">
        <f>HYPERLINK("https://twitter.com/RickyV28103617","@RickyV28103617")</f>
        <v>@RickyV28103617</v>
      </c>
      <c r="C5650" s="6" t="s">
        <v>11590</v>
      </c>
      <c r="D5650" s="7" t="s">
        <v>11591</v>
      </c>
      <c r="E5650" s="8" t="str">
        <f>HYPERLINK("http://twitter.com","Twitter Web Client")</f>
        <v>Twitter Web Client</v>
      </c>
      <c r="F5650" s="4">
        <v>43557.747743055559</v>
      </c>
      <c r="G5650" s="17" t="s">
        <v>13000</v>
      </c>
      <c r="H5650" s="35" t="s">
        <v>6675</v>
      </c>
      <c r="I5650" s="10" t="s">
        <v>11592</v>
      </c>
    </row>
    <row r="5651" spans="1:9" s="33" customFormat="1" ht="45">
      <c r="A5651" s="12">
        <v>43579.578692129631</v>
      </c>
      <c r="B5651" s="13" t="str">
        <f>HYPERLINK("https://twitter.com/WhitelawRigging","@WhitelawRigging")</f>
        <v>@WhitelawRigging</v>
      </c>
      <c r="C5651" s="14" t="s">
        <v>564</v>
      </c>
      <c r="D5651" s="15" t="s">
        <v>565</v>
      </c>
      <c r="E5651" s="16" t="str">
        <f>HYPERLINK("http://twitter.com","Twitter Web Client")</f>
        <v>Twitter Web Client</v>
      </c>
      <c r="F5651" s="12">
        <v>43132.502233796295</v>
      </c>
      <c r="G5651" s="17" t="s">
        <v>13000</v>
      </c>
      <c r="H5651" s="35" t="s">
        <v>566</v>
      </c>
      <c r="I5651" s="18" t="s">
        <v>567</v>
      </c>
    </row>
    <row r="5652" spans="1:9" s="33" customFormat="1" ht="105">
      <c r="A5652" s="12">
        <v>43574.944155092591</v>
      </c>
      <c r="B5652" s="13" t="str">
        <f>HYPERLINK("https://twitter.com/8thSonofOsiris","@8thSonofOsiris")</f>
        <v>@8thSonofOsiris</v>
      </c>
      <c r="C5652" s="14" t="s">
        <v>2399</v>
      </c>
      <c r="D5652" s="15" t="s">
        <v>2400</v>
      </c>
      <c r="E5652" s="16" t="str">
        <f>HYPERLINK("http://twitter.com/download/iphone","Twitter for iPhone")</f>
        <v>Twitter for iPhone</v>
      </c>
      <c r="F5652" s="12">
        <v>40519.642685185187</v>
      </c>
      <c r="G5652" s="17" t="s">
        <v>13000</v>
      </c>
      <c r="H5652" s="35" t="s">
        <v>2401</v>
      </c>
      <c r="I5652" s="18" t="s">
        <v>2402</v>
      </c>
    </row>
    <row r="5653" spans="1:9" s="33" customFormat="1" ht="45">
      <c r="A5653" s="4">
        <v>43560.430636574078</v>
      </c>
      <c r="B5653" s="5" t="str">
        <f>HYPERLINK("https://twitter.com/DailyHiveVan","@DailyHiveVan")</f>
        <v>@DailyHiveVan</v>
      </c>
      <c r="C5653" s="6" t="s">
        <v>11377</v>
      </c>
      <c r="D5653" s="7" t="s">
        <v>11363</v>
      </c>
      <c r="E5653" s="8" t="str">
        <f>HYPERLINK("https://www.hootsuite.com","Hootsuite Inc.")</f>
        <v>Hootsuite Inc.</v>
      </c>
      <c r="F5653" s="4">
        <v>39834.647928240738</v>
      </c>
      <c r="G5653" s="17" t="s">
        <v>13000</v>
      </c>
      <c r="H5653" s="35" t="s">
        <v>11378</v>
      </c>
      <c r="I5653" s="10" t="s">
        <v>11379</v>
      </c>
    </row>
    <row r="5654" spans="1:9" s="33" customFormat="1" ht="60">
      <c r="A5654" s="19">
        <v>43542.623414351852</v>
      </c>
      <c r="B5654" s="20" t="str">
        <f>HYPERLINK("https://twitter.com/ctourismcollege","@ctourismcollege")</f>
        <v>@ctourismcollege</v>
      </c>
      <c r="C5654" s="21" t="s">
        <v>10064</v>
      </c>
      <c r="D5654" s="22" t="s">
        <v>10065</v>
      </c>
      <c r="E5654" s="23" t="str">
        <f>HYPERLINK("http://twitter.com","Twitter Web Client")</f>
        <v>Twitter Web Client</v>
      </c>
      <c r="F5654" s="19">
        <v>40651.446030092593</v>
      </c>
      <c r="G5654" s="17" t="s">
        <v>13000</v>
      </c>
      <c r="H5654" s="35" t="s">
        <v>10066</v>
      </c>
      <c r="I5654" s="25" t="s">
        <v>10067</v>
      </c>
    </row>
    <row r="5655" spans="1:9" s="33" customFormat="1" ht="75">
      <c r="A5655" s="19">
        <v>43551.302233796298</v>
      </c>
      <c r="B5655" s="20" t="str">
        <f>HYPERLINK("https://twitter.com/mag_mei","@mag_mei")</f>
        <v>@mag_mei</v>
      </c>
      <c r="C5655" s="21" t="s">
        <v>7322</v>
      </c>
      <c r="D5655" s="22" t="s">
        <v>7323</v>
      </c>
      <c r="E5655" s="23" t="str">
        <f>HYPERLINK("http://instagram.com","Instagram")</f>
        <v>Instagram</v>
      </c>
      <c r="F5655" s="19">
        <v>41483.53633101852</v>
      </c>
      <c r="G5655" s="17" t="s">
        <v>13000</v>
      </c>
      <c r="H5655" s="35" t="s">
        <v>7324</v>
      </c>
      <c r="I5655" s="25" t="s">
        <v>7325</v>
      </c>
    </row>
    <row r="5656" spans="1:9" s="33" customFormat="1" ht="45">
      <c r="A5656" s="12">
        <v>43579.540567129632</v>
      </c>
      <c r="B5656" s="13" t="str">
        <f>HYPERLINK("https://twitter.com/KarlSellsHomes","@KarlSellsHomes")</f>
        <v>@KarlSellsHomes</v>
      </c>
      <c r="C5656" s="14" t="s">
        <v>589</v>
      </c>
      <c r="D5656" s="15" t="s">
        <v>590</v>
      </c>
      <c r="E5656" s="16" t="str">
        <f>HYPERLINK("https://www.circlepix.com/","Circlepix")</f>
        <v>Circlepix</v>
      </c>
      <c r="F5656" s="12">
        <v>41151.617337962962</v>
      </c>
      <c r="G5656" s="17" t="s">
        <v>13000</v>
      </c>
      <c r="H5656" s="35" t="s">
        <v>591</v>
      </c>
      <c r="I5656" s="18" t="s">
        <v>592</v>
      </c>
    </row>
    <row r="5657" spans="1:9" s="33" customFormat="1" ht="45">
      <c r="A5657" s="4">
        <v>43558.507060185184</v>
      </c>
      <c r="B5657" s="5" t="str">
        <f>HYPERLINK("https://twitter.com/iChinadian","@iChinadian")</f>
        <v>@iChinadian</v>
      </c>
      <c r="C5657" s="6" t="s">
        <v>12155</v>
      </c>
      <c r="D5657" s="7" t="s">
        <v>12156</v>
      </c>
      <c r="E5657" s="8" t="str">
        <f>HYPERLINK("http://twitter.com","Twitter Web Client")</f>
        <v>Twitter Web Client</v>
      </c>
      <c r="F5657" s="4">
        <v>40934.607337962967</v>
      </c>
      <c r="G5657" s="17" t="s">
        <v>13000</v>
      </c>
      <c r="H5657" s="35" t="s">
        <v>12157</v>
      </c>
      <c r="I5657" s="10" t="s">
        <v>12158</v>
      </c>
    </row>
    <row r="5658" spans="1:9" s="33" customFormat="1" ht="45">
      <c r="A5658" s="19">
        <v>43544.650567129633</v>
      </c>
      <c r="B5658" s="20" t="str">
        <f>HYPERLINK("https://twitter.com/janeadevine","@janeadevine")</f>
        <v>@janeadevine</v>
      </c>
      <c r="C5658" s="21" t="s">
        <v>474</v>
      </c>
      <c r="D5658" s="22" t="s">
        <v>9381</v>
      </c>
      <c r="E5658" s="23" t="str">
        <f>HYPERLINK("http://twitter.com","Twitter Web Client")</f>
        <v>Twitter Web Client</v>
      </c>
      <c r="F5658" s="19">
        <v>41451.04247685185</v>
      </c>
      <c r="G5658" s="17" t="s">
        <v>13000</v>
      </c>
      <c r="H5658" s="35" t="s">
        <v>475</v>
      </c>
      <c r="I5658" s="25" t="s">
        <v>476</v>
      </c>
    </row>
    <row r="5659" spans="1:9" s="33" customFormat="1" ht="30">
      <c r="A5659" s="12">
        <v>43579.741076388891</v>
      </c>
      <c r="B5659" s="13" t="str">
        <f>HYPERLINK("https://twitter.com/janeadevine","@janeadevine")</f>
        <v>@janeadevine</v>
      </c>
      <c r="C5659" s="14" t="s">
        <v>474</v>
      </c>
      <c r="D5659" s="15" t="s">
        <v>133</v>
      </c>
      <c r="E5659" s="16" t="str">
        <f>HYPERLINK("https://mobile.twitter.com","Twitter Web App")</f>
        <v>Twitter Web App</v>
      </c>
      <c r="F5659" s="12">
        <v>41451.04247685185</v>
      </c>
      <c r="G5659" s="17" t="s">
        <v>13000</v>
      </c>
      <c r="H5659" s="35" t="s">
        <v>475</v>
      </c>
      <c r="I5659" s="18" t="s">
        <v>476</v>
      </c>
    </row>
    <row r="5660" spans="1:9" s="33" customFormat="1" ht="135">
      <c r="A5660" s="12">
        <v>43577.738159722227</v>
      </c>
      <c r="B5660" s="13" t="str">
        <f>HYPERLINK("https://twitter.com/janeadevine","@janeadevine")</f>
        <v>@janeadevine</v>
      </c>
      <c r="C5660" s="14" t="s">
        <v>474</v>
      </c>
      <c r="D5660" s="15" t="s">
        <v>1518</v>
      </c>
      <c r="E5660" s="16" t="str">
        <f>HYPERLINK("http://twitter.com","Twitter Web Client")</f>
        <v>Twitter Web Client</v>
      </c>
      <c r="F5660" s="12">
        <v>41451.04247685185</v>
      </c>
      <c r="G5660" s="17" t="s">
        <v>13000</v>
      </c>
      <c r="H5660" s="35" t="s">
        <v>475</v>
      </c>
      <c r="I5660" s="18" t="s">
        <v>476</v>
      </c>
    </row>
    <row r="5661" spans="1:9" s="33" customFormat="1" ht="75">
      <c r="A5661" s="19">
        <v>43551.301388888889</v>
      </c>
      <c r="B5661" s="20" t="str">
        <f>HYPERLINK("https://twitter.com/writerly_dee","@writerly_dee")</f>
        <v>@writerly_dee</v>
      </c>
      <c r="C5661" s="21" t="s">
        <v>7326</v>
      </c>
      <c r="D5661" s="22" t="s">
        <v>7327</v>
      </c>
      <c r="E5661" s="23" t="str">
        <f>HYPERLINK("https://about.twitter.com/products/tweetdeck","TweetDeck")</f>
        <v>TweetDeck</v>
      </c>
      <c r="F5661" s="19">
        <v>39800.058009259257</v>
      </c>
      <c r="G5661" s="17" t="s">
        <v>13000</v>
      </c>
      <c r="H5661" s="35" t="s">
        <v>7328</v>
      </c>
      <c r="I5661" s="25" t="s">
        <v>7329</v>
      </c>
    </row>
    <row r="5662" spans="1:9" s="33" customFormat="1" ht="75">
      <c r="A5662" s="19">
        <v>43549.343055555553</v>
      </c>
      <c r="B5662" s="20" t="str">
        <f>HYPERLINK("https://twitter.com/writerly_dee","@writerly_dee")</f>
        <v>@writerly_dee</v>
      </c>
      <c r="C5662" s="21" t="s">
        <v>7326</v>
      </c>
      <c r="D5662" s="22" t="s">
        <v>7327</v>
      </c>
      <c r="E5662" s="23" t="str">
        <f>HYPERLINK("https://about.twitter.com/products/tweetdeck","TweetDeck")</f>
        <v>TweetDeck</v>
      </c>
      <c r="F5662" s="19">
        <v>39800.058009259257</v>
      </c>
      <c r="G5662" s="17" t="s">
        <v>13000</v>
      </c>
      <c r="H5662" s="35" t="s">
        <v>7328</v>
      </c>
      <c r="I5662" s="25" t="s">
        <v>7329</v>
      </c>
    </row>
    <row r="5663" spans="1:9" s="33" customFormat="1" ht="75">
      <c r="A5663" s="19">
        <v>43547.301388888889</v>
      </c>
      <c r="B5663" s="20" t="str">
        <f>HYPERLINK("https://twitter.com/writerly_dee","@writerly_dee")</f>
        <v>@writerly_dee</v>
      </c>
      <c r="C5663" s="21" t="s">
        <v>7326</v>
      </c>
      <c r="D5663" s="22" t="s">
        <v>7327</v>
      </c>
      <c r="E5663" s="23" t="str">
        <f>HYPERLINK("https://about.twitter.com/products/tweetdeck","TweetDeck")</f>
        <v>TweetDeck</v>
      </c>
      <c r="F5663" s="19">
        <v>39800.058009259257</v>
      </c>
      <c r="G5663" s="17" t="s">
        <v>13000</v>
      </c>
      <c r="H5663" s="35" t="s">
        <v>7328</v>
      </c>
      <c r="I5663" s="25" t="s">
        <v>7329</v>
      </c>
    </row>
    <row r="5664" spans="1:9" s="33" customFormat="1" ht="105">
      <c r="A5664" s="19">
        <v>43543.625069444446</v>
      </c>
      <c r="B5664" s="20" t="str">
        <f>HYPERLINK("https://twitter.com/mrbestrealty","@mrbestrealty")</f>
        <v>@mrbestrealty</v>
      </c>
      <c r="C5664" s="21" t="s">
        <v>9736</v>
      </c>
      <c r="D5664" s="22" t="s">
        <v>9737</v>
      </c>
      <c r="E5664" s="23" t="str">
        <f>HYPERLINK("http://twitter.com","Twitter Web Client")</f>
        <v>Twitter Web Client</v>
      </c>
      <c r="F5664" s="19">
        <v>40532.524201388893</v>
      </c>
      <c r="G5664" s="17" t="s">
        <v>13000</v>
      </c>
      <c r="H5664" s="35" t="s">
        <v>1141</v>
      </c>
      <c r="I5664" s="25" t="s">
        <v>9738</v>
      </c>
    </row>
    <row r="5665" spans="1:9" s="33" customFormat="1" ht="75">
      <c r="A5665" s="12">
        <v>43578.604247685187</v>
      </c>
      <c r="B5665" s="13" t="str">
        <f>HYPERLINK("https://twitter.com/AJ_The_Actor","@AJ_The_Actor")</f>
        <v>@AJ_The_Actor</v>
      </c>
      <c r="C5665" s="14" t="s">
        <v>1139</v>
      </c>
      <c r="D5665" s="15" t="s">
        <v>1140</v>
      </c>
      <c r="E5665" s="16" t="str">
        <f>HYPERLINK("http://twitter.com/download/android","Twitter for Android")</f>
        <v>Twitter for Android</v>
      </c>
      <c r="F5665" s="12">
        <v>42357.499930555554</v>
      </c>
      <c r="G5665" s="17" t="s">
        <v>13000</v>
      </c>
      <c r="H5665" s="35" t="s">
        <v>1141</v>
      </c>
      <c r="I5665" s="18"/>
    </row>
    <row r="5666" spans="1:9" s="33" customFormat="1" ht="180">
      <c r="A5666" s="19">
        <v>43551.335474537038</v>
      </c>
      <c r="B5666" s="20" t="str">
        <f>HYPERLINK("https://twitter.com/formatnoauto","@formatnoauto")</f>
        <v>@formatnoauto</v>
      </c>
      <c r="C5666" s="21" t="s">
        <v>7304</v>
      </c>
      <c r="D5666" s="22" t="s">
        <v>7305</v>
      </c>
      <c r="E5666" s="23" t="str">
        <f>HYPERLINK("http://twitter.com/download/android","Twitter for Android")</f>
        <v>Twitter for Android</v>
      </c>
      <c r="F5666" s="19">
        <v>40309.637824074074</v>
      </c>
      <c r="G5666" s="17" t="s">
        <v>13000</v>
      </c>
      <c r="H5666" s="35" t="s">
        <v>4783</v>
      </c>
      <c r="I5666" s="25" t="s">
        <v>7306</v>
      </c>
    </row>
    <row r="5667" spans="1:9" s="33" customFormat="1" ht="45">
      <c r="A5667" s="12">
        <v>43568.423391203702</v>
      </c>
      <c r="B5667" s="13" t="str">
        <f>HYPERLINK("https://twitter.com/DebbieGajdosik","@DebbieGajdosik")</f>
        <v>@DebbieGajdosik</v>
      </c>
      <c r="C5667" s="14" t="s">
        <v>4781</v>
      </c>
      <c r="D5667" s="15" t="s">
        <v>4782</v>
      </c>
      <c r="E5667" s="16" t="str">
        <f>HYPERLINK("http://twitter.com","Twitter Web Client")</f>
        <v>Twitter Web Client</v>
      </c>
      <c r="F5667" s="12">
        <v>41660.675428240742</v>
      </c>
      <c r="G5667" s="17" t="s">
        <v>13000</v>
      </c>
      <c r="H5667" s="35" t="s">
        <v>4783</v>
      </c>
      <c r="I5667" s="18" t="s">
        <v>4784</v>
      </c>
    </row>
    <row r="5668" spans="1:9" s="33" customFormat="1" ht="75">
      <c r="A5668" s="19">
        <v>43549.69803240741</v>
      </c>
      <c r="B5668" s="20" t="str">
        <f>HYPERLINK("https://twitter.com/CertiStay1","@CertiStay1")</f>
        <v>@CertiStay1</v>
      </c>
      <c r="C5668" s="21" t="s">
        <v>2142</v>
      </c>
      <c r="D5668" s="22" t="s">
        <v>7941</v>
      </c>
      <c r="E5668" s="23" t="str">
        <f>HYPERLINK("https://www.hootsuite.com","Hootsuite Inc.")</f>
        <v>Hootsuite Inc.</v>
      </c>
      <c r="F5668" s="19">
        <v>42778.606979166667</v>
      </c>
      <c r="G5668" s="17" t="s">
        <v>13000</v>
      </c>
      <c r="H5668" s="35" t="s">
        <v>22</v>
      </c>
      <c r="I5668" s="25" t="s">
        <v>2144</v>
      </c>
    </row>
    <row r="5669" spans="1:9" s="33" customFormat="1" ht="165">
      <c r="A5669" s="19">
        <v>43549.59851851852</v>
      </c>
      <c r="B5669" s="20" t="str">
        <f>HYPERLINK("https://twitter.com/michelle_eliot","@michelle_eliot")</f>
        <v>@michelle_eliot</v>
      </c>
      <c r="C5669" s="21" t="s">
        <v>7971</v>
      </c>
      <c r="D5669" s="22" t="s">
        <v>7972</v>
      </c>
      <c r="E5669" s="23" t="str">
        <f>HYPERLINK("http://twitter.com/download/iphone","Twitter for iPhone")</f>
        <v>Twitter for iPhone</v>
      </c>
      <c r="F5669" s="19">
        <v>40339.504942129628</v>
      </c>
      <c r="G5669" s="17" t="s">
        <v>13000</v>
      </c>
      <c r="H5669" s="35" t="s">
        <v>22</v>
      </c>
      <c r="I5669" s="25" t="s">
        <v>7973</v>
      </c>
    </row>
    <row r="5670" spans="1:9" s="33" customFormat="1" ht="45">
      <c r="A5670" s="19">
        <v>43547.656377314815</v>
      </c>
      <c r="B5670" s="20" t="str">
        <f>HYPERLINK("https://twitter.com/CertiStay1","@CertiStay1")</f>
        <v>@CertiStay1</v>
      </c>
      <c r="C5670" s="21" t="s">
        <v>2142</v>
      </c>
      <c r="D5670" s="22" t="s">
        <v>8489</v>
      </c>
      <c r="E5670" s="23" t="str">
        <f>HYPERLINK("https://www.hootsuite.com","Hootsuite Inc.")</f>
        <v>Hootsuite Inc.</v>
      </c>
      <c r="F5670" s="19">
        <v>42778.606979166667</v>
      </c>
      <c r="G5670" s="17" t="s">
        <v>13000</v>
      </c>
      <c r="H5670" s="35" t="s">
        <v>22</v>
      </c>
      <c r="I5670" s="25" t="s">
        <v>2144</v>
      </c>
    </row>
    <row r="5671" spans="1:9" s="33" customFormat="1" ht="90">
      <c r="A5671" s="19">
        <v>43546.465370370366</v>
      </c>
      <c r="B5671" s="20" t="str">
        <f>HYPERLINK("https://twitter.com/airgms","@airgms")</f>
        <v>@airgms</v>
      </c>
      <c r="C5671" s="21" t="s">
        <v>2543</v>
      </c>
      <c r="D5671" s="22" t="s">
        <v>8838</v>
      </c>
      <c r="E5671" s="23" t="str">
        <f>HYPERLINK("http://www.hubspot.com/","HubSpot")</f>
        <v>HubSpot</v>
      </c>
      <c r="F5671" s="19">
        <v>42711.152118055557</v>
      </c>
      <c r="G5671" s="17" t="s">
        <v>13000</v>
      </c>
      <c r="H5671" s="35" t="s">
        <v>22</v>
      </c>
      <c r="I5671" s="25" t="s">
        <v>2545</v>
      </c>
    </row>
    <row r="5672" spans="1:9" s="33" customFormat="1" ht="75">
      <c r="A5672" s="19">
        <v>43545.463495370372</v>
      </c>
      <c r="B5672" s="20" t="str">
        <f>HYPERLINK("https://twitter.com/airgms","@airgms")</f>
        <v>@airgms</v>
      </c>
      <c r="C5672" s="21" t="s">
        <v>2543</v>
      </c>
      <c r="D5672" s="22" t="s">
        <v>9126</v>
      </c>
      <c r="E5672" s="23" t="str">
        <f>HYPERLINK("http://www.hubspot.com/","HubSpot")</f>
        <v>HubSpot</v>
      </c>
      <c r="F5672" s="19">
        <v>42711.152118055557</v>
      </c>
      <c r="G5672" s="17" t="s">
        <v>13000</v>
      </c>
      <c r="H5672" s="35" t="s">
        <v>22</v>
      </c>
      <c r="I5672" s="25" t="s">
        <v>2545</v>
      </c>
    </row>
    <row r="5673" spans="1:9" s="33" customFormat="1" ht="90">
      <c r="A5673" s="19">
        <v>43543.460092592592</v>
      </c>
      <c r="B5673" s="20" t="str">
        <f>HYPERLINK("https://twitter.com/airgms","@airgms")</f>
        <v>@airgms</v>
      </c>
      <c r="C5673" s="21" t="s">
        <v>2543</v>
      </c>
      <c r="D5673" s="22" t="s">
        <v>9788</v>
      </c>
      <c r="E5673" s="23" t="str">
        <f>HYPERLINK("http://www.hubspot.com/","HubSpot")</f>
        <v>HubSpot</v>
      </c>
      <c r="F5673" s="19">
        <v>42711.152118055557</v>
      </c>
      <c r="G5673" s="17" t="s">
        <v>13000</v>
      </c>
      <c r="H5673" s="35" t="s">
        <v>22</v>
      </c>
      <c r="I5673" s="25" t="s">
        <v>2545</v>
      </c>
    </row>
    <row r="5674" spans="1:9" s="33" customFormat="1" ht="90">
      <c r="A5674" s="19">
        <v>43542.607708333337</v>
      </c>
      <c r="B5674" s="20" t="str">
        <f>HYPERLINK("https://twitter.com/CertiStay1","@CertiStay1")</f>
        <v>@CertiStay1</v>
      </c>
      <c r="C5674" s="21" t="s">
        <v>2142</v>
      </c>
      <c r="D5674" s="22" t="s">
        <v>10076</v>
      </c>
      <c r="E5674" s="23" t="str">
        <f>HYPERLINK("https://www.hootsuite.com","Hootsuite Inc.")</f>
        <v>Hootsuite Inc.</v>
      </c>
      <c r="F5674" s="19">
        <v>42778.606979166667</v>
      </c>
      <c r="G5674" s="17" t="s">
        <v>13000</v>
      </c>
      <c r="H5674" s="35" t="s">
        <v>22</v>
      </c>
      <c r="I5674" s="25" t="s">
        <v>2144</v>
      </c>
    </row>
    <row r="5675" spans="1:9" s="33" customFormat="1" ht="45">
      <c r="A5675" s="4">
        <v>43565.816006944442</v>
      </c>
      <c r="B5675" s="5" t="str">
        <f>HYPERLINK("https://twitter.com/CertiStay1","@CertiStay1")</f>
        <v>@CertiStay1</v>
      </c>
      <c r="C5675" s="6" t="s">
        <v>2142</v>
      </c>
      <c r="D5675" s="7" t="s">
        <v>5889</v>
      </c>
      <c r="E5675" s="8" t="str">
        <f>HYPERLINK("https://www.hootsuite.com","Hootsuite Inc.")</f>
        <v>Hootsuite Inc.</v>
      </c>
      <c r="F5675" s="4">
        <v>42778.606979166667</v>
      </c>
      <c r="G5675" s="17" t="s">
        <v>13000</v>
      </c>
      <c r="H5675" s="35" t="s">
        <v>22</v>
      </c>
      <c r="I5675" s="10" t="s">
        <v>2144</v>
      </c>
    </row>
    <row r="5676" spans="1:9" s="33" customFormat="1" ht="75">
      <c r="A5676" s="4">
        <v>43564.643946759257</v>
      </c>
      <c r="B5676" s="5" t="str">
        <f>HYPERLINK("https://twitter.com/JerryJJJJJJJ","@JerryJJJJJJJ")</f>
        <v>@JerryJJJJJJJ</v>
      </c>
      <c r="C5676" s="6" t="s">
        <v>6474</v>
      </c>
      <c r="D5676" s="7" t="s">
        <v>6475</v>
      </c>
      <c r="E5676" s="8" t="str">
        <f>HYPERLINK("http://twitter.com","Twitter Web Client")</f>
        <v>Twitter Web Client</v>
      </c>
      <c r="F5676" s="4">
        <v>41327.042002314818</v>
      </c>
      <c r="G5676" s="17" t="s">
        <v>13000</v>
      </c>
      <c r="H5676" s="35" t="s">
        <v>22</v>
      </c>
      <c r="I5676" s="10" t="s">
        <v>6476</v>
      </c>
    </row>
    <row r="5677" spans="1:9" s="33" customFormat="1" ht="45">
      <c r="A5677" s="4">
        <v>43564.613356481481</v>
      </c>
      <c r="B5677" s="5" t="str">
        <f>HYPERLINK("https://twitter.com/hinakalam","@hinakalam")</f>
        <v>@hinakalam</v>
      </c>
      <c r="C5677" s="6" t="s">
        <v>6504</v>
      </c>
      <c r="D5677" s="7" t="s">
        <v>6505</v>
      </c>
      <c r="E5677" s="8" t="str">
        <f>HYPERLINK("http://twitter.com/download/iphone","Twitter for iPhone")</f>
        <v>Twitter for iPhone</v>
      </c>
      <c r="F5677" s="4">
        <v>39710.291493055556</v>
      </c>
      <c r="G5677" s="17" t="s">
        <v>13000</v>
      </c>
      <c r="H5677" s="35" t="s">
        <v>22</v>
      </c>
      <c r="I5677" s="10" t="s">
        <v>6507</v>
      </c>
    </row>
    <row r="5678" spans="1:9" s="33" customFormat="1" ht="210">
      <c r="A5678" s="4">
        <v>43564.577881944446</v>
      </c>
      <c r="B5678" s="5" t="str">
        <f>HYPERLINK("https://twitter.com/vanSTRaction","@vanSTRaction")</f>
        <v>@vanSTRaction</v>
      </c>
      <c r="C5678" s="6" t="s">
        <v>20</v>
      </c>
      <c r="D5678" s="7" t="s">
        <v>6544</v>
      </c>
      <c r="E5678" s="8" t="str">
        <f>HYPERLINK("http://twitter.com","Twitter Web Client")</f>
        <v>Twitter Web Client</v>
      </c>
      <c r="F5678" s="4">
        <v>43536.356689814813</v>
      </c>
      <c r="G5678" s="17" t="s">
        <v>13000</v>
      </c>
      <c r="H5678" s="35" t="s">
        <v>22</v>
      </c>
      <c r="I5678" s="10" t="s">
        <v>23</v>
      </c>
    </row>
    <row r="5679" spans="1:9" s="33" customFormat="1" ht="45">
      <c r="A5679" s="4">
        <v>43564.325983796298</v>
      </c>
      <c r="B5679" s="5" t="str">
        <f>HYPERLINK("https://twitter.com/yarostarak","@yarostarak")</f>
        <v>@yarostarak</v>
      </c>
      <c r="C5679" s="6" t="s">
        <v>6678</v>
      </c>
      <c r="D5679" s="7" t="s">
        <v>6679</v>
      </c>
      <c r="E5679" s="8" t="str">
        <f>HYPERLINK("http://instagram.com","Instagram")</f>
        <v>Instagram</v>
      </c>
      <c r="F5679" s="4">
        <v>39472.184733796297</v>
      </c>
      <c r="G5679" s="17" t="s">
        <v>13000</v>
      </c>
      <c r="H5679" s="35" t="s">
        <v>22</v>
      </c>
      <c r="I5679" s="10" t="s">
        <v>6680</v>
      </c>
    </row>
    <row r="5680" spans="1:9" s="33" customFormat="1" ht="75">
      <c r="A5680" s="4">
        <v>43563.374895833331</v>
      </c>
      <c r="B5680" s="5" t="str">
        <f>HYPERLINK("https://twitter.com/vanSTRaction","@vanSTRaction")</f>
        <v>@vanSTRaction</v>
      </c>
      <c r="C5680" s="6" t="s">
        <v>20</v>
      </c>
      <c r="D5680" s="7" t="s">
        <v>10328</v>
      </c>
      <c r="E5680" s="8" t="str">
        <f>HYPERLINK("http://twitter.com","Twitter Web Client")</f>
        <v>Twitter Web Client</v>
      </c>
      <c r="F5680" s="4">
        <v>43536.356689814813</v>
      </c>
      <c r="G5680" s="17" t="s">
        <v>13000</v>
      </c>
      <c r="H5680" s="35" t="s">
        <v>22</v>
      </c>
      <c r="I5680" s="10" t="s">
        <v>23</v>
      </c>
    </row>
    <row r="5681" spans="1:9" s="33" customFormat="1" ht="60">
      <c r="A5681" s="4">
        <v>43561.822962962964</v>
      </c>
      <c r="B5681" s="5" t="str">
        <f>HYPERLINK("https://twitter.com/CertiStay1","@CertiStay1")</f>
        <v>@CertiStay1</v>
      </c>
      <c r="C5681" s="6" t="s">
        <v>2142</v>
      </c>
      <c r="D5681" s="7" t="s">
        <v>10826</v>
      </c>
      <c r="E5681" s="8" t="str">
        <f>HYPERLINK("https://www.hootsuite.com","Hootsuite Inc.")</f>
        <v>Hootsuite Inc.</v>
      </c>
      <c r="F5681" s="4">
        <v>42778.606979166667</v>
      </c>
      <c r="G5681" s="17" t="s">
        <v>13000</v>
      </c>
      <c r="H5681" s="35" t="s">
        <v>22</v>
      </c>
      <c r="I5681" s="10" t="s">
        <v>2144</v>
      </c>
    </row>
    <row r="5682" spans="1:9" s="33" customFormat="1" ht="90">
      <c r="A5682" s="4">
        <v>43560.631585648152</v>
      </c>
      <c r="B5682" s="5" t="str">
        <f>HYPERLINK("https://twitter.com/vanSTRaction","@vanSTRaction")</f>
        <v>@vanSTRaction</v>
      </c>
      <c r="C5682" s="6" t="s">
        <v>20</v>
      </c>
      <c r="D5682" s="7" t="s">
        <v>11236</v>
      </c>
      <c r="E5682" s="8" t="str">
        <f>HYPERLINK("http://twitter.com","Twitter Web Client")</f>
        <v>Twitter Web Client</v>
      </c>
      <c r="F5682" s="4">
        <v>43536.356689814813</v>
      </c>
      <c r="G5682" s="17" t="s">
        <v>13000</v>
      </c>
      <c r="H5682" s="35" t="s">
        <v>22</v>
      </c>
      <c r="I5682" s="10" t="s">
        <v>23</v>
      </c>
    </row>
    <row r="5683" spans="1:9" s="33" customFormat="1" ht="90">
      <c r="A5683" s="4">
        <v>43560.459490740745</v>
      </c>
      <c r="B5683" s="5" t="str">
        <f>HYPERLINK("https://twitter.com/airgms","@airgms")</f>
        <v>@airgms</v>
      </c>
      <c r="C5683" s="6" t="s">
        <v>2543</v>
      </c>
      <c r="D5683" s="7" t="s">
        <v>11358</v>
      </c>
      <c r="E5683" s="8" t="str">
        <f>HYPERLINK("http://www.hubspot.com/","HubSpot")</f>
        <v>HubSpot</v>
      </c>
      <c r="F5683" s="4">
        <v>42711.152118055557</v>
      </c>
      <c r="G5683" s="17" t="s">
        <v>13000</v>
      </c>
      <c r="H5683" s="35" t="s">
        <v>22</v>
      </c>
      <c r="I5683" s="10" t="s">
        <v>2545</v>
      </c>
    </row>
    <row r="5684" spans="1:9" s="33" customFormat="1" ht="60">
      <c r="A5684" s="4">
        <v>43560.448148148149</v>
      </c>
      <c r="B5684" s="5" t="str">
        <f>HYPERLINK("https://twitter.com/CertiStay1","@CertiStay1")</f>
        <v>@CertiStay1</v>
      </c>
      <c r="C5684" s="6" t="s">
        <v>2142</v>
      </c>
      <c r="D5684" s="7" t="s">
        <v>11359</v>
      </c>
      <c r="E5684" s="8" t="str">
        <f>HYPERLINK("https://www.hootsuite.com","Hootsuite Inc.")</f>
        <v>Hootsuite Inc.</v>
      </c>
      <c r="F5684" s="4">
        <v>42778.606979166667</v>
      </c>
      <c r="G5684" s="17" t="s">
        <v>13000</v>
      </c>
      <c r="H5684" s="35" t="s">
        <v>22</v>
      </c>
      <c r="I5684" s="10" t="s">
        <v>2144</v>
      </c>
    </row>
    <row r="5685" spans="1:9" s="33" customFormat="1" ht="90">
      <c r="A5685" s="4">
        <v>43559.678946759261</v>
      </c>
      <c r="B5685" s="5" t="str">
        <f>HYPERLINK("https://twitter.com/vanSTRaction","@vanSTRaction")</f>
        <v>@vanSTRaction</v>
      </c>
      <c r="C5685" s="6" t="s">
        <v>20</v>
      </c>
      <c r="D5685" s="7" t="s">
        <v>11712</v>
      </c>
      <c r="E5685" s="8" t="str">
        <f>HYPERLINK("http://twitter.com","Twitter Web Client")</f>
        <v>Twitter Web Client</v>
      </c>
      <c r="F5685" s="4">
        <v>43536.356689814813</v>
      </c>
      <c r="G5685" s="17" t="s">
        <v>13000</v>
      </c>
      <c r="H5685" s="35" t="s">
        <v>22</v>
      </c>
      <c r="I5685" s="10" t="s">
        <v>23</v>
      </c>
    </row>
    <row r="5686" spans="1:9" s="33" customFormat="1" ht="90">
      <c r="A5686" s="4">
        <v>43558.835983796293</v>
      </c>
      <c r="B5686" s="5" t="str">
        <f>HYPERLINK("https://twitter.com/YaletownGroup","@YaletownGroup")</f>
        <v>@YaletownGroup</v>
      </c>
      <c r="C5686" s="6" t="s">
        <v>12027</v>
      </c>
      <c r="D5686" s="7" t="s">
        <v>12028</v>
      </c>
      <c r="E5686" s="8" t="str">
        <f>HYPERLINK("http://twitter.com/download/iphone","Twitter for iPhone")</f>
        <v>Twitter for iPhone</v>
      </c>
      <c r="F5686" s="4">
        <v>42318.646863425922</v>
      </c>
      <c r="G5686" s="17" t="s">
        <v>13000</v>
      </c>
      <c r="H5686" s="35" t="s">
        <v>22</v>
      </c>
      <c r="I5686" s="10" t="s">
        <v>12029</v>
      </c>
    </row>
    <row r="5687" spans="1:9" s="33" customFormat="1" ht="75">
      <c r="A5687" s="4">
        <v>43558.434363425928</v>
      </c>
      <c r="B5687" s="5" t="str">
        <f>HYPERLINK("https://twitter.com/vanSTRaction","@vanSTRaction")</f>
        <v>@vanSTRaction</v>
      </c>
      <c r="C5687" s="6" t="s">
        <v>20</v>
      </c>
      <c r="D5687" s="7" t="s">
        <v>12191</v>
      </c>
      <c r="E5687" s="8" t="str">
        <f>HYPERLINK("http://twitter.com","Twitter Web Client")</f>
        <v>Twitter Web Client</v>
      </c>
      <c r="F5687" s="4">
        <v>43536.356689814813</v>
      </c>
      <c r="G5687" s="17" t="s">
        <v>13000</v>
      </c>
      <c r="H5687" s="35" t="s">
        <v>22</v>
      </c>
      <c r="I5687" s="10" t="s">
        <v>23</v>
      </c>
    </row>
    <row r="5688" spans="1:9" s="33" customFormat="1" ht="30">
      <c r="A5688" s="4">
        <v>43558.330254629633</v>
      </c>
      <c r="B5688" s="5" t="str">
        <f>HYPERLINK("https://twitter.com/xiong_daisy","@xiong_daisy")</f>
        <v>@xiong_daisy</v>
      </c>
      <c r="C5688" s="6" t="s">
        <v>12233</v>
      </c>
      <c r="D5688" s="7" t="s">
        <v>12234</v>
      </c>
      <c r="E5688" s="8" t="str">
        <f>HYPERLINK("http://twitter.com","Twitter Web Client")</f>
        <v>Twitter Web Client</v>
      </c>
      <c r="F5688" s="4">
        <v>41357.001527777778</v>
      </c>
      <c r="G5688" s="17" t="s">
        <v>13000</v>
      </c>
      <c r="H5688" s="35" t="s">
        <v>22</v>
      </c>
      <c r="I5688" s="10" t="s">
        <v>12235</v>
      </c>
    </row>
    <row r="5689" spans="1:9" s="33" customFormat="1" ht="75">
      <c r="A5689" s="4">
        <v>43556.935659722221</v>
      </c>
      <c r="B5689" s="5" t="str">
        <f>HYPERLINK("https://twitter.com/LidLube","@LidLube")</f>
        <v>@LidLube</v>
      </c>
      <c r="C5689" s="6" t="s">
        <v>12703</v>
      </c>
      <c r="D5689" s="7" t="s">
        <v>12704</v>
      </c>
      <c r="E5689" s="8" t="str">
        <f>HYPERLINK("http://instagram.com","Instagram")</f>
        <v>Instagram</v>
      </c>
      <c r="F5689" s="4">
        <v>42782.520127314812</v>
      </c>
      <c r="G5689" s="17" t="s">
        <v>13000</v>
      </c>
      <c r="H5689" s="35" t="s">
        <v>22</v>
      </c>
      <c r="I5689" s="10" t="s">
        <v>12705</v>
      </c>
    </row>
    <row r="5690" spans="1:9" s="33" customFormat="1" ht="195">
      <c r="A5690" s="12">
        <v>43580.844895833332</v>
      </c>
      <c r="B5690" s="13" t="str">
        <f>HYPERLINK("https://twitter.com/vanSTRaction","@vanSTRaction")</f>
        <v>@vanSTRaction</v>
      </c>
      <c r="C5690" s="14" t="s">
        <v>20</v>
      </c>
      <c r="D5690" s="15" t="s">
        <v>21</v>
      </c>
      <c r="E5690" s="16" t="str">
        <f t="shared" ref="E5690:E5696" si="210">HYPERLINK("http://twitter.com","Twitter Web Client")</f>
        <v>Twitter Web Client</v>
      </c>
      <c r="F5690" s="12">
        <v>43536.815023148149</v>
      </c>
      <c r="G5690" s="17" t="s">
        <v>13000</v>
      </c>
      <c r="H5690" s="35" t="s">
        <v>22</v>
      </c>
      <c r="I5690" s="18" t="s">
        <v>23</v>
      </c>
    </row>
    <row r="5691" spans="1:9" s="33" customFormat="1" ht="195">
      <c r="A5691" s="12">
        <v>43580.842222222222</v>
      </c>
      <c r="B5691" s="13" t="str">
        <f>HYPERLINK("https://twitter.com/vanSTRaction","@vanSTRaction")</f>
        <v>@vanSTRaction</v>
      </c>
      <c r="C5691" s="14" t="s">
        <v>20</v>
      </c>
      <c r="D5691" s="15" t="s">
        <v>24</v>
      </c>
      <c r="E5691" s="16" t="str">
        <f t="shared" si="210"/>
        <v>Twitter Web Client</v>
      </c>
      <c r="F5691" s="12">
        <v>43536.815023148149</v>
      </c>
      <c r="G5691" s="17" t="s">
        <v>13000</v>
      </c>
      <c r="H5691" s="35" t="s">
        <v>22</v>
      </c>
      <c r="I5691" s="18" t="s">
        <v>23</v>
      </c>
    </row>
    <row r="5692" spans="1:9" s="33" customFormat="1" ht="60">
      <c r="A5692" s="12">
        <v>43579.576724537037</v>
      </c>
      <c r="B5692" s="13" t="str">
        <f>HYPERLINK("https://twitter.com/howtotravelbest","@howtotravelbest")</f>
        <v>@howtotravelbest</v>
      </c>
      <c r="C5692" s="14" t="s">
        <v>568</v>
      </c>
      <c r="D5692" s="15" t="s">
        <v>569</v>
      </c>
      <c r="E5692" s="16" t="str">
        <f t="shared" si="210"/>
        <v>Twitter Web Client</v>
      </c>
      <c r="F5692" s="12">
        <v>43285.361226851848</v>
      </c>
      <c r="G5692" s="17" t="s">
        <v>13000</v>
      </c>
      <c r="H5692" s="35" t="s">
        <v>22</v>
      </c>
      <c r="I5692" s="18" t="s">
        <v>570</v>
      </c>
    </row>
    <row r="5693" spans="1:9" s="33" customFormat="1" ht="180">
      <c r="A5693" s="12">
        <v>43579.372673611113</v>
      </c>
      <c r="B5693" s="13" t="str">
        <f>HYPERLINK("https://twitter.com/vanSTRaction","@vanSTRaction")</f>
        <v>@vanSTRaction</v>
      </c>
      <c r="C5693" s="14" t="s">
        <v>20</v>
      </c>
      <c r="D5693" s="15" t="s">
        <v>721</v>
      </c>
      <c r="E5693" s="16" t="str">
        <f t="shared" si="210"/>
        <v>Twitter Web Client</v>
      </c>
      <c r="F5693" s="12">
        <v>43536.356689814813</v>
      </c>
      <c r="G5693" s="17" t="s">
        <v>13000</v>
      </c>
      <c r="H5693" s="35" t="s">
        <v>22</v>
      </c>
      <c r="I5693" s="18" t="s">
        <v>23</v>
      </c>
    </row>
    <row r="5694" spans="1:9" s="33" customFormat="1" ht="90">
      <c r="A5694" s="12">
        <v>43579.362361111111</v>
      </c>
      <c r="B5694" s="13" t="str">
        <f>HYPERLINK("https://twitter.com/vanSTRaction","@vanSTRaction")</f>
        <v>@vanSTRaction</v>
      </c>
      <c r="C5694" s="14" t="s">
        <v>20</v>
      </c>
      <c r="D5694" s="15" t="s">
        <v>733</v>
      </c>
      <c r="E5694" s="16" t="str">
        <f t="shared" si="210"/>
        <v>Twitter Web Client</v>
      </c>
      <c r="F5694" s="12">
        <v>43536.356689814813</v>
      </c>
      <c r="G5694" s="17" t="s">
        <v>13000</v>
      </c>
      <c r="H5694" s="35" t="s">
        <v>22</v>
      </c>
      <c r="I5694" s="18" t="s">
        <v>23</v>
      </c>
    </row>
    <row r="5695" spans="1:9" s="33" customFormat="1" ht="195">
      <c r="A5695" s="12">
        <v>43578.592523148152</v>
      </c>
      <c r="B5695" s="13" t="str">
        <f>HYPERLINK("https://twitter.com/vanSTRaction","@vanSTRaction")</f>
        <v>@vanSTRaction</v>
      </c>
      <c r="C5695" s="14" t="s">
        <v>20</v>
      </c>
      <c r="D5695" s="15" t="s">
        <v>1142</v>
      </c>
      <c r="E5695" s="16" t="str">
        <f t="shared" si="210"/>
        <v>Twitter Web Client</v>
      </c>
      <c r="F5695" s="12">
        <v>43536.356689814813</v>
      </c>
      <c r="G5695" s="17" t="s">
        <v>13000</v>
      </c>
      <c r="H5695" s="35" t="s">
        <v>22</v>
      </c>
      <c r="I5695" s="18" t="s">
        <v>23</v>
      </c>
    </row>
    <row r="5696" spans="1:9" s="33" customFormat="1" ht="120">
      <c r="A5696" s="12">
        <v>43578.454386574071</v>
      </c>
      <c r="B5696" s="13" t="str">
        <f>HYPERLINK("https://twitter.com/vanSTRaction","@vanSTRaction")</f>
        <v>@vanSTRaction</v>
      </c>
      <c r="C5696" s="14" t="s">
        <v>20</v>
      </c>
      <c r="D5696" s="15" t="s">
        <v>1190</v>
      </c>
      <c r="E5696" s="16" t="str">
        <f t="shared" si="210"/>
        <v>Twitter Web Client</v>
      </c>
      <c r="F5696" s="12">
        <v>43536.356689814813</v>
      </c>
      <c r="G5696" s="17" t="s">
        <v>13000</v>
      </c>
      <c r="H5696" s="35" t="s">
        <v>22</v>
      </c>
      <c r="I5696" s="18" t="s">
        <v>23</v>
      </c>
    </row>
    <row r="5697" spans="1:9" s="33" customFormat="1" ht="90">
      <c r="A5697" s="12">
        <v>43575.697974537034</v>
      </c>
      <c r="B5697" s="13" t="str">
        <f>HYPERLINK("https://twitter.com/CertiStay1","@CertiStay1")</f>
        <v>@CertiStay1</v>
      </c>
      <c r="C5697" s="14" t="s">
        <v>2142</v>
      </c>
      <c r="D5697" s="15" t="s">
        <v>2143</v>
      </c>
      <c r="E5697" s="16" t="str">
        <f>HYPERLINK("https://www.hootsuite.com","Hootsuite Inc.")</f>
        <v>Hootsuite Inc.</v>
      </c>
      <c r="F5697" s="12">
        <v>42778.606979166667</v>
      </c>
      <c r="G5697" s="17" t="s">
        <v>13000</v>
      </c>
      <c r="H5697" s="35" t="s">
        <v>22</v>
      </c>
      <c r="I5697" s="18" t="s">
        <v>2144</v>
      </c>
    </row>
    <row r="5698" spans="1:9" s="33" customFormat="1" ht="90">
      <c r="A5698" s="12">
        <v>43574.462280092594</v>
      </c>
      <c r="B5698" s="13" t="str">
        <f>HYPERLINK("https://twitter.com/airgms","@airgms")</f>
        <v>@airgms</v>
      </c>
      <c r="C5698" s="14" t="s">
        <v>2543</v>
      </c>
      <c r="D5698" s="15" t="s">
        <v>2544</v>
      </c>
      <c r="E5698" s="16" t="str">
        <f>HYPERLINK("http://www.hubspot.com/","HubSpot")</f>
        <v>HubSpot</v>
      </c>
      <c r="F5698" s="12">
        <v>42711.152118055557</v>
      </c>
      <c r="G5698" s="17" t="s">
        <v>13000</v>
      </c>
      <c r="H5698" s="35" t="s">
        <v>22</v>
      </c>
      <c r="I5698" s="18" t="s">
        <v>2545</v>
      </c>
    </row>
    <row r="5699" spans="1:9" s="33" customFormat="1" ht="75">
      <c r="A5699" s="12">
        <v>43574.422418981485</v>
      </c>
      <c r="B5699" s="13" t="str">
        <f>HYPERLINK("https://twitter.com/vanSTRaction","@vanSTRaction")</f>
        <v>@vanSTRaction</v>
      </c>
      <c r="C5699" s="14" t="s">
        <v>20</v>
      </c>
      <c r="D5699" s="15" t="s">
        <v>2554</v>
      </c>
      <c r="E5699" s="16" t="str">
        <f>HYPERLINK("http://twitter.com","Twitter Web Client")</f>
        <v>Twitter Web Client</v>
      </c>
      <c r="F5699" s="12">
        <v>43536.356689814813</v>
      </c>
      <c r="G5699" s="17" t="s">
        <v>13000</v>
      </c>
      <c r="H5699" s="35" t="s">
        <v>22</v>
      </c>
      <c r="I5699" s="18" t="s">
        <v>23</v>
      </c>
    </row>
    <row r="5700" spans="1:9" s="33" customFormat="1" ht="210">
      <c r="A5700" s="12">
        <v>43572.417222222226</v>
      </c>
      <c r="B5700" s="13" t="str">
        <f>HYPERLINK("https://twitter.com/vanSTRaction","@vanSTRaction")</f>
        <v>@vanSTRaction</v>
      </c>
      <c r="C5700" s="14" t="s">
        <v>20</v>
      </c>
      <c r="D5700" s="15" t="s">
        <v>3260</v>
      </c>
      <c r="E5700" s="16" t="str">
        <f>HYPERLINK("http://twitter.com","Twitter Web Client")</f>
        <v>Twitter Web Client</v>
      </c>
      <c r="F5700" s="12">
        <v>43536.356689814813</v>
      </c>
      <c r="G5700" s="17" t="s">
        <v>13000</v>
      </c>
      <c r="H5700" s="35" t="s">
        <v>22</v>
      </c>
      <c r="I5700" s="18" t="s">
        <v>23</v>
      </c>
    </row>
    <row r="5701" spans="1:9" s="33" customFormat="1" ht="75">
      <c r="A5701" s="12">
        <v>43571.698055555556</v>
      </c>
      <c r="B5701" s="13" t="str">
        <f>HYPERLINK("https://twitter.com/CertiStay1","@CertiStay1")</f>
        <v>@CertiStay1</v>
      </c>
      <c r="C5701" s="14" t="s">
        <v>2142</v>
      </c>
      <c r="D5701" s="15" t="s">
        <v>3588</v>
      </c>
      <c r="E5701" s="16" t="str">
        <f>HYPERLINK("https://www.hootsuite.com","Hootsuite Inc.")</f>
        <v>Hootsuite Inc.</v>
      </c>
      <c r="F5701" s="12">
        <v>42778.606979166667</v>
      </c>
      <c r="G5701" s="17" t="s">
        <v>13000</v>
      </c>
      <c r="H5701" s="35" t="s">
        <v>22</v>
      </c>
      <c r="I5701" s="18" t="s">
        <v>2144</v>
      </c>
    </row>
    <row r="5702" spans="1:9" s="33" customFormat="1" ht="210">
      <c r="A5702" s="12">
        <v>43571.449699074074</v>
      </c>
      <c r="B5702" s="13" t="str">
        <f>HYPERLINK("https://twitter.com/vanSTRaction","@vanSTRaction")</f>
        <v>@vanSTRaction</v>
      </c>
      <c r="C5702" s="14" t="s">
        <v>20</v>
      </c>
      <c r="D5702" s="15" t="s">
        <v>3670</v>
      </c>
      <c r="E5702" s="16" t="str">
        <f>HYPERLINK("http://twitter.com","Twitter Web Client")</f>
        <v>Twitter Web Client</v>
      </c>
      <c r="F5702" s="12">
        <v>43536.356689814813</v>
      </c>
      <c r="G5702" s="17" t="s">
        <v>13000</v>
      </c>
      <c r="H5702" s="35" t="s">
        <v>22</v>
      </c>
      <c r="I5702" s="18" t="s">
        <v>23</v>
      </c>
    </row>
    <row r="5703" spans="1:9" s="33" customFormat="1" ht="90">
      <c r="A5703" s="12">
        <v>43569.614664351851</v>
      </c>
      <c r="B5703" s="13" t="str">
        <f>HYPERLINK("https://twitter.com/CertiStay1","@CertiStay1")</f>
        <v>@CertiStay1</v>
      </c>
      <c r="C5703" s="14" t="s">
        <v>2142</v>
      </c>
      <c r="D5703" s="15" t="s">
        <v>4460</v>
      </c>
      <c r="E5703" s="16" t="str">
        <f>HYPERLINK("https://www.hootsuite.com","Hootsuite Inc.")</f>
        <v>Hootsuite Inc.</v>
      </c>
      <c r="F5703" s="12">
        <v>42778.606979166667</v>
      </c>
      <c r="G5703" s="17" t="s">
        <v>13000</v>
      </c>
      <c r="H5703" s="35" t="s">
        <v>22</v>
      </c>
      <c r="I5703" s="18" t="s">
        <v>2144</v>
      </c>
    </row>
    <row r="5704" spans="1:9" s="33" customFormat="1" ht="30">
      <c r="A5704" s="12">
        <v>43569.060416666667</v>
      </c>
      <c r="B5704" s="13" t="str">
        <f>HYPERLINK("https://twitter.com/POST_84","@POST_84")</f>
        <v>@POST_84</v>
      </c>
      <c r="C5704" s="14" t="s">
        <v>4601</v>
      </c>
      <c r="D5704" s="15" t="s">
        <v>4602</v>
      </c>
      <c r="E5704" s="16" t="str">
        <f>HYPERLINK("http://twitter.com","Twitter Web Client")</f>
        <v>Twitter Web Client</v>
      </c>
      <c r="F5704" s="12">
        <v>43523.791539351849</v>
      </c>
      <c r="G5704" s="17" t="s">
        <v>13000</v>
      </c>
      <c r="H5704" s="35" t="s">
        <v>22</v>
      </c>
      <c r="I5704" s="18" t="s">
        <v>4603</v>
      </c>
    </row>
    <row r="5705" spans="1:9" s="33" customFormat="1" ht="105">
      <c r="A5705" s="12">
        <v>43567.464641203704</v>
      </c>
      <c r="B5705" s="13" t="str">
        <f>HYPERLINK("https://twitter.com/airgms","@airgms")</f>
        <v>@airgms</v>
      </c>
      <c r="C5705" s="14" t="s">
        <v>2543</v>
      </c>
      <c r="D5705" s="15" t="s">
        <v>5102</v>
      </c>
      <c r="E5705" s="16" t="str">
        <f>HYPERLINK("http://www.hubspot.com/","HubSpot")</f>
        <v>HubSpot</v>
      </c>
      <c r="F5705" s="12">
        <v>42711.152118055557</v>
      </c>
      <c r="G5705" s="17" t="s">
        <v>13000</v>
      </c>
      <c r="H5705" s="35" t="s">
        <v>22</v>
      </c>
      <c r="I5705" s="18" t="s">
        <v>2545</v>
      </c>
    </row>
    <row r="5706" spans="1:9" s="33" customFormat="1" ht="210">
      <c r="A5706" s="12">
        <v>43567.396493055552</v>
      </c>
      <c r="B5706" s="13" t="str">
        <f>HYPERLINK("https://twitter.com/vanSTRaction","@vanSTRaction")</f>
        <v>@vanSTRaction</v>
      </c>
      <c r="C5706" s="14" t="s">
        <v>20</v>
      </c>
      <c r="D5706" s="15" t="s">
        <v>5124</v>
      </c>
      <c r="E5706" s="16" t="str">
        <f>HYPERLINK("http://twitter.com","Twitter Web Client")</f>
        <v>Twitter Web Client</v>
      </c>
      <c r="F5706" s="12">
        <v>43536.356689814813</v>
      </c>
      <c r="G5706" s="17" t="s">
        <v>13000</v>
      </c>
      <c r="H5706" s="35" t="s">
        <v>22</v>
      </c>
      <c r="I5706" s="18" t="s">
        <v>23</v>
      </c>
    </row>
    <row r="5707" spans="1:9" s="33" customFormat="1" ht="75">
      <c r="A5707" s="19">
        <v>43551.891400462962</v>
      </c>
      <c r="B5707" s="20" t="str">
        <f t="shared" ref="B5707:B5716" si="211">HYPERLINK("https://twitter.com/Miteymiss","@Miteymiss")</f>
        <v>@Miteymiss</v>
      </c>
      <c r="C5707" s="21" t="s">
        <v>66</v>
      </c>
      <c r="D5707" s="22" t="s">
        <v>6970</v>
      </c>
      <c r="E5707" s="23" t="str">
        <f>HYPERLINK("https://mobile.twitter.com","Twitter Web App")</f>
        <v>Twitter Web App</v>
      </c>
      <c r="F5707" s="19">
        <v>40348.673298611109</v>
      </c>
      <c r="G5707" s="17" t="s">
        <v>13000</v>
      </c>
      <c r="H5707" s="35" t="s">
        <v>68</v>
      </c>
      <c r="I5707" s="25" t="s">
        <v>69</v>
      </c>
    </row>
    <row r="5708" spans="1:9" s="33" customFormat="1" ht="150">
      <c r="A5708" s="19">
        <v>43551.323622685188</v>
      </c>
      <c r="B5708" s="20" t="str">
        <f t="shared" si="211"/>
        <v>@Miteymiss</v>
      </c>
      <c r="C5708" s="21" t="s">
        <v>66</v>
      </c>
      <c r="D5708" s="22" t="s">
        <v>7314</v>
      </c>
      <c r="E5708" s="23" t="str">
        <f>HYPERLINK("https://mobile.twitter.com","Twitter Web App")</f>
        <v>Twitter Web App</v>
      </c>
      <c r="F5708" s="19">
        <v>40348.673298611109</v>
      </c>
      <c r="G5708" s="17" t="s">
        <v>13000</v>
      </c>
      <c r="H5708" s="35" t="s">
        <v>68</v>
      </c>
      <c r="I5708" s="25" t="s">
        <v>69</v>
      </c>
    </row>
    <row r="5709" spans="1:9" s="33" customFormat="1" ht="75">
      <c r="A5709" s="19">
        <v>43550.769467592589</v>
      </c>
      <c r="B5709" s="20" t="str">
        <f t="shared" si="211"/>
        <v>@Miteymiss</v>
      </c>
      <c r="C5709" s="21" t="s">
        <v>66</v>
      </c>
      <c r="D5709" s="22" t="s">
        <v>7512</v>
      </c>
      <c r="E5709" s="23" t="str">
        <f>HYPERLINK("http://twitter.com","Twitter Web Client")</f>
        <v>Twitter Web Client</v>
      </c>
      <c r="F5709" s="19">
        <v>40348.673298611109</v>
      </c>
      <c r="G5709" s="17" t="s">
        <v>13000</v>
      </c>
      <c r="H5709" s="35" t="s">
        <v>68</v>
      </c>
      <c r="I5709" s="25" t="s">
        <v>69</v>
      </c>
    </row>
    <row r="5710" spans="1:9" s="33" customFormat="1" ht="75">
      <c r="A5710" s="19">
        <v>43550.338472222225</v>
      </c>
      <c r="B5710" s="20" t="str">
        <f t="shared" si="211"/>
        <v>@Miteymiss</v>
      </c>
      <c r="C5710" s="21" t="s">
        <v>66</v>
      </c>
      <c r="D5710" s="22" t="s">
        <v>7718</v>
      </c>
      <c r="E5710" s="23" t="str">
        <f>HYPERLINK("https://mobile.twitter.com","Twitter Web App")</f>
        <v>Twitter Web App</v>
      </c>
      <c r="F5710" s="19">
        <v>40348.673298611109</v>
      </c>
      <c r="G5710" s="17" t="s">
        <v>13000</v>
      </c>
      <c r="H5710" s="35" t="s">
        <v>68</v>
      </c>
      <c r="I5710" s="25" t="s">
        <v>69</v>
      </c>
    </row>
    <row r="5711" spans="1:9" s="33" customFormat="1" ht="150">
      <c r="A5711" s="19">
        <v>43549.828125</v>
      </c>
      <c r="B5711" s="20" t="str">
        <f t="shared" si="211"/>
        <v>@Miteymiss</v>
      </c>
      <c r="C5711" s="21" t="s">
        <v>66</v>
      </c>
      <c r="D5711" s="22" t="s">
        <v>7918</v>
      </c>
      <c r="E5711" s="23" t="str">
        <f>HYPERLINK("https://mobile.twitter.com","Twitter Web App")</f>
        <v>Twitter Web App</v>
      </c>
      <c r="F5711" s="19">
        <v>40348.673298611109</v>
      </c>
      <c r="G5711" s="17" t="s">
        <v>13000</v>
      </c>
      <c r="H5711" s="35" t="s">
        <v>68</v>
      </c>
      <c r="I5711" s="25" t="s">
        <v>69</v>
      </c>
    </row>
    <row r="5712" spans="1:9" s="33" customFormat="1" ht="90">
      <c r="A5712" s="19">
        <v>43548.87871527778</v>
      </c>
      <c r="B5712" s="20" t="str">
        <f t="shared" si="211"/>
        <v>@Miteymiss</v>
      </c>
      <c r="C5712" s="21" t="s">
        <v>66</v>
      </c>
      <c r="D5712" s="22" t="s">
        <v>8209</v>
      </c>
      <c r="E5712" s="23" t="str">
        <f t="shared" ref="E5712:E5719" si="212">HYPERLINK("http://twitter.com","Twitter Web Client")</f>
        <v>Twitter Web Client</v>
      </c>
      <c r="F5712" s="19">
        <v>40348.673298611109</v>
      </c>
      <c r="G5712" s="17" t="s">
        <v>13000</v>
      </c>
      <c r="H5712" s="35" t="s">
        <v>68</v>
      </c>
      <c r="I5712" s="25" t="s">
        <v>69</v>
      </c>
    </row>
    <row r="5713" spans="1:9" s="33" customFormat="1" ht="45">
      <c r="A5713" s="19">
        <v>43547.896307870367</v>
      </c>
      <c r="B5713" s="20" t="str">
        <f t="shared" si="211"/>
        <v>@Miteymiss</v>
      </c>
      <c r="C5713" s="21" t="s">
        <v>66</v>
      </c>
      <c r="D5713" s="22" t="s">
        <v>8452</v>
      </c>
      <c r="E5713" s="23" t="str">
        <f t="shared" si="212"/>
        <v>Twitter Web Client</v>
      </c>
      <c r="F5713" s="19">
        <v>40348.673298611109</v>
      </c>
      <c r="G5713" s="17" t="s">
        <v>13000</v>
      </c>
      <c r="H5713" s="35" t="s">
        <v>68</v>
      </c>
      <c r="I5713" s="25" t="s">
        <v>69</v>
      </c>
    </row>
    <row r="5714" spans="1:9" s="33" customFormat="1" ht="45">
      <c r="A5714" s="19">
        <v>43547.770567129628</v>
      </c>
      <c r="B5714" s="20" t="str">
        <f t="shared" si="211"/>
        <v>@Miteymiss</v>
      </c>
      <c r="C5714" s="21" t="s">
        <v>66</v>
      </c>
      <c r="D5714" s="22" t="s">
        <v>8476</v>
      </c>
      <c r="E5714" s="23" t="str">
        <f t="shared" si="212"/>
        <v>Twitter Web Client</v>
      </c>
      <c r="F5714" s="19">
        <v>40348.673298611109</v>
      </c>
      <c r="G5714" s="17" t="s">
        <v>13000</v>
      </c>
      <c r="H5714" s="35" t="s">
        <v>68</v>
      </c>
      <c r="I5714" s="25" t="s">
        <v>69</v>
      </c>
    </row>
    <row r="5715" spans="1:9" s="33" customFormat="1" ht="165">
      <c r="A5715" s="19">
        <v>43546.560486111106</v>
      </c>
      <c r="B5715" s="20" t="str">
        <f t="shared" si="211"/>
        <v>@Miteymiss</v>
      </c>
      <c r="C5715" s="21" t="s">
        <v>66</v>
      </c>
      <c r="D5715" s="22" t="s">
        <v>8808</v>
      </c>
      <c r="E5715" s="23" t="str">
        <f t="shared" si="212"/>
        <v>Twitter Web Client</v>
      </c>
      <c r="F5715" s="19">
        <v>40348.673298611109</v>
      </c>
      <c r="G5715" s="17" t="s">
        <v>13000</v>
      </c>
      <c r="H5715" s="35" t="s">
        <v>68</v>
      </c>
      <c r="I5715" s="25" t="s">
        <v>69</v>
      </c>
    </row>
    <row r="5716" spans="1:9" s="33" customFormat="1" ht="90">
      <c r="A5716" s="19">
        <v>43546.558935185181</v>
      </c>
      <c r="B5716" s="20" t="str">
        <f t="shared" si="211"/>
        <v>@Miteymiss</v>
      </c>
      <c r="C5716" s="21" t="s">
        <v>66</v>
      </c>
      <c r="D5716" s="22" t="s">
        <v>8809</v>
      </c>
      <c r="E5716" s="23" t="str">
        <f t="shared" si="212"/>
        <v>Twitter Web Client</v>
      </c>
      <c r="F5716" s="19">
        <v>40348.673298611109</v>
      </c>
      <c r="G5716" s="17" t="s">
        <v>13000</v>
      </c>
      <c r="H5716" s="35" t="s">
        <v>68</v>
      </c>
      <c r="I5716" s="25" t="s">
        <v>69</v>
      </c>
    </row>
    <row r="5717" spans="1:9" s="33" customFormat="1" ht="45">
      <c r="A5717" s="19">
        <v>43546.470266203702</v>
      </c>
      <c r="B5717" s="20" t="str">
        <f>HYPERLINK("https://twitter.com/robinesrock","@robinesrock")</f>
        <v>@robinesrock</v>
      </c>
      <c r="C5717" s="21" t="s">
        <v>8832</v>
      </c>
      <c r="D5717" s="22" t="s">
        <v>8833</v>
      </c>
      <c r="E5717" s="23" t="str">
        <f t="shared" si="212"/>
        <v>Twitter Web Client</v>
      </c>
      <c r="F5717" s="19">
        <v>39849.929143518515</v>
      </c>
      <c r="G5717" s="17" t="s">
        <v>13000</v>
      </c>
      <c r="H5717" s="35" t="s">
        <v>68</v>
      </c>
      <c r="I5717" s="25" t="s">
        <v>8834</v>
      </c>
    </row>
    <row r="5718" spans="1:9" s="33" customFormat="1" ht="75">
      <c r="A5718" s="19">
        <v>43546.441701388889</v>
      </c>
      <c r="B5718" s="20" t="str">
        <f t="shared" ref="B5718:B5737" si="213">HYPERLINK("https://twitter.com/Miteymiss","@Miteymiss")</f>
        <v>@Miteymiss</v>
      </c>
      <c r="C5718" s="21" t="s">
        <v>66</v>
      </c>
      <c r="D5718" s="22" t="s">
        <v>8846</v>
      </c>
      <c r="E5718" s="23" t="str">
        <f t="shared" si="212"/>
        <v>Twitter Web Client</v>
      </c>
      <c r="F5718" s="19">
        <v>40348.673298611109</v>
      </c>
      <c r="G5718" s="17" t="s">
        <v>13000</v>
      </c>
      <c r="H5718" s="35" t="s">
        <v>68</v>
      </c>
      <c r="I5718" s="25" t="s">
        <v>69</v>
      </c>
    </row>
    <row r="5719" spans="1:9" s="33" customFormat="1" ht="45">
      <c r="A5719" s="19">
        <v>43546.439710648148</v>
      </c>
      <c r="B5719" s="20" t="str">
        <f t="shared" si="213"/>
        <v>@Miteymiss</v>
      </c>
      <c r="C5719" s="21" t="s">
        <v>66</v>
      </c>
      <c r="D5719" s="22" t="s">
        <v>8847</v>
      </c>
      <c r="E5719" s="23" t="str">
        <f t="shared" si="212"/>
        <v>Twitter Web Client</v>
      </c>
      <c r="F5719" s="19">
        <v>40348.673298611109</v>
      </c>
      <c r="G5719" s="17" t="s">
        <v>13000</v>
      </c>
      <c r="H5719" s="35" t="s">
        <v>68</v>
      </c>
      <c r="I5719" s="25" t="s">
        <v>69</v>
      </c>
    </row>
    <row r="5720" spans="1:9" s="33" customFormat="1" ht="90">
      <c r="A5720" s="19">
        <v>43543.339456018519</v>
      </c>
      <c r="B5720" s="20" t="str">
        <f t="shared" si="213"/>
        <v>@Miteymiss</v>
      </c>
      <c r="C5720" s="21" t="s">
        <v>66</v>
      </c>
      <c r="D5720" s="22" t="s">
        <v>9862</v>
      </c>
      <c r="E5720" s="23" t="str">
        <f t="shared" ref="E5720:E5737" si="214">HYPERLINK("https://mobile.twitter.com","Twitter Web App")</f>
        <v>Twitter Web App</v>
      </c>
      <c r="F5720" s="19">
        <v>40348.673298611109</v>
      </c>
      <c r="G5720" s="17" t="s">
        <v>13000</v>
      </c>
      <c r="H5720" s="35" t="s">
        <v>68</v>
      </c>
      <c r="I5720" s="25" t="s">
        <v>69</v>
      </c>
    </row>
    <row r="5721" spans="1:9" s="33" customFormat="1" ht="135">
      <c r="A5721" s="4">
        <v>43565.814942129626</v>
      </c>
      <c r="B5721" s="5" t="str">
        <f t="shared" si="213"/>
        <v>@Miteymiss</v>
      </c>
      <c r="C5721" s="6" t="s">
        <v>66</v>
      </c>
      <c r="D5721" s="7" t="s">
        <v>5890</v>
      </c>
      <c r="E5721" s="8" t="str">
        <f t="shared" si="214"/>
        <v>Twitter Web App</v>
      </c>
      <c r="F5721" s="4">
        <v>40348.673298611109</v>
      </c>
      <c r="G5721" s="17" t="s">
        <v>13000</v>
      </c>
      <c r="H5721" s="35" t="s">
        <v>68</v>
      </c>
      <c r="I5721" s="10" t="s">
        <v>69</v>
      </c>
    </row>
    <row r="5722" spans="1:9" s="33" customFormat="1" ht="75">
      <c r="A5722" s="4">
        <v>43563.810462962967</v>
      </c>
      <c r="B5722" s="5" t="str">
        <f t="shared" si="213"/>
        <v>@Miteymiss</v>
      </c>
      <c r="C5722" s="6" t="s">
        <v>66</v>
      </c>
      <c r="D5722" s="7" t="s">
        <v>6873</v>
      </c>
      <c r="E5722" s="8" t="str">
        <f t="shared" si="214"/>
        <v>Twitter Web App</v>
      </c>
      <c r="F5722" s="4">
        <v>40348.673298611109</v>
      </c>
      <c r="G5722" s="17" t="s">
        <v>13000</v>
      </c>
      <c r="H5722" s="35" t="s">
        <v>68</v>
      </c>
      <c r="I5722" s="10" t="s">
        <v>69</v>
      </c>
    </row>
    <row r="5723" spans="1:9" s="33" customFormat="1" ht="165">
      <c r="A5723" s="4">
        <v>43563.331597222219</v>
      </c>
      <c r="B5723" s="5" t="str">
        <f t="shared" si="213"/>
        <v>@Miteymiss</v>
      </c>
      <c r="C5723" s="6" t="s">
        <v>66</v>
      </c>
      <c r="D5723" s="7" t="s">
        <v>10363</v>
      </c>
      <c r="E5723" s="8" t="str">
        <f t="shared" si="214"/>
        <v>Twitter Web App</v>
      </c>
      <c r="F5723" s="4">
        <v>40348.673298611109</v>
      </c>
      <c r="G5723" s="17" t="s">
        <v>13000</v>
      </c>
      <c r="H5723" s="35" t="s">
        <v>68</v>
      </c>
      <c r="I5723" s="10" t="s">
        <v>69</v>
      </c>
    </row>
    <row r="5724" spans="1:9" s="33" customFormat="1" ht="60">
      <c r="A5724" s="4">
        <v>43559.76258101852</v>
      </c>
      <c r="B5724" s="5" t="str">
        <f t="shared" si="213"/>
        <v>@Miteymiss</v>
      </c>
      <c r="C5724" s="6" t="s">
        <v>66</v>
      </c>
      <c r="D5724" s="7" t="s">
        <v>11699</v>
      </c>
      <c r="E5724" s="8" t="str">
        <f t="shared" si="214"/>
        <v>Twitter Web App</v>
      </c>
      <c r="F5724" s="4">
        <v>40348.673298611109</v>
      </c>
      <c r="G5724" s="17" t="s">
        <v>13000</v>
      </c>
      <c r="H5724" s="35" t="s">
        <v>68</v>
      </c>
      <c r="I5724" s="10" t="s">
        <v>69</v>
      </c>
    </row>
    <row r="5725" spans="1:9" s="33" customFormat="1" ht="75">
      <c r="A5725" s="4">
        <v>43557.889293981483</v>
      </c>
      <c r="B5725" s="5" t="str">
        <f t="shared" si="213"/>
        <v>@Miteymiss</v>
      </c>
      <c r="C5725" s="6" t="s">
        <v>66</v>
      </c>
      <c r="D5725" s="7" t="s">
        <v>12370</v>
      </c>
      <c r="E5725" s="8" t="str">
        <f t="shared" si="214"/>
        <v>Twitter Web App</v>
      </c>
      <c r="F5725" s="4">
        <v>40348.673298611109</v>
      </c>
      <c r="G5725" s="17" t="s">
        <v>13000</v>
      </c>
      <c r="H5725" s="35" t="s">
        <v>68</v>
      </c>
      <c r="I5725" s="10" t="s">
        <v>69</v>
      </c>
    </row>
    <row r="5726" spans="1:9" s="33" customFormat="1" ht="45">
      <c r="A5726" s="12">
        <v>43580.791006944448</v>
      </c>
      <c r="B5726" s="13" t="str">
        <f t="shared" si="213"/>
        <v>@Miteymiss</v>
      </c>
      <c r="C5726" s="14" t="s">
        <v>66</v>
      </c>
      <c r="D5726" s="15" t="s">
        <v>67</v>
      </c>
      <c r="E5726" s="16" t="str">
        <f t="shared" si="214"/>
        <v>Twitter Web App</v>
      </c>
      <c r="F5726" s="12">
        <v>40349.131631944445</v>
      </c>
      <c r="G5726" s="17" t="s">
        <v>13000</v>
      </c>
      <c r="H5726" s="35" t="s">
        <v>68</v>
      </c>
      <c r="I5726" s="18" t="s">
        <v>69</v>
      </c>
    </row>
    <row r="5727" spans="1:9" s="33" customFormat="1" ht="75">
      <c r="A5727" s="12">
        <v>43579.792974537035</v>
      </c>
      <c r="B5727" s="13" t="str">
        <f t="shared" si="213"/>
        <v>@Miteymiss</v>
      </c>
      <c r="C5727" s="14" t="s">
        <v>66</v>
      </c>
      <c r="D5727" s="15" t="s">
        <v>443</v>
      </c>
      <c r="E5727" s="16" t="str">
        <f t="shared" si="214"/>
        <v>Twitter Web App</v>
      </c>
      <c r="F5727" s="12">
        <v>40348.673298611109</v>
      </c>
      <c r="G5727" s="17" t="s">
        <v>13000</v>
      </c>
      <c r="H5727" s="35" t="s">
        <v>68</v>
      </c>
      <c r="I5727" s="18" t="s">
        <v>69</v>
      </c>
    </row>
    <row r="5728" spans="1:9" s="33" customFormat="1" ht="45">
      <c r="A5728" s="12">
        <v>43572.872013888889</v>
      </c>
      <c r="B5728" s="13" t="str">
        <f t="shared" si="213"/>
        <v>@Miteymiss</v>
      </c>
      <c r="C5728" s="14" t="s">
        <v>66</v>
      </c>
      <c r="D5728" s="15" t="s">
        <v>3073</v>
      </c>
      <c r="E5728" s="16" t="str">
        <f t="shared" si="214"/>
        <v>Twitter Web App</v>
      </c>
      <c r="F5728" s="12">
        <v>40348.673298611109</v>
      </c>
      <c r="G5728" s="17" t="s">
        <v>13000</v>
      </c>
      <c r="H5728" s="35" t="s">
        <v>68</v>
      </c>
      <c r="I5728" s="18" t="s">
        <v>69</v>
      </c>
    </row>
    <row r="5729" spans="1:9" s="33" customFormat="1" ht="90">
      <c r="A5729" s="12">
        <v>43572.338368055556</v>
      </c>
      <c r="B5729" s="13" t="str">
        <f t="shared" si="213"/>
        <v>@Miteymiss</v>
      </c>
      <c r="C5729" s="14" t="s">
        <v>66</v>
      </c>
      <c r="D5729" s="15" t="s">
        <v>3322</v>
      </c>
      <c r="E5729" s="16" t="str">
        <f t="shared" si="214"/>
        <v>Twitter Web App</v>
      </c>
      <c r="F5729" s="12">
        <v>40348.673298611109</v>
      </c>
      <c r="G5729" s="17" t="s">
        <v>13000</v>
      </c>
      <c r="H5729" s="35" t="s">
        <v>68</v>
      </c>
      <c r="I5729" s="18" t="s">
        <v>69</v>
      </c>
    </row>
    <row r="5730" spans="1:9" s="33" customFormat="1" ht="45">
      <c r="A5730" s="12">
        <v>43571.332916666666</v>
      </c>
      <c r="B5730" s="13" t="str">
        <f t="shared" si="213"/>
        <v>@Miteymiss</v>
      </c>
      <c r="C5730" s="14" t="s">
        <v>66</v>
      </c>
      <c r="D5730" s="15" t="s">
        <v>3727</v>
      </c>
      <c r="E5730" s="16" t="str">
        <f t="shared" si="214"/>
        <v>Twitter Web App</v>
      </c>
      <c r="F5730" s="12">
        <v>40348.673298611109</v>
      </c>
      <c r="G5730" s="17" t="s">
        <v>13000</v>
      </c>
      <c r="H5730" s="35" t="s">
        <v>68</v>
      </c>
      <c r="I5730" s="18" t="s">
        <v>69</v>
      </c>
    </row>
    <row r="5731" spans="1:9" s="33" customFormat="1" ht="60">
      <c r="A5731" s="12">
        <v>43570.761064814811</v>
      </c>
      <c r="B5731" s="13" t="str">
        <f t="shared" si="213"/>
        <v>@Miteymiss</v>
      </c>
      <c r="C5731" s="14" t="s">
        <v>66</v>
      </c>
      <c r="D5731" s="15" t="s">
        <v>3985</v>
      </c>
      <c r="E5731" s="16" t="str">
        <f t="shared" si="214"/>
        <v>Twitter Web App</v>
      </c>
      <c r="F5731" s="12">
        <v>40348.673298611109</v>
      </c>
      <c r="G5731" s="17" t="s">
        <v>13000</v>
      </c>
      <c r="H5731" s="35" t="s">
        <v>68</v>
      </c>
      <c r="I5731" s="18" t="s">
        <v>69</v>
      </c>
    </row>
    <row r="5732" spans="1:9" s="33" customFormat="1" ht="90">
      <c r="A5732" s="12">
        <v>43568.424050925925</v>
      </c>
      <c r="B5732" s="13" t="str">
        <f t="shared" si="213"/>
        <v>@Miteymiss</v>
      </c>
      <c r="C5732" s="14" t="s">
        <v>66</v>
      </c>
      <c r="D5732" s="15" t="s">
        <v>4780</v>
      </c>
      <c r="E5732" s="16" t="str">
        <f t="shared" si="214"/>
        <v>Twitter Web App</v>
      </c>
      <c r="F5732" s="12">
        <v>40348.673298611109</v>
      </c>
      <c r="G5732" s="17" t="s">
        <v>13000</v>
      </c>
      <c r="H5732" s="35" t="s">
        <v>68</v>
      </c>
      <c r="I5732" s="18" t="s">
        <v>69</v>
      </c>
    </row>
    <row r="5733" spans="1:9" s="33" customFormat="1" ht="135">
      <c r="A5733" s="12">
        <v>43568.415127314816</v>
      </c>
      <c r="B5733" s="13" t="str">
        <f t="shared" si="213"/>
        <v>@Miteymiss</v>
      </c>
      <c r="C5733" s="14" t="s">
        <v>66</v>
      </c>
      <c r="D5733" s="15" t="s">
        <v>4789</v>
      </c>
      <c r="E5733" s="16" t="str">
        <f t="shared" si="214"/>
        <v>Twitter Web App</v>
      </c>
      <c r="F5733" s="12">
        <v>40348.673298611109</v>
      </c>
      <c r="G5733" s="17" t="s">
        <v>13000</v>
      </c>
      <c r="H5733" s="35" t="s">
        <v>68</v>
      </c>
      <c r="I5733" s="18" t="s">
        <v>69</v>
      </c>
    </row>
    <row r="5734" spans="1:9" s="33" customFormat="1" ht="45">
      <c r="A5734" s="12">
        <v>43568.406053240746</v>
      </c>
      <c r="B5734" s="13" t="str">
        <f t="shared" si="213"/>
        <v>@Miteymiss</v>
      </c>
      <c r="C5734" s="14" t="s">
        <v>66</v>
      </c>
      <c r="D5734" s="15" t="s">
        <v>4790</v>
      </c>
      <c r="E5734" s="16" t="str">
        <f t="shared" si="214"/>
        <v>Twitter Web App</v>
      </c>
      <c r="F5734" s="12">
        <v>40348.673298611109</v>
      </c>
      <c r="G5734" s="17" t="s">
        <v>13000</v>
      </c>
      <c r="H5734" s="35" t="s">
        <v>68</v>
      </c>
      <c r="I5734" s="18" t="s">
        <v>69</v>
      </c>
    </row>
    <row r="5735" spans="1:9" s="33" customFormat="1" ht="165">
      <c r="A5735" s="12">
        <v>43568.404004629629</v>
      </c>
      <c r="B5735" s="13" t="str">
        <f t="shared" si="213"/>
        <v>@Miteymiss</v>
      </c>
      <c r="C5735" s="14" t="s">
        <v>66</v>
      </c>
      <c r="D5735" s="15" t="s">
        <v>4791</v>
      </c>
      <c r="E5735" s="16" t="str">
        <f t="shared" si="214"/>
        <v>Twitter Web App</v>
      </c>
      <c r="F5735" s="12">
        <v>40348.673298611109</v>
      </c>
      <c r="G5735" s="17" t="s">
        <v>13000</v>
      </c>
      <c r="H5735" s="35" t="s">
        <v>68</v>
      </c>
      <c r="I5735" s="18" t="s">
        <v>69</v>
      </c>
    </row>
    <row r="5736" spans="1:9" s="33" customFormat="1" ht="135">
      <c r="A5736" s="12">
        <v>43568.40111111111</v>
      </c>
      <c r="B5736" s="13" t="str">
        <f t="shared" si="213"/>
        <v>@Miteymiss</v>
      </c>
      <c r="C5736" s="14" t="s">
        <v>66</v>
      </c>
      <c r="D5736" s="15" t="s">
        <v>4796</v>
      </c>
      <c r="E5736" s="16" t="str">
        <f t="shared" si="214"/>
        <v>Twitter Web App</v>
      </c>
      <c r="F5736" s="12">
        <v>40348.673298611109</v>
      </c>
      <c r="G5736" s="17" t="s">
        <v>13000</v>
      </c>
      <c r="H5736" s="35" t="s">
        <v>68</v>
      </c>
      <c r="I5736" s="18" t="s">
        <v>69</v>
      </c>
    </row>
    <row r="5737" spans="1:9" s="33" customFormat="1" ht="75">
      <c r="A5737" s="12">
        <v>43566.325416666667</v>
      </c>
      <c r="B5737" s="13" t="str">
        <f t="shared" si="213"/>
        <v>@Miteymiss</v>
      </c>
      <c r="C5737" s="14" t="s">
        <v>66</v>
      </c>
      <c r="D5737" s="15" t="s">
        <v>5659</v>
      </c>
      <c r="E5737" s="16" t="str">
        <f t="shared" si="214"/>
        <v>Twitter Web App</v>
      </c>
      <c r="F5737" s="12">
        <v>40348.673298611109</v>
      </c>
      <c r="G5737" s="17" t="s">
        <v>13000</v>
      </c>
      <c r="H5737" s="35" t="s">
        <v>68</v>
      </c>
      <c r="I5737" s="18" t="s">
        <v>69</v>
      </c>
    </row>
    <row r="5738" spans="1:9" s="33" customFormat="1" ht="60">
      <c r="A5738" s="12">
        <v>43569.82267361111</v>
      </c>
      <c r="B5738" s="13" t="str">
        <f>HYPERLINK("https://twitter.com/shop_grrl","@shop_grrl")</f>
        <v>@shop_grrl</v>
      </c>
      <c r="C5738" s="14" t="s">
        <v>4393</v>
      </c>
      <c r="D5738" s="15" t="s">
        <v>4394</v>
      </c>
      <c r="E5738" s="16" t="str">
        <f>HYPERLINK("http://instagram.com","Instagram")</f>
        <v>Instagram</v>
      </c>
      <c r="F5738" s="12">
        <v>40307.473009259258</v>
      </c>
      <c r="G5738" s="17" t="s">
        <v>13000</v>
      </c>
      <c r="H5738" s="35" t="s">
        <v>4395</v>
      </c>
      <c r="I5738" s="18" t="s">
        <v>4396</v>
      </c>
    </row>
    <row r="5739" spans="1:9" s="33" customFormat="1" ht="105">
      <c r="A5739" s="19">
        <v>43551.464641203704</v>
      </c>
      <c r="B5739" s="20" t="str">
        <f>HYPERLINK("https://twitter.com/aBundleHQ","@aBundleHQ")</f>
        <v>@aBundleHQ</v>
      </c>
      <c r="C5739" s="21" t="s">
        <v>7185</v>
      </c>
      <c r="D5739" s="22" t="s">
        <v>7186</v>
      </c>
      <c r="E5739" s="23" t="str">
        <f>HYPERLINK("https://sproutsocial.com","Sprout Social")</f>
        <v>Sprout Social</v>
      </c>
      <c r="F5739" s="19">
        <v>42675.308356481481</v>
      </c>
      <c r="G5739" s="24" t="s">
        <v>13000</v>
      </c>
      <c r="H5739" s="35" t="s">
        <v>7187</v>
      </c>
      <c r="I5739" s="25" t="s">
        <v>7188</v>
      </c>
    </row>
    <row r="5740" spans="1:9" s="33" customFormat="1" ht="60">
      <c r="A5740" s="19">
        <v>43546.432615740741</v>
      </c>
      <c r="B5740" s="20" t="str">
        <f>HYPERLINK("https://twitter.com/aBundleHQ","@aBundleHQ")</f>
        <v>@aBundleHQ</v>
      </c>
      <c r="C5740" s="21" t="s">
        <v>7185</v>
      </c>
      <c r="D5740" s="22" t="s">
        <v>8852</v>
      </c>
      <c r="E5740" s="23" t="str">
        <f>HYPERLINK("https://sproutsocial.com","Sprout Social")</f>
        <v>Sprout Social</v>
      </c>
      <c r="F5740" s="19">
        <v>42675.308356481481</v>
      </c>
      <c r="G5740" s="24" t="s">
        <v>13000</v>
      </c>
      <c r="H5740" s="35" t="s">
        <v>7187</v>
      </c>
      <c r="I5740" s="25" t="s">
        <v>7188</v>
      </c>
    </row>
    <row r="5741" spans="1:9" s="33" customFormat="1" ht="120">
      <c r="A5741" s="19">
        <v>43547.911412037036</v>
      </c>
      <c r="B5741" s="20" t="str">
        <f>HYPERLINK("https://twitter.com/swampmusicinfo","@swampmusicinfo")</f>
        <v>@swampmusicinfo</v>
      </c>
      <c r="C5741" s="21" t="s">
        <v>8441</v>
      </c>
      <c r="D5741" s="22" t="s">
        <v>8442</v>
      </c>
      <c r="E5741" s="23" t="str">
        <f>HYPERLINK("http://twitter.com/download/android","Twitter for Android")</f>
        <v>Twitter for Android</v>
      </c>
      <c r="F5741" s="19">
        <v>40500.014340277776</v>
      </c>
      <c r="G5741" s="17" t="s">
        <v>13000</v>
      </c>
      <c r="H5741" s="35" t="s">
        <v>8443</v>
      </c>
      <c r="I5741" s="25" t="s">
        <v>8444</v>
      </c>
    </row>
    <row r="5742" spans="1:9" s="33" customFormat="1" ht="60">
      <c r="A5742" s="19">
        <v>43550.531493055554</v>
      </c>
      <c r="B5742" s="20" t="str">
        <f>HYPERLINK("https://twitter.com/SpitzenCleaning","@SpitzenCleaning")</f>
        <v>@SpitzenCleaning</v>
      </c>
      <c r="C5742" s="21" t="s">
        <v>7624</v>
      </c>
      <c r="D5742" s="22" t="s">
        <v>7625</v>
      </c>
      <c r="E5742" s="23" t="str">
        <f>HYPERLINK("https://www.hootsuite.com","Hootsuite Inc.")</f>
        <v>Hootsuite Inc.</v>
      </c>
      <c r="F5742" s="19">
        <v>43075.380740740744</v>
      </c>
      <c r="G5742" s="17" t="s">
        <v>13000</v>
      </c>
      <c r="H5742" s="35" t="s">
        <v>6683</v>
      </c>
      <c r="I5742" s="25" t="s">
        <v>7626</v>
      </c>
    </row>
    <row r="5743" spans="1:9" s="33" customFormat="1" ht="90">
      <c r="A5743" s="19">
        <v>43548.542407407411</v>
      </c>
      <c r="B5743" s="20" t="str">
        <f>HYPERLINK("https://twitter.com/SpitzenCleaning","@SpitzenCleaning")</f>
        <v>@SpitzenCleaning</v>
      </c>
      <c r="C5743" s="21" t="s">
        <v>7624</v>
      </c>
      <c r="D5743" s="22" t="s">
        <v>8291</v>
      </c>
      <c r="E5743" s="23" t="str">
        <f>HYPERLINK("https://www.hootsuite.com","Hootsuite Inc.")</f>
        <v>Hootsuite Inc.</v>
      </c>
      <c r="F5743" s="19">
        <v>43075.380740740744</v>
      </c>
      <c r="G5743" s="17" t="s">
        <v>13000</v>
      </c>
      <c r="H5743" s="35" t="s">
        <v>6683</v>
      </c>
      <c r="I5743" s="25" t="s">
        <v>7626</v>
      </c>
    </row>
    <row r="5744" spans="1:9" s="33" customFormat="1" ht="75">
      <c r="A5744" s="19">
        <v>43547.886736111112</v>
      </c>
      <c r="B5744" s="20" t="str">
        <f>HYPERLINK("https://twitter.com/jiminalizm","@jiminalizm")</f>
        <v>@jiminalizm</v>
      </c>
      <c r="C5744" s="21" t="s">
        <v>8456</v>
      </c>
      <c r="D5744" s="22" t="s">
        <v>8457</v>
      </c>
      <c r="E5744" s="23" t="str">
        <f>HYPERLINK("http://twitter.com/download/android","Twitter for Android")</f>
        <v>Twitter for Android</v>
      </c>
      <c r="F5744" s="19">
        <v>39819.434502314813</v>
      </c>
      <c r="G5744" s="17" t="s">
        <v>13000</v>
      </c>
      <c r="H5744" s="35" t="s">
        <v>6683</v>
      </c>
      <c r="I5744" s="25" t="s">
        <v>8458</v>
      </c>
    </row>
    <row r="5745" spans="1:9" s="33" customFormat="1" ht="105">
      <c r="A5745" s="19">
        <v>43546.746597222227</v>
      </c>
      <c r="B5745" s="20" t="str">
        <f>HYPERLINK("https://twitter.com/SpitzenCleaning","@SpitzenCleaning")</f>
        <v>@SpitzenCleaning</v>
      </c>
      <c r="C5745" s="21" t="s">
        <v>7624</v>
      </c>
      <c r="D5745" s="22" t="s">
        <v>8742</v>
      </c>
      <c r="E5745" s="23" t="str">
        <f>HYPERLINK("https://www.hootsuite.com","Hootsuite Inc.")</f>
        <v>Hootsuite Inc.</v>
      </c>
      <c r="F5745" s="19">
        <v>43075.380740740744</v>
      </c>
      <c r="G5745" s="17" t="s">
        <v>13000</v>
      </c>
      <c r="H5745" s="35" t="s">
        <v>6683</v>
      </c>
      <c r="I5745" s="25" t="s">
        <v>7626</v>
      </c>
    </row>
    <row r="5746" spans="1:9" s="33" customFormat="1" ht="90">
      <c r="A5746" s="19">
        <v>43545.736180555556</v>
      </c>
      <c r="B5746" s="20" t="str">
        <f>HYPERLINK("https://twitter.com/SpitzenCleaning","@SpitzenCleaning")</f>
        <v>@SpitzenCleaning</v>
      </c>
      <c r="C5746" s="21" t="s">
        <v>7624</v>
      </c>
      <c r="D5746" s="22" t="s">
        <v>9065</v>
      </c>
      <c r="E5746" s="23" t="str">
        <f>HYPERLINK("https://www.hootsuite.com","Hootsuite Inc.")</f>
        <v>Hootsuite Inc.</v>
      </c>
      <c r="F5746" s="19">
        <v>43075.380740740744</v>
      </c>
      <c r="G5746" s="17" t="s">
        <v>13000</v>
      </c>
      <c r="H5746" s="35" t="s">
        <v>6683</v>
      </c>
      <c r="I5746" s="25" t="s">
        <v>7626</v>
      </c>
    </row>
    <row r="5747" spans="1:9" s="33" customFormat="1" ht="75">
      <c r="A5747" s="19">
        <v>43544.604490740741</v>
      </c>
      <c r="B5747" s="20" t="str">
        <f>HYPERLINK("https://twitter.com/SpitzenCleaning","@SpitzenCleaning")</f>
        <v>@SpitzenCleaning</v>
      </c>
      <c r="C5747" s="21" t="s">
        <v>7624</v>
      </c>
      <c r="D5747" s="22" t="s">
        <v>9403</v>
      </c>
      <c r="E5747" s="23" t="str">
        <f>HYPERLINK("https://www.hootsuite.com","Hootsuite Inc.")</f>
        <v>Hootsuite Inc.</v>
      </c>
      <c r="F5747" s="19">
        <v>43075.380740740744</v>
      </c>
      <c r="G5747" s="17" t="s">
        <v>13000</v>
      </c>
      <c r="H5747" s="35" t="s">
        <v>6683</v>
      </c>
      <c r="I5747" s="25" t="s">
        <v>7626</v>
      </c>
    </row>
    <row r="5748" spans="1:9" s="33" customFormat="1" ht="105">
      <c r="A5748" s="19">
        <v>43544.513981481483</v>
      </c>
      <c r="B5748" s="20" t="str">
        <f>HYPERLINK("https://twitter.com/SpitzenCleaning","@SpitzenCleaning")</f>
        <v>@SpitzenCleaning</v>
      </c>
      <c r="C5748" s="21" t="s">
        <v>7624</v>
      </c>
      <c r="D5748" s="22" t="s">
        <v>9427</v>
      </c>
      <c r="E5748" s="23" t="str">
        <f>HYPERLINK("https://www.hootsuite.com","Hootsuite Inc.")</f>
        <v>Hootsuite Inc.</v>
      </c>
      <c r="F5748" s="19">
        <v>43075.380740740744</v>
      </c>
      <c r="G5748" s="17" t="s">
        <v>13000</v>
      </c>
      <c r="H5748" s="35" t="s">
        <v>6683</v>
      </c>
      <c r="I5748" s="25" t="s">
        <v>7626</v>
      </c>
    </row>
    <row r="5749" spans="1:9" s="33" customFormat="1" ht="75">
      <c r="A5749" s="19">
        <v>43543.434155092589</v>
      </c>
      <c r="B5749" s="20" t="str">
        <f>HYPERLINK("https://twitter.com/SpitzenCleaning","@SpitzenCleaning")</f>
        <v>@SpitzenCleaning</v>
      </c>
      <c r="C5749" s="21" t="s">
        <v>7624</v>
      </c>
      <c r="D5749" s="22" t="s">
        <v>9805</v>
      </c>
      <c r="E5749" s="23" t="str">
        <f>HYPERLINK("https://www.hootsuite.com","Hootsuite Inc.")</f>
        <v>Hootsuite Inc.</v>
      </c>
      <c r="F5749" s="19">
        <v>43075.380740740744</v>
      </c>
      <c r="G5749" s="17" t="s">
        <v>13000</v>
      </c>
      <c r="H5749" s="35" t="s">
        <v>6683</v>
      </c>
      <c r="I5749" s="25" t="s">
        <v>7626</v>
      </c>
    </row>
    <row r="5750" spans="1:9" s="33" customFormat="1" ht="150">
      <c r="A5750" s="19">
        <v>43542.762037037042</v>
      </c>
      <c r="B5750" s="20" t="str">
        <f>HYPERLINK("https://twitter.com/xSerafinii","@xSerafinii")</f>
        <v>@xSerafinii</v>
      </c>
      <c r="C5750" s="21" t="s">
        <v>6681</v>
      </c>
      <c r="D5750" s="22" t="s">
        <v>10023</v>
      </c>
      <c r="E5750" s="23" t="str">
        <f>HYPERLINK("http://tapbots.com/tweetbot","Tweetbot for iΟS")</f>
        <v>Tweetbot for iΟS</v>
      </c>
      <c r="F5750" s="19">
        <v>40617.570057870369</v>
      </c>
      <c r="G5750" s="17" t="s">
        <v>13000</v>
      </c>
      <c r="H5750" s="35" t="s">
        <v>6683</v>
      </c>
      <c r="I5750" s="25" t="s">
        <v>6684</v>
      </c>
    </row>
    <row r="5751" spans="1:9" s="33" customFormat="1" ht="135">
      <c r="A5751" s="4">
        <v>43564.325671296298</v>
      </c>
      <c r="B5751" s="5" t="str">
        <f>HYPERLINK("https://twitter.com/xSerafinii","@xSerafinii")</f>
        <v>@xSerafinii</v>
      </c>
      <c r="C5751" s="6" t="s">
        <v>6681</v>
      </c>
      <c r="D5751" s="7" t="s">
        <v>6682</v>
      </c>
      <c r="E5751" s="8" t="str">
        <f>HYPERLINK("http://tapbots.com/tweetbot","Tweetbot for iΟS")</f>
        <v>Tweetbot for iΟS</v>
      </c>
      <c r="F5751" s="4">
        <v>40617.570057870369</v>
      </c>
      <c r="G5751" s="17" t="s">
        <v>13000</v>
      </c>
      <c r="H5751" s="35" t="s">
        <v>6683</v>
      </c>
      <c r="I5751" s="10" t="s">
        <v>6684</v>
      </c>
    </row>
    <row r="5752" spans="1:9" s="33" customFormat="1" ht="105">
      <c r="A5752" s="4">
        <v>43564.317430555559</v>
      </c>
      <c r="B5752" s="5" t="str">
        <f>HYPERLINK("https://twitter.com/xSerafinii","@xSerafinii")</f>
        <v>@xSerafinii</v>
      </c>
      <c r="C5752" s="6" t="s">
        <v>6681</v>
      </c>
      <c r="D5752" s="7" t="s">
        <v>6694</v>
      </c>
      <c r="E5752" s="8" t="str">
        <f>HYPERLINK("http://tapbots.com/tweetbot","Tweetbot for iΟS")</f>
        <v>Tweetbot for iΟS</v>
      </c>
      <c r="F5752" s="4">
        <v>40617.570057870369</v>
      </c>
      <c r="G5752" s="17" t="s">
        <v>13000</v>
      </c>
      <c r="H5752" s="35" t="s">
        <v>6683</v>
      </c>
      <c r="I5752" s="10" t="s">
        <v>6684</v>
      </c>
    </row>
    <row r="5753" spans="1:9" s="33" customFormat="1" ht="60">
      <c r="A5753" s="4">
        <v>43562.500798611116</v>
      </c>
      <c r="B5753" s="5" t="str">
        <f>HYPERLINK("https://twitter.com/SpitzenCleaning","@SpitzenCleaning")</f>
        <v>@SpitzenCleaning</v>
      </c>
      <c r="C5753" s="6" t="s">
        <v>7624</v>
      </c>
      <c r="D5753" s="7" t="s">
        <v>10657</v>
      </c>
      <c r="E5753" s="8" t="str">
        <f>HYPERLINK("https://www.hootsuite.com","Hootsuite Inc.")</f>
        <v>Hootsuite Inc.</v>
      </c>
      <c r="F5753" s="4">
        <v>43075.380740740744</v>
      </c>
      <c r="G5753" s="17" t="s">
        <v>13000</v>
      </c>
      <c r="H5753" s="35" t="s">
        <v>6683</v>
      </c>
      <c r="I5753" s="10" t="s">
        <v>7626</v>
      </c>
    </row>
    <row r="5754" spans="1:9" s="33" customFormat="1" ht="45">
      <c r="A5754" s="12">
        <v>43570.50105324074</v>
      </c>
      <c r="B5754" s="13" t="str">
        <f>HYPERLINK("https://twitter.com/TambalaStrategy","@TambalaStrategy")</f>
        <v>@TambalaStrategy</v>
      </c>
      <c r="C5754" s="14" t="s">
        <v>4101</v>
      </c>
      <c r="D5754" s="15" t="s">
        <v>4102</v>
      </c>
      <c r="E5754" s="16" t="str">
        <f>HYPERLINK("http://twitter.com","Twitter Web Client")</f>
        <v>Twitter Web Client</v>
      </c>
      <c r="F5754" s="12">
        <v>40289.296018518522</v>
      </c>
      <c r="G5754" s="17" t="s">
        <v>13000</v>
      </c>
      <c r="H5754" s="35" t="s">
        <v>4103</v>
      </c>
      <c r="I5754" s="18" t="s">
        <v>4104</v>
      </c>
    </row>
    <row r="5755" spans="1:9" s="33" customFormat="1" ht="120">
      <c r="A5755" s="12">
        <v>43566.746562500004</v>
      </c>
      <c r="B5755" s="13" t="str">
        <f>HYPERLINK("https://twitter.com/hannahbillings","@hannahbillings")</f>
        <v>@hannahbillings</v>
      </c>
      <c r="C5755" s="14" t="s">
        <v>5359</v>
      </c>
      <c r="D5755" s="15" t="s">
        <v>5360</v>
      </c>
      <c r="E5755" s="16" t="str">
        <f>HYPERLINK("http://twitter.com/download/iphone","Twitter for iPhone")</f>
        <v>Twitter for iPhone</v>
      </c>
      <c r="F5755" s="12">
        <v>40360.389687499999</v>
      </c>
      <c r="G5755" s="17" t="s">
        <v>13000</v>
      </c>
      <c r="H5755" s="35" t="s">
        <v>5361</v>
      </c>
      <c r="I5755" s="18" t="s">
        <v>5362</v>
      </c>
    </row>
    <row r="5756" spans="1:9" s="33" customFormat="1" ht="195">
      <c r="A5756" s="12">
        <v>43566.741249999999</v>
      </c>
      <c r="B5756" s="13" t="str">
        <f>HYPERLINK("https://twitter.com/hannahbillings","@hannahbillings")</f>
        <v>@hannahbillings</v>
      </c>
      <c r="C5756" s="14" t="s">
        <v>5359</v>
      </c>
      <c r="D5756" s="15" t="s">
        <v>5364</v>
      </c>
      <c r="E5756" s="16" t="str">
        <f>HYPERLINK("http://twitter.com/download/iphone","Twitter for iPhone")</f>
        <v>Twitter for iPhone</v>
      </c>
      <c r="F5756" s="12">
        <v>40360.389687499999</v>
      </c>
      <c r="G5756" s="17" t="s">
        <v>13000</v>
      </c>
      <c r="H5756" s="35" t="s">
        <v>5361</v>
      </c>
      <c r="I5756" s="18" t="s">
        <v>5362</v>
      </c>
    </row>
    <row r="5757" spans="1:9" s="33" customFormat="1" ht="45">
      <c r="A5757" s="12">
        <v>43574.686805555553</v>
      </c>
      <c r="B5757" s="13" t="str">
        <f>HYPERLINK("https://twitter.com/SouthsideDaily","@SouthsideDaily")</f>
        <v>@SouthsideDaily</v>
      </c>
      <c r="C5757" s="14" t="s">
        <v>2478</v>
      </c>
      <c r="D5757" s="15" t="s">
        <v>2479</v>
      </c>
      <c r="E5757" s="16" t="str">
        <f>HYPERLINK("https://about.twitter.com/products/tweetdeck","TweetDeck")</f>
        <v>TweetDeck</v>
      </c>
      <c r="F5757" s="12">
        <v>42229.40896990741</v>
      </c>
      <c r="G5757" s="17" t="s">
        <v>13000</v>
      </c>
      <c r="H5757" s="35" t="s">
        <v>2480</v>
      </c>
      <c r="I5757" s="18" t="s">
        <v>2481</v>
      </c>
    </row>
    <row r="5758" spans="1:9" s="33" customFormat="1" ht="105">
      <c r="A5758" s="19">
        <v>43551.663726851853</v>
      </c>
      <c r="B5758" s="20" t="str">
        <f t="shared" ref="B5758:B5763" si="215">HYPERLINK("https://twitter.com/DeerHideout","@DeerHideout")</f>
        <v>@DeerHideout</v>
      </c>
      <c r="C5758" s="21" t="s">
        <v>1562</v>
      </c>
      <c r="D5758" s="22" t="s">
        <v>7068</v>
      </c>
      <c r="E5758" s="23" t="str">
        <f t="shared" ref="E5758:E5763" si="216">HYPERLINK("http://twitter.com/download/android","Twitter for Android")</f>
        <v>Twitter for Android</v>
      </c>
      <c r="F5758" s="19">
        <v>43348.66238425926</v>
      </c>
      <c r="G5758" s="17" t="s">
        <v>13000</v>
      </c>
      <c r="H5758" s="35" t="s">
        <v>1564</v>
      </c>
      <c r="I5758" s="25" t="s">
        <v>1565</v>
      </c>
    </row>
    <row r="5759" spans="1:9" s="33" customFormat="1" ht="135">
      <c r="A5759" s="19">
        <v>43548.644212962958</v>
      </c>
      <c r="B5759" s="20" t="str">
        <f t="shared" si="215"/>
        <v>@DeerHideout</v>
      </c>
      <c r="C5759" s="21" t="s">
        <v>1562</v>
      </c>
      <c r="D5759" s="22" t="s">
        <v>8254</v>
      </c>
      <c r="E5759" s="23" t="str">
        <f t="shared" si="216"/>
        <v>Twitter for Android</v>
      </c>
      <c r="F5759" s="19">
        <v>43348.66238425926</v>
      </c>
      <c r="G5759" s="17" t="s">
        <v>13000</v>
      </c>
      <c r="H5759" s="35" t="s">
        <v>1564</v>
      </c>
      <c r="I5759" s="25" t="s">
        <v>1565</v>
      </c>
    </row>
    <row r="5760" spans="1:9" s="33" customFormat="1" ht="105">
      <c r="A5760" s="19">
        <v>43545.510381944448</v>
      </c>
      <c r="B5760" s="20" t="str">
        <f t="shared" si="215"/>
        <v>@DeerHideout</v>
      </c>
      <c r="C5760" s="21" t="s">
        <v>1562</v>
      </c>
      <c r="D5760" s="22" t="s">
        <v>9118</v>
      </c>
      <c r="E5760" s="23" t="str">
        <f t="shared" si="216"/>
        <v>Twitter for Android</v>
      </c>
      <c r="F5760" s="19">
        <v>43348.66238425926</v>
      </c>
      <c r="G5760" s="17" t="s">
        <v>13000</v>
      </c>
      <c r="H5760" s="35" t="s">
        <v>1564</v>
      </c>
      <c r="I5760" s="25" t="s">
        <v>1565</v>
      </c>
    </row>
    <row r="5761" spans="1:9" s="33" customFormat="1" ht="105">
      <c r="A5761" s="19">
        <v>43543.423090277778</v>
      </c>
      <c r="B5761" s="20" t="str">
        <f t="shared" si="215"/>
        <v>@DeerHideout</v>
      </c>
      <c r="C5761" s="21" t="s">
        <v>1562</v>
      </c>
      <c r="D5761" s="22" t="s">
        <v>9812</v>
      </c>
      <c r="E5761" s="23" t="str">
        <f t="shared" si="216"/>
        <v>Twitter for Android</v>
      </c>
      <c r="F5761" s="19">
        <v>43348.66238425926</v>
      </c>
      <c r="G5761" s="17" t="s">
        <v>13000</v>
      </c>
      <c r="H5761" s="35" t="s">
        <v>1564</v>
      </c>
      <c r="I5761" s="25" t="s">
        <v>1565</v>
      </c>
    </row>
    <row r="5762" spans="1:9" s="33" customFormat="1" ht="105">
      <c r="A5762" s="19">
        <v>43542.564039351855</v>
      </c>
      <c r="B5762" s="20" t="str">
        <f t="shared" si="215"/>
        <v>@DeerHideout</v>
      </c>
      <c r="C5762" s="21" t="s">
        <v>1562</v>
      </c>
      <c r="D5762" s="22" t="s">
        <v>10103</v>
      </c>
      <c r="E5762" s="23" t="str">
        <f t="shared" si="216"/>
        <v>Twitter for Android</v>
      </c>
      <c r="F5762" s="19">
        <v>43348.66238425926</v>
      </c>
      <c r="G5762" s="17" t="s">
        <v>13000</v>
      </c>
      <c r="H5762" s="35" t="s">
        <v>1564</v>
      </c>
      <c r="I5762" s="25" t="s">
        <v>1565</v>
      </c>
    </row>
    <row r="5763" spans="1:9" s="33" customFormat="1" ht="105">
      <c r="A5763" s="4">
        <v>43565.802708333329</v>
      </c>
      <c r="B5763" s="5" t="str">
        <f t="shared" si="215"/>
        <v>@DeerHideout</v>
      </c>
      <c r="C5763" s="6" t="s">
        <v>1562</v>
      </c>
      <c r="D5763" s="7" t="s">
        <v>5892</v>
      </c>
      <c r="E5763" s="8" t="str">
        <f t="shared" si="216"/>
        <v>Twitter for Android</v>
      </c>
      <c r="F5763" s="4">
        <v>43348.66238425926</v>
      </c>
      <c r="G5763" s="17" t="s">
        <v>13000</v>
      </c>
      <c r="H5763" s="35" t="s">
        <v>1564</v>
      </c>
      <c r="I5763" s="10" t="s">
        <v>1565</v>
      </c>
    </row>
    <row r="5764" spans="1:9" s="33" customFormat="1" ht="90">
      <c r="A5764" s="4">
        <v>43564.394768518519</v>
      </c>
      <c r="B5764" s="5" t="str">
        <f>HYPERLINK("https://twitter.com/dreamtoipo","@dreamtoipo")</f>
        <v>@dreamtoipo</v>
      </c>
      <c r="C5764" s="6" t="s">
        <v>6630</v>
      </c>
      <c r="D5764" s="7" t="s">
        <v>6631</v>
      </c>
      <c r="E5764" s="8" t="str">
        <f>HYPERLINK("http://twitter.com","Twitter Web Client")</f>
        <v>Twitter Web Client</v>
      </c>
      <c r="F5764" s="4">
        <v>42079.112025462964</v>
      </c>
      <c r="G5764" s="17" t="s">
        <v>13000</v>
      </c>
      <c r="H5764" s="35" t="s">
        <v>1564</v>
      </c>
      <c r="I5764" s="10" t="s">
        <v>6632</v>
      </c>
    </row>
    <row r="5765" spans="1:9" s="33" customFormat="1" ht="90">
      <c r="A5765" s="4">
        <v>43561.592233796298</v>
      </c>
      <c r="B5765" s="5" t="str">
        <f>HYPERLINK("https://twitter.com/sonny_shad","@sonny_shad")</f>
        <v>@sonny_shad</v>
      </c>
      <c r="C5765" s="6" t="s">
        <v>10922</v>
      </c>
      <c r="D5765" s="7" t="s">
        <v>10923</v>
      </c>
      <c r="E5765" s="8" t="str">
        <f t="shared" ref="E5765:E5770" si="217">HYPERLINK("http://twitter.com/download/android","Twitter for Android")</f>
        <v>Twitter for Android</v>
      </c>
      <c r="F5765" s="4">
        <v>42745.823761574073</v>
      </c>
      <c r="G5765" s="17" t="s">
        <v>13000</v>
      </c>
      <c r="H5765" s="35" t="s">
        <v>1564</v>
      </c>
      <c r="I5765" s="10"/>
    </row>
    <row r="5766" spans="1:9" s="33" customFormat="1" ht="90">
      <c r="A5766" s="4">
        <v>43561.516087962962</v>
      </c>
      <c r="B5766" s="5" t="str">
        <f>HYPERLINK("https://twitter.com/sonny_shad","@sonny_shad")</f>
        <v>@sonny_shad</v>
      </c>
      <c r="C5766" s="6" t="s">
        <v>10922</v>
      </c>
      <c r="D5766" s="7" t="s">
        <v>10948</v>
      </c>
      <c r="E5766" s="8" t="str">
        <f t="shared" si="217"/>
        <v>Twitter for Android</v>
      </c>
      <c r="F5766" s="4">
        <v>42745.823761574073</v>
      </c>
      <c r="G5766" s="17" t="s">
        <v>13000</v>
      </c>
      <c r="H5766" s="35" t="s">
        <v>1564</v>
      </c>
      <c r="I5766" s="10"/>
    </row>
    <row r="5767" spans="1:9" s="33" customFormat="1" ht="120">
      <c r="A5767" s="12">
        <v>43577.588923611111</v>
      </c>
      <c r="B5767" s="13" t="str">
        <f>HYPERLINK("https://twitter.com/DeerHideout","@DeerHideout")</f>
        <v>@DeerHideout</v>
      </c>
      <c r="C5767" s="14" t="s">
        <v>1562</v>
      </c>
      <c r="D5767" s="15" t="s">
        <v>1563</v>
      </c>
      <c r="E5767" s="16" t="str">
        <f t="shared" si="217"/>
        <v>Twitter for Android</v>
      </c>
      <c r="F5767" s="12">
        <v>43348.66238425926</v>
      </c>
      <c r="G5767" s="17" t="s">
        <v>13000</v>
      </c>
      <c r="H5767" s="35" t="s">
        <v>1564</v>
      </c>
      <c r="I5767" s="18" t="s">
        <v>1565</v>
      </c>
    </row>
    <row r="5768" spans="1:9" s="33" customFormat="1" ht="105">
      <c r="A5768" s="12">
        <v>43572.242847222224</v>
      </c>
      <c r="B5768" s="13" t="str">
        <f>HYPERLINK("https://twitter.com/DeerHideout","@DeerHideout")</f>
        <v>@DeerHideout</v>
      </c>
      <c r="C5768" s="14" t="s">
        <v>1562</v>
      </c>
      <c r="D5768" s="15" t="s">
        <v>3361</v>
      </c>
      <c r="E5768" s="16" t="str">
        <f t="shared" si="217"/>
        <v>Twitter for Android</v>
      </c>
      <c r="F5768" s="12">
        <v>43348.66238425926</v>
      </c>
      <c r="G5768" s="17" t="s">
        <v>13000</v>
      </c>
      <c r="H5768" s="35" t="s">
        <v>1564</v>
      </c>
      <c r="I5768" s="18" t="s">
        <v>1565</v>
      </c>
    </row>
    <row r="5769" spans="1:9" s="33" customFormat="1" ht="60">
      <c r="A5769" s="12">
        <v>43568.940694444449</v>
      </c>
      <c r="B5769" s="13" t="str">
        <f>HYPERLINK("https://twitter.com/soysuperpapa","@soysuperpapa")</f>
        <v>@soysuperpapa</v>
      </c>
      <c r="C5769" s="14" t="s">
        <v>4618</v>
      </c>
      <c r="D5769" s="15" t="s">
        <v>4619</v>
      </c>
      <c r="E5769" s="16" t="str">
        <f t="shared" si="217"/>
        <v>Twitter for Android</v>
      </c>
      <c r="F5769" s="12">
        <v>42610.863275462965</v>
      </c>
      <c r="G5769" s="17" t="s">
        <v>13000</v>
      </c>
      <c r="H5769" s="35" t="s">
        <v>1564</v>
      </c>
      <c r="I5769" s="18" t="s">
        <v>4620</v>
      </c>
    </row>
    <row r="5770" spans="1:9" s="33" customFormat="1" ht="105">
      <c r="A5770" s="12">
        <v>43566.486400462964</v>
      </c>
      <c r="B5770" s="13" t="str">
        <f>HYPERLINK("https://twitter.com/DeerHideout","@DeerHideout")</f>
        <v>@DeerHideout</v>
      </c>
      <c r="C5770" s="14" t="s">
        <v>1562</v>
      </c>
      <c r="D5770" s="15" t="s">
        <v>5494</v>
      </c>
      <c r="E5770" s="16" t="str">
        <f t="shared" si="217"/>
        <v>Twitter for Android</v>
      </c>
      <c r="F5770" s="12">
        <v>43348.66238425926</v>
      </c>
      <c r="G5770" s="17" t="s">
        <v>13000</v>
      </c>
      <c r="H5770" s="35" t="s">
        <v>1564</v>
      </c>
      <c r="I5770" s="18" t="s">
        <v>1565</v>
      </c>
    </row>
    <row r="5771" spans="1:9" s="33" customFormat="1" ht="75">
      <c r="A5771" s="4">
        <v>43557.238310185188</v>
      </c>
      <c r="B5771" s="5" t="str">
        <f>HYPERLINK("https://twitter.com/CasaMeily","@CasaMeily")</f>
        <v>@CasaMeily</v>
      </c>
      <c r="C5771" s="6" t="s">
        <v>12608</v>
      </c>
      <c r="D5771" s="7" t="s">
        <v>12609</v>
      </c>
      <c r="E5771" s="8" t="str">
        <f t="shared" ref="E5771:E5777" si="218">HYPERLINK("http://twitter.com/download/iphone","Twitter for iPhone")</f>
        <v>Twitter for iPhone</v>
      </c>
      <c r="F5771" s="4">
        <v>41154.483935185184</v>
      </c>
      <c r="G5771" s="9" t="s">
        <v>13000</v>
      </c>
      <c r="H5771" s="35" t="s">
        <v>12610</v>
      </c>
      <c r="I5771" s="10" t="s">
        <v>12611</v>
      </c>
    </row>
    <row r="5772" spans="1:9" s="33" customFormat="1" ht="105">
      <c r="A5772" s="4">
        <v>43560.399664351848</v>
      </c>
      <c r="B5772" s="5" t="str">
        <f t="shared" ref="B5772:B5777" si="219">HYPERLINK("https://twitter.com/theelvishouse","@theelvishouse")</f>
        <v>@theelvishouse</v>
      </c>
      <c r="C5772" s="6" t="s">
        <v>1600</v>
      </c>
      <c r="D5772" s="7" t="s">
        <v>11409</v>
      </c>
      <c r="E5772" s="8" t="str">
        <f t="shared" si="218"/>
        <v>Twitter for iPhone</v>
      </c>
      <c r="F5772" s="4">
        <v>42929.7815162037</v>
      </c>
      <c r="G5772" s="17" t="s">
        <v>13000</v>
      </c>
      <c r="H5772" s="35" t="s">
        <v>1602</v>
      </c>
      <c r="I5772" s="10" t="s">
        <v>1603</v>
      </c>
    </row>
    <row r="5773" spans="1:9" s="33" customFormat="1" ht="90">
      <c r="A5773" s="12">
        <v>43577.493425925924</v>
      </c>
      <c r="B5773" s="13" t="str">
        <f t="shared" si="219"/>
        <v>@theelvishouse</v>
      </c>
      <c r="C5773" s="14" t="s">
        <v>1600</v>
      </c>
      <c r="D5773" s="15" t="s">
        <v>1601</v>
      </c>
      <c r="E5773" s="16" t="str">
        <f t="shared" si="218"/>
        <v>Twitter for iPhone</v>
      </c>
      <c r="F5773" s="12">
        <v>42929.7815162037</v>
      </c>
      <c r="G5773" s="17" t="s">
        <v>13000</v>
      </c>
      <c r="H5773" s="35" t="s">
        <v>1602</v>
      </c>
      <c r="I5773" s="18" t="s">
        <v>1603</v>
      </c>
    </row>
    <row r="5774" spans="1:9" s="33" customFormat="1" ht="105">
      <c r="A5774" s="12">
        <v>43576.47965277778</v>
      </c>
      <c r="B5774" s="13" t="str">
        <f t="shared" si="219"/>
        <v>@theelvishouse</v>
      </c>
      <c r="C5774" s="14" t="s">
        <v>1600</v>
      </c>
      <c r="D5774" s="15" t="s">
        <v>1929</v>
      </c>
      <c r="E5774" s="16" t="str">
        <f t="shared" si="218"/>
        <v>Twitter for iPhone</v>
      </c>
      <c r="F5774" s="12">
        <v>42929.7815162037</v>
      </c>
      <c r="G5774" s="17" t="s">
        <v>13000</v>
      </c>
      <c r="H5774" s="35" t="s">
        <v>1602</v>
      </c>
      <c r="I5774" s="18" t="s">
        <v>1603</v>
      </c>
    </row>
    <row r="5775" spans="1:9" s="33" customFormat="1" ht="105">
      <c r="A5775" s="12">
        <v>43574.628657407404</v>
      </c>
      <c r="B5775" s="13" t="str">
        <f t="shared" si="219"/>
        <v>@theelvishouse</v>
      </c>
      <c r="C5775" s="14" t="s">
        <v>1600</v>
      </c>
      <c r="D5775" s="15" t="s">
        <v>2490</v>
      </c>
      <c r="E5775" s="16" t="str">
        <f t="shared" si="218"/>
        <v>Twitter for iPhone</v>
      </c>
      <c r="F5775" s="12">
        <v>42929.7815162037</v>
      </c>
      <c r="G5775" s="17" t="s">
        <v>13000</v>
      </c>
      <c r="H5775" s="35" t="s">
        <v>1602</v>
      </c>
      <c r="I5775" s="18" t="s">
        <v>1603</v>
      </c>
    </row>
    <row r="5776" spans="1:9" s="33" customFormat="1" ht="105">
      <c r="A5776" s="12">
        <v>43572.81322916667</v>
      </c>
      <c r="B5776" s="13" t="str">
        <f t="shared" si="219"/>
        <v>@theelvishouse</v>
      </c>
      <c r="C5776" s="14" t="s">
        <v>1600</v>
      </c>
      <c r="D5776" s="15" t="s">
        <v>3084</v>
      </c>
      <c r="E5776" s="16" t="str">
        <f t="shared" si="218"/>
        <v>Twitter for iPhone</v>
      </c>
      <c r="F5776" s="12">
        <v>42929.7815162037</v>
      </c>
      <c r="G5776" s="17" t="s">
        <v>13000</v>
      </c>
      <c r="H5776" s="35" t="s">
        <v>1602</v>
      </c>
      <c r="I5776" s="18" t="s">
        <v>1603</v>
      </c>
    </row>
    <row r="5777" spans="1:9" s="33" customFormat="1" ht="90">
      <c r="A5777" s="12">
        <v>43570.691608796296</v>
      </c>
      <c r="B5777" s="13" t="str">
        <f t="shared" si="219"/>
        <v>@theelvishouse</v>
      </c>
      <c r="C5777" s="14" t="s">
        <v>1600</v>
      </c>
      <c r="D5777" s="15" t="s">
        <v>3994</v>
      </c>
      <c r="E5777" s="16" t="str">
        <f t="shared" si="218"/>
        <v>Twitter for iPhone</v>
      </c>
      <c r="F5777" s="12">
        <v>42929.7815162037</v>
      </c>
      <c r="G5777" s="17" t="s">
        <v>13000</v>
      </c>
      <c r="H5777" s="35" t="s">
        <v>1602</v>
      </c>
      <c r="I5777" s="18" t="s">
        <v>1603</v>
      </c>
    </row>
    <row r="5778" spans="1:9" s="33" customFormat="1" ht="105">
      <c r="A5778" s="12">
        <v>43570.941817129627</v>
      </c>
      <c r="B5778" s="13" t="str">
        <f>HYPERLINK("https://twitter.com/kiheicondoking","@kiheicondoking")</f>
        <v>@kiheicondoking</v>
      </c>
      <c r="C5778" s="14" t="s">
        <v>3928</v>
      </c>
      <c r="D5778" s="15" t="s">
        <v>3929</v>
      </c>
      <c r="E5778" s="16" t="str">
        <f>HYPERLINK("http://twitter.com","Twitter Web Client")</f>
        <v>Twitter Web Client</v>
      </c>
      <c r="F5778" s="12">
        <v>43451.521597222221</v>
      </c>
      <c r="G5778" s="17" t="s">
        <v>13000</v>
      </c>
      <c r="H5778" s="35" t="s">
        <v>3930</v>
      </c>
      <c r="I5778" s="18" t="s">
        <v>3931</v>
      </c>
    </row>
    <row r="5779" spans="1:9" s="33" customFormat="1" ht="30">
      <c r="A5779" s="19">
        <v>43551.794803240744</v>
      </c>
      <c r="B5779" s="20" t="str">
        <f>HYPERLINK("https://twitter.com/CRobX21","@CRobX21")</f>
        <v>@CRobX21</v>
      </c>
      <c r="C5779" s="21" t="s">
        <v>6997</v>
      </c>
      <c r="D5779" s="22" t="s">
        <v>6998</v>
      </c>
      <c r="E5779" s="23" t="str">
        <f>HYPERLINK("http://twitter.com/download/iphone","Twitter for iPhone")</f>
        <v>Twitter for iPhone</v>
      </c>
      <c r="F5779" s="19">
        <v>42039.755185185189</v>
      </c>
      <c r="G5779" s="24" t="s">
        <v>13000</v>
      </c>
      <c r="H5779" s="35" t="s">
        <v>6999</v>
      </c>
      <c r="I5779" s="25" t="s">
        <v>7000</v>
      </c>
    </row>
    <row r="5780" spans="1:9" s="33" customFormat="1" ht="45">
      <c r="A5780" s="19">
        <v>43542.643148148149</v>
      </c>
      <c r="B5780" s="20" t="str">
        <f>HYPERLINK("https://twitter.com/LeonaPartis","@LeonaPartis")</f>
        <v>@LeonaPartis</v>
      </c>
      <c r="C5780" s="21" t="s">
        <v>10050</v>
      </c>
      <c r="D5780" s="22" t="s">
        <v>10051</v>
      </c>
      <c r="E5780" s="23" t="str">
        <f>HYPERLINK("https://www.circlepix.com/","Circlepix")</f>
        <v>Circlepix</v>
      </c>
      <c r="F5780" s="19">
        <v>43199.696759259255</v>
      </c>
      <c r="G5780" s="24" t="s">
        <v>13000</v>
      </c>
      <c r="H5780" s="35" t="s">
        <v>10052</v>
      </c>
      <c r="I5780" s="25" t="s">
        <v>10053</v>
      </c>
    </row>
    <row r="5781" spans="1:9" s="33" customFormat="1" ht="75">
      <c r="A5781" s="12">
        <v>43570.311921296292</v>
      </c>
      <c r="B5781" s="13" t="str">
        <f>HYPERLINK("https://twitter.com/AlpineMade","@AlpineMade")</f>
        <v>@AlpineMade</v>
      </c>
      <c r="C5781" s="14" t="s">
        <v>4235</v>
      </c>
      <c r="D5781" s="15" t="s">
        <v>4236</v>
      </c>
      <c r="E5781" s="16" t="str">
        <f>HYPERLINK("http://instagram.com","Instagram")</f>
        <v>Instagram</v>
      </c>
      <c r="F5781" s="12">
        <v>41156.787731481483</v>
      </c>
      <c r="G5781" s="17" t="s">
        <v>13000</v>
      </c>
      <c r="H5781" s="35" t="s">
        <v>4237</v>
      </c>
      <c r="I5781" s="18" t="s">
        <v>4238</v>
      </c>
    </row>
    <row r="5782" spans="1:9" s="33" customFormat="1" ht="75">
      <c r="A5782" s="12">
        <v>43570.31086805556</v>
      </c>
      <c r="B5782" s="13" t="str">
        <f>HYPERLINK("https://twitter.com/AlpineMade","@AlpineMade")</f>
        <v>@AlpineMade</v>
      </c>
      <c r="C5782" s="14" t="s">
        <v>4235</v>
      </c>
      <c r="D5782" s="15" t="s">
        <v>4236</v>
      </c>
      <c r="E5782" s="16" t="str">
        <f>HYPERLINK("http://instagram.com","Instagram")</f>
        <v>Instagram</v>
      </c>
      <c r="F5782" s="12">
        <v>41156.787731481483</v>
      </c>
      <c r="G5782" s="17" t="s">
        <v>13000</v>
      </c>
      <c r="H5782" s="35" t="s">
        <v>4237</v>
      </c>
      <c r="I5782" s="18" t="s">
        <v>4238</v>
      </c>
    </row>
    <row r="5783" spans="1:9" s="33" customFormat="1" ht="90">
      <c r="A5783" s="12">
        <v>43579.985138888893</v>
      </c>
      <c r="B5783" s="13" t="str">
        <f>HYPERLINK("https://twitter.com/TSMWoodwork","@TSMWoodwork")</f>
        <v>@TSMWoodwork</v>
      </c>
      <c r="C5783" s="14" t="s">
        <v>366</v>
      </c>
      <c r="D5783" s="15" t="s">
        <v>367</v>
      </c>
      <c r="E5783" s="16" t="str">
        <f>HYPERLINK("http://instagram.com","Instagram")</f>
        <v>Instagram</v>
      </c>
      <c r="F5783" s="12">
        <v>41224.302488425928</v>
      </c>
      <c r="G5783" s="17" t="s">
        <v>13000</v>
      </c>
      <c r="H5783" s="35" t="s">
        <v>368</v>
      </c>
      <c r="I5783" s="18" t="s">
        <v>369</v>
      </c>
    </row>
    <row r="5784" spans="1:9" s="33" customFormat="1" ht="60">
      <c r="A5784" s="4">
        <v>43558.666643518518</v>
      </c>
      <c r="B5784" s="5" t="str">
        <f>HYPERLINK("https://twitter.com/RedheadedWritin","@RedheadedWritin")</f>
        <v>@RedheadedWritin</v>
      </c>
      <c r="C5784" s="6" t="s">
        <v>12085</v>
      </c>
      <c r="D5784" s="7" t="s">
        <v>12086</v>
      </c>
      <c r="E5784" s="8" t="str">
        <f>HYPERLINK("http://www.facebook.com/twitter","Facebook")</f>
        <v>Facebook</v>
      </c>
      <c r="F5784" s="4">
        <v>40350.49596064815</v>
      </c>
      <c r="G5784" s="9" t="s">
        <v>13000</v>
      </c>
      <c r="H5784" s="35" t="s">
        <v>12087</v>
      </c>
      <c r="I5784" s="10" t="s">
        <v>12088</v>
      </c>
    </row>
    <row r="5785" spans="1:9" s="33" customFormat="1" ht="60">
      <c r="A5785" s="4">
        <v>43558.666458333333</v>
      </c>
      <c r="B5785" s="5" t="str">
        <f>HYPERLINK("https://twitter.com/RedheadedWritin","@RedheadedWritin")</f>
        <v>@RedheadedWritin</v>
      </c>
      <c r="C5785" s="6" t="s">
        <v>12085</v>
      </c>
      <c r="D5785" s="7" t="s">
        <v>12086</v>
      </c>
      <c r="E5785" s="8" t="str">
        <f>HYPERLINK("http://instagram.com","Instagram")</f>
        <v>Instagram</v>
      </c>
      <c r="F5785" s="4">
        <v>40350.49596064815</v>
      </c>
      <c r="G5785" s="9" t="s">
        <v>13000</v>
      </c>
      <c r="H5785" s="35" t="s">
        <v>12087</v>
      </c>
      <c r="I5785" s="10" t="s">
        <v>12088</v>
      </c>
    </row>
    <row r="5786" spans="1:9" s="33" customFormat="1" ht="45">
      <c r="A5786" s="12">
        <v>43570.500416666662</v>
      </c>
      <c r="B5786" s="13" t="str">
        <f t="shared" ref="B5786:B5791" si="220">HYPERLINK("https://twitter.com/PalestineChron","@PalestineChron")</f>
        <v>@PalestineChron</v>
      </c>
      <c r="C5786" s="14" t="s">
        <v>4105</v>
      </c>
      <c r="D5786" s="15" t="s">
        <v>4106</v>
      </c>
      <c r="E5786" s="16" t="str">
        <f t="shared" ref="E5786:E5791" si="221">HYPERLINK("https://buffer.com","Buffer")</f>
        <v>Buffer</v>
      </c>
      <c r="F5786" s="12">
        <v>41235.568113425928</v>
      </c>
      <c r="G5786" s="9" t="s">
        <v>13000</v>
      </c>
      <c r="H5786" s="35" t="s">
        <v>4107</v>
      </c>
      <c r="I5786" s="18" t="s">
        <v>4108</v>
      </c>
    </row>
    <row r="5787" spans="1:9" s="33" customFormat="1" ht="30">
      <c r="A5787" s="12">
        <v>43568.500023148154</v>
      </c>
      <c r="B5787" s="13" t="str">
        <f t="shared" si="220"/>
        <v>@PalestineChron</v>
      </c>
      <c r="C5787" s="14" t="s">
        <v>4105</v>
      </c>
      <c r="D5787" s="15" t="s">
        <v>4727</v>
      </c>
      <c r="E5787" s="16" t="str">
        <f t="shared" si="221"/>
        <v>Buffer</v>
      </c>
      <c r="F5787" s="12">
        <v>41235.568113425928</v>
      </c>
      <c r="G5787" s="9" t="s">
        <v>13000</v>
      </c>
      <c r="H5787" s="35" t="s">
        <v>4107</v>
      </c>
      <c r="I5787" s="18" t="s">
        <v>4108</v>
      </c>
    </row>
    <row r="5788" spans="1:9" s="33" customFormat="1" ht="30">
      <c r="A5788" s="12">
        <v>43567.292141203703</v>
      </c>
      <c r="B5788" s="13" t="str">
        <f t="shared" si="220"/>
        <v>@PalestineChron</v>
      </c>
      <c r="C5788" s="14" t="s">
        <v>4105</v>
      </c>
      <c r="D5788" s="15" t="s">
        <v>5182</v>
      </c>
      <c r="E5788" s="16" t="str">
        <f t="shared" si="221"/>
        <v>Buffer</v>
      </c>
      <c r="F5788" s="12">
        <v>41235.568113425928</v>
      </c>
      <c r="G5788" s="9" t="s">
        <v>13000</v>
      </c>
      <c r="H5788" s="35" t="s">
        <v>4107</v>
      </c>
      <c r="I5788" s="18" t="s">
        <v>4108</v>
      </c>
    </row>
    <row r="5789" spans="1:9" s="33" customFormat="1" ht="30">
      <c r="A5789" s="12">
        <v>43566.445</v>
      </c>
      <c r="B5789" s="13" t="str">
        <f t="shared" si="220"/>
        <v>@PalestineChron</v>
      </c>
      <c r="C5789" s="14" t="s">
        <v>4105</v>
      </c>
      <c r="D5789" s="15" t="s">
        <v>5532</v>
      </c>
      <c r="E5789" s="16" t="str">
        <f t="shared" si="221"/>
        <v>Buffer</v>
      </c>
      <c r="F5789" s="12">
        <v>41235.568113425928</v>
      </c>
      <c r="G5789" s="9" t="s">
        <v>13000</v>
      </c>
      <c r="H5789" s="35" t="s">
        <v>4107</v>
      </c>
      <c r="I5789" s="18" t="s">
        <v>4108</v>
      </c>
    </row>
    <row r="5790" spans="1:9" s="33" customFormat="1" ht="30">
      <c r="A5790" s="12">
        <v>43566.422500000001</v>
      </c>
      <c r="B5790" s="13" t="str">
        <f t="shared" si="220"/>
        <v>@PalestineChron</v>
      </c>
      <c r="C5790" s="14" t="s">
        <v>4105</v>
      </c>
      <c r="D5790" s="15" t="s">
        <v>5542</v>
      </c>
      <c r="E5790" s="16" t="str">
        <f t="shared" si="221"/>
        <v>Buffer</v>
      </c>
      <c r="F5790" s="12">
        <v>41235.568113425928</v>
      </c>
      <c r="G5790" s="9" t="s">
        <v>13000</v>
      </c>
      <c r="H5790" s="35" t="s">
        <v>4107</v>
      </c>
      <c r="I5790" s="18" t="s">
        <v>4108</v>
      </c>
    </row>
    <row r="5791" spans="1:9" s="33" customFormat="1" ht="45">
      <c r="A5791" s="12">
        <v>43566.134606481486</v>
      </c>
      <c r="B5791" s="13" t="str">
        <f t="shared" si="220"/>
        <v>@PalestineChron</v>
      </c>
      <c r="C5791" s="14" t="s">
        <v>4105</v>
      </c>
      <c r="D5791" s="15" t="s">
        <v>5775</v>
      </c>
      <c r="E5791" s="16" t="str">
        <f t="shared" si="221"/>
        <v>Buffer</v>
      </c>
      <c r="F5791" s="12">
        <v>41235.568113425928</v>
      </c>
      <c r="G5791" s="9" t="s">
        <v>13000</v>
      </c>
      <c r="H5791" s="35" t="s">
        <v>4107</v>
      </c>
      <c r="I5791" s="18" t="s">
        <v>4108</v>
      </c>
    </row>
    <row r="5792" spans="1:9" s="33" customFormat="1" ht="105">
      <c r="A5792" s="19">
        <v>43549.379016203704</v>
      </c>
      <c r="B5792" s="20" t="str">
        <f>HYPERLINK("https://twitter.com/NetworksManager","@NetworksManager")</f>
        <v>@NetworksManager</v>
      </c>
      <c r="C5792" s="21" t="s">
        <v>8069</v>
      </c>
      <c r="D5792" s="22" t="s">
        <v>8070</v>
      </c>
      <c r="E5792" s="23" t="str">
        <f>HYPERLINK("https://studio.twitter.com","Twitter Media Studio")</f>
        <v>Twitter Media Studio</v>
      </c>
      <c r="F5792" s="19">
        <v>40228.285902777774</v>
      </c>
      <c r="G5792" s="9" t="s">
        <v>13000</v>
      </c>
      <c r="H5792" s="35" t="s">
        <v>8071</v>
      </c>
      <c r="I5792" s="25" t="s">
        <v>8072</v>
      </c>
    </row>
    <row r="5793" spans="1:9" s="33" customFormat="1" ht="45">
      <c r="A5793" s="4">
        <v>43560.434062500004</v>
      </c>
      <c r="B5793" s="5" t="str">
        <f>HYPERLINK("https://twitter.com/CapstoneStrat","@CapstoneStrat")</f>
        <v>@CapstoneStrat</v>
      </c>
      <c r="C5793" s="6" t="s">
        <v>11375</v>
      </c>
      <c r="D5793" s="7" t="s">
        <v>11328</v>
      </c>
      <c r="E5793" s="8" t="str">
        <f>HYPERLINK("https://www.hootsuite.com","Hootsuite Inc.")</f>
        <v>Hootsuite Inc.</v>
      </c>
      <c r="F5793" s="4">
        <v>41291.472719907411</v>
      </c>
      <c r="G5793" s="9" t="s">
        <v>13000</v>
      </c>
      <c r="H5793" s="35" t="s">
        <v>8071</v>
      </c>
      <c r="I5793" s="10" t="s">
        <v>11376</v>
      </c>
    </row>
    <row r="5794" spans="1:9" s="33" customFormat="1" ht="45">
      <c r="A5794" s="4">
        <v>43557.489675925928</v>
      </c>
      <c r="B5794" s="5" t="str">
        <f>HYPERLINK("https://twitter.com/CapstoneStrat","@CapstoneStrat")</f>
        <v>@CapstoneStrat</v>
      </c>
      <c r="C5794" s="6" t="s">
        <v>11375</v>
      </c>
      <c r="D5794" s="7" t="s">
        <v>12501</v>
      </c>
      <c r="E5794" s="8" t="str">
        <f>HYPERLINK("https://www.hootsuite.com","Hootsuite Inc.")</f>
        <v>Hootsuite Inc.</v>
      </c>
      <c r="F5794" s="4">
        <v>41291.472719907411</v>
      </c>
      <c r="G5794" s="9" t="s">
        <v>13000</v>
      </c>
      <c r="H5794" s="35" t="s">
        <v>8071</v>
      </c>
      <c r="I5794" s="10" t="s">
        <v>11376</v>
      </c>
    </row>
    <row r="5795" spans="1:9" s="33" customFormat="1" ht="60">
      <c r="A5795" s="12">
        <v>43578.75304398148</v>
      </c>
      <c r="B5795" s="13" t="str">
        <f>HYPERLINK("https://twitter.com/sdmcmaster","@sdmcmaster")</f>
        <v>@sdmcmaster</v>
      </c>
      <c r="C5795" s="14" t="s">
        <v>1049</v>
      </c>
      <c r="D5795" s="15" t="s">
        <v>1050</v>
      </c>
      <c r="E5795" s="16" t="str">
        <f>HYPERLINK("http://twitter.com","Twitter Web Client")</f>
        <v>Twitter Web Client</v>
      </c>
      <c r="F5795" s="12">
        <v>40102.815347222218</v>
      </c>
      <c r="G5795" s="9" t="s">
        <v>13000</v>
      </c>
      <c r="H5795" s="35" t="s">
        <v>1051</v>
      </c>
      <c r="I5795" s="18" t="s">
        <v>1052</v>
      </c>
    </row>
    <row r="5796" spans="1:9" s="33" customFormat="1" ht="45">
      <c r="A5796" s="4">
        <v>43560.541620370372</v>
      </c>
      <c r="B5796" s="5" t="str">
        <f>HYPERLINK("https://twitter.com/fjwakron","@fjwakron")</f>
        <v>@fjwakron</v>
      </c>
      <c r="C5796" s="6" t="s">
        <v>11312</v>
      </c>
      <c r="D5796" s="7" t="s">
        <v>11313</v>
      </c>
      <c r="E5796" s="8" t="str">
        <f>HYPERLINK("http://twitter.com/download/iphone","Twitter for iPhone")</f>
        <v>Twitter for iPhone</v>
      </c>
      <c r="F5796" s="4">
        <v>39857.694733796292</v>
      </c>
      <c r="G5796" s="9" t="s">
        <v>13000</v>
      </c>
      <c r="H5796" s="35" t="s">
        <v>11314</v>
      </c>
      <c r="I5796" s="10" t="s">
        <v>11315</v>
      </c>
    </row>
    <row r="5797" spans="1:9" s="33" customFormat="1" ht="30">
      <c r="A5797" s="19">
        <v>43551.2658912037</v>
      </c>
      <c r="B5797" s="20" t="str">
        <f>HYPERLINK("https://twitter.com/DonteeW","@DonteeW")</f>
        <v>@DonteeW</v>
      </c>
      <c r="C5797" s="21" t="s">
        <v>7369</v>
      </c>
      <c r="D5797" s="22" t="s">
        <v>7370</v>
      </c>
      <c r="E5797" s="23" t="str">
        <f>HYPERLINK("http://twitter.com/download/iphone","Twitter for iPhone")</f>
        <v>Twitter for iPhone</v>
      </c>
      <c r="F5797" s="19">
        <v>41408.780486111107</v>
      </c>
      <c r="G5797" s="9" t="s">
        <v>13000</v>
      </c>
      <c r="H5797" s="35" t="s">
        <v>550</v>
      </c>
      <c r="I5797" s="25" t="s">
        <v>7371</v>
      </c>
    </row>
    <row r="5798" spans="1:9" s="33" customFormat="1" ht="105">
      <c r="A5798" s="19">
        <v>43550.716736111106</v>
      </c>
      <c r="B5798" s="20" t="str">
        <f>HYPERLINK("https://twitter.com/LeoLainez_","@LeoLainez_")</f>
        <v>@LeoLainez_</v>
      </c>
      <c r="C5798" s="21" t="s">
        <v>7528</v>
      </c>
      <c r="D5798" s="22" t="s">
        <v>7529</v>
      </c>
      <c r="E5798" s="23" t="str">
        <f>HYPERLINK("http://twitter.com/download/iphone","Twitter for iPhone")</f>
        <v>Twitter for iPhone</v>
      </c>
      <c r="F5798" s="19">
        <v>39842.30097222222</v>
      </c>
      <c r="G5798" s="9" t="s">
        <v>13000</v>
      </c>
      <c r="H5798" s="35" t="s">
        <v>550</v>
      </c>
      <c r="I5798" s="25" t="s">
        <v>7530</v>
      </c>
    </row>
    <row r="5799" spans="1:9" s="33" customFormat="1" ht="45">
      <c r="A5799" s="19">
        <v>43550.61142361111</v>
      </c>
      <c r="B5799" s="20" t="str">
        <f>HYPERLINK("https://twitter.com/Daroff","@Daroff")</f>
        <v>@Daroff</v>
      </c>
      <c r="C5799" s="21" t="s">
        <v>7586</v>
      </c>
      <c r="D5799" s="22" t="s">
        <v>7587</v>
      </c>
      <c r="E5799" s="23" t="str">
        <f>HYPERLINK("http://twitter.com/download/iphone","Twitter for iPhone")</f>
        <v>Twitter for iPhone</v>
      </c>
      <c r="F5799" s="19">
        <v>39422.995266203703</v>
      </c>
      <c r="G5799" s="9" t="s">
        <v>13000</v>
      </c>
      <c r="H5799" s="35" t="s">
        <v>550</v>
      </c>
      <c r="I5799" s="25" t="s">
        <v>7588</v>
      </c>
    </row>
    <row r="5800" spans="1:9" s="33" customFormat="1" ht="90">
      <c r="A5800" s="19">
        <v>43550.507002314815</v>
      </c>
      <c r="B5800" s="20" t="str">
        <f>HYPERLINK("https://twitter.com/4JRealEstate","@4JRealEstate")</f>
        <v>@4JRealEstate</v>
      </c>
      <c r="C5800" s="21" t="s">
        <v>7631</v>
      </c>
      <c r="D5800" s="22" t="s">
        <v>7632</v>
      </c>
      <c r="E5800" s="23" t="str">
        <f>HYPERLINK("https://www.hootsuite.com","Hootsuite Inc.")</f>
        <v>Hootsuite Inc.</v>
      </c>
      <c r="F5800" s="19">
        <v>42089.597395833334</v>
      </c>
      <c r="G5800" s="9" t="s">
        <v>13000</v>
      </c>
      <c r="H5800" s="35" t="s">
        <v>550</v>
      </c>
      <c r="I5800" s="25" t="s">
        <v>7633</v>
      </c>
    </row>
    <row r="5801" spans="1:9" s="33" customFormat="1" ht="90">
      <c r="A5801" s="19">
        <v>43546.252696759257</v>
      </c>
      <c r="B5801" s="20" t="str">
        <f>HYPERLINK("https://twitter.com/moeshesha","@moeshesha")</f>
        <v>@moeshesha</v>
      </c>
      <c r="C5801" s="21" t="s">
        <v>8920</v>
      </c>
      <c r="D5801" s="22" t="s">
        <v>8921</v>
      </c>
      <c r="E5801" s="23" t="str">
        <f>HYPERLINK("http://twitter.com/download/android","Twitter for Android")</f>
        <v>Twitter for Android</v>
      </c>
      <c r="F5801" s="19">
        <v>42736.614131944443</v>
      </c>
      <c r="G5801" s="9" t="s">
        <v>13000</v>
      </c>
      <c r="H5801" s="35" t="s">
        <v>550</v>
      </c>
      <c r="I5801" s="25" t="s">
        <v>8922</v>
      </c>
    </row>
    <row r="5802" spans="1:9" s="33" customFormat="1" ht="105">
      <c r="A5802" s="19">
        <v>43546.1637037037</v>
      </c>
      <c r="B5802" s="20" t="str">
        <f>HYPERLINK("https://twitter.com/ElianasLight","@ElianasLight")</f>
        <v>@ElianasLight</v>
      </c>
      <c r="C5802" s="21" t="s">
        <v>8947</v>
      </c>
      <c r="D5802" s="22" t="s">
        <v>8948</v>
      </c>
      <c r="E5802" s="23" t="str">
        <f>HYPERLINK("http://twitter.com","Twitter Web Client")</f>
        <v>Twitter Web Client</v>
      </c>
      <c r="F5802" s="19">
        <v>42690.182835648149</v>
      </c>
      <c r="G5802" s="9" t="s">
        <v>13000</v>
      </c>
      <c r="H5802" s="35" t="s">
        <v>550</v>
      </c>
      <c r="I5802" s="25" t="s">
        <v>8949</v>
      </c>
    </row>
    <row r="5803" spans="1:9" s="33" customFormat="1" ht="90">
      <c r="A5803" s="4">
        <v>43565.40347222222</v>
      </c>
      <c r="B5803" s="5" t="str">
        <f>HYPERLINK("https://twitter.com/AlMonitor","@AlMonitor")</f>
        <v>@AlMonitor</v>
      </c>
      <c r="C5803" s="6" t="s">
        <v>6110</v>
      </c>
      <c r="D5803" s="7" t="s">
        <v>6111</v>
      </c>
      <c r="E5803" s="8" t="str">
        <f>HYPERLINK("https://about.twitter.com/products/tweetdeck","TweetDeck")</f>
        <v>TweetDeck</v>
      </c>
      <c r="F5803" s="4">
        <v>40662.443553240737</v>
      </c>
      <c r="G5803" s="9" t="s">
        <v>13000</v>
      </c>
      <c r="H5803" s="35" t="s">
        <v>550</v>
      </c>
      <c r="I5803" s="10" t="s">
        <v>6112</v>
      </c>
    </row>
    <row r="5804" spans="1:9" s="33" customFormat="1" ht="30">
      <c r="A5804" s="4">
        <v>43565.393634259264</v>
      </c>
      <c r="B5804" s="5" t="str">
        <f>HYPERLINK("https://twitter.com/crypticvalentin","@crypticvalentin")</f>
        <v>@crypticvalentin</v>
      </c>
      <c r="C5804" s="6" t="s">
        <v>10176</v>
      </c>
      <c r="D5804" s="7" t="s">
        <v>10177</v>
      </c>
      <c r="E5804" s="8" t="str">
        <f>HYPERLINK("http://twitter.com","Twitter Web Client")</f>
        <v>Twitter Web Client</v>
      </c>
      <c r="F5804" s="4">
        <v>39779.077789351853</v>
      </c>
      <c r="G5804" s="9" t="s">
        <v>13000</v>
      </c>
      <c r="H5804" s="35" t="s">
        <v>550</v>
      </c>
      <c r="I5804" s="10" t="s">
        <v>10178</v>
      </c>
    </row>
    <row r="5805" spans="1:9" s="33" customFormat="1" ht="45">
      <c r="A5805" s="4">
        <v>43565.268437499995</v>
      </c>
      <c r="B5805" s="5" t="str">
        <f>HYPERLINK("https://twitter.com/jacksonrichman","@jacksonrichman")</f>
        <v>@jacksonrichman</v>
      </c>
      <c r="C5805" s="6" t="s">
        <v>6200</v>
      </c>
      <c r="D5805" s="7" t="s">
        <v>6201</v>
      </c>
      <c r="E5805" s="8" t="str">
        <f>HYPERLINK("http://twitter.com","Twitter Web Client")</f>
        <v>Twitter Web Client</v>
      </c>
      <c r="F5805" s="4">
        <v>41667.26798611111</v>
      </c>
      <c r="G5805" s="9" t="s">
        <v>13000</v>
      </c>
      <c r="H5805" s="35" t="s">
        <v>550</v>
      </c>
      <c r="I5805" s="10" t="s">
        <v>6202</v>
      </c>
    </row>
    <row r="5806" spans="1:9" s="33" customFormat="1" ht="30">
      <c r="A5806" s="4">
        <v>43564.250474537039</v>
      </c>
      <c r="B5806" s="5" t="str">
        <f>HYPERLINK("https://twitter.com/GeeboAds","@GeeboAds")</f>
        <v>@GeeboAds</v>
      </c>
      <c r="C5806" s="6" t="s">
        <v>6718</v>
      </c>
      <c r="D5806" s="7" t="s">
        <v>6715</v>
      </c>
      <c r="E5806" s="8" t="str">
        <f>HYPERLINK("http://twitter.com","Twitter Web Client")</f>
        <v>Twitter Web Client</v>
      </c>
      <c r="F5806" s="4">
        <v>40967.526203703703</v>
      </c>
      <c r="G5806" s="9" t="s">
        <v>13000</v>
      </c>
      <c r="H5806" s="35" t="s">
        <v>550</v>
      </c>
      <c r="I5806" s="10"/>
    </row>
    <row r="5807" spans="1:9" s="33" customFormat="1" ht="75">
      <c r="A5807" s="4">
        <v>43563.500347222223</v>
      </c>
      <c r="B5807" s="5" t="str">
        <f>HYPERLINK("https://twitter.com/MtVernonTri","@MtVernonTri")</f>
        <v>@MtVernonTri</v>
      </c>
      <c r="C5807" s="6" t="s">
        <v>10262</v>
      </c>
      <c r="D5807" s="7" t="s">
        <v>10263</v>
      </c>
      <c r="E5807" s="8" t="str">
        <f>HYPERLINK("https://www.hootsuite.com","Hootsuite Inc.")</f>
        <v>Hootsuite Inc.</v>
      </c>
      <c r="F5807" s="4">
        <v>40975.520671296297</v>
      </c>
      <c r="G5807" s="9" t="s">
        <v>13000</v>
      </c>
      <c r="H5807" s="35" t="s">
        <v>550</v>
      </c>
      <c r="I5807" s="10" t="s">
        <v>10264</v>
      </c>
    </row>
    <row r="5808" spans="1:9" s="33" customFormat="1" ht="45">
      <c r="A5808" s="4">
        <v>43560.5</v>
      </c>
      <c r="B5808" s="5" t="str">
        <f>HYPERLINK("https://twitter.com/GrowthEngineers","@GrowthEngineers")</f>
        <v>@GrowthEngineers</v>
      </c>
      <c r="C5808" s="6" t="s">
        <v>11327</v>
      </c>
      <c r="D5808" s="7" t="s">
        <v>11328</v>
      </c>
      <c r="E5808" s="8" t="str">
        <f>HYPERLINK("https://about.twitter.com/products/tweetdeck","TweetDeck")</f>
        <v>TweetDeck</v>
      </c>
      <c r="F5808" s="4">
        <v>40261.469537037039</v>
      </c>
      <c r="G5808" s="9" t="s">
        <v>13000</v>
      </c>
      <c r="H5808" s="35" t="s">
        <v>550</v>
      </c>
      <c r="I5808" s="10" t="s">
        <v>11329</v>
      </c>
    </row>
    <row r="5809" spans="1:9" s="33" customFormat="1" ht="105">
      <c r="A5809" s="4">
        <v>43560.255162037036</v>
      </c>
      <c r="B5809" s="5" t="str">
        <f>HYPERLINK("https://twitter.com/UrbConDC","@UrbConDC")</f>
        <v>@UrbConDC</v>
      </c>
      <c r="C5809" s="6" t="s">
        <v>11532</v>
      </c>
      <c r="D5809" s="7" t="s">
        <v>11533</v>
      </c>
      <c r="E5809" s="8" t="str">
        <f>HYPERLINK("http://twitter.com/download/iphone","Twitter for iPhone")</f>
        <v>Twitter for iPhone</v>
      </c>
      <c r="F5809" s="4">
        <v>43261.489907407406</v>
      </c>
      <c r="G5809" s="9" t="s">
        <v>13000</v>
      </c>
      <c r="H5809" s="35" t="s">
        <v>550</v>
      </c>
      <c r="I5809" s="10" t="s">
        <v>11534</v>
      </c>
    </row>
    <row r="5810" spans="1:9" s="33" customFormat="1" ht="105">
      <c r="A5810" s="4">
        <v>43559.564675925925</v>
      </c>
      <c r="B5810" s="5" t="str">
        <f>HYPERLINK("https://twitter.com/AuroraReinke","@AuroraReinke")</f>
        <v>@AuroraReinke</v>
      </c>
      <c r="C5810" s="6" t="s">
        <v>11757</v>
      </c>
      <c r="D5810" s="7" t="s">
        <v>11758</v>
      </c>
      <c r="E5810" s="8" t="str">
        <f>HYPERLINK("http://twitter.com","Twitter Web Client")</f>
        <v>Twitter Web Client</v>
      </c>
      <c r="F5810" s="4">
        <v>40083.669641203705</v>
      </c>
      <c r="G5810" s="9" t="s">
        <v>13000</v>
      </c>
      <c r="H5810" s="35" t="s">
        <v>550</v>
      </c>
      <c r="I5810" s="10" t="s">
        <v>11759</v>
      </c>
    </row>
    <row r="5811" spans="1:9" s="33" customFormat="1" ht="45">
      <c r="A5811" s="4">
        <v>43557.474999999999</v>
      </c>
      <c r="B5811" s="5" t="str">
        <f>HYPERLINK("https://twitter.com/GrowthEngineers","@GrowthEngineers")</f>
        <v>@GrowthEngineers</v>
      </c>
      <c r="C5811" s="6" t="s">
        <v>11327</v>
      </c>
      <c r="D5811" s="7" t="s">
        <v>12501</v>
      </c>
      <c r="E5811" s="8" t="str">
        <f>HYPERLINK("https://about.twitter.com/products/tweetdeck","TweetDeck")</f>
        <v>TweetDeck</v>
      </c>
      <c r="F5811" s="4">
        <v>40261.469537037039</v>
      </c>
      <c r="G5811" s="9" t="s">
        <v>13000</v>
      </c>
      <c r="H5811" s="35" t="s">
        <v>550</v>
      </c>
      <c r="I5811" s="10" t="s">
        <v>11329</v>
      </c>
    </row>
    <row r="5812" spans="1:9" s="33" customFormat="1" ht="105">
      <c r="A5812" s="12">
        <v>43579.600729166668</v>
      </c>
      <c r="B5812" s="13" t="str">
        <f>HYPERLINK("https://twitter.com/JonoAnzalone","@JonoAnzalone")</f>
        <v>@JonoAnzalone</v>
      </c>
      <c r="C5812" s="14" t="s">
        <v>548</v>
      </c>
      <c r="D5812" s="15" t="s">
        <v>549</v>
      </c>
      <c r="E5812" s="16" t="str">
        <f>HYPERLINK("http://twitter.com","Twitter Web Client")</f>
        <v>Twitter Web Client</v>
      </c>
      <c r="F5812" s="12">
        <v>40006.642581018517</v>
      </c>
      <c r="G5812" s="9" t="s">
        <v>13000</v>
      </c>
      <c r="H5812" s="35" t="s">
        <v>550</v>
      </c>
      <c r="I5812" s="18" t="s">
        <v>551</v>
      </c>
    </row>
    <row r="5813" spans="1:9" s="33" customFormat="1" ht="45">
      <c r="A5813" s="12">
        <v>43579.414004629631</v>
      </c>
      <c r="B5813" s="13" t="str">
        <f>HYPERLINK("https://twitter.com/HarryAlford3","@HarryAlford3")</f>
        <v>@HarryAlford3</v>
      </c>
      <c r="C5813" s="14" t="s">
        <v>675</v>
      </c>
      <c r="D5813" s="15" t="s">
        <v>676</v>
      </c>
      <c r="E5813" s="16" t="str">
        <f>HYPERLINK("http://twitter.com","Twitter Web Client")</f>
        <v>Twitter Web Client</v>
      </c>
      <c r="F5813" s="12">
        <v>39925.622673611113</v>
      </c>
      <c r="G5813" s="9" t="s">
        <v>13000</v>
      </c>
      <c r="H5813" s="35" t="s">
        <v>550</v>
      </c>
      <c r="I5813" s="18" t="s">
        <v>677</v>
      </c>
    </row>
    <row r="5814" spans="1:9" s="33" customFormat="1" ht="90">
      <c r="A5814" s="12">
        <v>43579.200370370367</v>
      </c>
      <c r="B5814" s="13" t="str">
        <f>HYPERLINK("https://twitter.com/jowartist","@jowartist")</f>
        <v>@jowartist</v>
      </c>
      <c r="C5814" s="14" t="s">
        <v>858</v>
      </c>
      <c r="D5814" s="15" t="s">
        <v>859</v>
      </c>
      <c r="E5814" s="16" t="str">
        <f>HYPERLINK("http://twitter.com","Twitter Web Client")</f>
        <v>Twitter Web Client</v>
      </c>
      <c r="F5814" s="12">
        <v>42340.22550925926</v>
      </c>
      <c r="G5814" s="9" t="s">
        <v>13000</v>
      </c>
      <c r="H5814" s="35" t="s">
        <v>550</v>
      </c>
      <c r="I5814" s="18"/>
    </row>
    <row r="5815" spans="1:9" s="33" customFormat="1" ht="90">
      <c r="A5815" s="12">
        <v>43578.349131944444</v>
      </c>
      <c r="B5815" s="13" t="str">
        <f>HYPERLINK("https://twitter.com/jowartist","@jowartist")</f>
        <v>@jowartist</v>
      </c>
      <c r="C5815" s="14" t="s">
        <v>858</v>
      </c>
      <c r="D5815" s="15" t="s">
        <v>1277</v>
      </c>
      <c r="E5815" s="16" t="str">
        <f>HYPERLINK("http://twitter.com","Twitter Web Client")</f>
        <v>Twitter Web Client</v>
      </c>
      <c r="F5815" s="12">
        <v>42340.22550925926</v>
      </c>
      <c r="G5815" s="9" t="s">
        <v>13000</v>
      </c>
      <c r="H5815" s="35" t="s">
        <v>550</v>
      </c>
      <c r="I5815" s="18"/>
    </row>
    <row r="5816" spans="1:9" s="33" customFormat="1" ht="60">
      <c r="A5816" s="12">
        <v>43577.835428240738</v>
      </c>
      <c r="B5816" s="13" t="str">
        <f>HYPERLINK("https://twitter.com/DiningTraveler","@DiningTraveler")</f>
        <v>@DiningTraveler</v>
      </c>
      <c r="C5816" s="14" t="s">
        <v>1485</v>
      </c>
      <c r="D5816" s="15" t="s">
        <v>1486</v>
      </c>
      <c r="E5816" s="16" t="str">
        <f>HYPERLINK("https://buffer.com","Buffer")</f>
        <v>Buffer</v>
      </c>
      <c r="F5816" s="12">
        <v>40548.375671296293</v>
      </c>
      <c r="G5816" s="9" t="s">
        <v>13000</v>
      </c>
      <c r="H5816" s="35" t="s">
        <v>550</v>
      </c>
      <c r="I5816" s="18" t="s">
        <v>1487</v>
      </c>
    </row>
    <row r="5817" spans="1:9" s="33" customFormat="1" ht="45">
      <c r="A5817" s="12">
        <v>43577.527928240743</v>
      </c>
      <c r="B5817" s="13" t="str">
        <f>HYPERLINK("https://twitter.com/petulad","@petulad")</f>
        <v>@petulad</v>
      </c>
      <c r="C5817" s="14" t="s">
        <v>1587</v>
      </c>
      <c r="D5817" s="15" t="s">
        <v>1588</v>
      </c>
      <c r="E5817" s="16" t="str">
        <f>HYPERLINK("http://twitter.com/download/android","Twitter for Android")</f>
        <v>Twitter for Android</v>
      </c>
      <c r="F5817" s="12">
        <v>39569.605729166666</v>
      </c>
      <c r="G5817" s="9" t="s">
        <v>13000</v>
      </c>
      <c r="H5817" s="35" t="s">
        <v>550</v>
      </c>
      <c r="I5817" s="18" t="s">
        <v>1589</v>
      </c>
    </row>
    <row r="5818" spans="1:9" s="33" customFormat="1" ht="60">
      <c r="A5818" s="12">
        <v>43577.169444444444</v>
      </c>
      <c r="B5818" s="13" t="str">
        <f>HYPERLINK("https://twitter.com/NewsWatchTV","@NewsWatchTV")</f>
        <v>@NewsWatchTV</v>
      </c>
      <c r="C5818" s="14" t="s">
        <v>1725</v>
      </c>
      <c r="D5818" s="15" t="s">
        <v>1726</v>
      </c>
      <c r="E5818" s="16" t="str">
        <f>HYPERLINK("https://ads-api.twitter.com","Twitter Ads Composer")</f>
        <v>Twitter Ads Composer</v>
      </c>
      <c r="F5818" s="12">
        <v>40018.434467592597</v>
      </c>
      <c r="G5818" s="9" t="s">
        <v>13000</v>
      </c>
      <c r="H5818" s="35" t="s">
        <v>550</v>
      </c>
      <c r="I5818" s="18" t="s">
        <v>1727</v>
      </c>
    </row>
    <row r="5819" spans="1:9" s="33" customFormat="1" ht="105">
      <c r="A5819" s="12">
        <v>43574.627789351856</v>
      </c>
      <c r="B5819" s="13" t="str">
        <f>HYPERLINK("https://twitter.com/we_wonderstruck","@we_wonderstruck")</f>
        <v>@we_wonderstruck</v>
      </c>
      <c r="C5819" s="14" t="s">
        <v>2491</v>
      </c>
      <c r="D5819" s="15" t="s">
        <v>2492</v>
      </c>
      <c r="E5819" s="16" t="str">
        <f>HYPERLINK("https://buffer.com","Buffer")</f>
        <v>Buffer</v>
      </c>
      <c r="F5819" s="12">
        <v>43061.832789351851</v>
      </c>
      <c r="G5819" s="9" t="s">
        <v>13000</v>
      </c>
      <c r="H5819" s="35" t="s">
        <v>550</v>
      </c>
      <c r="I5819" s="18" t="s">
        <v>2493</v>
      </c>
    </row>
    <row r="5820" spans="1:9" s="33" customFormat="1" ht="105">
      <c r="A5820" s="12">
        <v>43573.627789351856</v>
      </c>
      <c r="B5820" s="13" t="str">
        <f>HYPERLINK("https://twitter.com/we_wonderstruck","@we_wonderstruck")</f>
        <v>@we_wonderstruck</v>
      </c>
      <c r="C5820" s="14" t="s">
        <v>2491</v>
      </c>
      <c r="D5820" s="15" t="s">
        <v>2804</v>
      </c>
      <c r="E5820" s="16" t="str">
        <f>HYPERLINK("https://buffer.com","Buffer")</f>
        <v>Buffer</v>
      </c>
      <c r="F5820" s="12">
        <v>43061.832789351851</v>
      </c>
      <c r="G5820" s="9" t="s">
        <v>13000</v>
      </c>
      <c r="H5820" s="35" t="s">
        <v>550</v>
      </c>
      <c r="I5820" s="18" t="s">
        <v>2493</v>
      </c>
    </row>
    <row r="5821" spans="1:9" s="33" customFormat="1" ht="105">
      <c r="A5821" s="12">
        <v>43573.368136574078</v>
      </c>
      <c r="B5821" s="13" t="str">
        <f>HYPERLINK("https://twitter.com/we_wonderstruck","@we_wonderstruck")</f>
        <v>@we_wonderstruck</v>
      </c>
      <c r="C5821" s="14" t="s">
        <v>2491</v>
      </c>
      <c r="D5821" s="15" t="s">
        <v>2916</v>
      </c>
      <c r="E5821" s="16" t="str">
        <f>HYPERLINK("https://buffer.com","Buffer")</f>
        <v>Buffer</v>
      </c>
      <c r="F5821" s="12">
        <v>43061.832789351851</v>
      </c>
      <c r="G5821" s="9" t="s">
        <v>13000</v>
      </c>
      <c r="H5821" s="35" t="s">
        <v>550</v>
      </c>
      <c r="I5821" s="18" t="s">
        <v>2493</v>
      </c>
    </row>
    <row r="5822" spans="1:9" s="33" customFormat="1" ht="105">
      <c r="A5822" s="12">
        <v>43572.586134259254</v>
      </c>
      <c r="B5822" s="13" t="str">
        <f>HYPERLINK("https://twitter.com/we_wonderstruck","@we_wonderstruck")</f>
        <v>@we_wonderstruck</v>
      </c>
      <c r="C5822" s="14" t="s">
        <v>2491</v>
      </c>
      <c r="D5822" s="15" t="s">
        <v>3148</v>
      </c>
      <c r="E5822" s="16" t="str">
        <f>HYPERLINK("https://buffer.com","Buffer")</f>
        <v>Buffer</v>
      </c>
      <c r="F5822" s="12">
        <v>43061.832789351851</v>
      </c>
      <c r="G5822" s="9" t="s">
        <v>13000</v>
      </c>
      <c r="H5822" s="35" t="s">
        <v>550</v>
      </c>
      <c r="I5822" s="18" t="s">
        <v>2493</v>
      </c>
    </row>
    <row r="5823" spans="1:9" s="33" customFormat="1" ht="90">
      <c r="A5823" s="12">
        <v>43571.368078703701</v>
      </c>
      <c r="B5823" s="13" t="str">
        <f>HYPERLINK("https://twitter.com/we_wonderstruck","@we_wonderstruck")</f>
        <v>@we_wonderstruck</v>
      </c>
      <c r="C5823" s="14" t="s">
        <v>2491</v>
      </c>
      <c r="D5823" s="15" t="s">
        <v>3706</v>
      </c>
      <c r="E5823" s="16" t="str">
        <f>HYPERLINK("https://buffer.com","Buffer")</f>
        <v>Buffer</v>
      </c>
      <c r="F5823" s="12">
        <v>43061.832789351851</v>
      </c>
      <c r="G5823" s="9" t="s">
        <v>13000</v>
      </c>
      <c r="H5823" s="35" t="s">
        <v>550</v>
      </c>
      <c r="I5823" s="18" t="s">
        <v>2493</v>
      </c>
    </row>
    <row r="5824" spans="1:9" s="33" customFormat="1" ht="90">
      <c r="A5824" s="12">
        <v>43570.330289351856</v>
      </c>
      <c r="B5824" s="13" t="str">
        <f>HYPERLINK("https://twitter.com/juliepeak","@juliepeak")</f>
        <v>@juliepeak</v>
      </c>
      <c r="C5824" s="14" t="s">
        <v>4219</v>
      </c>
      <c r="D5824" s="15" t="s">
        <v>4220</v>
      </c>
      <c r="E5824" s="16" t="str">
        <f>HYPERLINK("http://twitter.com","Twitter Web Client")</f>
        <v>Twitter Web Client</v>
      </c>
      <c r="F5824" s="12">
        <v>40623.633622685185</v>
      </c>
      <c r="G5824" s="9" t="s">
        <v>13000</v>
      </c>
      <c r="H5824" s="35" t="s">
        <v>550</v>
      </c>
      <c r="I5824" s="18" t="s">
        <v>4221</v>
      </c>
    </row>
    <row r="5825" spans="1:9" s="33" customFormat="1" ht="45">
      <c r="A5825" s="12">
        <v>43567.333344907413</v>
      </c>
      <c r="B5825" s="13" t="str">
        <f>HYPERLINK("https://twitter.com/hurdlr","@hurdlr")</f>
        <v>@hurdlr</v>
      </c>
      <c r="C5825" s="14" t="s">
        <v>5161</v>
      </c>
      <c r="D5825" s="15" t="s">
        <v>5162</v>
      </c>
      <c r="E5825" s="16" t="str">
        <f>HYPERLINK("https://about.twitter.com/products/tweetdeck","TweetDeck")</f>
        <v>TweetDeck</v>
      </c>
      <c r="F5825" s="12">
        <v>40854.648402777777</v>
      </c>
      <c r="G5825" s="9" t="s">
        <v>13000</v>
      </c>
      <c r="H5825" s="35" t="s">
        <v>550</v>
      </c>
      <c r="I5825" s="18" t="s">
        <v>5163</v>
      </c>
    </row>
    <row r="5826" spans="1:9" s="33" customFormat="1" ht="45">
      <c r="A5826" s="12">
        <v>43566.203032407408</v>
      </c>
      <c r="B5826" s="13" t="str">
        <f>HYPERLINK("https://twitter.com/PLMuse","@PLMuse")</f>
        <v>@PLMuse</v>
      </c>
      <c r="C5826" s="14" t="s">
        <v>5725</v>
      </c>
      <c r="D5826" s="15" t="s">
        <v>5726</v>
      </c>
      <c r="E5826" s="16" t="str">
        <f>HYPERLINK("http://twitter.com/download/android","Twitter for Android")</f>
        <v>Twitter for Android</v>
      </c>
      <c r="F5826" s="12">
        <v>39906.391539351855</v>
      </c>
      <c r="G5826" s="9" t="s">
        <v>13000</v>
      </c>
      <c r="H5826" s="35" t="s">
        <v>550</v>
      </c>
      <c r="I5826" s="18" t="s">
        <v>5727</v>
      </c>
    </row>
    <row r="5827" spans="1:9" s="33" customFormat="1" ht="30">
      <c r="A5827" s="4">
        <v>43561.7971412037</v>
      </c>
      <c r="B5827" s="5" t="str">
        <f>HYPERLINK("https://twitter.com/Lori_Himmelman","@Lori_Himmelman")</f>
        <v>@Lori_Himmelman</v>
      </c>
      <c r="C5827" s="6" t="s">
        <v>10830</v>
      </c>
      <c r="D5827" s="7" t="s">
        <v>105</v>
      </c>
      <c r="E5827" s="8" t="str">
        <f>HYPERLINK("http://twitter.com/download/android","Twitter for Android")</f>
        <v>Twitter for Android</v>
      </c>
      <c r="F5827" s="4">
        <v>41829.557152777779</v>
      </c>
      <c r="G5827" s="9" t="s">
        <v>13000</v>
      </c>
      <c r="H5827" s="35" t="s">
        <v>10831</v>
      </c>
      <c r="I5827" s="10" t="s">
        <v>10832</v>
      </c>
    </row>
    <row r="5828" spans="1:9" s="33" customFormat="1" ht="120">
      <c r="A5828" s="19">
        <v>43543.356874999998</v>
      </c>
      <c r="B5828" s="20" t="str">
        <f>HYPERLINK("https://twitter.com/SylviaPondPhoto","@SylviaPondPhoto")</f>
        <v>@SylviaPondPhoto</v>
      </c>
      <c r="C5828" s="21" t="s">
        <v>9850</v>
      </c>
      <c r="D5828" s="22" t="s">
        <v>9851</v>
      </c>
      <c r="E5828" s="23" t="str">
        <f>HYPERLINK("http://twitter.com/download/android","Twitter for Android")</f>
        <v>Twitter for Android</v>
      </c>
      <c r="F5828" s="19">
        <v>41216.327245370368</v>
      </c>
      <c r="G5828" s="9" t="s">
        <v>13000</v>
      </c>
      <c r="H5828" s="35" t="s">
        <v>9852</v>
      </c>
      <c r="I5828" s="25" t="s">
        <v>9853</v>
      </c>
    </row>
    <row r="5829" spans="1:9" s="33" customFormat="1" ht="60">
      <c r="A5829" s="19">
        <v>43546.442708333328</v>
      </c>
      <c r="B5829" s="20" t="str">
        <f>HYPERLINK("https://twitter.com/DerekVolle","@DerekVolle")</f>
        <v>@DerekVolle</v>
      </c>
      <c r="C5829" s="21" t="s">
        <v>8843</v>
      </c>
      <c r="D5829" s="22" t="s">
        <v>8844</v>
      </c>
      <c r="E5829" s="23" t="str">
        <f>HYPERLINK("http://twitter.com","Twitter Web Client")</f>
        <v>Twitter Web Client</v>
      </c>
      <c r="F5829" s="19">
        <v>40874.710277777776</v>
      </c>
      <c r="G5829" s="9" t="s">
        <v>13000</v>
      </c>
      <c r="H5829" s="35" t="s">
        <v>4759</v>
      </c>
      <c r="I5829" s="25" t="s">
        <v>8845</v>
      </c>
    </row>
    <row r="5830" spans="1:9" s="33" customFormat="1" ht="60">
      <c r="A5830" s="12">
        <v>43568.45930555556</v>
      </c>
      <c r="B5830" s="13" t="str">
        <f>HYPERLINK("https://twitter.com/ahaInsuranceNow","@ahaInsuranceNow")</f>
        <v>@ahaInsuranceNow</v>
      </c>
      <c r="C5830" s="14" t="s">
        <v>4757</v>
      </c>
      <c r="D5830" s="15" t="s">
        <v>4758</v>
      </c>
      <c r="E5830" s="16" t="str">
        <f>HYPERLINK("https://www.hootsuite.com","Hootsuite Inc.")</f>
        <v>Hootsuite Inc.</v>
      </c>
      <c r="F5830" s="12">
        <v>42920.564895833333</v>
      </c>
      <c r="G5830" s="9" t="s">
        <v>13000</v>
      </c>
      <c r="H5830" s="35" t="s">
        <v>4759</v>
      </c>
      <c r="I5830" s="18" t="s">
        <v>4760</v>
      </c>
    </row>
    <row r="5831" spans="1:9" s="33" customFormat="1" ht="165">
      <c r="A5831" s="4">
        <v>43563.325289351851</v>
      </c>
      <c r="B5831" s="5" t="str">
        <f>HYPERLINK("https://twitter.com/whimsley","@whimsley")</f>
        <v>@whimsley</v>
      </c>
      <c r="C5831" s="6" t="s">
        <v>10364</v>
      </c>
      <c r="D5831" s="7" t="s">
        <v>10365</v>
      </c>
      <c r="E5831" s="8" t="str">
        <f>HYPERLINK("http://twitter.com/download/android","Twitter for Android")</f>
        <v>Twitter for Android</v>
      </c>
      <c r="F5831" s="4">
        <v>39543.617222222223</v>
      </c>
      <c r="G5831" s="9" t="s">
        <v>13000</v>
      </c>
      <c r="H5831" s="35" t="s">
        <v>10366</v>
      </c>
      <c r="I5831" s="10" t="s">
        <v>10367</v>
      </c>
    </row>
    <row r="5832" spans="1:9" s="33" customFormat="1" ht="30">
      <c r="A5832" s="19">
        <v>43551.466145833328</v>
      </c>
      <c r="B5832" s="20" t="str">
        <f>HYPERLINK("https://twitter.com/Nitrozac","@Nitrozac")</f>
        <v>@Nitrozac</v>
      </c>
      <c r="C5832" s="21" t="s">
        <v>7180</v>
      </c>
      <c r="D5832" s="22" t="s">
        <v>7181</v>
      </c>
      <c r="E5832" s="23" t="str">
        <f>HYPERLINK("http://twitter.com","Twitter Web Client")</f>
        <v>Twitter Web Client</v>
      </c>
      <c r="F5832" s="19">
        <v>39162.429398148146</v>
      </c>
      <c r="G5832" s="24" t="s">
        <v>13000</v>
      </c>
      <c r="H5832" s="35" t="s">
        <v>7182</v>
      </c>
      <c r="I5832" s="25" t="s">
        <v>7183</v>
      </c>
    </row>
    <row r="5833" spans="1:9" s="33" customFormat="1" ht="195">
      <c r="A5833" s="19">
        <v>43548.546469907407</v>
      </c>
      <c r="B5833" s="20" t="str">
        <f>HYPERLINK("https://twitter.com/cecib8","@cecib8")</f>
        <v>@cecib8</v>
      </c>
      <c r="C5833" s="21" t="s">
        <v>8283</v>
      </c>
      <c r="D5833" s="22" t="s">
        <v>8284</v>
      </c>
      <c r="E5833" s="23" t="str">
        <f>HYPERLINK("http://twitter.com/#!/download/ipad","Twitter for iPad")</f>
        <v>Twitter for iPad</v>
      </c>
      <c r="F5833" s="19">
        <v>40021.410925925928</v>
      </c>
      <c r="G5833" s="24" t="s">
        <v>13000</v>
      </c>
      <c r="H5833" s="35" t="s">
        <v>8285</v>
      </c>
      <c r="I5833" s="25" t="s">
        <v>8286</v>
      </c>
    </row>
    <row r="5834" spans="1:9" s="33" customFormat="1" ht="105">
      <c r="A5834" s="19">
        <v>43544.167372685188</v>
      </c>
      <c r="B5834" s="20" t="str">
        <f>HYPERLINK("https://twitter.com/ForestLakesNS","@ForestLakesNS")</f>
        <v>@ForestLakesNS</v>
      </c>
      <c r="C5834" s="21" t="s">
        <v>9586</v>
      </c>
      <c r="D5834" s="22" t="s">
        <v>9587</v>
      </c>
      <c r="E5834" s="23" t="str">
        <f>HYPERLINK("https://www.hootsuite.com","Hootsuite Inc.")</f>
        <v>Hootsuite Inc.</v>
      </c>
      <c r="F5834" s="19">
        <v>41501.410625000004</v>
      </c>
      <c r="G5834" s="24" t="s">
        <v>13000</v>
      </c>
      <c r="H5834" s="35" t="s">
        <v>9588</v>
      </c>
      <c r="I5834" s="25" t="s">
        <v>9589</v>
      </c>
    </row>
    <row r="5835" spans="1:9" s="33" customFormat="1" ht="105">
      <c r="A5835" s="19">
        <v>43547.293124999997</v>
      </c>
      <c r="B5835" s="20" t="str">
        <f>HYPERLINK("https://twitter.com/JamiesonHill","@JamiesonHill")</f>
        <v>@JamiesonHill</v>
      </c>
      <c r="C5835" s="21" t="s">
        <v>8594</v>
      </c>
      <c r="D5835" s="22" t="s">
        <v>8595</v>
      </c>
      <c r="E5835" s="23" t="str">
        <f>HYPERLINK("https://ifttt.com","IFTTT")</f>
        <v>IFTTT</v>
      </c>
      <c r="F5835" s="19">
        <v>40036.771944444445</v>
      </c>
      <c r="G5835" s="24" t="s">
        <v>13000</v>
      </c>
      <c r="H5835" s="35" t="s">
        <v>8596</v>
      </c>
      <c r="I5835" s="25" t="s">
        <v>8597</v>
      </c>
    </row>
    <row r="5836" spans="1:9" s="33" customFormat="1" ht="75">
      <c r="A5836" s="19">
        <v>43547.265821759254</v>
      </c>
      <c r="B5836" s="20" t="str">
        <f>HYPERLINK("https://twitter.com/JamiesonHill","@JamiesonHill")</f>
        <v>@JamiesonHill</v>
      </c>
      <c r="C5836" s="21" t="s">
        <v>8594</v>
      </c>
      <c r="D5836" s="22" t="s">
        <v>8613</v>
      </c>
      <c r="E5836" s="23" t="str">
        <f>HYPERLINK("http://instagram.com","Instagram")</f>
        <v>Instagram</v>
      </c>
      <c r="F5836" s="19">
        <v>40036.771944444445</v>
      </c>
      <c r="G5836" s="24" t="s">
        <v>13000</v>
      </c>
      <c r="H5836" s="35" t="s">
        <v>8596</v>
      </c>
      <c r="I5836" s="25" t="s">
        <v>8597</v>
      </c>
    </row>
    <row r="5837" spans="1:9" s="33" customFormat="1" ht="90">
      <c r="A5837" s="12">
        <v>43565.910752314812</v>
      </c>
      <c r="B5837" s="13" t="str">
        <f>HYPERLINK("https://twitter.com/Luis_Realtor","@Luis_Realtor")</f>
        <v>@Luis_Realtor</v>
      </c>
      <c r="C5837" s="14" t="s">
        <v>5864</v>
      </c>
      <c r="D5837" s="15" t="s">
        <v>5865</v>
      </c>
      <c r="E5837" s="16" t="str">
        <f>HYPERLINK("http://instagram.com","Instagram")</f>
        <v>Instagram</v>
      </c>
      <c r="F5837" s="12">
        <v>40005.567314814813</v>
      </c>
      <c r="G5837" s="17" t="s">
        <v>13000</v>
      </c>
      <c r="H5837" s="35" t="s">
        <v>5866</v>
      </c>
      <c r="I5837" s="18" t="s">
        <v>5867</v>
      </c>
    </row>
    <row r="5838" spans="1:9" s="33" customFormat="1" ht="90">
      <c r="A5838" s="12">
        <v>43565.883402777778</v>
      </c>
      <c r="B5838" s="13" t="str">
        <f>HYPERLINK("https://twitter.com/Luis_Realtor","@Luis_Realtor")</f>
        <v>@Luis_Realtor</v>
      </c>
      <c r="C5838" s="14" t="s">
        <v>5864</v>
      </c>
      <c r="D5838" s="15" t="s">
        <v>5865</v>
      </c>
      <c r="E5838" s="16" t="str">
        <f>HYPERLINK("http://instagram.com","Instagram")</f>
        <v>Instagram</v>
      </c>
      <c r="F5838" s="12">
        <v>40005.567314814813</v>
      </c>
      <c r="G5838" s="17" t="s">
        <v>13000</v>
      </c>
      <c r="H5838" s="35" t="s">
        <v>5866</v>
      </c>
      <c r="I5838" s="18" t="s">
        <v>5867</v>
      </c>
    </row>
    <row r="5839" spans="1:9" s="33" customFormat="1" ht="45">
      <c r="A5839" s="19">
        <v>43544.293124999997</v>
      </c>
      <c r="B5839" s="20" t="str">
        <f>HYPERLINK("https://twitter.com/Cre8NovaScotia","@Cre8NovaScotia")</f>
        <v>@Cre8NovaScotia</v>
      </c>
      <c r="C5839" s="21" t="s">
        <v>4437</v>
      </c>
      <c r="D5839" s="22" t="s">
        <v>9546</v>
      </c>
      <c r="E5839" s="23" t="str">
        <f>HYPERLINK("http://instagram.com","Instagram")</f>
        <v>Instagram</v>
      </c>
      <c r="F5839" s="19">
        <v>40970.751921296294</v>
      </c>
      <c r="G5839" s="17" t="s">
        <v>13000</v>
      </c>
      <c r="H5839" s="35" t="s">
        <v>4439</v>
      </c>
      <c r="I5839" s="25" t="s">
        <v>4440</v>
      </c>
    </row>
    <row r="5840" spans="1:9" s="33" customFormat="1" ht="45">
      <c r="A5840" s="12">
        <v>43569.662476851852</v>
      </c>
      <c r="B5840" s="13" t="str">
        <f>HYPERLINK("https://twitter.com/Cre8NovaScotia","@Cre8NovaScotia")</f>
        <v>@Cre8NovaScotia</v>
      </c>
      <c r="C5840" s="14" t="s">
        <v>4437</v>
      </c>
      <c r="D5840" s="15" t="s">
        <v>4438</v>
      </c>
      <c r="E5840" s="16" t="str">
        <f>HYPERLINK("http://twitter.com/#!/download/ipad","Twitter for iPad")</f>
        <v>Twitter for iPad</v>
      </c>
      <c r="F5840" s="12">
        <v>40970.751921296294</v>
      </c>
      <c r="G5840" s="17" t="s">
        <v>13000</v>
      </c>
      <c r="H5840" s="35" t="s">
        <v>4439</v>
      </c>
      <c r="I5840" s="18" t="s">
        <v>4440</v>
      </c>
    </row>
    <row r="5841" spans="1:9" s="33" customFormat="1" ht="90">
      <c r="A5841" s="12">
        <v>43579.716296296298</v>
      </c>
      <c r="B5841" s="13" t="str">
        <f>HYPERLINK("https://twitter.com/kinolina","@kinolina")</f>
        <v>@kinolina</v>
      </c>
      <c r="C5841" s="14" t="s">
        <v>492</v>
      </c>
      <c r="D5841" s="15" t="s">
        <v>493</v>
      </c>
      <c r="E5841" s="16" t="str">
        <f>HYPERLINK("http://twitter.com/download/iphone","Twitter for iPhone")</f>
        <v>Twitter for iPhone</v>
      </c>
      <c r="F5841" s="12">
        <v>39177.628981481481</v>
      </c>
      <c r="G5841" s="17" t="s">
        <v>13000</v>
      </c>
      <c r="H5841" s="35" t="s">
        <v>494</v>
      </c>
      <c r="I5841" s="18" t="s">
        <v>495</v>
      </c>
    </row>
    <row r="5842" spans="1:9" s="33" customFormat="1" ht="75">
      <c r="A5842" s="19">
        <v>43548.843865740739</v>
      </c>
      <c r="B5842" s="20" t="str">
        <f>HYPERLINK("https://twitter.com/pbsracerx1908","@pbsracerx1908")</f>
        <v>@pbsracerx1908</v>
      </c>
      <c r="C5842" s="21" t="s">
        <v>8211</v>
      </c>
      <c r="D5842" s="22" t="s">
        <v>8212</v>
      </c>
      <c r="E5842" s="23" t="str">
        <f>HYPERLINK("http://instagram.com","Instagram")</f>
        <v>Instagram</v>
      </c>
      <c r="F5842" s="19">
        <v>41727.529166666667</v>
      </c>
      <c r="G5842" s="9" t="s">
        <v>13000</v>
      </c>
      <c r="H5842" s="35" t="s">
        <v>8213</v>
      </c>
      <c r="I5842" s="25"/>
    </row>
    <row r="5843" spans="1:9" s="33" customFormat="1" ht="45">
      <c r="A5843" s="4">
        <v>43563.75409722222</v>
      </c>
      <c r="B5843" s="5" t="str">
        <f>HYPERLINK("https://twitter.com/aol_letty","@aol_letty")</f>
        <v>@aol_letty</v>
      </c>
      <c r="C5843" s="6" t="s">
        <v>6893</v>
      </c>
      <c r="D5843" s="7" t="s">
        <v>6894</v>
      </c>
      <c r="E5843" s="8" t="str">
        <f>HYPERLINK("http://instagram.com","Instagram")</f>
        <v>Instagram</v>
      </c>
      <c r="F5843" s="4">
        <v>40934.803784722222</v>
      </c>
      <c r="G5843" s="9" t="s">
        <v>13000</v>
      </c>
      <c r="H5843" s="35" t="s">
        <v>6895</v>
      </c>
      <c r="I5843" s="10" t="s">
        <v>6896</v>
      </c>
    </row>
    <row r="5844" spans="1:9" s="33" customFormat="1" ht="90">
      <c r="A5844" s="19">
        <v>43544.691643518519</v>
      </c>
      <c r="B5844" s="20" t="str">
        <f>HYPERLINK("https://twitter.com/pevomat","@pevomat")</f>
        <v>@pevomat</v>
      </c>
      <c r="C5844" s="21" t="s">
        <v>9377</v>
      </c>
      <c r="D5844" s="22" t="s">
        <v>9378</v>
      </c>
      <c r="E5844" s="23" t="str">
        <f>HYPERLINK("http://twitter.com/download/iphone","Twitter for iPhone")</f>
        <v>Twitter for iPhone</v>
      </c>
      <c r="F5844" s="19">
        <v>43476.736435185187</v>
      </c>
      <c r="G5844" s="17" t="s">
        <v>13000</v>
      </c>
      <c r="H5844" s="35" t="s">
        <v>6654</v>
      </c>
      <c r="I5844" s="25" t="s">
        <v>9379</v>
      </c>
    </row>
    <row r="5845" spans="1:9" s="33" customFormat="1" ht="120">
      <c r="A5845" s="4">
        <v>43564.37501157407</v>
      </c>
      <c r="B5845" s="5" t="str">
        <f>HYPERLINK("https://twitter.com/associatesrpm","@associatesrpm")</f>
        <v>@associatesrpm</v>
      </c>
      <c r="C5845" s="6" t="s">
        <v>6652</v>
      </c>
      <c r="D5845" s="7" t="s">
        <v>6653</v>
      </c>
      <c r="E5845" s="8" t="str">
        <f>HYPERLINK("https://eclincher.com","eClincher")</f>
        <v>eClincher</v>
      </c>
      <c r="F5845" s="4">
        <v>43447.538113425922</v>
      </c>
      <c r="G5845" s="17" t="s">
        <v>13000</v>
      </c>
      <c r="H5845" s="35" t="s">
        <v>6654</v>
      </c>
      <c r="I5845" s="10" t="s">
        <v>6655</v>
      </c>
    </row>
    <row r="5846" spans="1:9" s="33" customFormat="1" ht="60">
      <c r="A5846" s="19">
        <v>43547.389756944445</v>
      </c>
      <c r="B5846" s="20" t="str">
        <f>HYPERLINK("https://twitter.com/CoupevilleVRBO","@CoupevilleVRBO")</f>
        <v>@CoupevilleVRBO</v>
      </c>
      <c r="C5846" s="21" t="s">
        <v>5484</v>
      </c>
      <c r="D5846" s="22" t="s">
        <v>8570</v>
      </c>
      <c r="E5846" s="23" t="str">
        <f>HYPERLINK("http://twitter.com","Twitter Web Client")</f>
        <v>Twitter Web Client</v>
      </c>
      <c r="F5846" s="19">
        <v>42215.683796296296</v>
      </c>
      <c r="G5846" s="17" t="s">
        <v>13000</v>
      </c>
      <c r="H5846" s="35" t="s">
        <v>5486</v>
      </c>
      <c r="I5846" s="25" t="s">
        <v>5487</v>
      </c>
    </row>
    <row r="5847" spans="1:9" s="33" customFormat="1" ht="45">
      <c r="A5847" s="12">
        <v>43566.493668981479</v>
      </c>
      <c r="B5847" s="13" t="str">
        <f>HYPERLINK("https://twitter.com/CoupevilleVRBO","@CoupevilleVRBO")</f>
        <v>@CoupevilleVRBO</v>
      </c>
      <c r="C5847" s="14" t="s">
        <v>5484</v>
      </c>
      <c r="D5847" s="15" t="s">
        <v>5485</v>
      </c>
      <c r="E5847" s="16" t="str">
        <f>HYPERLINK("http://twitter.com","Twitter Web Client")</f>
        <v>Twitter Web Client</v>
      </c>
      <c r="F5847" s="12">
        <v>42215.683796296296</v>
      </c>
      <c r="G5847" s="17" t="s">
        <v>13000</v>
      </c>
      <c r="H5847" s="35" t="s">
        <v>5486</v>
      </c>
      <c r="I5847" s="18" t="s">
        <v>5487</v>
      </c>
    </row>
    <row r="5848" spans="1:9" s="33" customFormat="1" ht="90">
      <c r="A5848" s="12">
        <v>43576.282754629632</v>
      </c>
      <c r="B5848" s="13" t="str">
        <f>HYPERLINK("https://twitter.com/SOLDBYBRYANT","@SOLDBYBRYANT")</f>
        <v>@SOLDBYBRYANT</v>
      </c>
      <c r="C5848" s="14" t="s">
        <v>2009</v>
      </c>
      <c r="D5848" s="15" t="s">
        <v>2010</v>
      </c>
      <c r="E5848" s="16" t="str">
        <f>HYPERLINK("http://twitter.com/download/iphone","Twitter for iPhone")</f>
        <v>Twitter for iPhone</v>
      </c>
      <c r="F5848" s="12">
        <v>39954.737662037034</v>
      </c>
      <c r="G5848" s="17" t="s">
        <v>13000</v>
      </c>
      <c r="H5848" s="35" t="s">
        <v>2011</v>
      </c>
      <c r="I5848" s="18" t="s">
        <v>2012</v>
      </c>
    </row>
    <row r="5849" spans="1:9" s="33" customFormat="1" ht="105">
      <c r="A5849" s="12">
        <v>43575.243854166663</v>
      </c>
      <c r="B5849" s="13" t="str">
        <f>HYPERLINK("https://twitter.com/SOLDBYBRYANT","@SOLDBYBRYANT")</f>
        <v>@SOLDBYBRYANT</v>
      </c>
      <c r="C5849" s="14" t="s">
        <v>2009</v>
      </c>
      <c r="D5849" s="15" t="s">
        <v>2332</v>
      </c>
      <c r="E5849" s="16" t="str">
        <f>HYPERLINK("http://twitter.com/download/iphone","Twitter for iPhone")</f>
        <v>Twitter for iPhone</v>
      </c>
      <c r="F5849" s="12">
        <v>39954.737662037034</v>
      </c>
      <c r="G5849" s="17" t="s">
        <v>13000</v>
      </c>
      <c r="H5849" s="35" t="s">
        <v>2011</v>
      </c>
      <c r="I5849" s="18" t="s">
        <v>2012</v>
      </c>
    </row>
    <row r="5850" spans="1:9" s="33" customFormat="1" ht="60">
      <c r="A5850" s="12">
        <v>43571.219664351855</v>
      </c>
      <c r="B5850" s="13" t="str">
        <f>HYPERLINK("https://twitter.com/MariaCoxFarm","@MariaCoxFarm")</f>
        <v>@MariaCoxFarm</v>
      </c>
      <c r="C5850" s="14" t="s">
        <v>3781</v>
      </c>
      <c r="D5850" s="15" t="s">
        <v>3782</v>
      </c>
      <c r="E5850" s="16" t="str">
        <f>HYPERLINK("http://twitter.com/download/iphone","Twitter for iPhone")</f>
        <v>Twitter for iPhone</v>
      </c>
      <c r="F5850" s="12">
        <v>40650.832418981481</v>
      </c>
      <c r="G5850" s="17" t="s">
        <v>13000</v>
      </c>
      <c r="H5850" s="35" t="s">
        <v>3783</v>
      </c>
      <c r="I5850" s="18" t="s">
        <v>3784</v>
      </c>
    </row>
    <row r="5851" spans="1:9" s="33" customFormat="1" ht="75">
      <c r="A5851" s="12">
        <v>43574.358252314814</v>
      </c>
      <c r="B5851" s="13" t="str">
        <f>HYPERLINK("https://twitter.com/Robert_Doolan","@Robert_Doolan")</f>
        <v>@Robert_Doolan</v>
      </c>
      <c r="C5851" s="14" t="s">
        <v>2576</v>
      </c>
      <c r="D5851" s="15" t="s">
        <v>2577</v>
      </c>
      <c r="E5851" s="16" t="str">
        <f>HYPERLINK("http://www.facebook.com/twitter","Facebook")</f>
        <v>Facebook</v>
      </c>
      <c r="F5851" s="12">
        <v>40271.442395833335</v>
      </c>
      <c r="G5851" s="17" t="s">
        <v>13000</v>
      </c>
      <c r="H5851" s="35" t="s">
        <v>2578</v>
      </c>
      <c r="I5851" s="18" t="s">
        <v>2579</v>
      </c>
    </row>
    <row r="5852" spans="1:9" s="33" customFormat="1" ht="60">
      <c r="A5852" s="4">
        <v>43558.604479166665</v>
      </c>
      <c r="B5852" s="5" t="str">
        <f>HYPERLINK("https://twitter.com/WaterWalkApts","@WaterWalkApts")</f>
        <v>@WaterWalkApts</v>
      </c>
      <c r="C5852" s="6" t="s">
        <v>12103</v>
      </c>
      <c r="D5852" s="7" t="s">
        <v>12104</v>
      </c>
      <c r="E5852" s="8" t="str">
        <f>HYPERLINK("http://twitter.com","Twitter Web Client")</f>
        <v>Twitter Web Client</v>
      </c>
      <c r="F5852" s="4">
        <v>41736.600983796292</v>
      </c>
      <c r="G5852" s="9" t="s">
        <v>13000</v>
      </c>
      <c r="H5852" s="35" t="s">
        <v>12105</v>
      </c>
      <c r="I5852" s="10" t="s">
        <v>12106</v>
      </c>
    </row>
    <row r="5853" spans="1:9" s="33" customFormat="1" ht="75">
      <c r="A5853" s="12">
        <v>43572.58693287037</v>
      </c>
      <c r="B5853" s="13" t="str">
        <f>HYPERLINK("https://twitter.com/TheCaptainSuite","@TheCaptainSuite")</f>
        <v>@TheCaptainSuite</v>
      </c>
      <c r="C5853" s="14" t="s">
        <v>3144</v>
      </c>
      <c r="D5853" s="15" t="s">
        <v>3145</v>
      </c>
      <c r="E5853" s="16" t="str">
        <f>HYPERLINK("http://instagram.com","Instagram")</f>
        <v>Instagram</v>
      </c>
      <c r="F5853" s="12">
        <v>43567.715208333335</v>
      </c>
      <c r="G5853" s="9" t="s">
        <v>13000</v>
      </c>
      <c r="H5853" s="35" t="s">
        <v>3146</v>
      </c>
      <c r="I5853" s="18" t="s">
        <v>3147</v>
      </c>
    </row>
    <row r="5854" spans="1:9" s="33" customFormat="1" ht="75">
      <c r="A5854" s="12">
        <v>43572.438090277778</v>
      </c>
      <c r="B5854" s="13" t="str">
        <f>HYPERLINK("https://twitter.com/TheCaptainSuite","@TheCaptainSuite")</f>
        <v>@TheCaptainSuite</v>
      </c>
      <c r="C5854" s="14" t="s">
        <v>3144</v>
      </c>
      <c r="D5854" s="15" t="s">
        <v>3248</v>
      </c>
      <c r="E5854" s="16" t="str">
        <f>HYPERLINK("http://twitter.com/download/iphone","Twitter for iPhone")</f>
        <v>Twitter for iPhone</v>
      </c>
      <c r="F5854" s="12">
        <v>43567.715208333335</v>
      </c>
      <c r="G5854" s="9" t="s">
        <v>13000</v>
      </c>
      <c r="H5854" s="35" t="s">
        <v>3146</v>
      </c>
      <c r="I5854" s="18" t="s">
        <v>3147</v>
      </c>
    </row>
    <row r="5855" spans="1:9" s="33" customFormat="1" ht="75">
      <c r="A5855" s="4">
        <v>43559.180092592593</v>
      </c>
      <c r="B5855" s="5" t="str">
        <f>HYPERLINK("https://twitter.com/CapeCurbSide","@CapeCurbSide")</f>
        <v>@CapeCurbSide</v>
      </c>
      <c r="C5855" s="6" t="s">
        <v>11918</v>
      </c>
      <c r="D5855" s="7" t="s">
        <v>11919</v>
      </c>
      <c r="E5855" s="8" t="str">
        <f>HYPERLINK("http://instagram.com","Instagram")</f>
        <v>Instagram</v>
      </c>
      <c r="F5855" s="4">
        <v>42027.616620370369</v>
      </c>
      <c r="G5855" s="9" t="s">
        <v>13000</v>
      </c>
      <c r="H5855" s="35" t="s">
        <v>11920</v>
      </c>
      <c r="I5855" s="10" t="s">
        <v>11921</v>
      </c>
    </row>
    <row r="5856" spans="1:9" s="33" customFormat="1" ht="90">
      <c r="A5856" s="12">
        <v>43573.336828703701</v>
      </c>
      <c r="B5856" s="13" t="str">
        <f>HYPERLINK("https://twitter.com/BREGProperties","@BREGProperties")</f>
        <v>@BREGProperties</v>
      </c>
      <c r="C5856" s="14" t="s">
        <v>2922</v>
      </c>
      <c r="D5856" s="15" t="s">
        <v>2923</v>
      </c>
      <c r="E5856" s="16" t="str">
        <f>HYPERLINK("http://twitter.com","Twitter Web Client")</f>
        <v>Twitter Web Client</v>
      </c>
      <c r="F5856" s="12">
        <v>42011.280717592592</v>
      </c>
      <c r="G5856" s="9" t="s">
        <v>13000</v>
      </c>
      <c r="H5856" s="35" t="s">
        <v>2924</v>
      </c>
      <c r="I5856" s="18"/>
    </row>
    <row r="5857" spans="1:9" s="33" customFormat="1" ht="75">
      <c r="A5857" s="19">
        <v>43542.539837962962</v>
      </c>
      <c r="B5857" s="20" t="str">
        <f>HYPERLINK("https://twitter.com/tinyhomesofme","@tinyhomesofme")</f>
        <v>@tinyhomesofme</v>
      </c>
      <c r="C5857" s="21" t="s">
        <v>10118</v>
      </c>
      <c r="D5857" s="22" t="s">
        <v>10119</v>
      </c>
      <c r="E5857" s="23" t="str">
        <f>HYPERLINK("http://instagram.com","Instagram")</f>
        <v>Instagram</v>
      </c>
      <c r="F5857" s="19">
        <v>42192.42796296296</v>
      </c>
      <c r="G5857" s="9" t="s">
        <v>13000</v>
      </c>
      <c r="H5857" s="35" t="s">
        <v>10120</v>
      </c>
      <c r="I5857" s="25" t="s">
        <v>10121</v>
      </c>
    </row>
    <row r="5858" spans="1:9" s="33" customFormat="1" ht="90">
      <c r="A5858" s="4">
        <v>43561.312696759254</v>
      </c>
      <c r="B5858" s="5" t="str">
        <f>HYPERLINK("https://twitter.com/PMI_Maine","@PMI_Maine")</f>
        <v>@PMI_Maine</v>
      </c>
      <c r="C5858" s="6" t="s">
        <v>11011</v>
      </c>
      <c r="D5858" s="7" t="s">
        <v>10974</v>
      </c>
      <c r="E5858" s="8" t="str">
        <f>HYPERLINK("http://www.facebook.com/twitter","Facebook")</f>
        <v>Facebook</v>
      </c>
      <c r="F5858" s="4">
        <v>43374.489062499997</v>
      </c>
      <c r="G5858" s="9" t="s">
        <v>13000</v>
      </c>
      <c r="H5858" s="35" t="s">
        <v>10120</v>
      </c>
      <c r="I5858" s="10" t="s">
        <v>11012</v>
      </c>
    </row>
    <row r="5859" spans="1:9" s="33" customFormat="1" ht="75">
      <c r="A5859" s="19">
        <v>43551.128807870366</v>
      </c>
      <c r="B5859" s="20" t="str">
        <f>HYPERLINK("https://twitter.com/IAMODMK","@IAMODMK")</f>
        <v>@IAMODMK</v>
      </c>
      <c r="C5859" s="21" t="s">
        <v>7432</v>
      </c>
      <c r="D5859" s="22" t="s">
        <v>7433</v>
      </c>
      <c r="E5859" s="23" t="str">
        <f>HYPERLINK("http://instagram.com","Instagram")</f>
        <v>Instagram</v>
      </c>
      <c r="F5859" s="19">
        <v>39942.073877314819</v>
      </c>
      <c r="G5859" s="17" t="s">
        <v>13000</v>
      </c>
      <c r="H5859" s="35" t="s">
        <v>4401</v>
      </c>
      <c r="I5859" s="25" t="s">
        <v>7434</v>
      </c>
    </row>
    <row r="5860" spans="1:9" s="33" customFormat="1" ht="60">
      <c r="A5860" s="4">
        <v>43562.652187500003</v>
      </c>
      <c r="B5860" s="5" t="str">
        <f>HYPERLINK("https://twitter.com/SuiteSpotStays","@SuiteSpotStays")</f>
        <v>@SuiteSpotStays</v>
      </c>
      <c r="C5860" s="6" t="s">
        <v>4559</v>
      </c>
      <c r="D5860" s="7" t="s">
        <v>10628</v>
      </c>
      <c r="E5860" s="8" t="str">
        <f>HYPERLINK("http://twitter.com/download/android","Twitter for Android")</f>
        <v>Twitter for Android</v>
      </c>
      <c r="F5860" s="4">
        <v>43380.416076388894</v>
      </c>
      <c r="G5860" s="17" t="s">
        <v>13000</v>
      </c>
      <c r="H5860" s="35" t="s">
        <v>4401</v>
      </c>
      <c r="I5860" s="10" t="s">
        <v>4561</v>
      </c>
    </row>
    <row r="5861" spans="1:9" s="33" customFormat="1" ht="105">
      <c r="A5861" s="12">
        <v>43569.804259259261</v>
      </c>
      <c r="B5861" s="13" t="str">
        <f>HYPERLINK("https://twitter.com/photographywpg","@photographywpg")</f>
        <v>@photographywpg</v>
      </c>
      <c r="C5861" s="14" t="s">
        <v>4399</v>
      </c>
      <c r="D5861" s="15" t="s">
        <v>4400</v>
      </c>
      <c r="E5861" s="16" t="str">
        <f>HYPERLINK("http://twitter.com/download/android","Twitter for Android")</f>
        <v>Twitter for Android</v>
      </c>
      <c r="F5861" s="12">
        <v>40242.371921296297</v>
      </c>
      <c r="G5861" s="17" t="s">
        <v>13000</v>
      </c>
      <c r="H5861" s="35" t="s">
        <v>4401</v>
      </c>
      <c r="I5861" s="18" t="s">
        <v>4402</v>
      </c>
    </row>
    <row r="5862" spans="1:9" s="33" customFormat="1" ht="45">
      <c r="A5862" s="12">
        <v>43569.300381944442</v>
      </c>
      <c r="B5862" s="13" t="str">
        <f>HYPERLINK("https://twitter.com/SuiteSpotStays","@SuiteSpotStays")</f>
        <v>@SuiteSpotStays</v>
      </c>
      <c r="C5862" s="14" t="s">
        <v>4559</v>
      </c>
      <c r="D5862" s="15" t="s">
        <v>4560</v>
      </c>
      <c r="E5862" s="16" t="str">
        <f>HYPERLINK("http://twitter.com/download/android","Twitter for Android")</f>
        <v>Twitter for Android</v>
      </c>
      <c r="F5862" s="12">
        <v>43380.416076388894</v>
      </c>
      <c r="G5862" s="17" t="s">
        <v>13000</v>
      </c>
      <c r="H5862" s="35" t="s">
        <v>4401</v>
      </c>
      <c r="I5862" s="18" t="s">
        <v>4561</v>
      </c>
    </row>
    <row r="5863" spans="1:9" s="33" customFormat="1" ht="45">
      <c r="A5863" s="19">
        <v>43551.416759259257</v>
      </c>
      <c r="B5863" s="20" t="str">
        <f>HYPERLINK("https://twitter.com/Zero_House","@Zero_House")</f>
        <v>@Zero_House</v>
      </c>
      <c r="C5863" s="21" t="s">
        <v>7213</v>
      </c>
      <c r="D5863" s="22" t="s">
        <v>7214</v>
      </c>
      <c r="E5863" s="23" t="str">
        <f>HYPERLINK("https://www.later.com","LaterMedia")</f>
        <v>LaterMedia</v>
      </c>
      <c r="F5863" s="19">
        <v>40891.802731481483</v>
      </c>
      <c r="G5863" s="17" t="s">
        <v>13000</v>
      </c>
      <c r="H5863" s="35" t="s">
        <v>7215</v>
      </c>
      <c r="I5863" s="25" t="s">
        <v>7216</v>
      </c>
    </row>
    <row r="5864" spans="1:9" s="33" customFormat="1" ht="120">
      <c r="A5864" s="19">
        <v>43545.416817129633</v>
      </c>
      <c r="B5864" s="20" t="str">
        <f>HYPERLINK("https://twitter.com/Zero_House","@Zero_House")</f>
        <v>@Zero_House</v>
      </c>
      <c r="C5864" s="21" t="s">
        <v>7213</v>
      </c>
      <c r="D5864" s="22" t="s">
        <v>9147</v>
      </c>
      <c r="E5864" s="23" t="str">
        <f>HYPERLINK("https://www.later.com","LaterMedia")</f>
        <v>LaterMedia</v>
      </c>
      <c r="F5864" s="19">
        <v>40891.802731481483</v>
      </c>
      <c r="G5864" s="17" t="s">
        <v>13000</v>
      </c>
      <c r="H5864" s="35" t="s">
        <v>7215</v>
      </c>
      <c r="I5864" s="25" t="s">
        <v>7216</v>
      </c>
    </row>
    <row r="5865" spans="1:9" s="33" customFormat="1" ht="105">
      <c r="A5865" s="4">
        <v>43558.416701388887</v>
      </c>
      <c r="B5865" s="5" t="str">
        <f>HYPERLINK("https://twitter.com/Zero_House","@Zero_House")</f>
        <v>@Zero_House</v>
      </c>
      <c r="C5865" s="6" t="s">
        <v>7213</v>
      </c>
      <c r="D5865" s="7" t="s">
        <v>12203</v>
      </c>
      <c r="E5865" s="8" t="str">
        <f>HYPERLINK("https://www.later.com","LaterMedia")</f>
        <v>LaterMedia</v>
      </c>
      <c r="F5865" s="4">
        <v>40891.802731481483</v>
      </c>
      <c r="G5865" s="17" t="s">
        <v>13000</v>
      </c>
      <c r="H5865" s="35" t="s">
        <v>7215</v>
      </c>
      <c r="I5865" s="10" t="s">
        <v>7216</v>
      </c>
    </row>
    <row r="5866" spans="1:9" s="33" customFormat="1" ht="75">
      <c r="A5866" s="19">
        <v>43551.583472222221</v>
      </c>
      <c r="B5866" s="20" t="str">
        <f t="shared" ref="B5866:B5873" si="222">HYPERLINK("https://twitter.com/RusticRetreats1","@RusticRetreats1")</f>
        <v>@RusticRetreats1</v>
      </c>
      <c r="C5866" s="21" t="s">
        <v>2504</v>
      </c>
      <c r="D5866" s="22" t="s">
        <v>7102</v>
      </c>
      <c r="E5866" s="23" t="str">
        <f t="shared" ref="E5866:E5873" si="223">HYPERLINK("https://www.hootsuite.com","Hootsuite Inc.")</f>
        <v>Hootsuite Inc.</v>
      </c>
      <c r="F5866" s="19">
        <v>42823.961053240739</v>
      </c>
      <c r="G5866" s="17" t="s">
        <v>13000</v>
      </c>
      <c r="H5866" s="35" t="s">
        <v>2506</v>
      </c>
      <c r="I5866" s="25" t="s">
        <v>2507</v>
      </c>
    </row>
    <row r="5867" spans="1:9" s="33" customFormat="1" ht="45">
      <c r="A5867" s="4">
        <v>43559.584374999999</v>
      </c>
      <c r="B5867" s="5" t="str">
        <f t="shared" si="222"/>
        <v>@RusticRetreats1</v>
      </c>
      <c r="C5867" s="6" t="s">
        <v>2504</v>
      </c>
      <c r="D5867" s="7" t="s">
        <v>11755</v>
      </c>
      <c r="E5867" s="8" t="str">
        <f t="shared" si="223"/>
        <v>Hootsuite Inc.</v>
      </c>
      <c r="F5867" s="4">
        <v>42823.961053240739</v>
      </c>
      <c r="G5867" s="17" t="s">
        <v>13000</v>
      </c>
      <c r="H5867" s="35" t="s">
        <v>2506</v>
      </c>
      <c r="I5867" s="10" t="s">
        <v>2507</v>
      </c>
    </row>
    <row r="5868" spans="1:9" s="33" customFormat="1" ht="60">
      <c r="A5868" s="4">
        <v>43557.58421296296</v>
      </c>
      <c r="B5868" s="5" t="str">
        <f t="shared" si="222"/>
        <v>@RusticRetreats1</v>
      </c>
      <c r="C5868" s="6" t="s">
        <v>2504</v>
      </c>
      <c r="D5868" s="7" t="s">
        <v>12457</v>
      </c>
      <c r="E5868" s="8" t="str">
        <f t="shared" si="223"/>
        <v>Hootsuite Inc.</v>
      </c>
      <c r="F5868" s="4">
        <v>42823.961053240739</v>
      </c>
      <c r="G5868" s="17" t="s">
        <v>13000</v>
      </c>
      <c r="H5868" s="35" t="s">
        <v>2506</v>
      </c>
      <c r="I5868" s="10" t="s">
        <v>2507</v>
      </c>
    </row>
    <row r="5869" spans="1:9" s="33" customFormat="1" ht="90">
      <c r="A5869" s="12">
        <v>43574.584120370375</v>
      </c>
      <c r="B5869" s="13" t="str">
        <f t="shared" si="222"/>
        <v>@RusticRetreats1</v>
      </c>
      <c r="C5869" s="14" t="s">
        <v>2504</v>
      </c>
      <c r="D5869" s="15" t="s">
        <v>2505</v>
      </c>
      <c r="E5869" s="16" t="str">
        <f t="shared" si="223"/>
        <v>Hootsuite Inc.</v>
      </c>
      <c r="F5869" s="12">
        <v>42823.961053240739</v>
      </c>
      <c r="G5869" s="17" t="s">
        <v>13000</v>
      </c>
      <c r="H5869" s="35" t="s">
        <v>2506</v>
      </c>
      <c r="I5869" s="18" t="s">
        <v>2507</v>
      </c>
    </row>
    <row r="5870" spans="1:9" s="33" customFormat="1" ht="60">
      <c r="A5870" s="12">
        <v>43572.584143518514</v>
      </c>
      <c r="B5870" s="13" t="str">
        <f t="shared" si="222"/>
        <v>@RusticRetreats1</v>
      </c>
      <c r="C5870" s="14" t="s">
        <v>2504</v>
      </c>
      <c r="D5870" s="15" t="s">
        <v>3153</v>
      </c>
      <c r="E5870" s="16" t="str">
        <f t="shared" si="223"/>
        <v>Hootsuite Inc.</v>
      </c>
      <c r="F5870" s="12">
        <v>42823.961053240739</v>
      </c>
      <c r="G5870" s="17" t="s">
        <v>13000</v>
      </c>
      <c r="H5870" s="35" t="s">
        <v>2506</v>
      </c>
      <c r="I5870" s="18" t="s">
        <v>2507</v>
      </c>
    </row>
    <row r="5871" spans="1:9" s="33" customFormat="1" ht="75">
      <c r="A5871" s="12">
        <v>43570.584085648152</v>
      </c>
      <c r="B5871" s="13" t="str">
        <f t="shared" si="222"/>
        <v>@RusticRetreats1</v>
      </c>
      <c r="C5871" s="14" t="s">
        <v>2504</v>
      </c>
      <c r="D5871" s="15" t="s">
        <v>4049</v>
      </c>
      <c r="E5871" s="16" t="str">
        <f t="shared" si="223"/>
        <v>Hootsuite Inc.</v>
      </c>
      <c r="F5871" s="12">
        <v>42823.961053240739</v>
      </c>
      <c r="G5871" s="17" t="s">
        <v>13000</v>
      </c>
      <c r="H5871" s="35" t="s">
        <v>2506</v>
      </c>
      <c r="I5871" s="18" t="s">
        <v>2507</v>
      </c>
    </row>
    <row r="5872" spans="1:9" s="33" customFormat="1" ht="60">
      <c r="A5872" s="12">
        <v>43568.292303240742</v>
      </c>
      <c r="B5872" s="13" t="str">
        <f t="shared" si="222"/>
        <v>@RusticRetreats1</v>
      </c>
      <c r="C5872" s="14" t="s">
        <v>2504</v>
      </c>
      <c r="D5872" s="15" t="s">
        <v>4818</v>
      </c>
      <c r="E5872" s="16" t="str">
        <f t="shared" si="223"/>
        <v>Hootsuite Inc.</v>
      </c>
      <c r="F5872" s="12">
        <v>42823.961053240739</v>
      </c>
      <c r="G5872" s="17" t="s">
        <v>13000</v>
      </c>
      <c r="H5872" s="35" t="s">
        <v>2506</v>
      </c>
      <c r="I5872" s="18" t="s">
        <v>2507</v>
      </c>
    </row>
    <row r="5873" spans="1:9" s="33" customFormat="1" ht="75">
      <c r="A5873" s="12">
        <v>43566.583530092597</v>
      </c>
      <c r="B5873" s="13" t="str">
        <f t="shared" si="222"/>
        <v>@RusticRetreats1</v>
      </c>
      <c r="C5873" s="14" t="s">
        <v>2504</v>
      </c>
      <c r="D5873" s="15" t="s">
        <v>5430</v>
      </c>
      <c r="E5873" s="16" t="str">
        <f t="shared" si="223"/>
        <v>Hootsuite Inc.</v>
      </c>
      <c r="F5873" s="12">
        <v>42823.961053240739</v>
      </c>
      <c r="G5873" s="17" t="s">
        <v>13000</v>
      </c>
      <c r="H5873" s="35" t="s">
        <v>2506</v>
      </c>
      <c r="I5873" s="18" t="s">
        <v>2507</v>
      </c>
    </row>
    <row r="5874" spans="1:9" s="33" customFormat="1" ht="45">
      <c r="A5874" s="4">
        <v>43565.784259259264</v>
      </c>
      <c r="B5874" s="5" t="str">
        <f>HYPERLINK("https://twitter.com/ExcitingAds","@ExcitingAds")</f>
        <v>@ExcitingAds</v>
      </c>
      <c r="C5874" s="6" t="s">
        <v>5906</v>
      </c>
      <c r="D5874" s="7" t="s">
        <v>5907</v>
      </c>
      <c r="E5874" s="8" t="str">
        <f>HYPERLINK("https://www.google.com/","Google")</f>
        <v>Google</v>
      </c>
      <c r="F5874" s="4">
        <v>40013.485532407409</v>
      </c>
      <c r="G5874" s="9" t="s">
        <v>13000</v>
      </c>
      <c r="H5874" s="35" t="s">
        <v>5908</v>
      </c>
      <c r="I5874" s="10" t="s">
        <v>5909</v>
      </c>
    </row>
    <row r="5875" spans="1:9" s="33" customFormat="1" ht="75">
      <c r="A5875" s="4">
        <v>43564.635462962964</v>
      </c>
      <c r="B5875" s="5" t="str">
        <f>HYPERLINK("https://twitter.com/LyddyMartin","@LyddyMartin")</f>
        <v>@LyddyMartin</v>
      </c>
      <c r="C5875" s="6" t="s">
        <v>6482</v>
      </c>
      <c r="D5875" s="7" t="s">
        <v>6483</v>
      </c>
      <c r="E5875" s="8" t="str">
        <f>HYPERLINK("https://www.hootsuite.com","Hootsuite Inc.")</f>
        <v>Hootsuite Inc.</v>
      </c>
      <c r="F5875" s="4">
        <v>42179.450949074075</v>
      </c>
      <c r="G5875" s="9" t="s">
        <v>13000</v>
      </c>
      <c r="H5875" s="35" t="s">
        <v>6484</v>
      </c>
      <c r="I5875" s="10" t="s">
        <v>6485</v>
      </c>
    </row>
    <row r="5876" spans="1:9" s="33" customFormat="1" ht="60">
      <c r="A5876" s="12">
        <v>43576.751238425924</v>
      </c>
      <c r="B5876" s="13" t="str">
        <f>HYPERLINK("https://twitter.com/OysteerNZ","@OysteerNZ")</f>
        <v>@OysteerNZ</v>
      </c>
      <c r="C5876" s="14" t="s">
        <v>1849</v>
      </c>
      <c r="D5876" s="15" t="s">
        <v>1850</v>
      </c>
      <c r="E5876" s="16" t="str">
        <f>HYPERLINK("https://missinglettr.com","Missinglettr")</f>
        <v>Missinglettr</v>
      </c>
      <c r="F5876" s="12">
        <v>42939.548391203702</v>
      </c>
      <c r="G5876" s="17" t="s">
        <v>13001</v>
      </c>
      <c r="H5876" s="35" t="s">
        <v>1851</v>
      </c>
      <c r="I5876" s="18" t="s">
        <v>1852</v>
      </c>
    </row>
    <row r="5877" spans="1:9" s="33" customFormat="1" ht="60">
      <c r="A5877" s="4">
        <v>43565.174062499995</v>
      </c>
      <c r="B5877" s="5" t="str">
        <f>HYPERLINK("https://twitter.com/Boweavel","@Boweavel")</f>
        <v>@Boweavel</v>
      </c>
      <c r="C5877" s="6" t="s">
        <v>6258</v>
      </c>
      <c r="D5877" s="7" t="s">
        <v>12816</v>
      </c>
      <c r="E5877" s="8" t="str">
        <f>HYPERLINK("http://twitter.com","Twitter Web Client")</f>
        <v>Twitter Web Client</v>
      </c>
      <c r="F5877" s="4">
        <v>40072.326585648145</v>
      </c>
      <c r="G5877" s="9" t="s">
        <v>13001</v>
      </c>
      <c r="H5877" s="35" t="s">
        <v>6259</v>
      </c>
      <c r="I5877" s="10" t="s">
        <v>6260</v>
      </c>
    </row>
    <row r="5878" spans="1:9" s="33" customFormat="1" ht="105">
      <c r="A5878" s="19">
        <v>43551.835428240738</v>
      </c>
      <c r="B5878" s="20" t="str">
        <f>HYPERLINK("https://twitter.com/MadeComfyau","@MadeComfyau")</f>
        <v>@MadeComfyau</v>
      </c>
      <c r="C5878" s="21" t="s">
        <v>352</v>
      </c>
      <c r="D5878" s="22" t="s">
        <v>6986</v>
      </c>
      <c r="E5878" s="23" t="str">
        <f>HYPERLINK("http://www.hubspot.com/","HubSpot")</f>
        <v>HubSpot</v>
      </c>
      <c r="F5878" s="19">
        <v>42170.366296296299</v>
      </c>
      <c r="G5878" s="9" t="s">
        <v>13001</v>
      </c>
      <c r="H5878" s="35" t="s">
        <v>354</v>
      </c>
      <c r="I5878" s="25" t="s">
        <v>355</v>
      </c>
    </row>
    <row r="5879" spans="1:9" s="33" customFormat="1" ht="105">
      <c r="A5879" s="19">
        <v>43550.667210648149</v>
      </c>
      <c r="B5879" s="20" t="str">
        <f>HYPERLINK("https://twitter.com/SCUonline","@SCUonline")</f>
        <v>@SCUonline</v>
      </c>
      <c r="C5879" s="21" t="s">
        <v>7559</v>
      </c>
      <c r="D5879" s="22" t="s">
        <v>7560</v>
      </c>
      <c r="E5879" s="23" t="str">
        <f>HYPERLINK("https://www.hootsuite.com","Hootsuite Inc.")</f>
        <v>Hootsuite Inc.</v>
      </c>
      <c r="F5879" s="19">
        <v>40218.868738425925</v>
      </c>
      <c r="G5879" s="9" t="s">
        <v>13001</v>
      </c>
      <c r="H5879" s="35" t="s">
        <v>354</v>
      </c>
      <c r="I5879" s="25" t="s">
        <v>7561</v>
      </c>
    </row>
    <row r="5880" spans="1:9" s="33" customFormat="1" ht="45">
      <c r="A5880" s="19">
        <v>43550.139710648145</v>
      </c>
      <c r="B5880" s="20" t="str">
        <f>HYPERLINK("https://twitter.com/Marie_S_Nieves","@Marie_S_Nieves")</f>
        <v>@Marie_S_Nieves</v>
      </c>
      <c r="C5880" s="21" t="s">
        <v>7817</v>
      </c>
      <c r="D5880" s="22" t="s">
        <v>7818</v>
      </c>
      <c r="E5880" s="23" t="str">
        <f>HYPERLINK("http://twitter.com","Twitter Web Client")</f>
        <v>Twitter Web Client</v>
      </c>
      <c r="F5880" s="19">
        <v>42158.163090277776</v>
      </c>
      <c r="G5880" s="9" t="s">
        <v>13001</v>
      </c>
      <c r="H5880" s="35" t="s">
        <v>354</v>
      </c>
      <c r="I5880" s="25" t="s">
        <v>7819</v>
      </c>
    </row>
    <row r="5881" spans="1:9" s="33" customFormat="1" ht="90">
      <c r="A5881" s="19">
        <v>43549.954155092593</v>
      </c>
      <c r="B5881" s="20" t="str">
        <f>HYPERLINK("https://twitter.com/MadeComfyau","@MadeComfyau")</f>
        <v>@MadeComfyau</v>
      </c>
      <c r="C5881" s="21" t="s">
        <v>352</v>
      </c>
      <c r="D5881" s="22" t="s">
        <v>7870</v>
      </c>
      <c r="E5881" s="23" t="str">
        <f>HYPERLINK("http://www.hubspot.com/","HubSpot")</f>
        <v>HubSpot</v>
      </c>
      <c r="F5881" s="19">
        <v>42170.366296296299</v>
      </c>
      <c r="G5881" s="9" t="s">
        <v>13001</v>
      </c>
      <c r="H5881" s="35" t="s">
        <v>354</v>
      </c>
      <c r="I5881" s="25" t="s">
        <v>355</v>
      </c>
    </row>
    <row r="5882" spans="1:9" s="33" customFormat="1" ht="75">
      <c r="A5882" s="19">
        <v>43548.813923611116</v>
      </c>
      <c r="B5882" s="20" t="str">
        <f>HYPERLINK("https://twitter.com/tneeface","@tneeface")</f>
        <v>@tneeface</v>
      </c>
      <c r="C5882" s="21" t="s">
        <v>8216</v>
      </c>
      <c r="D5882" s="22" t="s">
        <v>8217</v>
      </c>
      <c r="E5882" s="23" t="str">
        <f>HYPERLINK("http://instagram.com","Instagram")</f>
        <v>Instagram</v>
      </c>
      <c r="F5882" s="19">
        <v>40404.658368055556</v>
      </c>
      <c r="G5882" s="9" t="s">
        <v>13001</v>
      </c>
      <c r="H5882" s="35" t="s">
        <v>354</v>
      </c>
      <c r="I5882" s="25"/>
    </row>
    <row r="5883" spans="1:9" s="33" customFormat="1" ht="30">
      <c r="A5883" s="19">
        <v>43545.974363425921</v>
      </c>
      <c r="B5883" s="20" t="str">
        <f>HYPERLINK("https://twitter.com/hurricane_int","@hurricane_int")</f>
        <v>@hurricane_int</v>
      </c>
      <c r="C5883" s="21" t="s">
        <v>8987</v>
      </c>
      <c r="D5883" s="22" t="s">
        <v>8988</v>
      </c>
      <c r="E5883" s="23" t="str">
        <f>HYPERLINK("https://mobile.twitter.com","Twitter Web App")</f>
        <v>Twitter Web App</v>
      </c>
      <c r="F5883" s="19">
        <v>42741.782500000001</v>
      </c>
      <c r="G5883" s="9" t="s">
        <v>13001</v>
      </c>
      <c r="H5883" s="35" t="s">
        <v>354</v>
      </c>
      <c r="I5883" s="25" t="s">
        <v>8989</v>
      </c>
    </row>
    <row r="5884" spans="1:9" s="33" customFormat="1" ht="120">
      <c r="A5884" s="19">
        <v>43545.838888888888</v>
      </c>
      <c r="B5884" s="20" t="str">
        <f>HYPERLINK("https://twitter.com/MadeComfyau","@MadeComfyau")</f>
        <v>@MadeComfyau</v>
      </c>
      <c r="C5884" s="21" t="s">
        <v>352</v>
      </c>
      <c r="D5884" s="22" t="s">
        <v>9025</v>
      </c>
      <c r="E5884" s="23" t="str">
        <f>HYPERLINK("http://www.hubspot.com/","HubSpot")</f>
        <v>HubSpot</v>
      </c>
      <c r="F5884" s="19">
        <v>42170.366296296299</v>
      </c>
      <c r="G5884" s="9" t="s">
        <v>13001</v>
      </c>
      <c r="H5884" s="35" t="s">
        <v>354</v>
      </c>
      <c r="I5884" s="25" t="s">
        <v>355</v>
      </c>
    </row>
    <row r="5885" spans="1:9" s="33" customFormat="1" ht="105">
      <c r="A5885" s="19">
        <v>43545.770833333328</v>
      </c>
      <c r="B5885" s="20" t="str">
        <f>HYPERLINK("https://twitter.com/MadeComfyau","@MadeComfyau")</f>
        <v>@MadeComfyau</v>
      </c>
      <c r="C5885" s="21" t="s">
        <v>352</v>
      </c>
      <c r="D5885" s="22" t="s">
        <v>9056</v>
      </c>
      <c r="E5885" s="23" t="str">
        <f>HYPERLINK("http://www.hubspot.com/","HubSpot")</f>
        <v>HubSpot</v>
      </c>
      <c r="F5885" s="19">
        <v>42170.366296296299</v>
      </c>
      <c r="G5885" s="9" t="s">
        <v>13001</v>
      </c>
      <c r="H5885" s="35" t="s">
        <v>354</v>
      </c>
      <c r="I5885" s="25" t="s">
        <v>355</v>
      </c>
    </row>
    <row r="5886" spans="1:9" s="33" customFormat="1" ht="90">
      <c r="A5886" s="19">
        <v>43542.834733796291</v>
      </c>
      <c r="B5886" s="20" t="str">
        <f>HYPERLINK("https://twitter.com/MadeComfyau","@MadeComfyau")</f>
        <v>@MadeComfyau</v>
      </c>
      <c r="C5886" s="21" t="s">
        <v>352</v>
      </c>
      <c r="D5886" s="22" t="s">
        <v>10006</v>
      </c>
      <c r="E5886" s="23" t="str">
        <f>HYPERLINK("http://www.hubspot.com/","HubSpot")</f>
        <v>HubSpot</v>
      </c>
      <c r="F5886" s="19">
        <v>42170.366296296299</v>
      </c>
      <c r="G5886" s="9" t="s">
        <v>13001</v>
      </c>
      <c r="H5886" s="35" t="s">
        <v>354</v>
      </c>
      <c r="I5886" s="25" t="s">
        <v>355</v>
      </c>
    </row>
    <row r="5887" spans="1:9" s="33" customFormat="1" ht="45">
      <c r="A5887" s="19">
        <v>43542.750173611115</v>
      </c>
      <c r="B5887" s="20" t="str">
        <f>HYPERLINK("https://twitter.com/Y7News","@Y7News")</f>
        <v>@Y7News</v>
      </c>
      <c r="C5887" s="21" t="s">
        <v>10025</v>
      </c>
      <c r="D5887" s="22" t="s">
        <v>10026</v>
      </c>
      <c r="E5887" s="23" t="str">
        <f>HYPERLINK("https://about.twitter.com/products/tweetdeck","TweetDeck")</f>
        <v>TweetDeck</v>
      </c>
      <c r="F5887" s="19">
        <v>40030.870972222227</v>
      </c>
      <c r="G5887" s="9" t="s">
        <v>13001</v>
      </c>
      <c r="H5887" s="35" t="s">
        <v>354</v>
      </c>
      <c r="I5887" s="25" t="s">
        <v>10027</v>
      </c>
    </row>
    <row r="5888" spans="1:9" s="33" customFormat="1" ht="75">
      <c r="A5888" s="4">
        <v>43565.746724537035</v>
      </c>
      <c r="B5888" s="5" t="str">
        <f>HYPERLINK("https://twitter.com/PropertyInABox","@PropertyInABox")</f>
        <v>@PropertyInABox</v>
      </c>
      <c r="C5888" s="6" t="s">
        <v>3973</v>
      </c>
      <c r="D5888" s="7" t="s">
        <v>5916</v>
      </c>
      <c r="E5888" s="8" t="str">
        <f>HYPERLINK("http://twitter.com","Twitter Web Client")</f>
        <v>Twitter Web Client</v>
      </c>
      <c r="F5888" s="4">
        <v>40255.805868055555</v>
      </c>
      <c r="G5888" s="9" t="s">
        <v>13001</v>
      </c>
      <c r="H5888" s="35" t="s">
        <v>354</v>
      </c>
      <c r="I5888" s="10" t="s">
        <v>3975</v>
      </c>
    </row>
    <row r="5889" spans="1:9" s="33" customFormat="1" ht="75">
      <c r="A5889" s="4">
        <v>43565.683587962965</v>
      </c>
      <c r="B5889" s="5" t="str">
        <f>HYPERLINK("https://twitter.com/lannockstrata","@lannockstrata")</f>
        <v>@lannockstrata</v>
      </c>
      <c r="C5889" s="6" t="s">
        <v>5952</v>
      </c>
      <c r="D5889" s="7" t="s">
        <v>5953</v>
      </c>
      <c r="E5889" s="8" t="str">
        <f>HYPERLINK("http://twitter.com","Twitter Web Client")</f>
        <v>Twitter Web Client</v>
      </c>
      <c r="F5889" s="4">
        <v>41490.731516203705</v>
      </c>
      <c r="G5889" s="9" t="s">
        <v>13001</v>
      </c>
      <c r="H5889" s="35" t="s">
        <v>354</v>
      </c>
      <c r="I5889" s="10" t="s">
        <v>5954</v>
      </c>
    </row>
    <row r="5890" spans="1:9" s="33" customFormat="1" ht="90">
      <c r="A5890" s="4">
        <v>43564.755590277782</v>
      </c>
      <c r="B5890" s="5" t="str">
        <f>HYPERLINK("https://twitter.com/PropertyInABox","@PropertyInABox")</f>
        <v>@PropertyInABox</v>
      </c>
      <c r="C5890" s="6" t="s">
        <v>3973</v>
      </c>
      <c r="D5890" s="7" t="s">
        <v>6427</v>
      </c>
      <c r="E5890" s="8" t="str">
        <f>HYPERLINK("http://twitter.com","Twitter Web Client")</f>
        <v>Twitter Web Client</v>
      </c>
      <c r="F5890" s="4">
        <v>40255.805868055555</v>
      </c>
      <c r="G5890" s="9" t="s">
        <v>13001</v>
      </c>
      <c r="H5890" s="35" t="s">
        <v>354</v>
      </c>
      <c r="I5890" s="10" t="s">
        <v>3975</v>
      </c>
    </row>
    <row r="5891" spans="1:9" s="33" customFormat="1" ht="45">
      <c r="A5891" s="4">
        <v>43564.626030092593</v>
      </c>
      <c r="B5891" s="5" t="str">
        <f>HYPERLINK("https://twitter.com/Dukelev","@Dukelev")</f>
        <v>@Dukelev</v>
      </c>
      <c r="C5891" s="6" t="s">
        <v>6486</v>
      </c>
      <c r="D5891" s="7" t="s">
        <v>6487</v>
      </c>
      <c r="E5891" s="8" t="str">
        <f>HYPERLINK("http://twitter.com/#!/download/ipad","Twitter for iPad")</f>
        <v>Twitter for iPad</v>
      </c>
      <c r="F5891" s="4">
        <v>40926.111597222218</v>
      </c>
      <c r="G5891" s="9" t="s">
        <v>13001</v>
      </c>
      <c r="H5891" s="35" t="s">
        <v>354</v>
      </c>
      <c r="I5891" s="10" t="s">
        <v>6488</v>
      </c>
    </row>
    <row r="5892" spans="1:9" s="33" customFormat="1" ht="90">
      <c r="A5892" s="4">
        <v>43564.061562499999</v>
      </c>
      <c r="B5892" s="5" t="str">
        <f>HYPERLINK("https://twitter.com/Planographer","@Planographer")</f>
        <v>@Planographer</v>
      </c>
      <c r="C5892" s="6" t="s">
        <v>6796</v>
      </c>
      <c r="D5892" s="7" t="s">
        <v>6797</v>
      </c>
      <c r="E5892" s="8" t="str">
        <f>HYPERLINK("http://twitter.com/download/android","Twitter for Android")</f>
        <v>Twitter for Android</v>
      </c>
      <c r="F5892" s="4">
        <v>40629.306250000001</v>
      </c>
      <c r="G5892" s="9" t="s">
        <v>13001</v>
      </c>
      <c r="H5892" s="35" t="s">
        <v>354</v>
      </c>
      <c r="I5892" s="10" t="s">
        <v>6798</v>
      </c>
    </row>
    <row r="5893" spans="1:9" s="33" customFormat="1" ht="105">
      <c r="A5893" s="4">
        <v>43563.990972222222</v>
      </c>
      <c r="B5893" s="5" t="str">
        <f>HYPERLINK("https://twitter.com/MadeComfyau","@MadeComfyau")</f>
        <v>@MadeComfyau</v>
      </c>
      <c r="C5893" s="6" t="s">
        <v>352</v>
      </c>
      <c r="D5893" s="7" t="s">
        <v>6829</v>
      </c>
      <c r="E5893" s="8" t="str">
        <f>HYPERLINK("http://www.hubspot.com/","HubSpot")</f>
        <v>HubSpot</v>
      </c>
      <c r="F5893" s="4">
        <v>42170.366296296299</v>
      </c>
      <c r="G5893" s="9" t="s">
        <v>13001</v>
      </c>
      <c r="H5893" s="35" t="s">
        <v>354</v>
      </c>
      <c r="I5893" s="10" t="s">
        <v>355</v>
      </c>
    </row>
    <row r="5894" spans="1:9" s="33" customFormat="1" ht="90">
      <c r="A5894" s="4">
        <v>43563.990972222222</v>
      </c>
      <c r="B5894" s="5" t="str">
        <f>HYPERLINK("https://twitter.com/MadeComfyau","@MadeComfyau")</f>
        <v>@MadeComfyau</v>
      </c>
      <c r="C5894" s="6" t="s">
        <v>352</v>
      </c>
      <c r="D5894" s="7" t="s">
        <v>6830</v>
      </c>
      <c r="E5894" s="8" t="str">
        <f>HYPERLINK("http://www.hubspot.com/","HubSpot")</f>
        <v>HubSpot</v>
      </c>
      <c r="F5894" s="4">
        <v>42170.366296296299</v>
      </c>
      <c r="G5894" s="9" t="s">
        <v>13001</v>
      </c>
      <c r="H5894" s="35" t="s">
        <v>354</v>
      </c>
      <c r="I5894" s="10" t="s">
        <v>355</v>
      </c>
    </row>
    <row r="5895" spans="1:9" s="33" customFormat="1" ht="60">
      <c r="A5895" s="4">
        <v>43563.887430555551</v>
      </c>
      <c r="B5895" s="5" t="str">
        <f>HYPERLINK("https://twitter.com/ResOnlineCM","@ResOnlineCM")</f>
        <v>@ResOnlineCM</v>
      </c>
      <c r="C5895" s="6" t="s">
        <v>6851</v>
      </c>
      <c r="D5895" s="7" t="s">
        <v>6852</v>
      </c>
      <c r="E5895" s="8" t="str">
        <f>HYPERLINK("http://twitter.com","Twitter Web Client")</f>
        <v>Twitter Web Client</v>
      </c>
      <c r="F5895" s="4">
        <v>41050.671527777777</v>
      </c>
      <c r="G5895" s="9" t="s">
        <v>13001</v>
      </c>
      <c r="H5895" s="35" t="s">
        <v>354</v>
      </c>
      <c r="I5895" s="10" t="s">
        <v>6853</v>
      </c>
    </row>
    <row r="5896" spans="1:9" s="33" customFormat="1" ht="45">
      <c r="A5896" s="4">
        <v>43563.768043981487</v>
      </c>
      <c r="B5896" s="5" t="str">
        <f>HYPERLINK("https://twitter.com/danjames71","@danjames71")</f>
        <v>@danjames71</v>
      </c>
      <c r="C5896" s="6" t="s">
        <v>6887</v>
      </c>
      <c r="D5896" s="7" t="s">
        <v>6888</v>
      </c>
      <c r="E5896" s="8" t="str">
        <f>HYPERLINK("https://mobile.twitter.com","Twitter Web App")</f>
        <v>Twitter Web App</v>
      </c>
      <c r="F5896" s="4">
        <v>41823.323240740741</v>
      </c>
      <c r="G5896" s="9" t="s">
        <v>13001</v>
      </c>
      <c r="H5896" s="35" t="s">
        <v>354</v>
      </c>
      <c r="I5896" s="10" t="s">
        <v>6889</v>
      </c>
    </row>
    <row r="5897" spans="1:9" s="33" customFormat="1" ht="105">
      <c r="A5897" s="4">
        <v>43563.751388888893</v>
      </c>
      <c r="B5897" s="5" t="str">
        <f>HYPERLINK("https://twitter.com/MadeComfyau","@MadeComfyau")</f>
        <v>@MadeComfyau</v>
      </c>
      <c r="C5897" s="6" t="s">
        <v>352</v>
      </c>
      <c r="D5897" s="7" t="s">
        <v>6900</v>
      </c>
      <c r="E5897" s="8" t="str">
        <f>HYPERLINK("http://www.hubspot.com/","HubSpot")</f>
        <v>HubSpot</v>
      </c>
      <c r="F5897" s="4">
        <v>42170.366296296299</v>
      </c>
      <c r="G5897" s="9" t="s">
        <v>13001</v>
      </c>
      <c r="H5897" s="35" t="s">
        <v>354</v>
      </c>
      <c r="I5897" s="10" t="s">
        <v>355</v>
      </c>
    </row>
    <row r="5898" spans="1:9" s="33" customFormat="1" ht="45">
      <c r="A5898" s="4">
        <v>43562.671585648146</v>
      </c>
      <c r="B5898" s="5" t="str">
        <f>HYPERLINK("https://twitter.com/KidspotSocial","@KidspotSocial")</f>
        <v>@KidspotSocial</v>
      </c>
      <c r="C5898" s="6" t="s">
        <v>10616</v>
      </c>
      <c r="D5898" s="7" t="s">
        <v>10617</v>
      </c>
      <c r="E5898" s="8" t="str">
        <f>HYPERLINK("http://app.viraltag.com","Viraltag")</f>
        <v>Viraltag</v>
      </c>
      <c r="F5898" s="4">
        <v>39974.717048611114</v>
      </c>
      <c r="G5898" s="9" t="s">
        <v>13001</v>
      </c>
      <c r="H5898" s="35" t="s">
        <v>354</v>
      </c>
      <c r="I5898" s="10" t="s">
        <v>10618</v>
      </c>
    </row>
    <row r="5899" spans="1:9" s="33" customFormat="1" ht="45">
      <c r="A5899" s="4">
        <v>43560.740567129629</v>
      </c>
      <c r="B5899" s="5" t="str">
        <f>HYPERLINK("https://twitter.com/holidayhomeAU","@holidayhomeAU")</f>
        <v>@holidayhomeAU</v>
      </c>
      <c r="C5899" s="6" t="s">
        <v>2693</v>
      </c>
      <c r="D5899" s="7" t="s">
        <v>11205</v>
      </c>
      <c r="E5899" s="8" t="str">
        <f>HYPERLINK("http://twitter.com/download/iphone","Twitter for iPhone")</f>
        <v>Twitter for iPhone</v>
      </c>
      <c r="F5899" s="4">
        <v>40014.64603009259</v>
      </c>
      <c r="G5899" s="9" t="s">
        <v>13001</v>
      </c>
      <c r="H5899" s="35" t="s">
        <v>354</v>
      </c>
      <c r="I5899" s="10" t="s">
        <v>2695</v>
      </c>
    </row>
    <row r="5900" spans="1:9" s="33" customFormat="1" ht="60">
      <c r="A5900" s="4">
        <v>43560.735844907409</v>
      </c>
      <c r="B5900" s="5" t="str">
        <f>HYPERLINK("https://twitter.com/AmericKim","@AmericKim")</f>
        <v>@AmericKim</v>
      </c>
      <c r="C5900" s="6" t="s">
        <v>11206</v>
      </c>
      <c r="D5900" s="7" t="s">
        <v>11207</v>
      </c>
      <c r="E5900" s="8" t="str">
        <f>HYPERLINK("http://twitter.com/download/iphone","Twitter for iPhone")</f>
        <v>Twitter for iPhone</v>
      </c>
      <c r="F5900" s="4">
        <v>40407.90865740741</v>
      </c>
      <c r="G5900" s="9" t="s">
        <v>13001</v>
      </c>
      <c r="H5900" s="35" t="s">
        <v>354</v>
      </c>
      <c r="I5900" s="10" t="s">
        <v>11208</v>
      </c>
    </row>
    <row r="5901" spans="1:9" s="33" customFormat="1" ht="105">
      <c r="A5901" s="4">
        <v>43559.948611111111</v>
      </c>
      <c r="B5901" s="5" t="str">
        <f>HYPERLINK("https://twitter.com/MadeComfyau","@MadeComfyau")</f>
        <v>@MadeComfyau</v>
      </c>
      <c r="C5901" s="6" t="s">
        <v>352</v>
      </c>
      <c r="D5901" s="7" t="s">
        <v>11651</v>
      </c>
      <c r="E5901" s="8" t="str">
        <f>HYPERLINK("http://www.hubspot.com/","HubSpot")</f>
        <v>HubSpot</v>
      </c>
      <c r="F5901" s="4">
        <v>42170.366296296299</v>
      </c>
      <c r="G5901" s="9" t="s">
        <v>13001</v>
      </c>
      <c r="H5901" s="35" t="s">
        <v>354</v>
      </c>
      <c r="I5901" s="10" t="s">
        <v>355</v>
      </c>
    </row>
    <row r="5902" spans="1:9" s="33" customFormat="1" ht="105">
      <c r="A5902" s="4">
        <v>43559.834027777775</v>
      </c>
      <c r="B5902" s="5" t="str">
        <f>HYPERLINK("https://twitter.com/MadeComfyau","@MadeComfyau")</f>
        <v>@MadeComfyau</v>
      </c>
      <c r="C5902" s="6" t="s">
        <v>352</v>
      </c>
      <c r="D5902" s="7" t="s">
        <v>11679</v>
      </c>
      <c r="E5902" s="8" t="str">
        <f>HYPERLINK("http://www.hubspot.com/","HubSpot")</f>
        <v>HubSpot</v>
      </c>
      <c r="F5902" s="4">
        <v>42170.366296296299</v>
      </c>
      <c r="G5902" s="9" t="s">
        <v>13001</v>
      </c>
      <c r="H5902" s="35" t="s">
        <v>354</v>
      </c>
      <c r="I5902" s="10" t="s">
        <v>355</v>
      </c>
    </row>
    <row r="5903" spans="1:9" s="33" customFormat="1" ht="105">
      <c r="A5903" s="4">
        <v>43559.709016203706</v>
      </c>
      <c r="B5903" s="5" t="str">
        <f>HYPERLINK("https://twitter.com/MadeComfyau","@MadeComfyau")</f>
        <v>@MadeComfyau</v>
      </c>
      <c r="C5903" s="6" t="s">
        <v>352</v>
      </c>
      <c r="D5903" s="7" t="s">
        <v>11710</v>
      </c>
      <c r="E5903" s="8" t="str">
        <f>HYPERLINK("http://www.hubspot.com/","HubSpot")</f>
        <v>HubSpot</v>
      </c>
      <c r="F5903" s="4">
        <v>42170.366296296299</v>
      </c>
      <c r="G5903" s="9" t="s">
        <v>13001</v>
      </c>
      <c r="H5903" s="35" t="s">
        <v>354</v>
      </c>
      <c r="I5903" s="10" t="s">
        <v>355</v>
      </c>
    </row>
    <row r="5904" spans="1:9" s="33" customFormat="1" ht="60">
      <c r="A5904" s="4">
        <v>43558.994525462964</v>
      </c>
      <c r="B5904" s="5" t="str">
        <f>HYPERLINK("https://twitter.com/ArmouredCosplay","@ArmouredCosplay")</f>
        <v>@ArmouredCosplay</v>
      </c>
      <c r="C5904" s="6" t="s">
        <v>11983</v>
      </c>
      <c r="D5904" s="7" t="s">
        <v>11984</v>
      </c>
      <c r="E5904" s="8" t="str">
        <f>HYPERLINK("http://twitter.com/download/android","Twitter for Android")</f>
        <v>Twitter for Android</v>
      </c>
      <c r="F5904" s="4">
        <v>43147.758530092593</v>
      </c>
      <c r="G5904" s="9" t="s">
        <v>13001</v>
      </c>
      <c r="H5904" s="35" t="s">
        <v>354</v>
      </c>
      <c r="I5904" s="10" t="s">
        <v>11985</v>
      </c>
    </row>
    <row r="5905" spans="1:9" s="33" customFormat="1" ht="105">
      <c r="A5905" s="4">
        <v>43558.954166666663</v>
      </c>
      <c r="B5905" s="5" t="str">
        <f>HYPERLINK("https://twitter.com/MadeComfyau","@MadeComfyau")</f>
        <v>@MadeComfyau</v>
      </c>
      <c r="C5905" s="6" t="s">
        <v>352</v>
      </c>
      <c r="D5905" s="7" t="s">
        <v>11994</v>
      </c>
      <c r="E5905" s="8" t="str">
        <f>HYPERLINK("http://www.hubspot.com/","HubSpot")</f>
        <v>HubSpot</v>
      </c>
      <c r="F5905" s="4">
        <v>42170.366296296299</v>
      </c>
      <c r="G5905" s="9" t="s">
        <v>13001</v>
      </c>
      <c r="H5905" s="35" t="s">
        <v>354</v>
      </c>
      <c r="I5905" s="10" t="s">
        <v>355</v>
      </c>
    </row>
    <row r="5906" spans="1:9" s="33" customFormat="1" ht="105">
      <c r="A5906" s="4">
        <v>43558.954155092593</v>
      </c>
      <c r="B5906" s="5" t="str">
        <f>HYPERLINK("https://twitter.com/MadeComfyau","@MadeComfyau")</f>
        <v>@MadeComfyau</v>
      </c>
      <c r="C5906" s="6" t="s">
        <v>352</v>
      </c>
      <c r="D5906" s="7" t="s">
        <v>11995</v>
      </c>
      <c r="E5906" s="8" t="str">
        <f>HYPERLINK("http://www.hubspot.com/","HubSpot")</f>
        <v>HubSpot</v>
      </c>
      <c r="F5906" s="4">
        <v>42170.366296296299</v>
      </c>
      <c r="G5906" s="9" t="s">
        <v>13001</v>
      </c>
      <c r="H5906" s="35" t="s">
        <v>354</v>
      </c>
      <c r="I5906" s="10" t="s">
        <v>355</v>
      </c>
    </row>
    <row r="5907" spans="1:9" s="33" customFormat="1" ht="75">
      <c r="A5907" s="4">
        <v>43558.908634259264</v>
      </c>
      <c r="B5907" s="5" t="str">
        <f>HYPERLINK("https://twitter.com/holidayhomeAU","@holidayhomeAU")</f>
        <v>@holidayhomeAU</v>
      </c>
      <c r="C5907" s="6" t="s">
        <v>2693</v>
      </c>
      <c r="D5907" s="7" t="s">
        <v>12000</v>
      </c>
      <c r="E5907" s="8" t="str">
        <f>HYPERLINK("http://twitter.com/download/iphone","Twitter for iPhone")</f>
        <v>Twitter for iPhone</v>
      </c>
      <c r="F5907" s="4">
        <v>40014.64603009259</v>
      </c>
      <c r="G5907" s="9" t="s">
        <v>13001</v>
      </c>
      <c r="H5907" s="35" t="s">
        <v>354</v>
      </c>
      <c r="I5907" s="10" t="s">
        <v>2695</v>
      </c>
    </row>
    <row r="5908" spans="1:9" s="33" customFormat="1" ht="75">
      <c r="A5908" s="4">
        <v>43558.67260416667</v>
      </c>
      <c r="B5908" s="5" t="str">
        <f>HYPERLINK("https://twitter.com/withyoueverystp","@withyoueverystp")</f>
        <v>@withyoueverystp</v>
      </c>
      <c r="C5908" s="6" t="s">
        <v>12078</v>
      </c>
      <c r="D5908" s="7" t="s">
        <v>12079</v>
      </c>
      <c r="E5908" s="8" t="str">
        <f>HYPERLINK("http://twitter.com/download/android","Twitter for Android")</f>
        <v>Twitter for Android</v>
      </c>
      <c r="F5908" s="4">
        <v>43260.101226851853</v>
      </c>
      <c r="G5908" s="9" t="s">
        <v>13001</v>
      </c>
      <c r="H5908" s="35" t="s">
        <v>354</v>
      </c>
      <c r="I5908" s="10" t="s">
        <v>12080</v>
      </c>
    </row>
    <row r="5909" spans="1:9" s="33" customFormat="1" ht="90">
      <c r="A5909" s="4">
        <v>43557.87332175926</v>
      </c>
      <c r="B5909" s="5" t="str">
        <f>HYPERLINK("https://twitter.com/withyoueverystp","@withyoueverystp")</f>
        <v>@withyoueverystp</v>
      </c>
      <c r="C5909" s="6" t="s">
        <v>12078</v>
      </c>
      <c r="D5909" s="7" t="s">
        <v>12372</v>
      </c>
      <c r="E5909" s="8" t="str">
        <f>HYPERLINK("http://twitter.com/download/android","Twitter for Android")</f>
        <v>Twitter for Android</v>
      </c>
      <c r="F5909" s="4">
        <v>43260.101226851853</v>
      </c>
      <c r="G5909" s="9" t="s">
        <v>13001</v>
      </c>
      <c r="H5909" s="35" t="s">
        <v>354</v>
      </c>
      <c r="I5909" s="10" t="s">
        <v>12080</v>
      </c>
    </row>
    <row r="5910" spans="1:9" s="33" customFormat="1" ht="75">
      <c r="A5910" s="4">
        <v>43557.604317129633</v>
      </c>
      <c r="B5910" s="5" t="str">
        <f>HYPERLINK("https://twitter.com/ebminsurance","@ebminsurance")</f>
        <v>@ebminsurance</v>
      </c>
      <c r="C5910" s="6" t="s">
        <v>12446</v>
      </c>
      <c r="D5910" s="7" t="s">
        <v>12447</v>
      </c>
      <c r="E5910" s="8" t="str">
        <f>HYPERLINK("https://www.hootsuite.com","Hootsuite Inc.")</f>
        <v>Hootsuite Inc.</v>
      </c>
      <c r="F5910" s="4">
        <v>39996.728865740741</v>
      </c>
      <c r="G5910" s="9" t="s">
        <v>13001</v>
      </c>
      <c r="H5910" s="35" t="s">
        <v>354</v>
      </c>
      <c r="I5910" s="10" t="s">
        <v>12448</v>
      </c>
    </row>
    <row r="5911" spans="1:9" s="33" customFormat="1" ht="75">
      <c r="A5911" s="4">
        <v>43556.857685185183</v>
      </c>
      <c r="B5911" s="5" t="str">
        <f>HYPERLINK("https://twitter.com/IntrnetRemovals","@IntrnetRemovals")</f>
        <v>@IntrnetRemovals</v>
      </c>
      <c r="C5911" s="6" t="s">
        <v>12720</v>
      </c>
      <c r="D5911" s="7" t="s">
        <v>12721</v>
      </c>
      <c r="E5911" s="8" t="str">
        <f>HYPERLINK("https://www.hootsuite.com","Hootsuite Inc.")</f>
        <v>Hootsuite Inc.</v>
      </c>
      <c r="F5911" s="4">
        <v>42550.208692129629</v>
      </c>
      <c r="G5911" s="9" t="s">
        <v>13001</v>
      </c>
      <c r="H5911" s="35" t="s">
        <v>354</v>
      </c>
      <c r="I5911" s="10"/>
    </row>
    <row r="5912" spans="1:9" s="33" customFormat="1" ht="105">
      <c r="A5912" s="4">
        <v>43556.836805555555</v>
      </c>
      <c r="B5912" s="5" t="str">
        <f>HYPERLINK("https://twitter.com/MadeComfyau","@MadeComfyau")</f>
        <v>@MadeComfyau</v>
      </c>
      <c r="C5912" s="6" t="s">
        <v>352</v>
      </c>
      <c r="D5912" s="7" t="s">
        <v>12728</v>
      </c>
      <c r="E5912" s="8" t="str">
        <f>HYPERLINK("http://www.hubspot.com/","HubSpot")</f>
        <v>HubSpot</v>
      </c>
      <c r="F5912" s="4">
        <v>42170.366296296299</v>
      </c>
      <c r="G5912" s="9" t="s">
        <v>13001</v>
      </c>
      <c r="H5912" s="35" t="s">
        <v>354</v>
      </c>
      <c r="I5912" s="10" t="s">
        <v>355</v>
      </c>
    </row>
    <row r="5913" spans="1:9" s="33" customFormat="1" ht="90">
      <c r="A5913" s="12">
        <v>43579.996516203704</v>
      </c>
      <c r="B5913" s="13" t="str">
        <f>HYPERLINK("https://twitter.com/MadeComfyau","@MadeComfyau")</f>
        <v>@MadeComfyau</v>
      </c>
      <c r="C5913" s="14" t="s">
        <v>352</v>
      </c>
      <c r="D5913" s="15" t="s">
        <v>353</v>
      </c>
      <c r="E5913" s="16" t="str">
        <f>HYPERLINK("http://www.hubspot.com/","HubSpot")</f>
        <v>HubSpot</v>
      </c>
      <c r="F5913" s="12">
        <v>42170.366296296299</v>
      </c>
      <c r="G5913" s="9" t="s">
        <v>13001</v>
      </c>
      <c r="H5913" s="35" t="s">
        <v>354</v>
      </c>
      <c r="I5913" s="18" t="s">
        <v>355</v>
      </c>
    </row>
    <row r="5914" spans="1:9" s="33" customFormat="1" ht="75">
      <c r="A5914" s="12">
        <v>43579.756932870368</v>
      </c>
      <c r="B5914" s="13" t="str">
        <f>HYPERLINK("https://twitter.com/MadeComfyau","@MadeComfyau")</f>
        <v>@MadeComfyau</v>
      </c>
      <c r="C5914" s="14" t="s">
        <v>352</v>
      </c>
      <c r="D5914" s="15" t="s">
        <v>468</v>
      </c>
      <c r="E5914" s="16" t="str">
        <f>HYPERLINK("http://www.hubspot.com/","HubSpot")</f>
        <v>HubSpot</v>
      </c>
      <c r="F5914" s="12">
        <v>42170.366296296299</v>
      </c>
      <c r="G5914" s="9" t="s">
        <v>13001</v>
      </c>
      <c r="H5914" s="35" t="s">
        <v>354</v>
      </c>
      <c r="I5914" s="18" t="s">
        <v>355</v>
      </c>
    </row>
    <row r="5915" spans="1:9" s="33" customFormat="1" ht="90">
      <c r="A5915" s="12">
        <v>43577.879166666666</v>
      </c>
      <c r="B5915" s="13" t="str">
        <f>HYPERLINK("https://twitter.com/MadeComfyau","@MadeComfyau")</f>
        <v>@MadeComfyau</v>
      </c>
      <c r="C5915" s="14" t="s">
        <v>352</v>
      </c>
      <c r="D5915" s="15" t="s">
        <v>1476</v>
      </c>
      <c r="E5915" s="16" t="str">
        <f>HYPERLINK("http://www.hubspot.com/","HubSpot")</f>
        <v>HubSpot</v>
      </c>
      <c r="F5915" s="12">
        <v>42170.366296296299</v>
      </c>
      <c r="G5915" s="9" t="s">
        <v>13001</v>
      </c>
      <c r="H5915" s="35" t="s">
        <v>354</v>
      </c>
      <c r="I5915" s="18" t="s">
        <v>355</v>
      </c>
    </row>
    <row r="5916" spans="1:9" s="33" customFormat="1" ht="45">
      <c r="A5916" s="12">
        <v>43576.784745370373</v>
      </c>
      <c r="B5916" s="13" t="str">
        <f>HYPERLINK("https://twitter.com/wadekwright","@wadekwright")</f>
        <v>@wadekwright</v>
      </c>
      <c r="C5916" s="14" t="s">
        <v>1839</v>
      </c>
      <c r="D5916" s="15" t="s">
        <v>1840</v>
      </c>
      <c r="E5916" s="16" t="str">
        <f>HYPERLINK("https://www.hootsuite.com","Hootsuite Inc.")</f>
        <v>Hootsuite Inc.</v>
      </c>
      <c r="F5916" s="12">
        <v>40051.106562499997</v>
      </c>
      <c r="G5916" s="9" t="s">
        <v>13001</v>
      </c>
      <c r="H5916" s="35" t="s">
        <v>354</v>
      </c>
      <c r="I5916" s="18" t="s">
        <v>1841</v>
      </c>
    </row>
    <row r="5917" spans="1:9" s="33" customFormat="1" ht="75">
      <c r="A5917" s="12">
        <v>43576.247233796297</v>
      </c>
      <c r="B5917" s="13" t="str">
        <f>HYPERLINK("https://twitter.com/alianeb","@alianeb")</f>
        <v>@alianeb</v>
      </c>
      <c r="C5917" s="14" t="s">
        <v>2022</v>
      </c>
      <c r="D5917" s="15" t="s">
        <v>2023</v>
      </c>
      <c r="E5917" s="16" t="str">
        <f>HYPERLINK("http://instagram.com","Instagram")</f>
        <v>Instagram</v>
      </c>
      <c r="F5917" s="12">
        <v>39932.079456018517</v>
      </c>
      <c r="G5917" s="9" t="s">
        <v>13001</v>
      </c>
      <c r="H5917" s="35" t="s">
        <v>354</v>
      </c>
      <c r="I5917" s="18" t="s">
        <v>2024</v>
      </c>
    </row>
    <row r="5918" spans="1:9" s="33" customFormat="1" ht="75">
      <c r="A5918" s="12">
        <v>43575.31962962963</v>
      </c>
      <c r="B5918" s="13" t="str">
        <f>HYPERLINK("https://twitter.com/alianeb","@alianeb")</f>
        <v>@alianeb</v>
      </c>
      <c r="C5918" s="14" t="s">
        <v>2022</v>
      </c>
      <c r="D5918" s="15" t="s">
        <v>2300</v>
      </c>
      <c r="E5918" s="16" t="str">
        <f>HYPERLINK("http://instagram.com","Instagram")</f>
        <v>Instagram</v>
      </c>
      <c r="F5918" s="12">
        <v>39932.079456018517</v>
      </c>
      <c r="G5918" s="9" t="s">
        <v>13001</v>
      </c>
      <c r="H5918" s="35" t="s">
        <v>354</v>
      </c>
      <c r="I5918" s="18" t="s">
        <v>2024</v>
      </c>
    </row>
    <row r="5919" spans="1:9" s="33" customFormat="1" ht="120">
      <c r="A5919" s="12">
        <v>43574.016666666663</v>
      </c>
      <c r="B5919" s="13" t="str">
        <f>HYPERLINK("https://twitter.com/holidayhomeAU","@holidayhomeAU")</f>
        <v>@holidayhomeAU</v>
      </c>
      <c r="C5919" s="14" t="s">
        <v>2693</v>
      </c>
      <c r="D5919" s="15" t="s">
        <v>2694</v>
      </c>
      <c r="E5919" s="16" t="str">
        <f>HYPERLINK("http://twitter.com/download/iphone","Twitter for iPhone")</f>
        <v>Twitter for iPhone</v>
      </c>
      <c r="F5919" s="12">
        <v>40014.64603009259</v>
      </c>
      <c r="G5919" s="9" t="s">
        <v>13001</v>
      </c>
      <c r="H5919" s="35" t="s">
        <v>354</v>
      </c>
      <c r="I5919" s="18" t="s">
        <v>2695</v>
      </c>
    </row>
    <row r="5920" spans="1:9" s="33" customFormat="1" ht="105">
      <c r="A5920" s="12">
        <v>43572.991655092592</v>
      </c>
      <c r="B5920" s="13" t="str">
        <f>HYPERLINK("https://twitter.com/MadeComfyau","@MadeComfyau")</f>
        <v>@MadeComfyau</v>
      </c>
      <c r="C5920" s="14" t="s">
        <v>352</v>
      </c>
      <c r="D5920" s="15" t="s">
        <v>3034</v>
      </c>
      <c r="E5920" s="16" t="str">
        <f>HYPERLINK("http://www.hubspot.com/","HubSpot")</f>
        <v>HubSpot</v>
      </c>
      <c r="F5920" s="12">
        <v>42170.366296296299</v>
      </c>
      <c r="G5920" s="9" t="s">
        <v>13001</v>
      </c>
      <c r="H5920" s="35" t="s">
        <v>354</v>
      </c>
      <c r="I5920" s="18" t="s">
        <v>355</v>
      </c>
    </row>
    <row r="5921" spans="1:9" s="33" customFormat="1" ht="90">
      <c r="A5921" s="12">
        <v>43572.877083333333</v>
      </c>
      <c r="B5921" s="13" t="str">
        <f>HYPERLINK("https://twitter.com/MadeComfyau","@MadeComfyau")</f>
        <v>@MadeComfyau</v>
      </c>
      <c r="C5921" s="14" t="s">
        <v>352</v>
      </c>
      <c r="D5921" s="15" t="s">
        <v>3072</v>
      </c>
      <c r="E5921" s="16" t="str">
        <f>HYPERLINK("http://www.hubspot.com/","HubSpot")</f>
        <v>HubSpot</v>
      </c>
      <c r="F5921" s="12">
        <v>42170.366296296299</v>
      </c>
      <c r="G5921" s="9" t="s">
        <v>13001</v>
      </c>
      <c r="H5921" s="35" t="s">
        <v>354</v>
      </c>
      <c r="I5921" s="18" t="s">
        <v>355</v>
      </c>
    </row>
    <row r="5922" spans="1:9" s="33" customFormat="1" ht="75">
      <c r="A5922" s="12">
        <v>43572.000277777777</v>
      </c>
      <c r="B5922" s="13" t="str">
        <f>HYPERLINK("https://twitter.com/thecreditletter","@thecreditletter")</f>
        <v>@thecreditletter</v>
      </c>
      <c r="C5922" s="14" t="s">
        <v>3466</v>
      </c>
      <c r="D5922" s="15" t="s">
        <v>3467</v>
      </c>
      <c r="E5922" s="16" t="str">
        <f>HYPERLINK("https://www.loomly.com/","Loomly")</f>
        <v>Loomly</v>
      </c>
      <c r="F5922" s="12">
        <v>40025.899143518516</v>
      </c>
      <c r="G5922" s="9" t="s">
        <v>13001</v>
      </c>
      <c r="H5922" s="35" t="s">
        <v>354</v>
      </c>
      <c r="I5922" s="18" t="s">
        <v>3468</v>
      </c>
    </row>
    <row r="5923" spans="1:9" s="33" customFormat="1" ht="105">
      <c r="A5923" s="12">
        <v>43570.881249999999</v>
      </c>
      <c r="B5923" s="13" t="str">
        <f>HYPERLINK("https://twitter.com/MadeComfyau","@MadeComfyau")</f>
        <v>@MadeComfyau</v>
      </c>
      <c r="C5923" s="14" t="s">
        <v>352</v>
      </c>
      <c r="D5923" s="15" t="s">
        <v>3953</v>
      </c>
      <c r="E5923" s="16" t="str">
        <f>HYPERLINK("http://www.hubspot.com/","HubSpot")</f>
        <v>HubSpot</v>
      </c>
      <c r="F5923" s="12">
        <v>42170.366296296299</v>
      </c>
      <c r="G5923" s="9" t="s">
        <v>13001</v>
      </c>
      <c r="H5923" s="35" t="s">
        <v>354</v>
      </c>
      <c r="I5923" s="18" t="s">
        <v>355</v>
      </c>
    </row>
    <row r="5924" spans="1:9" s="33" customFormat="1" ht="90">
      <c r="A5924" s="12">
        <v>43570.818113425921</v>
      </c>
      <c r="B5924" s="13" t="str">
        <f>HYPERLINK("https://twitter.com/PropertyInABox","@PropertyInABox")</f>
        <v>@PropertyInABox</v>
      </c>
      <c r="C5924" s="14" t="s">
        <v>3973</v>
      </c>
      <c r="D5924" s="15" t="s">
        <v>3974</v>
      </c>
      <c r="E5924" s="16" t="str">
        <f>HYPERLINK("http://twitter.com","Twitter Web Client")</f>
        <v>Twitter Web Client</v>
      </c>
      <c r="F5924" s="12">
        <v>40255.805868055555</v>
      </c>
      <c r="G5924" s="9" t="s">
        <v>13001</v>
      </c>
      <c r="H5924" s="35" t="s">
        <v>354</v>
      </c>
      <c r="I5924" s="18" t="s">
        <v>3975</v>
      </c>
    </row>
    <row r="5925" spans="1:9" s="33" customFormat="1" ht="105">
      <c r="A5925" s="12">
        <v>43566.880555555559</v>
      </c>
      <c r="B5925" s="13" t="str">
        <f>HYPERLINK("https://twitter.com/MadeComfyau","@MadeComfyau")</f>
        <v>@MadeComfyau</v>
      </c>
      <c r="C5925" s="14" t="s">
        <v>352</v>
      </c>
      <c r="D5925" s="15" t="s">
        <v>5310</v>
      </c>
      <c r="E5925" s="16" t="str">
        <f>HYPERLINK("http://www.hubspot.com/","HubSpot")</f>
        <v>HubSpot</v>
      </c>
      <c r="F5925" s="12">
        <v>42170.366296296299</v>
      </c>
      <c r="G5925" s="9" t="s">
        <v>13001</v>
      </c>
      <c r="H5925" s="35" t="s">
        <v>354</v>
      </c>
      <c r="I5925" s="18" t="s">
        <v>355</v>
      </c>
    </row>
    <row r="5926" spans="1:9" s="33" customFormat="1" ht="105">
      <c r="A5926" s="12">
        <v>43565.879166666666</v>
      </c>
      <c r="B5926" s="13" t="str">
        <f>HYPERLINK("https://twitter.com/MadeComfyau","@MadeComfyau")</f>
        <v>@MadeComfyau</v>
      </c>
      <c r="C5926" s="14" t="s">
        <v>352</v>
      </c>
      <c r="D5926" s="15" t="s">
        <v>5872</v>
      </c>
      <c r="E5926" s="16" t="str">
        <f>HYPERLINK("http://www.hubspot.com/","HubSpot")</f>
        <v>HubSpot</v>
      </c>
      <c r="F5926" s="12">
        <v>42170.366296296299</v>
      </c>
      <c r="G5926" s="9" t="s">
        <v>13001</v>
      </c>
      <c r="H5926" s="35" t="s">
        <v>354</v>
      </c>
      <c r="I5926" s="18" t="s">
        <v>355</v>
      </c>
    </row>
    <row r="5927" spans="1:9" s="33" customFormat="1" ht="60">
      <c r="A5927" s="4">
        <v>43564.663414351853</v>
      </c>
      <c r="B5927" s="5" t="str">
        <f>HYPERLINK("https://twitter.com/LookUpStrata","@LookUpStrata")</f>
        <v>@LookUpStrata</v>
      </c>
      <c r="C5927" s="6" t="s">
        <v>4426</v>
      </c>
      <c r="D5927" s="7" t="s">
        <v>6466</v>
      </c>
      <c r="E5927" s="8" t="str">
        <f>HYPERLINK("https://missinglettr.com","Missinglettr")</f>
        <v>Missinglettr</v>
      </c>
      <c r="F5927" s="4">
        <v>41178.848935185189</v>
      </c>
      <c r="G5927" s="9" t="s">
        <v>13001</v>
      </c>
      <c r="H5927" s="35" t="s">
        <v>4428</v>
      </c>
      <c r="I5927" s="10" t="s">
        <v>4429</v>
      </c>
    </row>
    <row r="5928" spans="1:9" s="33" customFormat="1" ht="45">
      <c r="A5928" s="12">
        <v>43569.702083333337</v>
      </c>
      <c r="B5928" s="13" t="str">
        <f>HYPERLINK("https://twitter.com/LookUpStrata","@LookUpStrata")</f>
        <v>@LookUpStrata</v>
      </c>
      <c r="C5928" s="14" t="s">
        <v>4426</v>
      </c>
      <c r="D5928" s="15" t="s">
        <v>4427</v>
      </c>
      <c r="E5928" s="16" t="str">
        <f>HYPERLINK("https://about.twitter.com/products/tweetdeck","TweetDeck")</f>
        <v>TweetDeck</v>
      </c>
      <c r="F5928" s="12">
        <v>41178.848935185189</v>
      </c>
      <c r="G5928" s="9" t="s">
        <v>13001</v>
      </c>
      <c r="H5928" s="35" t="s">
        <v>4428</v>
      </c>
      <c r="I5928" s="18" t="s">
        <v>4429</v>
      </c>
    </row>
    <row r="5929" spans="1:9" s="33" customFormat="1" ht="60">
      <c r="A5929" s="19">
        <v>43544.711747685185</v>
      </c>
      <c r="B5929" s="20" t="str">
        <f>HYPERLINK("https://twitter.com/smyleaus","@smyleaus")</f>
        <v>@smyleaus</v>
      </c>
      <c r="C5929" s="21" t="s">
        <v>9369</v>
      </c>
      <c r="D5929" s="22" t="s">
        <v>12904</v>
      </c>
      <c r="E5929" s="23" t="str">
        <f>HYPERLINK("http://www.facebook.com/twitter","Facebook")</f>
        <v>Facebook</v>
      </c>
      <c r="F5929" s="19">
        <v>40059.722731481481</v>
      </c>
      <c r="G5929" s="9" t="s">
        <v>13001</v>
      </c>
      <c r="H5929" s="35" t="s">
        <v>9370</v>
      </c>
      <c r="I5929" s="25" t="s">
        <v>9371</v>
      </c>
    </row>
    <row r="5930" spans="1:9" s="33" customFormat="1" ht="75">
      <c r="A5930" s="19">
        <v>43551.164837962962</v>
      </c>
      <c r="B5930" s="20" t="str">
        <f>HYPERLINK("https://twitter.com/Tamaretta","@Tamaretta")</f>
        <v>@Tamaretta</v>
      </c>
      <c r="C5930" s="21" t="s">
        <v>7409</v>
      </c>
      <c r="D5930" s="22" t="s">
        <v>12905</v>
      </c>
      <c r="E5930" s="23" t="str">
        <f>HYPERLINK("http://twitter.com","Twitter Web Client")</f>
        <v>Twitter Web Client</v>
      </c>
      <c r="F5930" s="19">
        <v>39869.991956018523</v>
      </c>
      <c r="G5930" s="9" t="s">
        <v>13001</v>
      </c>
      <c r="H5930" s="35" t="s">
        <v>7410</v>
      </c>
      <c r="I5930" s="25" t="s">
        <v>7411</v>
      </c>
    </row>
    <row r="5931" spans="1:9" s="33" customFormat="1" ht="60">
      <c r="A5931" s="4">
        <v>43561.70003472222</v>
      </c>
      <c r="B5931" s="5" t="str">
        <f>HYPERLINK("https://twitter.com/7NewsAdelaide","@7NewsAdelaide")</f>
        <v>@7NewsAdelaide</v>
      </c>
      <c r="C5931" s="6" t="s">
        <v>10853</v>
      </c>
      <c r="D5931" s="7" t="s">
        <v>12906</v>
      </c>
      <c r="E5931" s="8" t="str">
        <f>HYPERLINK("https://about.twitter.com/products/tweetdeck","TweetDeck")</f>
        <v>TweetDeck</v>
      </c>
      <c r="F5931" s="4">
        <v>40622.803020833337</v>
      </c>
      <c r="G5931" s="9" t="s">
        <v>13001</v>
      </c>
      <c r="H5931" s="35" t="s">
        <v>10855</v>
      </c>
      <c r="I5931" s="10" t="s">
        <v>10856</v>
      </c>
    </row>
    <row r="5932" spans="1:9" s="33" customFormat="1" ht="60">
      <c r="A5932" s="4">
        <v>43561.681180555555</v>
      </c>
      <c r="B5932" s="5" t="str">
        <f>HYPERLINK("https://twitter.com/7NewsAdelaide","@7NewsAdelaide")</f>
        <v>@7NewsAdelaide</v>
      </c>
      <c r="C5932" s="6" t="s">
        <v>10853</v>
      </c>
      <c r="D5932" s="7" t="s">
        <v>12907</v>
      </c>
      <c r="E5932" s="8" t="str">
        <f>HYPERLINK("https://about.twitter.com/products/tweetdeck","TweetDeck")</f>
        <v>TweetDeck</v>
      </c>
      <c r="F5932" s="4">
        <v>40622.803020833337</v>
      </c>
      <c r="G5932" s="9" t="s">
        <v>13001</v>
      </c>
      <c r="H5932" s="35" t="s">
        <v>10855</v>
      </c>
      <c r="I5932" s="10" t="s">
        <v>10856</v>
      </c>
    </row>
    <row r="5933" spans="1:9" s="33" customFormat="1" ht="75">
      <c r="A5933" s="12">
        <v>43569.220393518517</v>
      </c>
      <c r="B5933" s="13" t="str">
        <f>HYPERLINK("https://twitter.com/auonlineteacher","@auonlineteacher")</f>
        <v>@auonlineteacher</v>
      </c>
      <c r="C5933" s="14" t="s">
        <v>4571</v>
      </c>
      <c r="D5933" s="15" t="s">
        <v>4572</v>
      </c>
      <c r="E5933" s="16" t="str">
        <f>HYPERLINK("http://twitter.com","Twitter Web Client")</f>
        <v>Twitter Web Client</v>
      </c>
      <c r="F5933" s="12">
        <v>42000.764675925922</v>
      </c>
      <c r="G5933" s="9" t="s">
        <v>13001</v>
      </c>
      <c r="H5933" s="35" t="s">
        <v>4573</v>
      </c>
      <c r="I5933" s="18" t="s">
        <v>4574</v>
      </c>
    </row>
    <row r="5934" spans="1:9" s="33" customFormat="1" ht="60">
      <c r="A5934" s="12">
        <v>43566.172048611115</v>
      </c>
      <c r="B5934" s="13" t="str">
        <f>HYPERLINK("https://twitter.com/DonegalPol","@DonegalPol")</f>
        <v>@DonegalPol</v>
      </c>
      <c r="C5934" s="14" t="s">
        <v>5744</v>
      </c>
      <c r="D5934" s="15" t="s">
        <v>5656</v>
      </c>
      <c r="E5934" s="16" t="str">
        <f>HYPERLINK("http://twitter.com","Twitter Web Client")</f>
        <v>Twitter Web Client</v>
      </c>
      <c r="F5934" s="12">
        <v>40571.125532407408</v>
      </c>
      <c r="G5934" s="9" t="s">
        <v>13001</v>
      </c>
      <c r="H5934" s="35" t="s">
        <v>5745</v>
      </c>
      <c r="I5934" s="18" t="s">
        <v>5746</v>
      </c>
    </row>
    <row r="5935" spans="1:9" s="33" customFormat="1" ht="75">
      <c r="A5935" s="4">
        <v>43558.84746527778</v>
      </c>
      <c r="B5935" s="5" t="str">
        <f>HYPERLINK("https://twitter.com/CXC_AUS","@CXC_AUS")</f>
        <v>@CXC_AUS</v>
      </c>
      <c r="C5935" s="6" t="s">
        <v>12015</v>
      </c>
      <c r="D5935" s="7" t="s">
        <v>12016</v>
      </c>
      <c r="E5935" s="8" t="str">
        <f>HYPERLINK("http://twitter.com","Twitter Web Client")</f>
        <v>Twitter Web Client</v>
      </c>
      <c r="F5935" s="4">
        <v>41882.720324074078</v>
      </c>
      <c r="G5935" s="9" t="s">
        <v>13001</v>
      </c>
      <c r="H5935" s="35" t="s">
        <v>12017</v>
      </c>
      <c r="I5935" s="10" t="s">
        <v>12018</v>
      </c>
    </row>
    <row r="5936" spans="1:9" s="33" customFormat="1" ht="90">
      <c r="A5936" s="4">
        <v>43558.860810185186</v>
      </c>
      <c r="B5936" s="5" t="str">
        <f>HYPERLINK("https://twitter.com/GFfinservices","@GFfinservices")</f>
        <v>@GFfinservices</v>
      </c>
      <c r="C5936" s="6" t="s">
        <v>12006</v>
      </c>
      <c r="D5936" s="7" t="s">
        <v>12007</v>
      </c>
      <c r="E5936" s="8" t="str">
        <f>HYPERLINK("http://twitter.com","Twitter Web Client")</f>
        <v>Twitter Web Client</v>
      </c>
      <c r="F5936" s="4">
        <v>42628.930856481486</v>
      </c>
      <c r="G5936" s="9" t="s">
        <v>13001</v>
      </c>
      <c r="H5936" s="35" t="s">
        <v>12008</v>
      </c>
      <c r="I5936" s="10" t="s">
        <v>12009</v>
      </c>
    </row>
    <row r="5937" spans="1:9" s="33" customFormat="1" ht="75">
      <c r="A5937" s="12">
        <v>43571.144189814819</v>
      </c>
      <c r="B5937" s="13" t="str">
        <f>HYPERLINK("https://twitter.com/Conmurra2795","@Conmurra2795")</f>
        <v>@Conmurra2795</v>
      </c>
      <c r="C5937" s="14" t="s">
        <v>3830</v>
      </c>
      <c r="D5937" s="15" t="s">
        <v>3831</v>
      </c>
      <c r="E5937" s="16" t="str">
        <f>HYPERLINK("http://twitter.com/download/android","Twitter for Android")</f>
        <v>Twitter for Android</v>
      </c>
      <c r="F5937" s="12">
        <v>43187.692511574074</v>
      </c>
      <c r="G5937" s="17" t="s">
        <v>13001</v>
      </c>
      <c r="H5937" s="35" t="s">
        <v>3832</v>
      </c>
      <c r="I5937" s="18" t="s">
        <v>3833</v>
      </c>
    </row>
    <row r="5938" spans="1:9" s="33" customFormat="1" ht="60">
      <c r="A5938" s="12">
        <v>43568.093414351853</v>
      </c>
      <c r="B5938" s="13" t="str">
        <f>HYPERLINK("https://twitter.com/Conmurra2795","@Conmurra2795")</f>
        <v>@Conmurra2795</v>
      </c>
      <c r="C5938" s="14" t="s">
        <v>3830</v>
      </c>
      <c r="D5938" s="15" t="s">
        <v>4876</v>
      </c>
      <c r="E5938" s="16" t="str">
        <f>HYPERLINK("http://twitter.com/download/android","Twitter for Android")</f>
        <v>Twitter for Android</v>
      </c>
      <c r="F5938" s="12">
        <v>43187.692511574074</v>
      </c>
      <c r="G5938" s="17" t="s">
        <v>13001</v>
      </c>
      <c r="H5938" s="35" t="s">
        <v>3832</v>
      </c>
      <c r="I5938" s="18" t="s">
        <v>3833</v>
      </c>
    </row>
    <row r="5939" spans="1:9" s="33" customFormat="1" ht="45">
      <c r="A5939" s="12">
        <v>43574.721805555557</v>
      </c>
      <c r="B5939" s="13" t="str">
        <f>HYPERLINK("https://twitter.com/austaxter","@austaxter")</f>
        <v>@austaxter</v>
      </c>
      <c r="C5939" s="14" t="s">
        <v>2469</v>
      </c>
      <c r="D5939" s="15" t="s">
        <v>2470</v>
      </c>
      <c r="E5939" s="16" t="str">
        <f>HYPERLINK("http://twitter.com","Twitter Web Client")</f>
        <v>Twitter Web Client</v>
      </c>
      <c r="F5939" s="12">
        <v>41029.839039351849</v>
      </c>
      <c r="G5939" s="17" t="s">
        <v>13001</v>
      </c>
      <c r="H5939" s="35" t="s">
        <v>2471</v>
      </c>
      <c r="I5939" s="18" t="s">
        <v>2472</v>
      </c>
    </row>
    <row r="5940" spans="1:9" s="33" customFormat="1" ht="60">
      <c r="A5940" s="19">
        <v>43547.097164351857</v>
      </c>
      <c r="B5940" s="20" t="str">
        <f>HYPERLINK("https://twitter.com/VosperJaneen","@VosperJaneen")</f>
        <v>@VosperJaneen</v>
      </c>
      <c r="C5940" s="21" t="s">
        <v>8651</v>
      </c>
      <c r="D5940" s="22" t="s">
        <v>8652</v>
      </c>
      <c r="E5940" s="23" t="str">
        <f>HYPERLINK("http://instagram.com","Instagram")</f>
        <v>Instagram</v>
      </c>
      <c r="F5940" s="19">
        <v>41935.522256944445</v>
      </c>
      <c r="G5940" s="24" t="s">
        <v>13001</v>
      </c>
      <c r="H5940" s="35" t="s">
        <v>8653</v>
      </c>
      <c r="I5940" s="25" t="s">
        <v>8654</v>
      </c>
    </row>
    <row r="5941" spans="1:9" s="33" customFormat="1" ht="90">
      <c r="A5941" s="19">
        <v>43545.875</v>
      </c>
      <c r="B5941" s="20" t="str">
        <f>HYPERLINK("https://twitter.com/RealEstateTalk","@RealEstateTalk")</f>
        <v>@RealEstateTalk</v>
      </c>
      <c r="C5941" s="21" t="s">
        <v>9015</v>
      </c>
      <c r="D5941" s="22" t="s">
        <v>9016</v>
      </c>
      <c r="E5941" s="23" t="str">
        <f>HYPERLINK("https://social.zoho.com","Zoho Social")</f>
        <v>Zoho Social</v>
      </c>
      <c r="F5941" s="19">
        <v>40949.842546296299</v>
      </c>
      <c r="G5941" s="24" t="s">
        <v>13001</v>
      </c>
      <c r="H5941" s="35" t="s">
        <v>8653</v>
      </c>
      <c r="I5941" s="25" t="s">
        <v>9017</v>
      </c>
    </row>
    <row r="5942" spans="1:9" s="33" customFormat="1" ht="75">
      <c r="A5942" s="19">
        <v>43543.712997685187</v>
      </c>
      <c r="B5942" s="20" t="str">
        <f>HYPERLINK("https://twitter.com/ontrendbridal","@ontrendbridal")</f>
        <v>@ontrendbridal</v>
      </c>
      <c r="C5942" s="21" t="s">
        <v>4957</v>
      </c>
      <c r="D5942" s="22" t="s">
        <v>9692</v>
      </c>
      <c r="E5942" s="23" t="str">
        <f>HYPERLINK("http://www.facebook.com/twitter","Facebook")</f>
        <v>Facebook</v>
      </c>
      <c r="F5942" s="19">
        <v>41283.876643518517</v>
      </c>
      <c r="G5942" s="24" t="s">
        <v>13001</v>
      </c>
      <c r="H5942" s="35" t="s">
        <v>4959</v>
      </c>
      <c r="I5942" s="25" t="s">
        <v>4960</v>
      </c>
    </row>
    <row r="5943" spans="1:9" s="33" customFormat="1" ht="75">
      <c r="A5943" s="12">
        <v>43567.768437499995</v>
      </c>
      <c r="B5943" s="13" t="str">
        <f>HYPERLINK("https://twitter.com/ontrendbridal","@ontrendbridal")</f>
        <v>@ontrendbridal</v>
      </c>
      <c r="C5943" s="14" t="s">
        <v>4957</v>
      </c>
      <c r="D5943" s="15" t="s">
        <v>4958</v>
      </c>
      <c r="E5943" s="16" t="str">
        <f>HYPERLINK("http://www.facebook.com/twitter","Facebook")</f>
        <v>Facebook</v>
      </c>
      <c r="F5943" s="12">
        <v>41283.876643518517</v>
      </c>
      <c r="G5943" s="24" t="s">
        <v>13001</v>
      </c>
      <c r="H5943" s="35" t="s">
        <v>4959</v>
      </c>
      <c r="I5943" s="18" t="s">
        <v>4960</v>
      </c>
    </row>
    <row r="5944" spans="1:9" s="33" customFormat="1" ht="60">
      <c r="A5944" s="12">
        <v>43577.910636574074</v>
      </c>
      <c r="B5944" s="13" t="str">
        <f>HYPERLINK("https://twitter.com/markusravik","@markusravik")</f>
        <v>@markusravik</v>
      </c>
      <c r="C5944" s="14" t="s">
        <v>1463</v>
      </c>
      <c r="D5944" s="15" t="s">
        <v>1464</v>
      </c>
      <c r="E5944" s="16" t="str">
        <f>HYPERLINK("https://ifttt.com","IFTTT")</f>
        <v>IFTTT</v>
      </c>
      <c r="F5944" s="12">
        <v>39882.301250000004</v>
      </c>
      <c r="G5944" s="24" t="s">
        <v>13001</v>
      </c>
      <c r="H5944" s="35" t="s">
        <v>1465</v>
      </c>
      <c r="I5944" s="18" t="s">
        <v>1466</v>
      </c>
    </row>
    <row r="5945" spans="1:9" s="33" customFormat="1" ht="45">
      <c r="A5945" s="12">
        <v>43567.729062500002</v>
      </c>
      <c r="B5945" s="13" t="str">
        <f>HYPERLINK("https://twitter.com/TferThomas","@TferThomas")</f>
        <v>@TferThomas</v>
      </c>
      <c r="C5945" s="14" t="s">
        <v>4977</v>
      </c>
      <c r="D5945" s="15" t="s">
        <v>4978</v>
      </c>
      <c r="E5945" s="16" t="str">
        <f>HYPERLINK("http://twitter.com/download/android","Twitter for Android")</f>
        <v>Twitter for Android</v>
      </c>
      <c r="F5945" s="12">
        <v>39732.173020833332</v>
      </c>
      <c r="G5945" s="24" t="s">
        <v>13001</v>
      </c>
      <c r="H5945" s="35" t="s">
        <v>1465</v>
      </c>
      <c r="I5945" s="18" t="s">
        <v>4979</v>
      </c>
    </row>
    <row r="5946" spans="1:9" s="33" customFormat="1" ht="45">
      <c r="A5946" s="19">
        <v>43548.053229166668</v>
      </c>
      <c r="B5946" s="20" t="str">
        <f>HYPERLINK("https://twitter.com/Barron_Nel","@Barron_Nel")</f>
        <v>@Barron_Nel</v>
      </c>
      <c r="C5946" s="21" t="s">
        <v>8421</v>
      </c>
      <c r="D5946" s="22" t="s">
        <v>8422</v>
      </c>
      <c r="E5946" s="23" t="str">
        <f>HYPERLINK("https://www.google.com/","Google")</f>
        <v>Google</v>
      </c>
      <c r="F5946" s="19">
        <v>39889.372210648144</v>
      </c>
      <c r="G5946" s="24" t="s">
        <v>13001</v>
      </c>
      <c r="H5946" s="35" t="s">
        <v>3905</v>
      </c>
      <c r="I5946" s="25" t="s">
        <v>8423</v>
      </c>
    </row>
    <row r="5947" spans="1:9" s="33" customFormat="1" ht="75">
      <c r="A5947" s="19">
        <v>43548.003483796296</v>
      </c>
      <c r="B5947" s="20" t="str">
        <f t="shared" ref="B5947:B5954" si="224">HYPERLINK("https://twitter.com/middleagetravel","@middleagetravel")</f>
        <v>@middleagetravel</v>
      </c>
      <c r="C5947" s="21" t="s">
        <v>3903</v>
      </c>
      <c r="D5947" s="22" t="s">
        <v>3904</v>
      </c>
      <c r="E5947" s="23" t="str">
        <f t="shared" ref="E5947:E5954" si="225">HYPERLINK("https://buffer.com","Buffer")</f>
        <v>Buffer</v>
      </c>
      <c r="F5947" s="19">
        <v>42551.652303240742</v>
      </c>
      <c r="G5947" s="24" t="s">
        <v>13001</v>
      </c>
      <c r="H5947" s="35" t="s">
        <v>3905</v>
      </c>
      <c r="I5947" s="25" t="s">
        <v>3906</v>
      </c>
    </row>
    <row r="5948" spans="1:9" s="33" customFormat="1" ht="60">
      <c r="A5948" s="19">
        <v>43547.003483796296</v>
      </c>
      <c r="B5948" s="20" t="str">
        <f t="shared" si="224"/>
        <v>@middleagetravel</v>
      </c>
      <c r="C5948" s="21" t="s">
        <v>3903</v>
      </c>
      <c r="D5948" s="22" t="s">
        <v>8686</v>
      </c>
      <c r="E5948" s="23" t="str">
        <f t="shared" si="225"/>
        <v>Buffer</v>
      </c>
      <c r="F5948" s="19">
        <v>42551.652303240742</v>
      </c>
      <c r="G5948" s="24" t="s">
        <v>13001</v>
      </c>
      <c r="H5948" s="35" t="s">
        <v>3905</v>
      </c>
      <c r="I5948" s="25" t="s">
        <v>3906</v>
      </c>
    </row>
    <row r="5949" spans="1:9" s="33" customFormat="1" ht="75">
      <c r="A5949" s="19">
        <v>43542.634733796294</v>
      </c>
      <c r="B5949" s="20" t="str">
        <f t="shared" si="224"/>
        <v>@middleagetravel</v>
      </c>
      <c r="C5949" s="21" t="s">
        <v>3903</v>
      </c>
      <c r="D5949" s="22" t="s">
        <v>3904</v>
      </c>
      <c r="E5949" s="23" t="str">
        <f t="shared" si="225"/>
        <v>Buffer</v>
      </c>
      <c r="F5949" s="19">
        <v>42551.652303240742</v>
      </c>
      <c r="G5949" s="24" t="s">
        <v>13001</v>
      </c>
      <c r="H5949" s="35" t="s">
        <v>3905</v>
      </c>
      <c r="I5949" s="25" t="s">
        <v>3906</v>
      </c>
    </row>
    <row r="5950" spans="1:9" s="33" customFormat="1" ht="60">
      <c r="A5950" s="4">
        <v>43565.164594907408</v>
      </c>
      <c r="B5950" s="5" t="str">
        <f t="shared" si="224"/>
        <v>@middleagetravel</v>
      </c>
      <c r="C5950" s="6" t="s">
        <v>3903</v>
      </c>
      <c r="D5950" s="7" t="s">
        <v>6261</v>
      </c>
      <c r="E5950" s="8" t="str">
        <f t="shared" si="225"/>
        <v>Buffer</v>
      </c>
      <c r="F5950" s="4">
        <v>42551.652303240742</v>
      </c>
      <c r="G5950" s="24" t="s">
        <v>13001</v>
      </c>
      <c r="H5950" s="35" t="s">
        <v>3905</v>
      </c>
      <c r="I5950" s="10" t="s">
        <v>3906</v>
      </c>
    </row>
    <row r="5951" spans="1:9" s="33" customFormat="1" ht="75">
      <c r="A5951" s="4">
        <v>43564.194456018522</v>
      </c>
      <c r="B5951" s="5" t="str">
        <f t="shared" si="224"/>
        <v>@middleagetravel</v>
      </c>
      <c r="C5951" s="6" t="s">
        <v>3903</v>
      </c>
      <c r="D5951" s="7" t="s">
        <v>3904</v>
      </c>
      <c r="E5951" s="8" t="str">
        <f t="shared" si="225"/>
        <v>Buffer</v>
      </c>
      <c r="F5951" s="4">
        <v>42551.652303240742</v>
      </c>
      <c r="G5951" s="24" t="s">
        <v>13001</v>
      </c>
      <c r="H5951" s="35" t="s">
        <v>3905</v>
      </c>
      <c r="I5951" s="10" t="s">
        <v>3906</v>
      </c>
    </row>
    <row r="5952" spans="1:9" s="33" customFormat="1" ht="45">
      <c r="A5952" s="4">
        <v>43561.194479166668</v>
      </c>
      <c r="B5952" s="5" t="str">
        <f t="shared" si="224"/>
        <v>@middleagetravel</v>
      </c>
      <c r="C5952" s="6" t="s">
        <v>3903</v>
      </c>
      <c r="D5952" s="7" t="s">
        <v>11040</v>
      </c>
      <c r="E5952" s="8" t="str">
        <f t="shared" si="225"/>
        <v>Buffer</v>
      </c>
      <c r="F5952" s="4">
        <v>42551.652303240742</v>
      </c>
      <c r="G5952" s="24" t="s">
        <v>13001</v>
      </c>
      <c r="H5952" s="35" t="s">
        <v>3905</v>
      </c>
      <c r="I5952" s="10" t="s">
        <v>3906</v>
      </c>
    </row>
    <row r="5953" spans="1:9" s="33" customFormat="1" ht="75">
      <c r="A5953" s="4">
        <v>43558.634733796294</v>
      </c>
      <c r="B5953" s="5" t="str">
        <f t="shared" si="224"/>
        <v>@middleagetravel</v>
      </c>
      <c r="C5953" s="6" t="s">
        <v>3903</v>
      </c>
      <c r="D5953" s="7" t="s">
        <v>3904</v>
      </c>
      <c r="E5953" s="8" t="str">
        <f t="shared" si="225"/>
        <v>Buffer</v>
      </c>
      <c r="F5953" s="4">
        <v>42551.652303240742</v>
      </c>
      <c r="G5953" s="24" t="s">
        <v>13001</v>
      </c>
      <c r="H5953" s="35" t="s">
        <v>3905</v>
      </c>
      <c r="I5953" s="10" t="s">
        <v>3906</v>
      </c>
    </row>
    <row r="5954" spans="1:9" s="33" customFormat="1" ht="75">
      <c r="A5954" s="12">
        <v>43571.003483796296</v>
      </c>
      <c r="B5954" s="13" t="str">
        <f t="shared" si="224"/>
        <v>@middleagetravel</v>
      </c>
      <c r="C5954" s="14" t="s">
        <v>3903</v>
      </c>
      <c r="D5954" s="15" t="s">
        <v>3904</v>
      </c>
      <c r="E5954" s="16" t="str">
        <f t="shared" si="225"/>
        <v>Buffer</v>
      </c>
      <c r="F5954" s="12">
        <v>42551.652303240742</v>
      </c>
      <c r="G5954" s="24" t="s">
        <v>13001</v>
      </c>
      <c r="H5954" s="35" t="s">
        <v>3905</v>
      </c>
      <c r="I5954" s="18" t="s">
        <v>3906</v>
      </c>
    </row>
    <row r="5955" spans="1:9" s="33" customFormat="1" ht="75">
      <c r="A5955" s="19">
        <v>43544.959965277776</v>
      </c>
      <c r="B5955" s="20" t="str">
        <f>HYPERLINK("https://twitter.com/rwindsorjewels","@rwindsorjewels")</f>
        <v>@rwindsorjewels</v>
      </c>
      <c r="C5955" s="21" t="s">
        <v>6763</v>
      </c>
      <c r="D5955" s="22" t="s">
        <v>9316</v>
      </c>
      <c r="E5955" s="23" t="str">
        <f>HYPERLINK("http://instagram.com","Instagram")</f>
        <v>Instagram</v>
      </c>
      <c r="F5955" s="19">
        <v>41034.820173611108</v>
      </c>
      <c r="G5955" s="24" t="s">
        <v>13001</v>
      </c>
      <c r="H5955" s="35" t="s">
        <v>6765</v>
      </c>
      <c r="I5955" s="25" t="s">
        <v>6766</v>
      </c>
    </row>
    <row r="5956" spans="1:9" s="33" customFormat="1" ht="75">
      <c r="A5956" s="19">
        <v>43543.158472222218</v>
      </c>
      <c r="B5956" s="20" t="str">
        <f>HYPERLINK("https://twitter.com/rwindsorjewels","@rwindsorjewels")</f>
        <v>@rwindsorjewels</v>
      </c>
      <c r="C5956" s="21" t="s">
        <v>6763</v>
      </c>
      <c r="D5956" s="22" t="s">
        <v>9922</v>
      </c>
      <c r="E5956" s="23" t="str">
        <f>HYPERLINK("http://instagram.com","Instagram")</f>
        <v>Instagram</v>
      </c>
      <c r="F5956" s="19">
        <v>41034.820173611108</v>
      </c>
      <c r="G5956" s="24" t="s">
        <v>13001</v>
      </c>
      <c r="H5956" s="35" t="s">
        <v>6765</v>
      </c>
      <c r="I5956" s="25" t="s">
        <v>6766</v>
      </c>
    </row>
    <row r="5957" spans="1:9" s="33" customFormat="1" ht="75">
      <c r="A5957" s="4">
        <v>43564.139398148152</v>
      </c>
      <c r="B5957" s="5" t="str">
        <f>HYPERLINK("https://twitter.com/rwindsorjewels","@rwindsorjewels")</f>
        <v>@rwindsorjewels</v>
      </c>
      <c r="C5957" s="6" t="s">
        <v>6763</v>
      </c>
      <c r="D5957" s="7" t="s">
        <v>6764</v>
      </c>
      <c r="E5957" s="8" t="str">
        <f>HYPERLINK("http://instagram.com","Instagram")</f>
        <v>Instagram</v>
      </c>
      <c r="F5957" s="4">
        <v>41034.820173611108</v>
      </c>
      <c r="G5957" s="24" t="s">
        <v>13001</v>
      </c>
      <c r="H5957" s="35" t="s">
        <v>6765</v>
      </c>
      <c r="I5957" s="10" t="s">
        <v>6766</v>
      </c>
    </row>
    <row r="5958" spans="1:9" s="33" customFormat="1" ht="75">
      <c r="A5958" s="4">
        <v>43563.680439814816</v>
      </c>
      <c r="B5958" s="5" t="str">
        <f>HYPERLINK("https://twitter.com/rwindsorjewels","@rwindsorjewels")</f>
        <v>@rwindsorjewels</v>
      </c>
      <c r="C5958" s="6" t="s">
        <v>6763</v>
      </c>
      <c r="D5958" s="7" t="s">
        <v>6921</v>
      </c>
      <c r="E5958" s="8" t="str">
        <f>HYPERLINK("http://instagram.com","Instagram")</f>
        <v>Instagram</v>
      </c>
      <c r="F5958" s="4">
        <v>41034.820173611108</v>
      </c>
      <c r="G5958" s="24" t="s">
        <v>13001</v>
      </c>
      <c r="H5958" s="35" t="s">
        <v>6765</v>
      </c>
      <c r="I5958" s="10" t="s">
        <v>6766</v>
      </c>
    </row>
    <row r="5959" spans="1:9" s="33" customFormat="1" ht="75">
      <c r="A5959" s="4">
        <v>43557.624791666662</v>
      </c>
      <c r="B5959" s="5" t="str">
        <f>HYPERLINK("https://twitter.com/rwindsorjewels","@rwindsorjewels")</f>
        <v>@rwindsorjewels</v>
      </c>
      <c r="C5959" s="6" t="s">
        <v>6763</v>
      </c>
      <c r="D5959" s="7" t="s">
        <v>12436</v>
      </c>
      <c r="E5959" s="8" t="str">
        <f>HYPERLINK("http://instagram.com","Instagram")</f>
        <v>Instagram</v>
      </c>
      <c r="F5959" s="4">
        <v>41034.820173611108</v>
      </c>
      <c r="G5959" s="24" t="s">
        <v>13001</v>
      </c>
      <c r="H5959" s="35" t="s">
        <v>6765</v>
      </c>
      <c r="I5959" s="10" t="s">
        <v>6766</v>
      </c>
    </row>
    <row r="5960" spans="1:9" s="33" customFormat="1" ht="45">
      <c r="A5960" s="12">
        <v>43577.761053240742</v>
      </c>
      <c r="B5960" s="13" t="str">
        <f>HYPERLINK("https://twitter.com/StephieTheodora","@StephieTheodora")</f>
        <v>@StephieTheodora</v>
      </c>
      <c r="C5960" s="14" t="s">
        <v>1505</v>
      </c>
      <c r="D5960" s="15" t="s">
        <v>1506</v>
      </c>
      <c r="E5960" s="16" t="str">
        <f>HYPERLINK("http://twitter.com/download/iphone","Twitter for iPhone")</f>
        <v>Twitter for iPhone</v>
      </c>
      <c r="F5960" s="12">
        <v>42132.164120370369</v>
      </c>
      <c r="G5960" s="24" t="s">
        <v>13001</v>
      </c>
      <c r="H5960" s="35" t="s">
        <v>1507</v>
      </c>
      <c r="I5960" s="18" t="s">
        <v>1508</v>
      </c>
    </row>
    <row r="5961" spans="1:9" s="33" customFormat="1" ht="60">
      <c r="A5961" s="12">
        <v>43578.340729166666</v>
      </c>
      <c r="B5961" s="13" t="str">
        <f>HYPERLINK("https://twitter.com/BennerSally","@BennerSally")</f>
        <v>@BennerSally</v>
      </c>
      <c r="C5961" s="14" t="s">
        <v>1283</v>
      </c>
      <c r="D5961" s="15" t="s">
        <v>1284</v>
      </c>
      <c r="E5961" s="16" t="str">
        <f>HYPERLINK("http://twitter.com/#!/download/ipad","Twitter for iPad")</f>
        <v>Twitter for iPad</v>
      </c>
      <c r="F5961" s="12">
        <v>41567.555543981478</v>
      </c>
      <c r="G5961" s="24" t="s">
        <v>13001</v>
      </c>
      <c r="H5961" s="35" t="s">
        <v>1285</v>
      </c>
      <c r="I5961" s="18"/>
    </row>
    <row r="5962" spans="1:9" s="33" customFormat="1" ht="90">
      <c r="A5962" s="19">
        <v>43547.90253472222</v>
      </c>
      <c r="B5962" s="20" t="str">
        <f>HYPERLINK("https://twitter.com/AirbnbCairns","@AirbnbCairns")</f>
        <v>@AirbnbCairns</v>
      </c>
      <c r="C5962" s="21" t="s">
        <v>4008</v>
      </c>
      <c r="D5962" s="22" t="s">
        <v>8447</v>
      </c>
      <c r="E5962" s="23" t="str">
        <f>HYPERLINK("https://ifttt.com","IFTTT")</f>
        <v>IFTTT</v>
      </c>
      <c r="F5962" s="19">
        <v>42921.887430555551</v>
      </c>
      <c r="G5962" s="24" t="s">
        <v>13001</v>
      </c>
      <c r="H5962" s="35" t="s">
        <v>4010</v>
      </c>
      <c r="I5962" s="25" t="s">
        <v>4011</v>
      </c>
    </row>
    <row r="5963" spans="1:9" s="33" customFormat="1" ht="105">
      <c r="A5963" s="12">
        <v>43570.652708333335</v>
      </c>
      <c r="B5963" s="13" t="str">
        <f>HYPERLINK("https://twitter.com/AirbnbCairns","@AirbnbCairns")</f>
        <v>@AirbnbCairns</v>
      </c>
      <c r="C5963" s="14" t="s">
        <v>4008</v>
      </c>
      <c r="D5963" s="15" t="s">
        <v>4009</v>
      </c>
      <c r="E5963" s="16" t="str">
        <f>HYPERLINK("https://ifttt.com","IFTTT")</f>
        <v>IFTTT</v>
      </c>
      <c r="F5963" s="12">
        <v>42921.887430555551</v>
      </c>
      <c r="G5963" s="24" t="s">
        <v>13001</v>
      </c>
      <c r="H5963" s="35" t="s">
        <v>4010</v>
      </c>
      <c r="I5963" s="18" t="s">
        <v>4011</v>
      </c>
    </row>
    <row r="5964" spans="1:9" s="33" customFormat="1" ht="105">
      <c r="A5964" s="19">
        <v>43546.689074074078</v>
      </c>
      <c r="B5964" s="20" t="str">
        <f>HYPERLINK("https://twitter.com/ethadvocate","@ethadvocate")</f>
        <v>@ethadvocate</v>
      </c>
      <c r="C5964" s="21" t="s">
        <v>5331</v>
      </c>
      <c r="D5964" s="22" t="s">
        <v>8755</v>
      </c>
      <c r="E5964" s="23" t="str">
        <f>HYPERLINK("http://twitter.com","Twitter Web Client")</f>
        <v>Twitter Web Client</v>
      </c>
      <c r="F5964" s="19">
        <v>42977.769050925926</v>
      </c>
      <c r="G5964" s="24" t="s">
        <v>13001</v>
      </c>
      <c r="H5964" s="35" t="s">
        <v>5333</v>
      </c>
      <c r="I5964" s="25" t="s">
        <v>8756</v>
      </c>
    </row>
    <row r="5965" spans="1:9" s="33" customFormat="1" ht="105">
      <c r="A5965" s="19">
        <v>43545.887025462958</v>
      </c>
      <c r="B5965" s="20" t="str">
        <f>HYPERLINK("https://twitter.com/ethadvocate","@ethadvocate")</f>
        <v>@ethadvocate</v>
      </c>
      <c r="C5965" s="21" t="s">
        <v>5331</v>
      </c>
      <c r="D5965" s="22" t="s">
        <v>9013</v>
      </c>
      <c r="E5965" s="23" t="str">
        <f>HYPERLINK("http://twitter.com","Twitter Web Client")</f>
        <v>Twitter Web Client</v>
      </c>
      <c r="F5965" s="19">
        <v>42977.769050925926</v>
      </c>
      <c r="G5965" s="24" t="s">
        <v>13001</v>
      </c>
      <c r="H5965" s="35" t="s">
        <v>5333</v>
      </c>
      <c r="I5965" s="25" t="s">
        <v>8756</v>
      </c>
    </row>
    <row r="5966" spans="1:9" s="33" customFormat="1" ht="105">
      <c r="A5966" s="19">
        <v>43544.238877314812</v>
      </c>
      <c r="B5966" s="20" t="str">
        <f>HYPERLINK("https://twitter.com/ethadvocate","@ethadvocate")</f>
        <v>@ethadvocate</v>
      </c>
      <c r="C5966" s="21" t="s">
        <v>5331</v>
      </c>
      <c r="D5966" s="22" t="s">
        <v>9568</v>
      </c>
      <c r="E5966" s="23" t="str">
        <f>HYPERLINK("http://twitter.com","Twitter Web Client")</f>
        <v>Twitter Web Client</v>
      </c>
      <c r="F5966" s="19">
        <v>42977.769050925926</v>
      </c>
      <c r="G5966" s="24" t="s">
        <v>13001</v>
      </c>
      <c r="H5966" s="35" t="s">
        <v>5333</v>
      </c>
      <c r="I5966" s="25" t="s">
        <v>8756</v>
      </c>
    </row>
    <row r="5967" spans="1:9" s="33" customFormat="1" ht="30">
      <c r="A5967" s="4">
        <v>43560.587777777779</v>
      </c>
      <c r="B5967" s="5" t="str">
        <f>HYPERLINK("https://twitter.com/TulipPenney","@TulipPenney")</f>
        <v>@TulipPenney</v>
      </c>
      <c r="C5967" s="6" t="s">
        <v>11270</v>
      </c>
      <c r="D5967" s="7" t="s">
        <v>11271</v>
      </c>
      <c r="E5967" s="8" t="str">
        <f>HYPERLINK("http://twitter.com/#!/download/ipad","Twitter for iPad")</f>
        <v>Twitter for iPad</v>
      </c>
      <c r="F5967" s="4">
        <v>40610.113310185188</v>
      </c>
      <c r="G5967" s="24" t="s">
        <v>13001</v>
      </c>
      <c r="H5967" s="35" t="s">
        <v>5333</v>
      </c>
      <c r="I5967" s="10" t="s">
        <v>11272</v>
      </c>
    </row>
    <row r="5968" spans="1:9" s="33" customFormat="1" ht="45">
      <c r="A5968" s="4">
        <v>43558.617696759262</v>
      </c>
      <c r="B5968" s="5" t="str">
        <f>HYPERLINK("https://twitter.com/TulipPenney","@TulipPenney")</f>
        <v>@TulipPenney</v>
      </c>
      <c r="C5968" s="6" t="s">
        <v>11270</v>
      </c>
      <c r="D5968" s="7" t="s">
        <v>12101</v>
      </c>
      <c r="E5968" s="8" t="str">
        <f>HYPERLINK("http://twitter.com/#!/download/ipad","Twitter for iPad")</f>
        <v>Twitter for iPad</v>
      </c>
      <c r="F5968" s="4">
        <v>40610.113310185188</v>
      </c>
      <c r="G5968" s="24" t="s">
        <v>13001</v>
      </c>
      <c r="H5968" s="35" t="s">
        <v>5333</v>
      </c>
      <c r="I5968" s="10" t="s">
        <v>11272</v>
      </c>
    </row>
    <row r="5969" spans="1:9" s="33" customFormat="1" ht="105">
      <c r="A5969" s="12">
        <v>43566.829340277778</v>
      </c>
      <c r="B5969" s="13" t="str">
        <f>HYPERLINK("https://twitter.com/ethadvocate","@ethadvocate")</f>
        <v>@ethadvocate</v>
      </c>
      <c r="C5969" s="14" t="s">
        <v>5331</v>
      </c>
      <c r="D5969" s="15" t="s">
        <v>5332</v>
      </c>
      <c r="E5969" s="16" t="str">
        <f>HYPERLINK("http://twitter.com","Twitter Web Client")</f>
        <v>Twitter Web Client</v>
      </c>
      <c r="F5969" s="12">
        <v>42977.769050925926</v>
      </c>
      <c r="G5969" s="24" t="s">
        <v>13001</v>
      </c>
      <c r="H5969" s="35" t="s">
        <v>5333</v>
      </c>
      <c r="I5969" s="18" t="s">
        <v>5334</v>
      </c>
    </row>
    <row r="5970" spans="1:9" s="33" customFormat="1" ht="105">
      <c r="A5970" s="12">
        <v>43566.119293981479</v>
      </c>
      <c r="B5970" s="13" t="str">
        <f>HYPERLINK("https://twitter.com/ethadvocate","@ethadvocate")</f>
        <v>@ethadvocate</v>
      </c>
      <c r="C5970" s="14" t="s">
        <v>5331</v>
      </c>
      <c r="D5970" s="15" t="s">
        <v>5778</v>
      </c>
      <c r="E5970" s="16" t="str">
        <f>HYPERLINK("http://twitter.com","Twitter Web Client")</f>
        <v>Twitter Web Client</v>
      </c>
      <c r="F5970" s="12">
        <v>42977.769050925926</v>
      </c>
      <c r="G5970" s="24" t="s">
        <v>13001</v>
      </c>
      <c r="H5970" s="35" t="s">
        <v>5333</v>
      </c>
      <c r="I5970" s="18" t="s">
        <v>5334</v>
      </c>
    </row>
    <row r="5971" spans="1:9" s="33" customFormat="1" ht="105">
      <c r="A5971" s="12">
        <v>43565.631469907406</v>
      </c>
      <c r="B5971" s="13" t="str">
        <f>HYPERLINK("https://twitter.com/ethadvocate","@ethadvocate")</f>
        <v>@ethadvocate</v>
      </c>
      <c r="C5971" s="14" t="s">
        <v>5331</v>
      </c>
      <c r="D5971" s="15" t="s">
        <v>5984</v>
      </c>
      <c r="E5971" s="16" t="str">
        <f>HYPERLINK("http://twitter.com","Twitter Web Client")</f>
        <v>Twitter Web Client</v>
      </c>
      <c r="F5971" s="12">
        <v>42977.769050925926</v>
      </c>
      <c r="G5971" s="24" t="s">
        <v>13001</v>
      </c>
      <c r="H5971" s="35" t="s">
        <v>5333</v>
      </c>
      <c r="I5971" s="18" t="s">
        <v>5334</v>
      </c>
    </row>
    <row r="5972" spans="1:9" s="33" customFormat="1" ht="105">
      <c r="A5972" s="12">
        <v>43564.959618055553</v>
      </c>
      <c r="B5972" s="13" t="str">
        <f>HYPERLINK("https://twitter.com/ethadvocate","@ethadvocate")</f>
        <v>@ethadvocate</v>
      </c>
      <c r="C5972" s="14" t="s">
        <v>5331</v>
      </c>
      <c r="D5972" s="15" t="s">
        <v>5984</v>
      </c>
      <c r="E5972" s="16" t="str">
        <f>HYPERLINK("http://twitter.com","Twitter Web Client")</f>
        <v>Twitter Web Client</v>
      </c>
      <c r="F5972" s="12">
        <v>42977.769050925926</v>
      </c>
      <c r="G5972" s="24" t="s">
        <v>13001</v>
      </c>
      <c r="H5972" s="35" t="s">
        <v>5333</v>
      </c>
      <c r="I5972" s="18" t="s">
        <v>5334</v>
      </c>
    </row>
    <row r="5973" spans="1:9" s="33" customFormat="1" ht="45">
      <c r="A5973" s="12">
        <v>43573.932662037041</v>
      </c>
      <c r="B5973" s="13" t="str">
        <f>HYPERLINK("https://twitter.com/foxfold","@foxfold")</f>
        <v>@foxfold</v>
      </c>
      <c r="C5973" s="14" t="s">
        <v>2700</v>
      </c>
      <c r="D5973" s="15" t="s">
        <v>2701</v>
      </c>
      <c r="E5973" s="16" t="str">
        <f>HYPERLINK("http://instagram.com","Instagram")</f>
        <v>Instagram</v>
      </c>
      <c r="F5973" s="12">
        <v>39707.369305555556</v>
      </c>
      <c r="G5973" s="24" t="s">
        <v>13001</v>
      </c>
      <c r="H5973" s="35" t="s">
        <v>2702</v>
      </c>
      <c r="I5973" s="18" t="s">
        <v>2703</v>
      </c>
    </row>
    <row r="5974" spans="1:9" s="33" customFormat="1" ht="30">
      <c r="A5974" s="12">
        <v>43572.202268518522</v>
      </c>
      <c r="B5974" s="13" t="str">
        <f>HYPERLINK("https://twitter.com/KatieTT","@KatieTT")</f>
        <v>@KatieTT</v>
      </c>
      <c r="C5974" s="14" t="s">
        <v>3375</v>
      </c>
      <c r="D5974" s="15" t="s">
        <v>3376</v>
      </c>
      <c r="E5974" s="16" t="str">
        <f>HYPERLINK("https://ifttt.com","IFTTT")</f>
        <v>IFTTT</v>
      </c>
      <c r="F5974" s="12">
        <v>39436.847129629634</v>
      </c>
      <c r="G5974" s="24" t="s">
        <v>13001</v>
      </c>
      <c r="H5974" s="35" t="s">
        <v>2702</v>
      </c>
      <c r="I5974" s="18" t="s">
        <v>3377</v>
      </c>
    </row>
    <row r="5975" spans="1:9" s="33" customFormat="1" ht="60">
      <c r="A5975" s="19">
        <v>43551.775011574078</v>
      </c>
      <c r="B5975" s="20" t="str">
        <f>HYPERLINK("https://twitter.com/Bradannii","@Bradannii")</f>
        <v>@Bradannii</v>
      </c>
      <c r="C5975" s="21" t="s">
        <v>4931</v>
      </c>
      <c r="D5975" s="22" t="s">
        <v>7002</v>
      </c>
      <c r="E5975" s="23" t="str">
        <f>HYPERLINK("https://buffer.com","Buffer")</f>
        <v>Buffer</v>
      </c>
      <c r="F5975" s="19">
        <v>43340.92491898148</v>
      </c>
      <c r="G5975" s="24" t="s">
        <v>13001</v>
      </c>
      <c r="H5975" s="35" t="s">
        <v>4933</v>
      </c>
      <c r="I5975" s="25" t="s">
        <v>4934</v>
      </c>
    </row>
    <row r="5976" spans="1:9" s="33" customFormat="1" ht="75">
      <c r="A5976" s="4">
        <v>43565.834039351852</v>
      </c>
      <c r="B5976" s="5" t="str">
        <f>HYPERLINK("https://twitter.com/Bradannii","@Bradannii")</f>
        <v>@Bradannii</v>
      </c>
      <c r="C5976" s="6" t="s">
        <v>4931</v>
      </c>
      <c r="D5976" s="7" t="s">
        <v>5882</v>
      </c>
      <c r="E5976" s="8" t="str">
        <f>HYPERLINK("https://buffer.com","Buffer")</f>
        <v>Buffer</v>
      </c>
      <c r="F5976" s="4">
        <v>43340.92491898148</v>
      </c>
      <c r="G5976" s="24" t="s">
        <v>13001</v>
      </c>
      <c r="H5976" s="35" t="s">
        <v>4933</v>
      </c>
      <c r="I5976" s="10" t="s">
        <v>4934</v>
      </c>
    </row>
    <row r="5977" spans="1:9" s="33" customFormat="1" ht="60">
      <c r="A5977" s="4">
        <v>43560.818773148145</v>
      </c>
      <c r="B5977" s="5" t="str">
        <f>HYPERLINK("https://twitter.com/Bradannii","@Bradannii")</f>
        <v>@Bradannii</v>
      </c>
      <c r="C5977" s="6" t="s">
        <v>4931</v>
      </c>
      <c r="D5977" s="7" t="s">
        <v>11151</v>
      </c>
      <c r="E5977" s="8" t="str">
        <f>HYPERLINK("https://buffer.com","Buffer")</f>
        <v>Buffer</v>
      </c>
      <c r="F5977" s="4">
        <v>43340.92491898148</v>
      </c>
      <c r="G5977" s="24" t="s">
        <v>13001</v>
      </c>
      <c r="H5977" s="35" t="s">
        <v>4933</v>
      </c>
      <c r="I5977" s="10" t="s">
        <v>4934</v>
      </c>
    </row>
    <row r="5978" spans="1:9" s="33" customFormat="1" ht="75">
      <c r="A5978" s="12">
        <v>43567.863252314812</v>
      </c>
      <c r="B5978" s="13" t="str">
        <f>HYPERLINK("https://twitter.com/Bradannii","@Bradannii")</f>
        <v>@Bradannii</v>
      </c>
      <c r="C5978" s="14" t="s">
        <v>4931</v>
      </c>
      <c r="D5978" s="15" t="s">
        <v>4932</v>
      </c>
      <c r="E5978" s="16" t="str">
        <f>HYPERLINK("https://buffer.com","Buffer")</f>
        <v>Buffer</v>
      </c>
      <c r="F5978" s="12">
        <v>43340.92491898148</v>
      </c>
      <c r="G5978" s="24" t="s">
        <v>13001</v>
      </c>
      <c r="H5978" s="35" t="s">
        <v>4933</v>
      </c>
      <c r="I5978" s="18" t="s">
        <v>4934</v>
      </c>
    </row>
    <row r="5979" spans="1:9" s="33" customFormat="1" ht="75">
      <c r="A5979" s="12">
        <v>43572.585092592592</v>
      </c>
      <c r="B5979" s="13" t="str">
        <f>HYPERLINK("https://twitter.com/NZChambo","@NZChambo")</f>
        <v>@NZChambo</v>
      </c>
      <c r="C5979" s="14" t="s">
        <v>3149</v>
      </c>
      <c r="D5979" s="15" t="s">
        <v>3150</v>
      </c>
      <c r="E5979" s="16" t="str">
        <f>HYPERLINK("http://instagram.com","Instagram")</f>
        <v>Instagram</v>
      </c>
      <c r="F5979" s="12">
        <v>39647.754490740743</v>
      </c>
      <c r="G5979" s="17" t="s">
        <v>13001</v>
      </c>
      <c r="H5979" s="35" t="s">
        <v>3151</v>
      </c>
      <c r="I5979" s="18" t="s">
        <v>3152</v>
      </c>
    </row>
    <row r="5980" spans="1:9" s="33" customFormat="1" ht="60">
      <c r="A5980" s="12">
        <v>43577.641597222224</v>
      </c>
      <c r="B5980" s="13" t="str">
        <f>HYPERLINK("https://twitter.com/nzdan007","@nzdan007")</f>
        <v>@nzdan007</v>
      </c>
      <c r="C5980" s="14" t="s">
        <v>1534</v>
      </c>
      <c r="D5980" s="15" t="s">
        <v>1535</v>
      </c>
      <c r="E5980" s="16" t="str">
        <f>HYPERLINK("http://twitter.com/#!/download/ipad","Twitter for iPad")</f>
        <v>Twitter for iPad</v>
      </c>
      <c r="F5980" s="12">
        <v>40332.598182870366</v>
      </c>
      <c r="G5980" s="17" t="s">
        <v>13001</v>
      </c>
      <c r="H5980" s="35" t="s">
        <v>1536</v>
      </c>
      <c r="I5980" s="18" t="s">
        <v>1537</v>
      </c>
    </row>
    <row r="5981" spans="1:9" s="33" customFormat="1" ht="105">
      <c r="A5981" s="12">
        <v>43570.729166666672</v>
      </c>
      <c r="B5981" s="13" t="str">
        <f>HYPERLINK("https://twitter.com/LiquidLabsAU","@LiquidLabsAU")</f>
        <v>@LiquidLabsAU</v>
      </c>
      <c r="C5981" s="14" t="s">
        <v>3990</v>
      </c>
      <c r="D5981" s="15" t="s">
        <v>3991</v>
      </c>
      <c r="E5981" s="16" t="str">
        <f>HYPERLINK("https://ads-api.twitter.com","Twitter Ads Composer")</f>
        <v>Twitter Ads Composer</v>
      </c>
      <c r="F5981" s="12">
        <v>42690.813125000001</v>
      </c>
      <c r="G5981" s="17" t="s">
        <v>13001</v>
      </c>
      <c r="H5981" s="35" t="s">
        <v>3992</v>
      </c>
      <c r="I5981" s="18" t="s">
        <v>3993</v>
      </c>
    </row>
    <row r="5982" spans="1:9" s="33" customFormat="1" ht="45">
      <c r="A5982" s="12">
        <v>43577.895474537036</v>
      </c>
      <c r="B5982" s="13" t="str">
        <f>HYPERLINK("https://twitter.com/codervandal","@codervandal")</f>
        <v>@codervandal</v>
      </c>
      <c r="C5982" s="14" t="s">
        <v>1467</v>
      </c>
      <c r="D5982" s="15" t="s">
        <v>1468</v>
      </c>
      <c r="E5982" s="16" t="str">
        <f>HYPERLINK("http://twitter.com/download/android","Twitter for Android")</f>
        <v>Twitter for Android</v>
      </c>
      <c r="F5982" s="12">
        <v>41705.612210648149</v>
      </c>
      <c r="G5982" s="17" t="s">
        <v>13001</v>
      </c>
      <c r="H5982" s="35" t="s">
        <v>1469</v>
      </c>
      <c r="I5982" s="18" t="s">
        <v>1470</v>
      </c>
    </row>
    <row r="5983" spans="1:9" s="33" customFormat="1" ht="60">
      <c r="A5983" s="19">
        <v>43551.666863425926</v>
      </c>
      <c r="B5983" s="20" t="str">
        <f>HYPERLINK("https://twitter.com/1001BNB","@1001BNB")</f>
        <v>@1001BNB</v>
      </c>
      <c r="C5983" s="21" t="s">
        <v>3935</v>
      </c>
      <c r="D5983" s="22" t="s">
        <v>7059</v>
      </c>
      <c r="E5983" s="23" t="str">
        <f>HYPERLINK("https://promorepublic.com","PromoRepublic")</f>
        <v>PromoRepublic</v>
      </c>
      <c r="F5983" s="19">
        <v>43547.873159722221</v>
      </c>
      <c r="G5983" s="17" t="s">
        <v>13001</v>
      </c>
      <c r="H5983" s="35" t="s">
        <v>3937</v>
      </c>
      <c r="I5983" s="25" t="s">
        <v>3938</v>
      </c>
    </row>
    <row r="5984" spans="1:9" s="33" customFormat="1" ht="90">
      <c r="A5984" s="19">
        <v>43550.666874999995</v>
      </c>
      <c r="B5984" s="20" t="str">
        <f>HYPERLINK("https://twitter.com/1001BNB","@1001BNB")</f>
        <v>@1001BNB</v>
      </c>
      <c r="C5984" s="21" t="s">
        <v>3935</v>
      </c>
      <c r="D5984" s="22" t="s">
        <v>7562</v>
      </c>
      <c r="E5984" s="23" t="str">
        <f>HYPERLINK("https://promorepublic.com","PromoRepublic")</f>
        <v>PromoRepublic</v>
      </c>
      <c r="F5984" s="19">
        <v>43547.873159722221</v>
      </c>
      <c r="G5984" s="17" t="s">
        <v>13001</v>
      </c>
      <c r="H5984" s="35" t="s">
        <v>3937</v>
      </c>
      <c r="I5984" s="25" t="s">
        <v>3938</v>
      </c>
    </row>
    <row r="5985" spans="1:9" s="33" customFormat="1" ht="90">
      <c r="A5985" s="12">
        <v>43570.928148148145</v>
      </c>
      <c r="B5985" s="13" t="str">
        <f>HYPERLINK("https://twitter.com/1001BNB","@1001BNB")</f>
        <v>@1001BNB</v>
      </c>
      <c r="C5985" s="14" t="s">
        <v>3935</v>
      </c>
      <c r="D5985" s="15" t="s">
        <v>3936</v>
      </c>
      <c r="E5985" s="16" t="str">
        <f>HYPERLINK("https://app.planable.io","Planable")</f>
        <v>Planable</v>
      </c>
      <c r="F5985" s="12">
        <v>43547.873159722221</v>
      </c>
      <c r="G5985" s="17" t="s">
        <v>13001</v>
      </c>
      <c r="H5985" s="35" t="s">
        <v>3937</v>
      </c>
      <c r="I5985" s="18" t="s">
        <v>3938</v>
      </c>
    </row>
    <row r="5986" spans="1:9" s="33" customFormat="1" ht="90">
      <c r="A5986" s="12">
        <v>43566.040972222225</v>
      </c>
      <c r="B5986" s="13" t="str">
        <f>HYPERLINK("https://twitter.com/1001BNB","@1001BNB")</f>
        <v>@1001BNB</v>
      </c>
      <c r="C5986" s="14" t="s">
        <v>3935</v>
      </c>
      <c r="D5986" s="15" t="s">
        <v>5813</v>
      </c>
      <c r="E5986" s="16" t="str">
        <f>HYPERLINK("https://app.planable.io","Planable")</f>
        <v>Planable</v>
      </c>
      <c r="F5986" s="12">
        <v>43547.873159722221</v>
      </c>
      <c r="G5986" s="17" t="s">
        <v>13001</v>
      </c>
      <c r="H5986" s="35" t="s">
        <v>3937</v>
      </c>
      <c r="I5986" s="18" t="s">
        <v>3938</v>
      </c>
    </row>
    <row r="5987" spans="1:9" s="33" customFormat="1" ht="45">
      <c r="A5987" s="19">
        <v>43543.072800925926</v>
      </c>
      <c r="B5987" s="20" t="str">
        <f>HYPERLINK("https://twitter.com/SerenaM2194","@SerenaM2194")</f>
        <v>@SerenaM2194</v>
      </c>
      <c r="C5987" s="21" t="s">
        <v>9946</v>
      </c>
      <c r="D5987" s="22" t="s">
        <v>9947</v>
      </c>
      <c r="E5987" s="23" t="str">
        <f>HYPERLINK("http://twitter.com","Twitter Web Client")</f>
        <v>Twitter Web Client</v>
      </c>
      <c r="F5987" s="19">
        <v>43354.027037037042</v>
      </c>
      <c r="G5987" s="17" t="s">
        <v>13001</v>
      </c>
      <c r="H5987" s="35" t="s">
        <v>9948</v>
      </c>
      <c r="I5987" s="25" t="s">
        <v>9949</v>
      </c>
    </row>
    <row r="5988" spans="1:9" s="33" customFormat="1" ht="45">
      <c r="A5988" s="4">
        <v>43564.202824074076</v>
      </c>
      <c r="B5988" s="5" t="str">
        <f>HYPERLINK("https://twitter.com/SamsaraOnline","@SamsaraOnline")</f>
        <v>@SamsaraOnline</v>
      </c>
      <c r="C5988" s="6" t="s">
        <v>6738</v>
      </c>
      <c r="D5988" s="7" t="s">
        <v>6739</v>
      </c>
      <c r="E5988" s="8" t="str">
        <f>HYPERLINK("http://twitter.com","Twitter Web Client")</f>
        <v>Twitter Web Client</v>
      </c>
      <c r="F5988" s="4">
        <v>43165.68677083333</v>
      </c>
      <c r="G5988" s="9" t="s">
        <v>13001</v>
      </c>
      <c r="H5988" s="35" t="s">
        <v>6740</v>
      </c>
      <c r="I5988" s="10" t="s">
        <v>6741</v>
      </c>
    </row>
    <row r="5989" spans="1:9" s="33" customFormat="1" ht="105">
      <c r="A5989" s="4">
        <v>43557.585277777776</v>
      </c>
      <c r="B5989" s="5" t="str">
        <f>HYPERLINK("https://twitter.com/katinka_c","@katinka_c")</f>
        <v>@katinka_c</v>
      </c>
      <c r="C5989" s="6" t="s">
        <v>12454</v>
      </c>
      <c r="D5989" s="7" t="s">
        <v>12455</v>
      </c>
      <c r="E5989" s="8" t="str">
        <f>HYPERLINK("http://twitter.com/download/iphone","Twitter for iPhone")</f>
        <v>Twitter for iPhone</v>
      </c>
      <c r="F5989" s="4">
        <v>40698.672337962962</v>
      </c>
      <c r="G5989" s="9" t="s">
        <v>13001</v>
      </c>
      <c r="H5989" s="35" t="s">
        <v>6740</v>
      </c>
      <c r="I5989" s="10" t="s">
        <v>12456</v>
      </c>
    </row>
    <row r="5990" spans="1:9" s="33" customFormat="1" ht="75">
      <c r="A5990" s="19">
        <v>43546.670219907406</v>
      </c>
      <c r="B5990" s="20" t="str">
        <f>HYPERLINK("https://twitter.com/bluemountainshr","@bluemountainshr")</f>
        <v>@bluemountainshr</v>
      </c>
      <c r="C5990" s="21" t="s">
        <v>8760</v>
      </c>
      <c r="D5990" s="22" t="s">
        <v>8761</v>
      </c>
      <c r="E5990" s="23" t="str">
        <f>HYPERLINK("https://www.hootsuite.com","Hootsuite Inc.")</f>
        <v>Hootsuite Inc.</v>
      </c>
      <c r="F5990" s="19">
        <v>43274.166134259256</v>
      </c>
      <c r="G5990" s="24" t="s">
        <v>13001</v>
      </c>
      <c r="H5990" s="35" t="s">
        <v>8762</v>
      </c>
      <c r="I5990" s="25" t="s">
        <v>8763</v>
      </c>
    </row>
    <row r="5991" spans="1:9" s="33" customFormat="1" ht="45">
      <c r="A5991" s="4">
        <v>43556.791817129633</v>
      </c>
      <c r="B5991" s="5" t="str">
        <f>HYPERLINK("https://twitter.com/CreativePlanetM","@CreativePlanetM")</f>
        <v>@CreativePlanetM</v>
      </c>
      <c r="C5991" s="6" t="s">
        <v>12736</v>
      </c>
      <c r="D5991" s="7" t="s">
        <v>12737</v>
      </c>
      <c r="E5991" s="8" t="str">
        <f>HYPERLINK("https://www.hootsuite.com","Hootsuite Inc.")</f>
        <v>Hootsuite Inc.</v>
      </c>
      <c r="F5991" s="4">
        <v>41408.002974537041</v>
      </c>
      <c r="G5991" s="9" t="s">
        <v>13001</v>
      </c>
      <c r="H5991" s="35" t="s">
        <v>1804</v>
      </c>
      <c r="I5991" s="10" t="s">
        <v>12738</v>
      </c>
    </row>
    <row r="5992" spans="1:9" s="33" customFormat="1" ht="45">
      <c r="A5992" s="12">
        <v>43576.888217592597</v>
      </c>
      <c r="B5992" s="13" t="str">
        <f>HYPERLINK("https://twitter.com/LifeInCamelot","@LifeInCamelot")</f>
        <v>@LifeInCamelot</v>
      </c>
      <c r="C5992" s="14" t="s">
        <v>1802</v>
      </c>
      <c r="D5992" s="15" t="s">
        <v>1803</v>
      </c>
      <c r="E5992" s="16" t="str">
        <f>HYPERLINK("https://ifttt.com","IFTTT")</f>
        <v>IFTTT</v>
      </c>
      <c r="F5992" s="12">
        <v>39870.822442129633</v>
      </c>
      <c r="G5992" s="9" t="s">
        <v>13001</v>
      </c>
      <c r="H5992" s="35" t="s">
        <v>1804</v>
      </c>
      <c r="I5992" s="18" t="s">
        <v>1805</v>
      </c>
    </row>
    <row r="5993" spans="1:9" s="33" customFormat="1" ht="120">
      <c r="A5993" s="12">
        <v>43571.234421296293</v>
      </c>
      <c r="B5993" s="13" t="str">
        <f>HYPERLINK("https://twitter.com/michm","@michm")</f>
        <v>@michm</v>
      </c>
      <c r="C5993" s="14" t="s">
        <v>3775</v>
      </c>
      <c r="D5993" s="15" t="s">
        <v>3776</v>
      </c>
      <c r="E5993" s="16" t="str">
        <f>HYPERLINK("http://twitter.com/download/iphone","Twitter for iPhone")</f>
        <v>Twitter for iPhone</v>
      </c>
      <c r="F5993" s="12">
        <v>39529.042812500003</v>
      </c>
      <c r="G5993" s="9" t="s">
        <v>13001</v>
      </c>
      <c r="H5993" s="35" t="s">
        <v>1804</v>
      </c>
      <c r="I5993" s="18" t="s">
        <v>3777</v>
      </c>
    </row>
    <row r="5994" spans="1:9" s="33" customFormat="1" ht="60">
      <c r="A5994" s="19">
        <v>43544.699270833335</v>
      </c>
      <c r="B5994" s="20" t="str">
        <f>HYPERLINK("https://twitter.com/benedictorafael","@benedictorafael")</f>
        <v>@benedictorafael</v>
      </c>
      <c r="C5994" s="21" t="s">
        <v>9373</v>
      </c>
      <c r="D5994" s="22" t="s">
        <v>9374</v>
      </c>
      <c r="E5994" s="23" t="str">
        <f>HYPERLINK("http://instagram.com","Instagram")</f>
        <v>Instagram</v>
      </c>
      <c r="F5994" s="19">
        <v>41524.004872685182</v>
      </c>
      <c r="G5994" s="9" t="s">
        <v>13001</v>
      </c>
      <c r="H5994" s="35" t="s">
        <v>9375</v>
      </c>
      <c r="I5994" s="25" t="s">
        <v>9376</v>
      </c>
    </row>
    <row r="5995" spans="1:9" s="33" customFormat="1" ht="45">
      <c r="A5995" s="4">
        <v>43556.613923611112</v>
      </c>
      <c r="B5995" s="5" t="str">
        <f>HYPERLINK("https://twitter.com/ElissaDoherty","@ElissaDoherty")</f>
        <v>@ElissaDoherty</v>
      </c>
      <c r="C5995" s="6" t="s">
        <v>12784</v>
      </c>
      <c r="D5995" s="7" t="s">
        <v>12785</v>
      </c>
      <c r="E5995" s="8" t="str">
        <f>HYPERLINK("http://twitter.com/download/iphone","Twitter for iPhone")</f>
        <v>Twitter for iPhone</v>
      </c>
      <c r="F5995" s="4">
        <v>41202.726840277777</v>
      </c>
      <c r="G5995" s="9" t="s">
        <v>13001</v>
      </c>
      <c r="H5995" s="35" t="s">
        <v>12786</v>
      </c>
      <c r="I5995" s="10" t="s">
        <v>12787</v>
      </c>
    </row>
    <row r="5996" spans="1:9" s="33" customFormat="1" ht="30">
      <c r="A5996" s="19">
        <v>43542.563946759255</v>
      </c>
      <c r="B5996" s="20" t="str">
        <f>HYPERLINK("https://twitter.com/saraalbostanji","@saraalbostanji")</f>
        <v>@saraalbostanji</v>
      </c>
      <c r="C5996" s="21" t="s">
        <v>10104</v>
      </c>
      <c r="D5996" s="22" t="s">
        <v>10105</v>
      </c>
      <c r="E5996" s="23" t="str">
        <f>HYPERLINK("http://twitter.com/download/iphone","Twitter for iPhone")</f>
        <v>Twitter for iPhone</v>
      </c>
      <c r="F5996" s="19">
        <v>40579.157094907408</v>
      </c>
      <c r="G5996" s="17" t="s">
        <v>13001</v>
      </c>
      <c r="H5996" s="35" t="s">
        <v>3610</v>
      </c>
      <c r="I5996" s="25" t="s">
        <v>10106</v>
      </c>
    </row>
    <row r="5997" spans="1:9" s="33" customFormat="1" ht="75">
      <c r="A5997" s="4">
        <v>43561.68340277778</v>
      </c>
      <c r="B5997" s="5" t="str">
        <f>HYPERLINK("https://twitter.com/MeetSamhussain","@MeetSamhussain")</f>
        <v>@MeetSamhussain</v>
      </c>
      <c r="C5997" s="6" t="s">
        <v>10862</v>
      </c>
      <c r="D5997" s="7" t="s">
        <v>10863</v>
      </c>
      <c r="E5997" s="8" t="str">
        <f>HYPERLINK("http://www.facebook.com/twitter","Facebook")</f>
        <v>Facebook</v>
      </c>
      <c r="F5997" s="4">
        <v>40798.596759259257</v>
      </c>
      <c r="G5997" s="17" t="s">
        <v>13001</v>
      </c>
      <c r="H5997" s="35" t="s">
        <v>3610</v>
      </c>
      <c r="I5997" s="10" t="s">
        <v>10864</v>
      </c>
    </row>
    <row r="5998" spans="1:9" s="33" customFormat="1" ht="75">
      <c r="A5998" s="4">
        <v>43561.681284722217</v>
      </c>
      <c r="B5998" s="5" t="str">
        <f>HYPERLINK("https://twitter.com/7NewsMelbourne","@7NewsMelbourne")</f>
        <v>@7NewsMelbourne</v>
      </c>
      <c r="C5998" s="6" t="s">
        <v>10866</v>
      </c>
      <c r="D5998" s="7" t="s">
        <v>10865</v>
      </c>
      <c r="E5998" s="8" t="str">
        <f>HYPERLINK("https://about.twitter.com/products/tweetdeck","TweetDeck")</f>
        <v>TweetDeck</v>
      </c>
      <c r="F5998" s="4">
        <v>40246.826319444444</v>
      </c>
      <c r="G5998" s="17" t="s">
        <v>13001</v>
      </c>
      <c r="H5998" s="35" t="s">
        <v>3610</v>
      </c>
      <c r="I5998" s="10" t="s">
        <v>10867</v>
      </c>
    </row>
    <row r="5999" spans="1:9" s="33" customFormat="1" ht="45">
      <c r="A5999" s="12">
        <v>43571.618078703701</v>
      </c>
      <c r="B5999" s="13" t="str">
        <f>HYPERLINK("https://twitter.com/colossal_l","@colossal_l")</f>
        <v>@colossal_l</v>
      </c>
      <c r="C5999" s="14" t="s">
        <v>3608</v>
      </c>
      <c r="D5999" s="15" t="s">
        <v>3609</v>
      </c>
      <c r="E5999" s="16" t="str">
        <f>HYPERLINK("https://buffer.com","Buffer")</f>
        <v>Buffer</v>
      </c>
      <c r="F5999" s="12">
        <v>43452.576793981483</v>
      </c>
      <c r="G5999" s="17" t="s">
        <v>13001</v>
      </c>
      <c r="H5999" s="35" t="s">
        <v>3610</v>
      </c>
      <c r="I5999" s="18" t="s">
        <v>3611</v>
      </c>
    </row>
    <row r="6000" spans="1:9" s="33" customFormat="1" ht="105">
      <c r="A6000" s="19">
        <v>43551.75717592593</v>
      </c>
      <c r="B6000" s="20" t="str">
        <f>HYPERLINK("https://twitter.com/debjaneforster","@debjaneforster")</f>
        <v>@debjaneforster</v>
      </c>
      <c r="C6000" s="21" t="s">
        <v>7008</v>
      </c>
      <c r="D6000" s="22" t="s">
        <v>7009</v>
      </c>
      <c r="E6000" s="23" t="str">
        <f>HYPERLINK("http://www.facebook.com/twitter","Facebook")</f>
        <v>Facebook</v>
      </c>
      <c r="F6000" s="19">
        <v>40132.886874999997</v>
      </c>
      <c r="G6000" s="24" t="s">
        <v>13001</v>
      </c>
      <c r="H6000" s="35" t="s">
        <v>7010</v>
      </c>
      <c r="I6000" s="25" t="s">
        <v>7011</v>
      </c>
    </row>
    <row r="6001" spans="1:9" s="33" customFormat="1" ht="75">
      <c r="A6001" s="4">
        <v>43557.52815972222</v>
      </c>
      <c r="B6001" s="5" t="str">
        <f>HYPERLINK("https://twitter.com/MichaJohansen","@MichaJohansen")</f>
        <v>@MichaJohansen</v>
      </c>
      <c r="C6001" s="6" t="s">
        <v>12480</v>
      </c>
      <c r="D6001" s="7" t="s">
        <v>12481</v>
      </c>
      <c r="E6001" s="8" t="str">
        <f>HYPERLINK("http://twitter.com/download/android","Twitter for Android")</f>
        <v>Twitter for Android</v>
      </c>
      <c r="F6001" s="4">
        <v>42405.769166666665</v>
      </c>
      <c r="G6001" s="17" t="s">
        <v>13001</v>
      </c>
      <c r="H6001" s="35" t="s">
        <v>1473</v>
      </c>
      <c r="I6001" s="10" t="s">
        <v>12482</v>
      </c>
    </row>
    <row r="6002" spans="1:9" s="33" customFormat="1" ht="45">
      <c r="A6002" s="12">
        <v>43577.888229166667</v>
      </c>
      <c r="B6002" s="13" t="str">
        <f>HYPERLINK("https://twitter.com/GittaGoes","@GittaGoes")</f>
        <v>@GittaGoes</v>
      </c>
      <c r="C6002" s="14" t="s">
        <v>1471</v>
      </c>
      <c r="D6002" s="15" t="s">
        <v>1472</v>
      </c>
      <c r="E6002" s="16" t="str">
        <f>HYPERLINK("http://instagram.com","Instagram")</f>
        <v>Instagram</v>
      </c>
      <c r="F6002" s="12">
        <v>42207.747766203705</v>
      </c>
      <c r="G6002" s="17" t="s">
        <v>13001</v>
      </c>
      <c r="H6002" s="35" t="s">
        <v>1473</v>
      </c>
      <c r="I6002" s="18" t="s">
        <v>1474</v>
      </c>
    </row>
    <row r="6003" spans="1:9" s="33" customFormat="1" ht="45">
      <c r="A6003" s="12">
        <v>43577.022222222222</v>
      </c>
      <c r="B6003" s="13" t="str">
        <f>HYPERLINK("https://twitter.com/ZingaZingAaah","@ZingaZingAaah")</f>
        <v>@ZingaZingAaah</v>
      </c>
      <c r="C6003" s="14" t="s">
        <v>1783</v>
      </c>
      <c r="D6003" s="15" t="s">
        <v>1784</v>
      </c>
      <c r="E6003" s="16" t="str">
        <f>HYPERLINK("http://twitter.com/download/android","Twitter for Android")</f>
        <v>Twitter for Android</v>
      </c>
      <c r="F6003" s="12">
        <v>42701.479675925926</v>
      </c>
      <c r="G6003" s="17" t="s">
        <v>13001</v>
      </c>
      <c r="H6003" s="35" t="s">
        <v>1473</v>
      </c>
      <c r="I6003" s="18" t="s">
        <v>1785</v>
      </c>
    </row>
    <row r="6004" spans="1:9" s="33" customFormat="1" ht="75">
      <c r="A6004" s="12">
        <v>43571.062326388885</v>
      </c>
      <c r="B6004" s="13" t="str">
        <f>HYPERLINK("https://twitter.com/zazzoe","@zazzoe")</f>
        <v>@zazzoe</v>
      </c>
      <c r="C6004" s="14" t="s">
        <v>3869</v>
      </c>
      <c r="D6004" s="15" t="s">
        <v>3870</v>
      </c>
      <c r="E6004" s="16" t="str">
        <f>HYPERLINK("https://ifttt.com","IFTTT")</f>
        <v>IFTTT</v>
      </c>
      <c r="F6004" s="12">
        <v>41491.22184027778</v>
      </c>
      <c r="G6004" s="17" t="s">
        <v>13001</v>
      </c>
      <c r="H6004" s="35" t="s">
        <v>1473</v>
      </c>
      <c r="I6004" s="18"/>
    </row>
    <row r="6005" spans="1:9" s="33" customFormat="1" ht="60">
      <c r="A6005" s="12">
        <v>43570.895648148144</v>
      </c>
      <c r="B6005" s="13" t="str">
        <f>HYPERLINK("https://twitter.com/zazzoe","@zazzoe")</f>
        <v>@zazzoe</v>
      </c>
      <c r="C6005" s="14" t="s">
        <v>3869</v>
      </c>
      <c r="D6005" s="15" t="s">
        <v>3951</v>
      </c>
      <c r="E6005" s="16" t="str">
        <f>HYPERLINK("https://ifttt.com","IFTTT")</f>
        <v>IFTTT</v>
      </c>
      <c r="F6005" s="12">
        <v>41491.22184027778</v>
      </c>
      <c r="G6005" s="17" t="s">
        <v>13001</v>
      </c>
      <c r="H6005" s="35" t="s">
        <v>1473</v>
      </c>
      <c r="I6005" s="18"/>
    </row>
    <row r="6006" spans="1:9" s="33" customFormat="1" ht="30">
      <c r="A6006" s="4">
        <v>43561.165266203709</v>
      </c>
      <c r="B6006" s="5" t="str">
        <f>HYPERLINK("https://twitter.com/SharmanRose","@SharmanRose")</f>
        <v>@SharmanRose</v>
      </c>
      <c r="C6006" s="6" t="s">
        <v>11045</v>
      </c>
      <c r="D6006" s="7" t="s">
        <v>11046</v>
      </c>
      <c r="E6006" s="8" t="str">
        <f>HYPERLINK("http://twitter.com/download/iphone","Twitter for iPhone")</f>
        <v>Twitter for iPhone</v>
      </c>
      <c r="F6006" s="4">
        <v>40158.823287037041</v>
      </c>
      <c r="G6006" s="24" t="s">
        <v>13001</v>
      </c>
      <c r="H6006" s="35" t="s">
        <v>11047</v>
      </c>
      <c r="I6006" s="10" t="s">
        <v>11048</v>
      </c>
    </row>
    <row r="6007" spans="1:9" s="33" customFormat="1" ht="30">
      <c r="A6007" s="19">
        <v>43549.125555555554</v>
      </c>
      <c r="B6007" s="20" t="str">
        <f>HYPERLINK("https://twitter.com/pixinwanderland","@pixinwanderland")</f>
        <v>@pixinwanderland</v>
      </c>
      <c r="C6007" s="21" t="s">
        <v>8155</v>
      </c>
      <c r="D6007" s="22" t="s">
        <v>8156</v>
      </c>
      <c r="E6007" s="23" t="str">
        <f>HYPERLINK("http://twitter.com/download/iphone","Twitter for iPhone")</f>
        <v>Twitter for iPhone</v>
      </c>
      <c r="F6007" s="19">
        <v>39868.148379629631</v>
      </c>
      <c r="G6007" s="24" t="s">
        <v>13001</v>
      </c>
      <c r="H6007" s="35" t="s">
        <v>8157</v>
      </c>
      <c r="I6007" s="25" t="s">
        <v>8158</v>
      </c>
    </row>
    <row r="6008" spans="1:9" s="33" customFormat="1" ht="60">
      <c r="A6008" s="4">
        <v>43565.211747685185</v>
      </c>
      <c r="B6008" s="5" t="str">
        <f t="shared" ref="B6008:B6014" si="226">HYPERLINK("https://twitter.com/WendyBywaters","@WendyBywaters")</f>
        <v>@WendyBywaters</v>
      </c>
      <c r="C6008" s="6" t="s">
        <v>2653</v>
      </c>
      <c r="D6008" s="7" t="s">
        <v>6231</v>
      </c>
      <c r="E6008" s="8" t="str">
        <f t="shared" ref="E6008:E6014" si="227">HYPERLINK("http://instagram.com","Instagram")</f>
        <v>Instagram</v>
      </c>
      <c r="F6008" s="4">
        <v>40959.601678240739</v>
      </c>
      <c r="G6008" s="17" t="s">
        <v>13001</v>
      </c>
      <c r="H6008" s="35" t="s">
        <v>2655</v>
      </c>
      <c r="I6008" s="10" t="s">
        <v>2656</v>
      </c>
    </row>
    <row r="6009" spans="1:9" s="33" customFormat="1" ht="45">
      <c r="A6009" s="4">
        <v>43564.251412037032</v>
      </c>
      <c r="B6009" s="5" t="str">
        <f t="shared" si="226"/>
        <v>@WendyBywaters</v>
      </c>
      <c r="C6009" s="6" t="s">
        <v>2653</v>
      </c>
      <c r="D6009" s="7" t="s">
        <v>6713</v>
      </c>
      <c r="E6009" s="8" t="str">
        <f t="shared" si="227"/>
        <v>Instagram</v>
      </c>
      <c r="F6009" s="4">
        <v>40959.601678240739</v>
      </c>
      <c r="G6009" s="17" t="s">
        <v>13001</v>
      </c>
      <c r="H6009" s="35" t="s">
        <v>2655</v>
      </c>
      <c r="I6009" s="10" t="s">
        <v>2656</v>
      </c>
    </row>
    <row r="6010" spans="1:9" s="33" customFormat="1" ht="45">
      <c r="A6010" s="4">
        <v>43564.248124999998</v>
      </c>
      <c r="B6010" s="5" t="str">
        <f t="shared" si="226"/>
        <v>@WendyBywaters</v>
      </c>
      <c r="C6010" s="6" t="s">
        <v>2653</v>
      </c>
      <c r="D6010" s="7" t="s">
        <v>6723</v>
      </c>
      <c r="E6010" s="8" t="str">
        <f t="shared" si="227"/>
        <v>Instagram</v>
      </c>
      <c r="F6010" s="4">
        <v>40959.601678240739</v>
      </c>
      <c r="G6010" s="17" t="s">
        <v>13001</v>
      </c>
      <c r="H6010" s="35" t="s">
        <v>2655</v>
      </c>
      <c r="I6010" s="10" t="s">
        <v>2656</v>
      </c>
    </row>
    <row r="6011" spans="1:9" s="33" customFormat="1" ht="45">
      <c r="A6011" s="4">
        <v>43563.210474537038</v>
      </c>
      <c r="B6011" s="5" t="str">
        <f t="shared" si="226"/>
        <v>@WendyBywaters</v>
      </c>
      <c r="C6011" s="6" t="s">
        <v>2653</v>
      </c>
      <c r="D6011" s="7" t="s">
        <v>10433</v>
      </c>
      <c r="E6011" s="8" t="str">
        <f t="shared" si="227"/>
        <v>Instagram</v>
      </c>
      <c r="F6011" s="4">
        <v>40959.601678240739</v>
      </c>
      <c r="G6011" s="17" t="s">
        <v>13001</v>
      </c>
      <c r="H6011" s="35" t="s">
        <v>2655</v>
      </c>
      <c r="I6011" s="10" t="s">
        <v>2656</v>
      </c>
    </row>
    <row r="6012" spans="1:9" s="33" customFormat="1" ht="45">
      <c r="A6012" s="12">
        <v>43574.18850694444</v>
      </c>
      <c r="B6012" s="13" t="str">
        <f t="shared" si="226"/>
        <v>@WendyBywaters</v>
      </c>
      <c r="C6012" s="14" t="s">
        <v>2653</v>
      </c>
      <c r="D6012" s="15" t="s">
        <v>2654</v>
      </c>
      <c r="E6012" s="16" t="str">
        <f t="shared" si="227"/>
        <v>Instagram</v>
      </c>
      <c r="F6012" s="12">
        <v>40959.601678240739</v>
      </c>
      <c r="G6012" s="17" t="s">
        <v>13001</v>
      </c>
      <c r="H6012" s="35" t="s">
        <v>2655</v>
      </c>
      <c r="I6012" s="18" t="s">
        <v>2656</v>
      </c>
    </row>
    <row r="6013" spans="1:9" s="33" customFormat="1" ht="45">
      <c r="A6013" s="12">
        <v>43573.792581018519</v>
      </c>
      <c r="B6013" s="13" t="str">
        <f t="shared" si="226"/>
        <v>@WendyBywaters</v>
      </c>
      <c r="C6013" s="14" t="s">
        <v>2653</v>
      </c>
      <c r="D6013" s="15" t="s">
        <v>2742</v>
      </c>
      <c r="E6013" s="16" t="str">
        <f t="shared" si="227"/>
        <v>Instagram</v>
      </c>
      <c r="F6013" s="12">
        <v>40959.601678240739</v>
      </c>
      <c r="G6013" s="17" t="s">
        <v>13001</v>
      </c>
      <c r="H6013" s="35" t="s">
        <v>2655</v>
      </c>
      <c r="I6013" s="18" t="s">
        <v>2656</v>
      </c>
    </row>
    <row r="6014" spans="1:9" s="33" customFormat="1" ht="45">
      <c r="A6014" s="12">
        <v>43568.092002314814</v>
      </c>
      <c r="B6014" s="13" t="str">
        <f t="shared" si="226"/>
        <v>@WendyBywaters</v>
      </c>
      <c r="C6014" s="14" t="s">
        <v>2653</v>
      </c>
      <c r="D6014" s="15" t="s">
        <v>4877</v>
      </c>
      <c r="E6014" s="16" t="str">
        <f t="shared" si="227"/>
        <v>Instagram</v>
      </c>
      <c r="F6014" s="12">
        <v>40959.601678240739</v>
      </c>
      <c r="G6014" s="17" t="s">
        <v>13001</v>
      </c>
      <c r="H6014" s="35" t="s">
        <v>2655</v>
      </c>
      <c r="I6014" s="18" t="s">
        <v>2656</v>
      </c>
    </row>
    <row r="6015" spans="1:9" s="33" customFormat="1" ht="30">
      <c r="A6015" s="19">
        <v>43545.915243055555</v>
      </c>
      <c r="B6015" s="20" t="str">
        <f>HYPERLINK("https://twitter.com/waternests","@waternests")</f>
        <v>@waternests</v>
      </c>
      <c r="C6015" s="21" t="s">
        <v>9000</v>
      </c>
      <c r="D6015" s="22" t="s">
        <v>9001</v>
      </c>
      <c r="E6015" s="23" t="str">
        <f>HYPERLINK("http://twitter.com/download/iphone","Twitter for iPhone")</f>
        <v>Twitter for iPhone</v>
      </c>
      <c r="F6015" s="19">
        <v>42752.920162037037</v>
      </c>
      <c r="G6015" s="24" t="s">
        <v>13001</v>
      </c>
      <c r="H6015" s="35" t="s">
        <v>9002</v>
      </c>
      <c r="I6015" s="25" t="s">
        <v>9003</v>
      </c>
    </row>
    <row r="6016" spans="1:9" s="33" customFormat="1" ht="75">
      <c r="A6016" s="4">
        <v>43558.957152777773</v>
      </c>
      <c r="B6016" s="5" t="str">
        <f>HYPERLINK("https://twitter.com/EverestElec","@EverestElec")</f>
        <v>@EverestElec</v>
      </c>
      <c r="C6016" s="6" t="s">
        <v>11991</v>
      </c>
      <c r="D6016" s="7" t="s">
        <v>11992</v>
      </c>
      <c r="E6016" s="8" t="str">
        <f>HYPERLINK("http://www.facebook.com/twitter","Facebook")</f>
        <v>Facebook</v>
      </c>
      <c r="F6016" s="4">
        <v>41072.906319444446</v>
      </c>
      <c r="G6016" s="9" t="s">
        <v>13001</v>
      </c>
      <c r="H6016" s="35" t="s">
        <v>11993</v>
      </c>
      <c r="I6016" s="10"/>
    </row>
    <row r="6017" spans="1:9" s="33" customFormat="1" ht="30">
      <c r="A6017" s="4">
        <v>43564.75072916667</v>
      </c>
      <c r="B6017" s="5" t="str">
        <f>HYPERLINK("https://twitter.com/thriftynomads","@thriftynomads")</f>
        <v>@thriftynomads</v>
      </c>
      <c r="C6017" s="6" t="s">
        <v>6431</v>
      </c>
      <c r="D6017" s="7" t="s">
        <v>6432</v>
      </c>
      <c r="E6017" s="8" t="str">
        <f>HYPERLINK("https://buffer.com","Buffer")</f>
        <v>Buffer</v>
      </c>
      <c r="F6017" s="4">
        <v>41896.935370370367</v>
      </c>
      <c r="G6017" s="17" t="s">
        <v>13001</v>
      </c>
      <c r="H6017" s="35" t="s">
        <v>6433</v>
      </c>
      <c r="I6017" s="10" t="s">
        <v>6434</v>
      </c>
    </row>
    <row r="6018" spans="1:9" s="33" customFormat="1" ht="75">
      <c r="A6018" s="4">
        <v>43558.8121412037</v>
      </c>
      <c r="B6018" s="5" t="str">
        <f>HYPERLINK("https://twitter.com/space3ed","@space3ed")</f>
        <v>@space3ed</v>
      </c>
      <c r="C6018" s="6" t="s">
        <v>12031</v>
      </c>
      <c r="D6018" s="7" t="s">
        <v>12876</v>
      </c>
      <c r="E6018" s="8" t="str">
        <f>HYPERLINK("http://twitter.com","Twitter Web Client")</f>
        <v>Twitter Web Client</v>
      </c>
      <c r="F6018" s="4">
        <v>40553.995034722218</v>
      </c>
      <c r="G6018" s="9" t="s">
        <v>13001</v>
      </c>
      <c r="H6018" s="35" t="s">
        <v>12032</v>
      </c>
      <c r="I6018" s="10" t="s">
        <v>12877</v>
      </c>
    </row>
    <row r="6019" spans="1:9" s="33" customFormat="1" ht="30">
      <c r="A6019" s="19">
        <v>43547.010879629626</v>
      </c>
      <c r="B6019" s="20" t="str">
        <f>HYPERLINK("https://twitter.com/JamieHorneFFX","@JamieHorneFFX")</f>
        <v>@JamieHorneFFX</v>
      </c>
      <c r="C6019" s="21" t="s">
        <v>8677</v>
      </c>
      <c r="D6019" s="22" t="s">
        <v>12924</v>
      </c>
      <c r="E6019" s="23" t="str">
        <f>HYPERLINK("http://twitter.com/download/iphone","Twitter for iPhone")</f>
        <v>Twitter for iPhone</v>
      </c>
      <c r="F6019" s="19">
        <v>40529.156550925924</v>
      </c>
      <c r="G6019" s="24" t="s">
        <v>13001</v>
      </c>
      <c r="H6019" s="35" t="s">
        <v>8678</v>
      </c>
      <c r="I6019" s="25" t="s">
        <v>8679</v>
      </c>
    </row>
    <row r="6020" spans="1:9" s="33" customFormat="1" ht="105">
      <c r="A6020" s="12">
        <v>43578.874131944445</v>
      </c>
      <c r="B6020" s="13" t="str">
        <f>HYPERLINK("https://twitter.com/sporaxis","@sporaxis")</f>
        <v>@sporaxis</v>
      </c>
      <c r="C6020" s="14" t="s">
        <v>1006</v>
      </c>
      <c r="D6020" s="15" t="s">
        <v>1007</v>
      </c>
      <c r="E6020" s="16" t="str">
        <f>HYPERLINK("http://twitter.com/download/iphone","Twitter for iPhone")</f>
        <v>Twitter for iPhone</v>
      </c>
      <c r="F6020" s="12">
        <v>40468.397372685184</v>
      </c>
      <c r="G6020" s="17" t="s">
        <v>13001</v>
      </c>
      <c r="H6020" s="35" t="s">
        <v>1008</v>
      </c>
      <c r="I6020" s="18" t="s">
        <v>1009</v>
      </c>
    </row>
    <row r="6021" spans="1:9" s="33" customFormat="1" ht="30">
      <c r="A6021" s="4">
        <v>43559.852372685185</v>
      </c>
      <c r="B6021" s="5" t="str">
        <f>HYPERLINK("https://twitter.com/AussieHotelGuy","@AussieHotelGuy")</f>
        <v>@AussieHotelGuy</v>
      </c>
      <c r="C6021" s="6" t="s">
        <v>11670</v>
      </c>
      <c r="D6021" s="7" t="s">
        <v>11671</v>
      </c>
      <c r="E6021" s="8" t="str">
        <f>HYPERLINK("http://twitter.com","Twitter Web Client")</f>
        <v>Twitter Web Client</v>
      </c>
      <c r="F6021" s="4">
        <v>40024.034780092596</v>
      </c>
      <c r="G6021" s="17" t="s">
        <v>13001</v>
      </c>
      <c r="H6021" s="35" t="s">
        <v>11672</v>
      </c>
      <c r="I6021" s="10" t="s">
        <v>11673</v>
      </c>
    </row>
    <row r="6022" spans="1:9" s="33" customFormat="1" ht="15">
      <c r="A6022" s="19">
        <v>43546.789212962962</v>
      </c>
      <c r="B6022" s="20" t="str">
        <f>HYPERLINK("https://twitter.com/cabal0","@cabal0")</f>
        <v>@cabal0</v>
      </c>
      <c r="C6022" s="21" t="s">
        <v>8726</v>
      </c>
      <c r="D6022" s="22" t="s">
        <v>8727</v>
      </c>
      <c r="E6022" s="23" t="str">
        <f>HYPERLINK("http://twitter.com","Twitter Web Client")</f>
        <v>Twitter Web Client</v>
      </c>
      <c r="F6022" s="19">
        <v>40967.214432870373</v>
      </c>
      <c r="G6022" s="17" t="s">
        <v>13001</v>
      </c>
      <c r="H6022" s="35" t="s">
        <v>8728</v>
      </c>
      <c r="I6022" s="25" t="s">
        <v>8729</v>
      </c>
    </row>
    <row r="6023" spans="1:9" s="33" customFormat="1" ht="90">
      <c r="A6023" s="4">
        <v>43565.822939814811</v>
      </c>
      <c r="B6023" s="5" t="str">
        <f>HYPERLINK("https://twitter.com/BankwestCurtin","@BankwestCurtin")</f>
        <v>@BankwestCurtin</v>
      </c>
      <c r="C6023" s="6" t="s">
        <v>5884</v>
      </c>
      <c r="D6023" s="7" t="s">
        <v>5885</v>
      </c>
      <c r="E6023" s="8" t="str">
        <f>HYPERLINK("http://twitter.com/download/iphone","Twitter for iPhone")</f>
        <v>Twitter for iPhone</v>
      </c>
      <c r="F6023" s="4">
        <v>41395.887546296297</v>
      </c>
      <c r="G6023" s="17" t="s">
        <v>13001</v>
      </c>
      <c r="H6023" s="35" t="s">
        <v>5886</v>
      </c>
      <c r="I6023" s="10" t="s">
        <v>5887</v>
      </c>
    </row>
    <row r="6024" spans="1:9" s="33" customFormat="1" ht="90">
      <c r="A6024" s="4">
        <v>43563.834432870368</v>
      </c>
      <c r="B6024" s="5" t="str">
        <f>HYPERLINK("https://twitter.com/AssemblyWA","@AssemblyWA")</f>
        <v>@AssemblyWA</v>
      </c>
      <c r="C6024" s="6" t="s">
        <v>6864</v>
      </c>
      <c r="D6024" s="7" t="s">
        <v>6865</v>
      </c>
      <c r="E6024" s="8" t="str">
        <f>HYPERLINK("http://twitter.com","Twitter Web Client")</f>
        <v>Twitter Web Client</v>
      </c>
      <c r="F6024" s="4">
        <v>40953.856458333335</v>
      </c>
      <c r="G6024" s="17" t="s">
        <v>13001</v>
      </c>
      <c r="H6024" s="35" t="s">
        <v>6866</v>
      </c>
      <c r="I6024" s="10" t="s">
        <v>6867</v>
      </c>
    </row>
    <row r="6025" spans="1:9" s="33" customFormat="1" ht="105">
      <c r="A6025" s="19">
        <v>43550.738020833334</v>
      </c>
      <c r="B6025" s="20" t="str">
        <f>HYPERLINK("https://twitter.com/aerosocperth","@aerosocperth")</f>
        <v>@aerosocperth</v>
      </c>
      <c r="C6025" s="21" t="s">
        <v>7525</v>
      </c>
      <c r="D6025" s="22" t="s">
        <v>7526</v>
      </c>
      <c r="E6025" s="23" t="str">
        <f>HYPERLINK("http://twitter.com/download/android","Twitter for Android")</f>
        <v>Twitter for Android</v>
      </c>
      <c r="F6025" s="19">
        <v>42782.072650462964</v>
      </c>
      <c r="G6025" s="17" t="s">
        <v>13001</v>
      </c>
      <c r="H6025" s="35" t="s">
        <v>3123</v>
      </c>
      <c r="I6025" s="25" t="s">
        <v>7527</v>
      </c>
    </row>
    <row r="6026" spans="1:9" s="33" customFormat="1" ht="45">
      <c r="A6026" s="19">
        <v>43549.787465277783</v>
      </c>
      <c r="B6026" s="20" t="str">
        <f>HYPERLINK("https://twitter.com/MingmingCurtin","@MingmingCurtin")</f>
        <v>@MingmingCurtin</v>
      </c>
      <c r="C6026" s="21" t="s">
        <v>3121</v>
      </c>
      <c r="D6026" s="22" t="s">
        <v>7929</v>
      </c>
      <c r="E6026" s="23" t="str">
        <f>HYPERLINK("http://twitter.com","Twitter Web Client")</f>
        <v>Twitter Web Client</v>
      </c>
      <c r="F6026" s="19">
        <v>41733.916099537033</v>
      </c>
      <c r="G6026" s="17" t="s">
        <v>13001</v>
      </c>
      <c r="H6026" s="35" t="s">
        <v>3123</v>
      </c>
      <c r="I6026" s="25" t="s">
        <v>3124</v>
      </c>
    </row>
    <row r="6027" spans="1:9" s="33" customFormat="1" ht="75">
      <c r="A6027" s="19">
        <v>43547.203611111108</v>
      </c>
      <c r="B6027" s="20" t="str">
        <f>HYPERLINK("https://twitter.com/MingmingCurtin","@MingmingCurtin")</f>
        <v>@MingmingCurtin</v>
      </c>
      <c r="C6027" s="21" t="s">
        <v>3121</v>
      </c>
      <c r="D6027" s="22" t="s">
        <v>8638</v>
      </c>
      <c r="E6027" s="23" t="str">
        <f>HYPERLINK("http://twitter.com/download/iphone","Twitter for iPhone")</f>
        <v>Twitter for iPhone</v>
      </c>
      <c r="F6027" s="19">
        <v>41733.916099537033</v>
      </c>
      <c r="G6027" s="17" t="s">
        <v>13001</v>
      </c>
      <c r="H6027" s="35" t="s">
        <v>3123</v>
      </c>
      <c r="I6027" s="25" t="s">
        <v>3124</v>
      </c>
    </row>
    <row r="6028" spans="1:9" s="33" customFormat="1" ht="75">
      <c r="A6028" s="4">
        <v>43561.699884259258</v>
      </c>
      <c r="B6028" s="5" t="str">
        <f>HYPERLINK("https://twitter.com/7NewsPerth","@7NewsPerth")</f>
        <v>@7NewsPerth</v>
      </c>
      <c r="C6028" s="6" t="s">
        <v>10859</v>
      </c>
      <c r="D6028" s="7" t="s">
        <v>10854</v>
      </c>
      <c r="E6028" s="8" t="str">
        <f>HYPERLINK("https://about.twitter.com/products/tweetdeck","TweetDeck")</f>
        <v>TweetDeck</v>
      </c>
      <c r="F6028" s="4">
        <v>40009.917060185187</v>
      </c>
      <c r="G6028" s="17" t="s">
        <v>13001</v>
      </c>
      <c r="H6028" s="35" t="s">
        <v>3123</v>
      </c>
      <c r="I6028" s="10" t="s">
        <v>10860</v>
      </c>
    </row>
    <row r="6029" spans="1:9" s="33" customFormat="1" ht="75">
      <c r="A6029" s="4">
        <v>43561.681342592594</v>
      </c>
      <c r="B6029" s="5" t="str">
        <f>HYPERLINK("https://twitter.com/7NewsPerth","@7NewsPerth")</f>
        <v>@7NewsPerth</v>
      </c>
      <c r="C6029" s="6" t="s">
        <v>10859</v>
      </c>
      <c r="D6029" s="7" t="s">
        <v>10865</v>
      </c>
      <c r="E6029" s="8" t="str">
        <f>HYPERLINK("https://about.twitter.com/products/tweetdeck","TweetDeck")</f>
        <v>TweetDeck</v>
      </c>
      <c r="F6029" s="4">
        <v>40009.917060185187</v>
      </c>
      <c r="G6029" s="17" t="s">
        <v>13001</v>
      </c>
      <c r="H6029" s="35" t="s">
        <v>3123</v>
      </c>
      <c r="I6029" s="10" t="s">
        <v>10860</v>
      </c>
    </row>
    <row r="6030" spans="1:9" s="33" customFormat="1" ht="120">
      <c r="A6030" s="4">
        <v>43557.1409375</v>
      </c>
      <c r="B6030" s="5" t="str">
        <f>HYPERLINK("https://twitter.com/MingmingCurtin","@MingmingCurtin")</f>
        <v>@MingmingCurtin</v>
      </c>
      <c r="C6030" s="6" t="s">
        <v>3121</v>
      </c>
      <c r="D6030" s="7" t="s">
        <v>12642</v>
      </c>
      <c r="E6030" s="8" t="str">
        <f>HYPERLINK("http://twitter.com","Twitter Web Client")</f>
        <v>Twitter Web Client</v>
      </c>
      <c r="F6030" s="4">
        <v>41733.916099537033</v>
      </c>
      <c r="G6030" s="17" t="s">
        <v>13001</v>
      </c>
      <c r="H6030" s="35" t="s">
        <v>3123</v>
      </c>
      <c r="I6030" s="10" t="s">
        <v>3124</v>
      </c>
    </row>
    <row r="6031" spans="1:9" s="33" customFormat="1" ht="150">
      <c r="A6031" s="4">
        <v>43557.139918981484</v>
      </c>
      <c r="B6031" s="5" t="str">
        <f>HYPERLINK("https://twitter.com/MingmingCurtin","@MingmingCurtin")</f>
        <v>@MingmingCurtin</v>
      </c>
      <c r="C6031" s="6" t="s">
        <v>3121</v>
      </c>
      <c r="D6031" s="7" t="s">
        <v>12643</v>
      </c>
      <c r="E6031" s="8" t="str">
        <f>HYPERLINK("http://twitter.com","Twitter Web Client")</f>
        <v>Twitter Web Client</v>
      </c>
      <c r="F6031" s="4">
        <v>41733.916099537033</v>
      </c>
      <c r="G6031" s="17" t="s">
        <v>13001</v>
      </c>
      <c r="H6031" s="35" t="s">
        <v>3123</v>
      </c>
      <c r="I6031" s="10" t="s">
        <v>3124</v>
      </c>
    </row>
    <row r="6032" spans="1:9" s="33" customFormat="1" ht="90">
      <c r="A6032" s="12">
        <v>43572.688668981486</v>
      </c>
      <c r="B6032" s="13" t="str">
        <f>HYPERLINK("https://twitter.com/MingmingCurtin","@MingmingCurtin")</f>
        <v>@MingmingCurtin</v>
      </c>
      <c r="C6032" s="14" t="s">
        <v>3121</v>
      </c>
      <c r="D6032" s="15" t="s">
        <v>3122</v>
      </c>
      <c r="E6032" s="16" t="str">
        <f>HYPERLINK("http://twitter.com","Twitter Web Client")</f>
        <v>Twitter Web Client</v>
      </c>
      <c r="F6032" s="12">
        <v>41733.916099537033</v>
      </c>
      <c r="G6032" s="17" t="s">
        <v>13001</v>
      </c>
      <c r="H6032" s="35" t="s">
        <v>3123</v>
      </c>
      <c r="I6032" s="18" t="s">
        <v>3124</v>
      </c>
    </row>
    <row r="6033" spans="1:9" s="33" customFormat="1" ht="75">
      <c r="A6033" s="12">
        <v>43569.957280092596</v>
      </c>
      <c r="B6033" s="13" t="str">
        <f>HYPERLINK("https://twitter.com/meetookids","@meetookids")</f>
        <v>@meetookids</v>
      </c>
      <c r="C6033" s="14" t="s">
        <v>4370</v>
      </c>
      <c r="D6033" s="15" t="s">
        <v>4371</v>
      </c>
      <c r="E6033" s="16" t="str">
        <f>HYPERLINK("http://instagram.com","Instagram")</f>
        <v>Instagram</v>
      </c>
      <c r="F6033" s="12">
        <v>40667.222129629634</v>
      </c>
      <c r="G6033" s="17" t="s">
        <v>13001</v>
      </c>
      <c r="H6033" s="35" t="s">
        <v>4372</v>
      </c>
      <c r="I6033" s="18" t="s">
        <v>4373</v>
      </c>
    </row>
    <row r="6034" spans="1:9" s="33" customFormat="1" ht="30">
      <c r="A6034" s="4">
        <v>43565.73133101852</v>
      </c>
      <c r="B6034" s="5" t="str">
        <f>HYPERLINK("https://twitter.com/realestatqldcat","@realestatqldcat")</f>
        <v>@realestatqldcat</v>
      </c>
      <c r="C6034" s="6" t="s">
        <v>5922</v>
      </c>
      <c r="D6034" s="7" t="s">
        <v>5923</v>
      </c>
      <c r="E6034" s="8" t="str">
        <f>HYPERLINK("https://mobile.twitter.com","Twitter Web App")</f>
        <v>Twitter Web App</v>
      </c>
      <c r="F6034" s="4">
        <v>40308.810127314813</v>
      </c>
      <c r="G6034" s="9" t="s">
        <v>13001</v>
      </c>
      <c r="H6034" s="35" t="s">
        <v>5924</v>
      </c>
      <c r="I6034" s="10" t="s">
        <v>5925</v>
      </c>
    </row>
    <row r="6035" spans="1:9" s="33" customFormat="1" ht="120">
      <c r="A6035" s="19">
        <v>43549.327743055561</v>
      </c>
      <c r="B6035" s="20" t="str">
        <f>HYPERLINK("https://twitter.com/NirvanaMontvile","@NirvanaMontvile")</f>
        <v>@NirvanaMontvile</v>
      </c>
      <c r="C6035" s="21" t="s">
        <v>8087</v>
      </c>
      <c r="D6035" s="22" t="s">
        <v>8088</v>
      </c>
      <c r="E6035" s="23" t="str">
        <f>HYPERLINK("http://twitter.com/download/iphone","Twitter for iPhone")</f>
        <v>Twitter for iPhone</v>
      </c>
      <c r="F6035" s="19">
        <v>40723.897581018522</v>
      </c>
      <c r="G6035" s="9" t="s">
        <v>13001</v>
      </c>
      <c r="H6035" s="35" t="s">
        <v>8089</v>
      </c>
      <c r="I6035" s="25" t="s">
        <v>8090</v>
      </c>
    </row>
    <row r="6036" spans="1:9" s="33" customFormat="1" ht="120">
      <c r="A6036" s="19">
        <v>43546.943090277782</v>
      </c>
      <c r="B6036" s="20" t="str">
        <f>HYPERLINK("https://twitter.com/NirvanaMontvile","@NirvanaMontvile")</f>
        <v>@NirvanaMontvile</v>
      </c>
      <c r="C6036" s="21" t="s">
        <v>8087</v>
      </c>
      <c r="D6036" s="22" t="s">
        <v>8698</v>
      </c>
      <c r="E6036" s="23" t="str">
        <f>HYPERLINK("http://twitter.com/download/iphone","Twitter for iPhone")</f>
        <v>Twitter for iPhone</v>
      </c>
      <c r="F6036" s="19">
        <v>40723.897581018522</v>
      </c>
      <c r="G6036" s="9" t="s">
        <v>13001</v>
      </c>
      <c r="H6036" s="35" t="s">
        <v>8089</v>
      </c>
      <c r="I6036" s="25" t="s">
        <v>8090</v>
      </c>
    </row>
    <row r="6037" spans="1:9" s="33" customFormat="1" ht="120">
      <c r="A6037" s="19">
        <v>43543.983912037038</v>
      </c>
      <c r="B6037" s="20" t="str">
        <f>HYPERLINK("https://twitter.com/NirvanaMontvile","@NirvanaMontvile")</f>
        <v>@NirvanaMontvile</v>
      </c>
      <c r="C6037" s="21" t="s">
        <v>8087</v>
      </c>
      <c r="D6037" s="22" t="s">
        <v>9650</v>
      </c>
      <c r="E6037" s="23" t="str">
        <f>HYPERLINK("http://twitter.com/download/iphone","Twitter for iPhone")</f>
        <v>Twitter for iPhone</v>
      </c>
      <c r="F6037" s="19">
        <v>40723.897581018522</v>
      </c>
      <c r="G6037" s="9" t="s">
        <v>13001</v>
      </c>
      <c r="H6037" s="35" t="s">
        <v>8089</v>
      </c>
      <c r="I6037" s="25" t="s">
        <v>8090</v>
      </c>
    </row>
    <row r="6038" spans="1:9" s="33" customFormat="1" ht="75">
      <c r="A6038" s="4">
        <v>43561.699965277774</v>
      </c>
      <c r="B6038" s="5" t="str">
        <f>HYPERLINK("https://twitter.com/7NewsBrisbane","@7NewsBrisbane")</f>
        <v>@7NewsBrisbane</v>
      </c>
      <c r="C6038" s="6" t="s">
        <v>10857</v>
      </c>
      <c r="D6038" s="7" t="s">
        <v>10854</v>
      </c>
      <c r="E6038" s="8" t="str">
        <f>HYPERLINK("https://about.twitter.com/products/tweetdeck","TweetDeck")</f>
        <v>TweetDeck</v>
      </c>
      <c r="F6038" s="4">
        <v>40070.970729166671</v>
      </c>
      <c r="G6038" s="9" t="s">
        <v>13001</v>
      </c>
      <c r="H6038" s="35" t="s">
        <v>8089</v>
      </c>
      <c r="I6038" s="10" t="s">
        <v>10858</v>
      </c>
    </row>
    <row r="6039" spans="1:9" s="33" customFormat="1" ht="75">
      <c r="A6039" s="4">
        <v>43561.681238425925</v>
      </c>
      <c r="B6039" s="5" t="str">
        <f>HYPERLINK("https://twitter.com/7NewsBrisbane","@7NewsBrisbane")</f>
        <v>@7NewsBrisbane</v>
      </c>
      <c r="C6039" s="6" t="s">
        <v>10857</v>
      </c>
      <c r="D6039" s="7" t="s">
        <v>10865</v>
      </c>
      <c r="E6039" s="8" t="str">
        <f>HYPERLINK("https://about.twitter.com/products/tweetdeck","TweetDeck")</f>
        <v>TweetDeck</v>
      </c>
      <c r="F6039" s="4">
        <v>40070.970729166671</v>
      </c>
      <c r="G6039" s="9" t="s">
        <v>13001</v>
      </c>
      <c r="H6039" s="35" t="s">
        <v>8089</v>
      </c>
      <c r="I6039" s="10" t="s">
        <v>10858</v>
      </c>
    </row>
    <row r="6040" spans="1:9" s="33" customFormat="1" ht="120">
      <c r="A6040" s="19">
        <v>43545.606400462959</v>
      </c>
      <c r="B6040" s="20" t="str">
        <f>HYPERLINK("https://twitter.com/SimonTWolf","@SimonTWolf")</f>
        <v>@SimonTWolf</v>
      </c>
      <c r="C6040" s="21" t="s">
        <v>9077</v>
      </c>
      <c r="D6040" s="22" t="s">
        <v>9078</v>
      </c>
      <c r="E6040" s="23" t="str">
        <f>HYPERLINK("http://twitter.com/download/android","Twitter for Android")</f>
        <v>Twitter for Android</v>
      </c>
      <c r="F6040" s="19">
        <v>43348.597268518519</v>
      </c>
      <c r="G6040" s="24" t="s">
        <v>13001</v>
      </c>
      <c r="H6040" s="35" t="s">
        <v>9079</v>
      </c>
      <c r="I6040" s="25" t="s">
        <v>9080</v>
      </c>
    </row>
    <row r="6041" spans="1:9" s="33" customFormat="1" ht="60">
      <c r="A6041" s="19">
        <v>43549.953067129631</v>
      </c>
      <c r="B6041" s="20" t="str">
        <f t="shared" ref="B6041:B6065" si="228">HYPERLINK("https://twitter.com/bnbhostguru","@bnbhostguru")</f>
        <v>@bnbhostguru</v>
      </c>
      <c r="C6041" s="21" t="s">
        <v>6467</v>
      </c>
      <c r="D6041" s="22" t="s">
        <v>7871</v>
      </c>
      <c r="E6041" s="23" t="str">
        <f t="shared" ref="E6041:E6065" si="229">HYPERLINK("https://circleboom.com","Circleboom")</f>
        <v>Circleboom</v>
      </c>
      <c r="F6041" s="19">
        <v>43509.182708333334</v>
      </c>
      <c r="G6041" s="17" t="s">
        <v>13001</v>
      </c>
      <c r="H6041" s="35" t="s">
        <v>6469</v>
      </c>
      <c r="I6041" s="25" t="s">
        <v>6470</v>
      </c>
    </row>
    <row r="6042" spans="1:9" s="33" customFormat="1" ht="45">
      <c r="A6042" s="19">
        <v>43549.805393518516</v>
      </c>
      <c r="B6042" s="20" t="str">
        <f t="shared" si="228"/>
        <v>@bnbhostguru</v>
      </c>
      <c r="C6042" s="21" t="s">
        <v>6467</v>
      </c>
      <c r="D6042" s="22" t="s">
        <v>7923</v>
      </c>
      <c r="E6042" s="23" t="str">
        <f t="shared" si="229"/>
        <v>Circleboom</v>
      </c>
      <c r="F6042" s="19">
        <v>43509.182708333334</v>
      </c>
      <c r="G6042" s="17" t="s">
        <v>13001</v>
      </c>
      <c r="H6042" s="35" t="s">
        <v>6469</v>
      </c>
      <c r="I6042" s="25" t="s">
        <v>6470</v>
      </c>
    </row>
    <row r="6043" spans="1:9" s="33" customFormat="1" ht="45">
      <c r="A6043" s="19">
        <v>43549.247303240743</v>
      </c>
      <c r="B6043" s="20" t="str">
        <f t="shared" si="228"/>
        <v>@bnbhostguru</v>
      </c>
      <c r="C6043" s="21" t="s">
        <v>6467</v>
      </c>
      <c r="D6043" s="22" t="s">
        <v>8119</v>
      </c>
      <c r="E6043" s="23" t="str">
        <f t="shared" si="229"/>
        <v>Circleboom</v>
      </c>
      <c r="F6043" s="19">
        <v>43509.182708333334</v>
      </c>
      <c r="G6043" s="17" t="s">
        <v>13001</v>
      </c>
      <c r="H6043" s="35" t="s">
        <v>6469</v>
      </c>
      <c r="I6043" s="25" t="s">
        <v>6470</v>
      </c>
    </row>
    <row r="6044" spans="1:9" s="33" customFormat="1" ht="60">
      <c r="A6044" s="19">
        <v>43548.430972222224</v>
      </c>
      <c r="B6044" s="20" t="str">
        <f t="shared" si="228"/>
        <v>@bnbhostguru</v>
      </c>
      <c r="C6044" s="21" t="s">
        <v>6467</v>
      </c>
      <c r="D6044" s="22" t="s">
        <v>8325</v>
      </c>
      <c r="E6044" s="23" t="str">
        <f t="shared" si="229"/>
        <v>Circleboom</v>
      </c>
      <c r="F6044" s="19">
        <v>43509.182708333334</v>
      </c>
      <c r="G6044" s="17" t="s">
        <v>13001</v>
      </c>
      <c r="H6044" s="35" t="s">
        <v>6469</v>
      </c>
      <c r="I6044" s="25" t="s">
        <v>6470</v>
      </c>
    </row>
    <row r="6045" spans="1:9" s="33" customFormat="1" ht="45">
      <c r="A6045" s="19">
        <v>43547.902997685189</v>
      </c>
      <c r="B6045" s="20" t="str">
        <f t="shared" si="228"/>
        <v>@bnbhostguru</v>
      </c>
      <c r="C6045" s="21" t="s">
        <v>6467</v>
      </c>
      <c r="D6045" s="22" t="s">
        <v>8446</v>
      </c>
      <c r="E6045" s="23" t="str">
        <f t="shared" si="229"/>
        <v>Circleboom</v>
      </c>
      <c r="F6045" s="19">
        <v>43509.182708333334</v>
      </c>
      <c r="G6045" s="17" t="s">
        <v>13001</v>
      </c>
      <c r="H6045" s="35" t="s">
        <v>6469</v>
      </c>
      <c r="I6045" s="25" t="s">
        <v>6470</v>
      </c>
    </row>
    <row r="6046" spans="1:9" s="33" customFormat="1" ht="45">
      <c r="A6046" s="19">
        <v>43547.486412037033</v>
      </c>
      <c r="B6046" s="20" t="str">
        <f t="shared" si="228"/>
        <v>@bnbhostguru</v>
      </c>
      <c r="C6046" s="21" t="s">
        <v>6467</v>
      </c>
      <c r="D6046" s="22" t="s">
        <v>8527</v>
      </c>
      <c r="E6046" s="23" t="str">
        <f t="shared" si="229"/>
        <v>Circleboom</v>
      </c>
      <c r="F6046" s="19">
        <v>43509.182708333334</v>
      </c>
      <c r="G6046" s="17" t="s">
        <v>13001</v>
      </c>
      <c r="H6046" s="35" t="s">
        <v>6469</v>
      </c>
      <c r="I6046" s="25" t="s">
        <v>6470</v>
      </c>
    </row>
    <row r="6047" spans="1:9" s="33" customFormat="1" ht="45">
      <c r="A6047" s="19">
        <v>43547.355567129634</v>
      </c>
      <c r="B6047" s="20" t="str">
        <f t="shared" si="228"/>
        <v>@bnbhostguru</v>
      </c>
      <c r="C6047" s="21" t="s">
        <v>6467</v>
      </c>
      <c r="D6047" s="22" t="s">
        <v>8580</v>
      </c>
      <c r="E6047" s="23" t="str">
        <f t="shared" si="229"/>
        <v>Circleboom</v>
      </c>
      <c r="F6047" s="19">
        <v>43509.182708333334</v>
      </c>
      <c r="G6047" s="17" t="s">
        <v>13001</v>
      </c>
      <c r="H6047" s="35" t="s">
        <v>6469</v>
      </c>
      <c r="I6047" s="25" t="s">
        <v>6470</v>
      </c>
    </row>
    <row r="6048" spans="1:9" s="33" customFormat="1" ht="30">
      <c r="A6048" s="19">
        <v>43547.216608796298</v>
      </c>
      <c r="B6048" s="20" t="str">
        <f t="shared" si="228"/>
        <v>@bnbhostguru</v>
      </c>
      <c r="C6048" s="21" t="s">
        <v>6467</v>
      </c>
      <c r="D6048" s="22" t="s">
        <v>8629</v>
      </c>
      <c r="E6048" s="23" t="str">
        <f t="shared" si="229"/>
        <v>Circleboom</v>
      </c>
      <c r="F6048" s="19">
        <v>43509.182708333334</v>
      </c>
      <c r="G6048" s="17" t="s">
        <v>13001</v>
      </c>
      <c r="H6048" s="35" t="s">
        <v>6469</v>
      </c>
      <c r="I6048" s="25" t="s">
        <v>6470</v>
      </c>
    </row>
    <row r="6049" spans="1:9" s="33" customFormat="1" ht="45">
      <c r="A6049" s="19">
        <v>43546.906921296293</v>
      </c>
      <c r="B6049" s="20" t="str">
        <f t="shared" si="228"/>
        <v>@bnbhostguru</v>
      </c>
      <c r="C6049" s="21" t="s">
        <v>6467</v>
      </c>
      <c r="D6049" s="22" t="s">
        <v>8706</v>
      </c>
      <c r="E6049" s="23" t="str">
        <f t="shared" si="229"/>
        <v>Circleboom</v>
      </c>
      <c r="F6049" s="19">
        <v>43509.182708333334</v>
      </c>
      <c r="G6049" s="17" t="s">
        <v>13001</v>
      </c>
      <c r="H6049" s="35" t="s">
        <v>6469</v>
      </c>
      <c r="I6049" s="25" t="s">
        <v>6470</v>
      </c>
    </row>
    <row r="6050" spans="1:9" s="33" customFormat="1" ht="45">
      <c r="A6050" s="19">
        <v>43546.773321759261</v>
      </c>
      <c r="B6050" s="20" t="str">
        <f t="shared" si="228"/>
        <v>@bnbhostguru</v>
      </c>
      <c r="C6050" s="21" t="s">
        <v>6467</v>
      </c>
      <c r="D6050" s="22" t="s">
        <v>8736</v>
      </c>
      <c r="E6050" s="23" t="str">
        <f t="shared" si="229"/>
        <v>Circleboom</v>
      </c>
      <c r="F6050" s="19">
        <v>43509.182708333334</v>
      </c>
      <c r="G6050" s="17" t="s">
        <v>13001</v>
      </c>
      <c r="H6050" s="35" t="s">
        <v>6469</v>
      </c>
      <c r="I6050" s="25" t="s">
        <v>6470</v>
      </c>
    </row>
    <row r="6051" spans="1:9" s="33" customFormat="1" ht="30">
      <c r="A6051" s="19">
        <v>43546.499074074076</v>
      </c>
      <c r="B6051" s="20" t="str">
        <f t="shared" si="228"/>
        <v>@bnbhostguru</v>
      </c>
      <c r="C6051" s="21" t="s">
        <v>6467</v>
      </c>
      <c r="D6051" s="22" t="s">
        <v>8823</v>
      </c>
      <c r="E6051" s="23" t="str">
        <f t="shared" si="229"/>
        <v>Circleboom</v>
      </c>
      <c r="F6051" s="19">
        <v>43509.182708333334</v>
      </c>
      <c r="G6051" s="17" t="s">
        <v>13001</v>
      </c>
      <c r="H6051" s="35" t="s">
        <v>6469</v>
      </c>
      <c r="I6051" s="25" t="s">
        <v>6470</v>
      </c>
    </row>
    <row r="6052" spans="1:9" s="33" customFormat="1" ht="60">
      <c r="A6052" s="19">
        <v>43546.364201388889</v>
      </c>
      <c r="B6052" s="20" t="str">
        <f t="shared" si="228"/>
        <v>@bnbhostguru</v>
      </c>
      <c r="C6052" s="21" t="s">
        <v>6467</v>
      </c>
      <c r="D6052" s="22" t="s">
        <v>8883</v>
      </c>
      <c r="E6052" s="23" t="str">
        <f t="shared" si="229"/>
        <v>Circleboom</v>
      </c>
      <c r="F6052" s="19">
        <v>43509.182708333334</v>
      </c>
      <c r="G6052" s="17" t="s">
        <v>13001</v>
      </c>
      <c r="H6052" s="35" t="s">
        <v>6469</v>
      </c>
      <c r="I6052" s="25" t="s">
        <v>6470</v>
      </c>
    </row>
    <row r="6053" spans="1:9" s="33" customFormat="1" ht="30">
      <c r="A6053" s="19">
        <v>43546.231840277775</v>
      </c>
      <c r="B6053" s="20" t="str">
        <f t="shared" si="228"/>
        <v>@bnbhostguru</v>
      </c>
      <c r="C6053" s="21" t="s">
        <v>6467</v>
      </c>
      <c r="D6053" s="22" t="s">
        <v>8929</v>
      </c>
      <c r="E6053" s="23" t="str">
        <f t="shared" si="229"/>
        <v>Circleboom</v>
      </c>
      <c r="F6053" s="19">
        <v>43509.182708333334</v>
      </c>
      <c r="G6053" s="17" t="s">
        <v>13001</v>
      </c>
      <c r="H6053" s="35" t="s">
        <v>6469</v>
      </c>
      <c r="I6053" s="25" t="s">
        <v>6470</v>
      </c>
    </row>
    <row r="6054" spans="1:9" s="33" customFormat="1" ht="30">
      <c r="A6054" s="19">
        <v>43546.089201388888</v>
      </c>
      <c r="B6054" s="20" t="str">
        <f t="shared" si="228"/>
        <v>@bnbhostguru</v>
      </c>
      <c r="C6054" s="21" t="s">
        <v>6467</v>
      </c>
      <c r="D6054" s="22" t="s">
        <v>8962</v>
      </c>
      <c r="E6054" s="23" t="str">
        <f t="shared" si="229"/>
        <v>Circleboom</v>
      </c>
      <c r="F6054" s="19">
        <v>43509.182708333334</v>
      </c>
      <c r="G6054" s="17" t="s">
        <v>13001</v>
      </c>
      <c r="H6054" s="35" t="s">
        <v>6469</v>
      </c>
      <c r="I6054" s="25" t="s">
        <v>6470</v>
      </c>
    </row>
    <row r="6055" spans="1:9" s="33" customFormat="1" ht="45">
      <c r="A6055" s="19">
        <v>43545.957916666666</v>
      </c>
      <c r="B6055" s="20" t="str">
        <f t="shared" si="228"/>
        <v>@bnbhostguru</v>
      </c>
      <c r="C6055" s="21" t="s">
        <v>6467</v>
      </c>
      <c r="D6055" s="22" t="s">
        <v>8994</v>
      </c>
      <c r="E6055" s="23" t="str">
        <f t="shared" si="229"/>
        <v>Circleboom</v>
      </c>
      <c r="F6055" s="19">
        <v>43509.182708333334</v>
      </c>
      <c r="G6055" s="17" t="s">
        <v>13001</v>
      </c>
      <c r="H6055" s="35" t="s">
        <v>6469</v>
      </c>
      <c r="I6055" s="25" t="s">
        <v>6470</v>
      </c>
    </row>
    <row r="6056" spans="1:9" s="33" customFormat="1" ht="45">
      <c r="A6056" s="19">
        <v>43545.819456018522</v>
      </c>
      <c r="B6056" s="20" t="str">
        <f t="shared" si="228"/>
        <v>@bnbhostguru</v>
      </c>
      <c r="C6056" s="21" t="s">
        <v>6467</v>
      </c>
      <c r="D6056" s="22" t="s">
        <v>9041</v>
      </c>
      <c r="E6056" s="23" t="str">
        <f t="shared" si="229"/>
        <v>Circleboom</v>
      </c>
      <c r="F6056" s="19">
        <v>43509.182708333334</v>
      </c>
      <c r="G6056" s="17" t="s">
        <v>13001</v>
      </c>
      <c r="H6056" s="35" t="s">
        <v>6469</v>
      </c>
      <c r="I6056" s="25" t="s">
        <v>6470</v>
      </c>
    </row>
    <row r="6057" spans="1:9" s="33" customFormat="1" ht="45">
      <c r="A6057" s="19">
        <v>43545.556331018517</v>
      </c>
      <c r="B6057" s="20" t="str">
        <f t="shared" si="228"/>
        <v>@bnbhostguru</v>
      </c>
      <c r="C6057" s="21" t="s">
        <v>6467</v>
      </c>
      <c r="D6057" s="22" t="s">
        <v>9098</v>
      </c>
      <c r="E6057" s="23" t="str">
        <f t="shared" si="229"/>
        <v>Circleboom</v>
      </c>
      <c r="F6057" s="19">
        <v>43509.182708333334</v>
      </c>
      <c r="G6057" s="17" t="s">
        <v>13001</v>
      </c>
      <c r="H6057" s="35" t="s">
        <v>6469</v>
      </c>
      <c r="I6057" s="25" t="s">
        <v>6470</v>
      </c>
    </row>
    <row r="6058" spans="1:9" s="33" customFormat="1" ht="60">
      <c r="A6058" s="19">
        <v>43545.424363425926</v>
      </c>
      <c r="B6058" s="20" t="str">
        <f t="shared" si="228"/>
        <v>@bnbhostguru</v>
      </c>
      <c r="C6058" s="21" t="s">
        <v>6467</v>
      </c>
      <c r="D6058" s="22" t="s">
        <v>9141</v>
      </c>
      <c r="E6058" s="23" t="str">
        <f t="shared" si="229"/>
        <v>Circleboom</v>
      </c>
      <c r="F6058" s="19">
        <v>43509.182708333334</v>
      </c>
      <c r="G6058" s="17" t="s">
        <v>13001</v>
      </c>
      <c r="H6058" s="35" t="s">
        <v>6469</v>
      </c>
      <c r="I6058" s="25" t="s">
        <v>6470</v>
      </c>
    </row>
    <row r="6059" spans="1:9" s="33" customFormat="1" ht="30">
      <c r="A6059" s="19">
        <v>43544.890717592592</v>
      </c>
      <c r="B6059" s="20" t="str">
        <f t="shared" si="228"/>
        <v>@bnbhostguru</v>
      </c>
      <c r="C6059" s="21" t="s">
        <v>6467</v>
      </c>
      <c r="D6059" s="22" t="s">
        <v>9320</v>
      </c>
      <c r="E6059" s="23" t="str">
        <f t="shared" si="229"/>
        <v>Circleboom</v>
      </c>
      <c r="F6059" s="19">
        <v>43509.182708333334</v>
      </c>
      <c r="G6059" s="17" t="s">
        <v>13001</v>
      </c>
      <c r="H6059" s="35" t="s">
        <v>6469</v>
      </c>
      <c r="I6059" s="25" t="s">
        <v>6470</v>
      </c>
    </row>
    <row r="6060" spans="1:9" s="33" customFormat="1" ht="30">
      <c r="A6060" s="19">
        <v>43544.617002314815</v>
      </c>
      <c r="B6060" s="20" t="str">
        <f t="shared" si="228"/>
        <v>@bnbhostguru</v>
      </c>
      <c r="C6060" s="21" t="s">
        <v>6467</v>
      </c>
      <c r="D6060" s="22" t="s">
        <v>9398</v>
      </c>
      <c r="E6060" s="23" t="str">
        <f t="shared" si="229"/>
        <v>Circleboom</v>
      </c>
      <c r="F6060" s="19">
        <v>43509.182708333334</v>
      </c>
      <c r="G6060" s="17" t="s">
        <v>13001</v>
      </c>
      <c r="H6060" s="35" t="s">
        <v>6469</v>
      </c>
      <c r="I6060" s="25" t="s">
        <v>6470</v>
      </c>
    </row>
    <row r="6061" spans="1:9" s="33" customFormat="1" ht="30">
      <c r="A6061" s="19">
        <v>43544.488136574073</v>
      </c>
      <c r="B6061" s="20" t="str">
        <f t="shared" si="228"/>
        <v>@bnbhostguru</v>
      </c>
      <c r="C6061" s="21" t="s">
        <v>6467</v>
      </c>
      <c r="D6061" s="22" t="s">
        <v>9444</v>
      </c>
      <c r="E6061" s="23" t="str">
        <f t="shared" si="229"/>
        <v>Circleboom</v>
      </c>
      <c r="F6061" s="19">
        <v>43509.182708333334</v>
      </c>
      <c r="G6061" s="17" t="s">
        <v>13001</v>
      </c>
      <c r="H6061" s="35" t="s">
        <v>6469</v>
      </c>
      <c r="I6061" s="25" t="s">
        <v>6470</v>
      </c>
    </row>
    <row r="6062" spans="1:9" s="33" customFormat="1" ht="30">
      <c r="A6062" s="19">
        <v>43543.635138888887</v>
      </c>
      <c r="B6062" s="20" t="str">
        <f t="shared" si="228"/>
        <v>@bnbhostguru</v>
      </c>
      <c r="C6062" s="21" t="s">
        <v>6467</v>
      </c>
      <c r="D6062" s="22" t="s">
        <v>9722</v>
      </c>
      <c r="E6062" s="23" t="str">
        <f t="shared" si="229"/>
        <v>Circleboom</v>
      </c>
      <c r="F6062" s="19">
        <v>43509.182708333334</v>
      </c>
      <c r="G6062" s="17" t="s">
        <v>13001</v>
      </c>
      <c r="H6062" s="35" t="s">
        <v>6469</v>
      </c>
      <c r="I6062" s="25" t="s">
        <v>6470</v>
      </c>
    </row>
    <row r="6063" spans="1:9" s="33" customFormat="1" ht="45">
      <c r="A6063" s="19">
        <v>43542.949166666665</v>
      </c>
      <c r="B6063" s="20" t="str">
        <f t="shared" si="228"/>
        <v>@bnbhostguru</v>
      </c>
      <c r="C6063" s="21" t="s">
        <v>6467</v>
      </c>
      <c r="D6063" s="22" t="s">
        <v>9989</v>
      </c>
      <c r="E6063" s="23" t="str">
        <f t="shared" si="229"/>
        <v>Circleboom</v>
      </c>
      <c r="F6063" s="19">
        <v>43509.182708333334</v>
      </c>
      <c r="G6063" s="17" t="s">
        <v>13001</v>
      </c>
      <c r="H6063" s="35" t="s">
        <v>6469</v>
      </c>
      <c r="I6063" s="25" t="s">
        <v>6470</v>
      </c>
    </row>
    <row r="6064" spans="1:9" s="33" customFormat="1" ht="90">
      <c r="A6064" s="4">
        <v>43564.660405092596</v>
      </c>
      <c r="B6064" s="5" t="str">
        <f t="shared" si="228"/>
        <v>@bnbhostguru</v>
      </c>
      <c r="C6064" s="6" t="s">
        <v>6467</v>
      </c>
      <c r="D6064" s="7" t="s">
        <v>6468</v>
      </c>
      <c r="E6064" s="8" t="str">
        <f t="shared" si="229"/>
        <v>Circleboom</v>
      </c>
      <c r="F6064" s="4">
        <v>43509.182708333334</v>
      </c>
      <c r="G6064" s="17" t="s">
        <v>13001</v>
      </c>
      <c r="H6064" s="35" t="s">
        <v>6469</v>
      </c>
      <c r="I6064" s="10" t="s">
        <v>6470</v>
      </c>
    </row>
    <row r="6065" spans="1:9" s="33" customFormat="1" ht="60">
      <c r="A6065" s="4">
        <v>43560.349351851852</v>
      </c>
      <c r="B6065" s="5" t="str">
        <f t="shared" si="228"/>
        <v>@bnbhostguru</v>
      </c>
      <c r="C6065" s="6" t="s">
        <v>6467</v>
      </c>
      <c r="D6065" s="7" t="s">
        <v>11435</v>
      </c>
      <c r="E6065" s="8" t="str">
        <f t="shared" si="229"/>
        <v>Circleboom</v>
      </c>
      <c r="F6065" s="4">
        <v>43509.182708333334</v>
      </c>
      <c r="G6065" s="17" t="s">
        <v>13001</v>
      </c>
      <c r="H6065" s="35" t="s">
        <v>6469</v>
      </c>
      <c r="I6065" s="10" t="s">
        <v>6470</v>
      </c>
    </row>
    <row r="6066" spans="1:9" s="33" customFormat="1" ht="60">
      <c r="A6066" s="4">
        <v>43560.864432870367</v>
      </c>
      <c r="B6066" s="5" t="str">
        <f>HYPERLINK("https://twitter.com/GregHackett1","@GregHackett1")</f>
        <v>@GregHackett1</v>
      </c>
      <c r="C6066" s="6" t="s">
        <v>11139</v>
      </c>
      <c r="D6066" s="7" t="s">
        <v>11140</v>
      </c>
      <c r="E6066" s="8" t="str">
        <f>HYPERLINK("http://twitter.com/download/android","Twitter for Android")</f>
        <v>Twitter for Android</v>
      </c>
      <c r="F6066" s="4">
        <v>40734.940162037034</v>
      </c>
      <c r="G6066" s="9" t="s">
        <v>13001</v>
      </c>
      <c r="H6066" s="35" t="s">
        <v>11141</v>
      </c>
      <c r="I6066" s="10" t="s">
        <v>11142</v>
      </c>
    </row>
    <row r="6067" spans="1:9" s="33" customFormat="1" ht="90">
      <c r="A6067" s="19">
        <v>43543.703229166669</v>
      </c>
      <c r="B6067" s="20" t="str">
        <f>HYPERLINK("https://twitter.com/Lisa_LAbode","@Lisa_LAbode")</f>
        <v>@Lisa_LAbode</v>
      </c>
      <c r="C6067" s="21" t="s">
        <v>1068</v>
      </c>
      <c r="D6067" s="22" t="s">
        <v>9702</v>
      </c>
      <c r="E6067" s="23" t="str">
        <f>HYPERLINK("https://www.hootsuite.com","Hootsuite Inc.")</f>
        <v>Hootsuite Inc.</v>
      </c>
      <c r="F6067" s="19">
        <v>40056.071076388893</v>
      </c>
      <c r="G6067" s="24" t="s">
        <v>13001</v>
      </c>
      <c r="H6067" s="35" t="s">
        <v>1070</v>
      </c>
      <c r="I6067" s="25" t="s">
        <v>1071</v>
      </c>
    </row>
    <row r="6068" spans="1:9" s="33" customFormat="1" ht="45">
      <c r="A6068" s="19">
        <v>43543.118206018524</v>
      </c>
      <c r="B6068" s="20" t="str">
        <f>HYPERLINK("https://twitter.com/DamianNixey","@DamianNixey")</f>
        <v>@DamianNixey</v>
      </c>
      <c r="C6068" s="21" t="s">
        <v>9936</v>
      </c>
      <c r="D6068" s="22" t="s">
        <v>9937</v>
      </c>
      <c r="E6068" s="23" t="str">
        <f>HYPERLINK("http://twitter.com/download/iphone","Twitter for iPhone")</f>
        <v>Twitter for iPhone</v>
      </c>
      <c r="F6068" s="19">
        <v>39848.614479166667</v>
      </c>
      <c r="G6068" s="24" t="s">
        <v>13001</v>
      </c>
      <c r="H6068" s="35" t="s">
        <v>1070</v>
      </c>
      <c r="I6068" s="25" t="s">
        <v>9938</v>
      </c>
    </row>
    <row r="6069" spans="1:9" s="33" customFormat="1" ht="105">
      <c r="A6069" s="4">
        <v>43563.965694444443</v>
      </c>
      <c r="B6069" s="5" t="str">
        <f>HYPERLINK("https://twitter.com/Lisa_LAbode","@Lisa_LAbode")</f>
        <v>@Lisa_LAbode</v>
      </c>
      <c r="C6069" s="6" t="s">
        <v>1068</v>
      </c>
      <c r="D6069" s="7" t="s">
        <v>6840</v>
      </c>
      <c r="E6069" s="8" t="str">
        <f>HYPERLINK("https://www.hootsuite.com","Hootsuite Inc.")</f>
        <v>Hootsuite Inc.</v>
      </c>
      <c r="F6069" s="4">
        <v>40056.071076388893</v>
      </c>
      <c r="G6069" s="24" t="s">
        <v>13001</v>
      </c>
      <c r="H6069" s="35" t="s">
        <v>1070</v>
      </c>
      <c r="I6069" s="10" t="s">
        <v>1071</v>
      </c>
    </row>
    <row r="6070" spans="1:9" s="33" customFormat="1" ht="30">
      <c r="A6070" s="4">
        <v>43562.920717592591</v>
      </c>
      <c r="B6070" s="5" t="str">
        <f>HYPERLINK("https://twitter.com/tomerhs","@tomerhs")</f>
        <v>@tomerhs</v>
      </c>
      <c r="C6070" s="6" t="s">
        <v>10542</v>
      </c>
      <c r="D6070" s="7" t="s">
        <v>10543</v>
      </c>
      <c r="E6070" s="8" t="str">
        <f>HYPERLINK("http://twitter.com/download/android","Twitter for Android")</f>
        <v>Twitter for Android</v>
      </c>
      <c r="F6070" s="4">
        <v>39859.047569444447</v>
      </c>
      <c r="G6070" s="24" t="s">
        <v>13001</v>
      </c>
      <c r="H6070" s="35" t="s">
        <v>1070</v>
      </c>
      <c r="I6070" s="10" t="s">
        <v>10544</v>
      </c>
    </row>
    <row r="6071" spans="1:9" s="33" customFormat="1" ht="75">
      <c r="A6071" s="4">
        <v>43561.681111111116</v>
      </c>
      <c r="B6071" s="5" t="str">
        <f>HYPERLINK("https://twitter.com/7NewsSydney","@7NewsSydney")</f>
        <v>@7NewsSydney</v>
      </c>
      <c r="C6071" s="6" t="s">
        <v>10868</v>
      </c>
      <c r="D6071" s="7" t="s">
        <v>10865</v>
      </c>
      <c r="E6071" s="8" t="str">
        <f>HYPERLINK("https://about.twitter.com/products/tweetdeck","TweetDeck")</f>
        <v>TweetDeck</v>
      </c>
      <c r="F6071" s="4">
        <v>40345.753738425927</v>
      </c>
      <c r="G6071" s="24" t="s">
        <v>13001</v>
      </c>
      <c r="H6071" s="35" t="s">
        <v>1070</v>
      </c>
      <c r="I6071" s="10" t="s">
        <v>10869</v>
      </c>
    </row>
    <row r="6072" spans="1:9" s="33" customFormat="1" ht="90">
      <c r="A6072" s="4">
        <v>43560.729259259257</v>
      </c>
      <c r="B6072" s="5" t="str">
        <f t="shared" ref="B6072:B6079" si="230">HYPERLINK("https://twitter.com/Lisa_LAbode","@Lisa_LAbode")</f>
        <v>@Lisa_LAbode</v>
      </c>
      <c r="C6072" s="6" t="s">
        <v>1068</v>
      </c>
      <c r="D6072" s="7" t="s">
        <v>11209</v>
      </c>
      <c r="E6072" s="8" t="str">
        <f t="shared" ref="E6072:E6079" si="231">HYPERLINK("https://www.hootsuite.com","Hootsuite Inc.")</f>
        <v>Hootsuite Inc.</v>
      </c>
      <c r="F6072" s="4">
        <v>40056.071076388893</v>
      </c>
      <c r="G6072" s="24" t="s">
        <v>13001</v>
      </c>
      <c r="H6072" s="35" t="s">
        <v>1070</v>
      </c>
      <c r="I6072" s="10" t="s">
        <v>1071</v>
      </c>
    </row>
    <row r="6073" spans="1:9" s="33" customFormat="1" ht="75">
      <c r="A6073" s="4">
        <v>43559.812569444446</v>
      </c>
      <c r="B6073" s="5" t="str">
        <f t="shared" si="230"/>
        <v>@Lisa_LAbode</v>
      </c>
      <c r="C6073" s="6" t="s">
        <v>1068</v>
      </c>
      <c r="D6073" s="7" t="s">
        <v>11689</v>
      </c>
      <c r="E6073" s="8" t="str">
        <f t="shared" si="231"/>
        <v>Hootsuite Inc.</v>
      </c>
      <c r="F6073" s="4">
        <v>40056.071076388893</v>
      </c>
      <c r="G6073" s="24" t="s">
        <v>13001</v>
      </c>
      <c r="H6073" s="35" t="s">
        <v>1070</v>
      </c>
      <c r="I6073" s="10" t="s">
        <v>1071</v>
      </c>
    </row>
    <row r="6074" spans="1:9" s="33" customFormat="1" ht="90">
      <c r="A6074" s="12">
        <v>43578.722268518519</v>
      </c>
      <c r="B6074" s="13" t="str">
        <f t="shared" si="230"/>
        <v>@Lisa_LAbode</v>
      </c>
      <c r="C6074" s="14" t="s">
        <v>1068</v>
      </c>
      <c r="D6074" s="15" t="s">
        <v>1069</v>
      </c>
      <c r="E6074" s="16" t="str">
        <f t="shared" si="231"/>
        <v>Hootsuite Inc.</v>
      </c>
      <c r="F6074" s="12">
        <v>40056.071076388893</v>
      </c>
      <c r="G6074" s="24" t="s">
        <v>13001</v>
      </c>
      <c r="H6074" s="35" t="s">
        <v>1070</v>
      </c>
      <c r="I6074" s="18" t="s">
        <v>1071</v>
      </c>
    </row>
    <row r="6075" spans="1:9" s="33" customFormat="1" ht="105">
      <c r="A6075" s="12">
        <v>43576.691018518519</v>
      </c>
      <c r="B6075" s="13" t="str">
        <f t="shared" si="230"/>
        <v>@Lisa_LAbode</v>
      </c>
      <c r="C6075" s="14" t="s">
        <v>1068</v>
      </c>
      <c r="D6075" s="15" t="s">
        <v>1862</v>
      </c>
      <c r="E6075" s="16" t="str">
        <f t="shared" si="231"/>
        <v>Hootsuite Inc.</v>
      </c>
      <c r="F6075" s="12">
        <v>40056.071076388893</v>
      </c>
      <c r="G6075" s="24" t="s">
        <v>13001</v>
      </c>
      <c r="H6075" s="35" t="s">
        <v>1070</v>
      </c>
      <c r="I6075" s="18" t="s">
        <v>1071</v>
      </c>
    </row>
    <row r="6076" spans="1:9" s="33" customFormat="1" ht="90">
      <c r="A6076" s="12">
        <v>43573.677986111114</v>
      </c>
      <c r="B6076" s="13" t="str">
        <f t="shared" si="230"/>
        <v>@Lisa_LAbode</v>
      </c>
      <c r="C6076" s="14" t="s">
        <v>1068</v>
      </c>
      <c r="D6076" s="15" t="s">
        <v>2767</v>
      </c>
      <c r="E6076" s="16" t="str">
        <f t="shared" si="231"/>
        <v>Hootsuite Inc.</v>
      </c>
      <c r="F6076" s="12">
        <v>40056.071076388893</v>
      </c>
      <c r="G6076" s="24" t="s">
        <v>13001</v>
      </c>
      <c r="H6076" s="35" t="s">
        <v>1070</v>
      </c>
      <c r="I6076" s="18" t="s">
        <v>1071</v>
      </c>
    </row>
    <row r="6077" spans="1:9" s="33" customFormat="1" ht="105">
      <c r="A6077" s="12">
        <v>43570.009687500002</v>
      </c>
      <c r="B6077" s="13" t="str">
        <f t="shared" si="230"/>
        <v>@Lisa_LAbode</v>
      </c>
      <c r="C6077" s="14" t="s">
        <v>1068</v>
      </c>
      <c r="D6077" s="15" t="s">
        <v>4366</v>
      </c>
      <c r="E6077" s="16" t="str">
        <f t="shared" si="231"/>
        <v>Hootsuite Inc.</v>
      </c>
      <c r="F6077" s="12">
        <v>40056.071076388893</v>
      </c>
      <c r="G6077" s="24" t="s">
        <v>13001</v>
      </c>
      <c r="H6077" s="35" t="s">
        <v>1070</v>
      </c>
      <c r="I6077" s="18" t="s">
        <v>1071</v>
      </c>
    </row>
    <row r="6078" spans="1:9" s="33" customFormat="1" ht="105">
      <c r="A6078" s="12">
        <v>43568.670162037037</v>
      </c>
      <c r="B6078" s="13" t="str">
        <f t="shared" si="230"/>
        <v>@Lisa_LAbode</v>
      </c>
      <c r="C6078" s="14" t="s">
        <v>1068</v>
      </c>
      <c r="D6078" s="15" t="s">
        <v>4671</v>
      </c>
      <c r="E6078" s="16" t="str">
        <f t="shared" si="231"/>
        <v>Hootsuite Inc.</v>
      </c>
      <c r="F6078" s="12">
        <v>40056.071076388893</v>
      </c>
      <c r="G6078" s="24" t="s">
        <v>13001</v>
      </c>
      <c r="H6078" s="35" t="s">
        <v>1070</v>
      </c>
      <c r="I6078" s="18" t="s">
        <v>1071</v>
      </c>
    </row>
    <row r="6079" spans="1:9" s="33" customFormat="1" ht="60">
      <c r="A6079" s="12">
        <v>43567.708761574075</v>
      </c>
      <c r="B6079" s="13" t="str">
        <f t="shared" si="230"/>
        <v>@Lisa_LAbode</v>
      </c>
      <c r="C6079" s="14" t="s">
        <v>1068</v>
      </c>
      <c r="D6079" s="15" t="s">
        <v>4991</v>
      </c>
      <c r="E6079" s="16" t="str">
        <f t="shared" si="231"/>
        <v>Hootsuite Inc.</v>
      </c>
      <c r="F6079" s="12">
        <v>40056.071076388893</v>
      </c>
      <c r="G6079" s="24" t="s">
        <v>13001</v>
      </c>
      <c r="H6079" s="35" t="s">
        <v>1070</v>
      </c>
      <c r="I6079" s="18" t="s">
        <v>1071</v>
      </c>
    </row>
    <row r="6080" spans="1:9" s="33" customFormat="1" ht="45">
      <c r="A6080" s="12">
        <v>43570.912604166668</v>
      </c>
      <c r="B6080" s="13" t="str">
        <f>HYPERLINK("https://twitter.com/MarcinCzyzyk","@MarcinCzyzyk")</f>
        <v>@MarcinCzyzyk</v>
      </c>
      <c r="C6080" s="14" t="s">
        <v>3940</v>
      </c>
      <c r="D6080" s="15" t="s">
        <v>3941</v>
      </c>
      <c r="E6080" s="16" t="str">
        <f>HYPERLINK("http://twitter.com","Twitter Web Client")</f>
        <v>Twitter Web Client</v>
      </c>
      <c r="F6080" s="12">
        <v>40132.436898148146</v>
      </c>
      <c r="G6080" s="24" t="s">
        <v>13001</v>
      </c>
      <c r="H6080" s="35" t="s">
        <v>3942</v>
      </c>
      <c r="I6080" s="18" t="s">
        <v>3943</v>
      </c>
    </row>
    <row r="6081" spans="1:9" s="33" customFormat="1" ht="45">
      <c r="A6081" s="4">
        <v>43563.120266203703</v>
      </c>
      <c r="B6081" s="5" t="str">
        <f>HYPERLINK("https://twitter.com/The_Appraiser","@The_Appraiser")</f>
        <v>@The_Appraiser</v>
      </c>
      <c r="C6081" s="6" t="s">
        <v>4380</v>
      </c>
      <c r="D6081" s="7" t="s">
        <v>10456</v>
      </c>
      <c r="E6081" s="8" t="str">
        <f>HYPERLINK("http://twitter.com","Twitter Web Client")</f>
        <v>Twitter Web Client</v>
      </c>
      <c r="F6081" s="4">
        <v>39889.922685185185</v>
      </c>
      <c r="G6081" s="24" t="s">
        <v>13001</v>
      </c>
      <c r="H6081" s="35" t="s">
        <v>4382</v>
      </c>
      <c r="I6081" s="10" t="s">
        <v>4383</v>
      </c>
    </row>
    <row r="6082" spans="1:9" s="33" customFormat="1" ht="45">
      <c r="A6082" s="4">
        <v>43559.764652777776</v>
      </c>
      <c r="B6082" s="5" t="str">
        <f>HYPERLINK("https://twitter.com/The_Appraiser","@The_Appraiser")</f>
        <v>@The_Appraiser</v>
      </c>
      <c r="C6082" s="6" t="s">
        <v>4380</v>
      </c>
      <c r="D6082" s="7" t="s">
        <v>11698</v>
      </c>
      <c r="E6082" s="8" t="str">
        <f>HYPERLINK("http://twitter.com","Twitter Web Client")</f>
        <v>Twitter Web Client</v>
      </c>
      <c r="F6082" s="4">
        <v>39889.922685185185</v>
      </c>
      <c r="G6082" s="24" t="s">
        <v>13001</v>
      </c>
      <c r="H6082" s="35" t="s">
        <v>4382</v>
      </c>
      <c r="I6082" s="10" t="s">
        <v>4383</v>
      </c>
    </row>
    <row r="6083" spans="1:9" s="33" customFormat="1" ht="45">
      <c r="A6083" s="12">
        <v>43569.883391203708</v>
      </c>
      <c r="B6083" s="13" t="str">
        <f>HYPERLINK("https://twitter.com/The_Appraiser","@The_Appraiser")</f>
        <v>@The_Appraiser</v>
      </c>
      <c r="C6083" s="14" t="s">
        <v>4380</v>
      </c>
      <c r="D6083" s="15" t="s">
        <v>4381</v>
      </c>
      <c r="E6083" s="16" t="str">
        <f>HYPERLINK("http://twitter.com","Twitter Web Client")</f>
        <v>Twitter Web Client</v>
      </c>
      <c r="F6083" s="12">
        <v>39889.922685185185</v>
      </c>
      <c r="G6083" s="24" t="s">
        <v>13001</v>
      </c>
      <c r="H6083" s="35" t="s">
        <v>4382</v>
      </c>
      <c r="I6083" s="18" t="s">
        <v>4383</v>
      </c>
    </row>
    <row r="6084" spans="1:9" s="33" customFormat="1" ht="75">
      <c r="A6084" s="19">
        <v>43548.673344907409</v>
      </c>
      <c r="B6084" s="20" t="str">
        <f>HYPERLINK("https://twitter.com/Innatureshands","@Innatureshands")</f>
        <v>@Innatureshands</v>
      </c>
      <c r="C6084" s="21" t="s">
        <v>8249</v>
      </c>
      <c r="D6084" s="22" t="s">
        <v>8250</v>
      </c>
      <c r="E6084" s="23" t="str">
        <f>HYPERLINK("http://instagram.com","Instagram")</f>
        <v>Instagram</v>
      </c>
      <c r="F6084" s="19">
        <v>40961.733668981484</v>
      </c>
      <c r="G6084" s="24" t="s">
        <v>13001</v>
      </c>
      <c r="H6084" s="35" t="s">
        <v>453</v>
      </c>
      <c r="I6084" s="25" t="s">
        <v>8251</v>
      </c>
    </row>
    <row r="6085" spans="1:9" s="33" customFormat="1" ht="90">
      <c r="A6085" s="19">
        <v>43543.743472222224</v>
      </c>
      <c r="B6085" s="20" t="str">
        <f>HYPERLINK("https://twitter.com/JSMuellerCo","@JSMuellerCo")</f>
        <v>@JSMuellerCo</v>
      </c>
      <c r="C6085" s="21" t="s">
        <v>9689</v>
      </c>
      <c r="D6085" s="22" t="s">
        <v>9690</v>
      </c>
      <c r="E6085" s="23" t="str">
        <f>HYPERLINK("http://twitter.com","Twitter Web Client")</f>
        <v>Twitter Web Client</v>
      </c>
      <c r="F6085" s="19">
        <v>41689.679270833338</v>
      </c>
      <c r="G6085" s="24" t="s">
        <v>13001</v>
      </c>
      <c r="H6085" s="35" t="s">
        <v>453</v>
      </c>
      <c r="I6085" s="25" t="s">
        <v>9691</v>
      </c>
    </row>
    <row r="6086" spans="1:9" s="33" customFormat="1" ht="90">
      <c r="A6086" s="19">
        <v>43543.700335648144</v>
      </c>
      <c r="B6086" s="20" t="str">
        <f>HYPERLINK("https://twitter.com/LAbode_Aus","@LAbode_Aus")</f>
        <v>@LAbode_Aus</v>
      </c>
      <c r="C6086" s="21" t="s">
        <v>1080</v>
      </c>
      <c r="D6086" s="22" t="s">
        <v>9702</v>
      </c>
      <c r="E6086" s="23" t="str">
        <f>HYPERLINK("https://www.hootsuite.com","Hootsuite Inc.")</f>
        <v>Hootsuite Inc.</v>
      </c>
      <c r="F6086" s="19">
        <v>42052.720879629633</v>
      </c>
      <c r="G6086" s="24" t="s">
        <v>13001</v>
      </c>
      <c r="H6086" s="35" t="s">
        <v>453</v>
      </c>
      <c r="I6086" s="25" t="s">
        <v>1081</v>
      </c>
    </row>
    <row r="6087" spans="1:9" s="33" customFormat="1" ht="75">
      <c r="A6087" s="19">
        <v>43542.612627314811</v>
      </c>
      <c r="B6087" s="20" t="str">
        <f>HYPERLINK("https://twitter.com/travel_instinct","@travel_instinct")</f>
        <v>@travel_instinct</v>
      </c>
      <c r="C6087" s="21" t="s">
        <v>10072</v>
      </c>
      <c r="D6087" s="22" t="s">
        <v>10073</v>
      </c>
      <c r="E6087" s="23" t="str">
        <f>HYPERLINK("http://publicize.wp.com/","WordPress.com")</f>
        <v>WordPress.com</v>
      </c>
      <c r="F6087" s="19">
        <v>42846.669120370367</v>
      </c>
      <c r="G6087" s="24" t="s">
        <v>13001</v>
      </c>
      <c r="H6087" s="35" t="s">
        <v>453</v>
      </c>
      <c r="I6087" s="25" t="s">
        <v>10074</v>
      </c>
    </row>
    <row r="6088" spans="1:9" s="33" customFormat="1" ht="105">
      <c r="A6088" s="4">
        <v>43563.938368055555</v>
      </c>
      <c r="B6088" s="5" t="str">
        <f>HYPERLINK("https://twitter.com/LAbode_Aus","@LAbode_Aus")</f>
        <v>@LAbode_Aus</v>
      </c>
      <c r="C6088" s="6" t="s">
        <v>1080</v>
      </c>
      <c r="D6088" s="7" t="s">
        <v>6846</v>
      </c>
      <c r="E6088" s="8" t="str">
        <f>HYPERLINK("https://www.hootsuite.com","Hootsuite Inc.")</f>
        <v>Hootsuite Inc.</v>
      </c>
      <c r="F6088" s="4">
        <v>42052.720879629633</v>
      </c>
      <c r="G6088" s="24" t="s">
        <v>13001</v>
      </c>
      <c r="H6088" s="35" t="s">
        <v>453</v>
      </c>
      <c r="I6088" s="10" t="s">
        <v>1081</v>
      </c>
    </row>
    <row r="6089" spans="1:9" s="33" customFormat="1" ht="105">
      <c r="A6089" s="4">
        <v>43563.937754629631</v>
      </c>
      <c r="B6089" s="5" t="str">
        <f>HYPERLINK("https://twitter.com/LAbode_Aus","@LAbode_Aus")</f>
        <v>@LAbode_Aus</v>
      </c>
      <c r="C6089" s="6" t="s">
        <v>1080</v>
      </c>
      <c r="D6089" s="7" t="s">
        <v>6846</v>
      </c>
      <c r="E6089" s="8" t="str">
        <f>HYPERLINK("https://www.hootsuite.com","Hootsuite Inc.")</f>
        <v>Hootsuite Inc.</v>
      </c>
      <c r="F6089" s="4">
        <v>42052.720879629633</v>
      </c>
      <c r="G6089" s="24" t="s">
        <v>13001</v>
      </c>
      <c r="H6089" s="35" t="s">
        <v>453</v>
      </c>
      <c r="I6089" s="10" t="s">
        <v>1081</v>
      </c>
    </row>
    <row r="6090" spans="1:9" s="33" customFormat="1" ht="90">
      <c r="A6090" s="4">
        <v>43560.680648148147</v>
      </c>
      <c r="B6090" s="5" t="str">
        <f>HYPERLINK("https://twitter.com/LAbode_Aus","@LAbode_Aus")</f>
        <v>@LAbode_Aus</v>
      </c>
      <c r="C6090" s="6" t="s">
        <v>1080</v>
      </c>
      <c r="D6090" s="7" t="s">
        <v>11209</v>
      </c>
      <c r="E6090" s="8" t="str">
        <f>HYPERLINK("https://www.hootsuite.com","Hootsuite Inc.")</f>
        <v>Hootsuite Inc.</v>
      </c>
      <c r="F6090" s="4">
        <v>42052.720879629633</v>
      </c>
      <c r="G6090" s="24" t="s">
        <v>13001</v>
      </c>
      <c r="H6090" s="35" t="s">
        <v>453</v>
      </c>
      <c r="I6090" s="10" t="s">
        <v>1081</v>
      </c>
    </row>
    <row r="6091" spans="1:9" s="33" customFormat="1" ht="105">
      <c r="A6091" s="12">
        <v>43579.776261574079</v>
      </c>
      <c r="B6091" s="13" t="str">
        <f>HYPERLINK("https://twitter.com/clovar","@clovar")</f>
        <v>@clovar</v>
      </c>
      <c r="C6091" s="14" t="s">
        <v>451</v>
      </c>
      <c r="D6091" s="15" t="s">
        <v>452</v>
      </c>
      <c r="E6091" s="16" t="str">
        <f>HYPERLINK("https://ifttt.com","IFTTT")</f>
        <v>IFTTT</v>
      </c>
      <c r="F6091" s="12">
        <v>40840.110983796294</v>
      </c>
      <c r="G6091" s="24" t="s">
        <v>13001</v>
      </c>
      <c r="H6091" s="35" t="s">
        <v>453</v>
      </c>
      <c r="I6091" s="18" t="s">
        <v>454</v>
      </c>
    </row>
    <row r="6092" spans="1:9" s="33" customFormat="1" ht="105">
      <c r="A6092" s="12">
        <v>43578.901331018518</v>
      </c>
      <c r="B6092" s="13" t="str">
        <f>HYPERLINK("https://twitter.com/clovar","@clovar")</f>
        <v>@clovar</v>
      </c>
      <c r="C6092" s="14" t="s">
        <v>451</v>
      </c>
      <c r="D6092" s="15" t="s">
        <v>1001</v>
      </c>
      <c r="E6092" s="16" t="str">
        <f>HYPERLINK("https://ifttt.com","IFTTT")</f>
        <v>IFTTT</v>
      </c>
      <c r="F6092" s="12">
        <v>40840.110983796294</v>
      </c>
      <c r="G6092" s="24" t="s">
        <v>13001</v>
      </c>
      <c r="H6092" s="35" t="s">
        <v>453</v>
      </c>
      <c r="I6092" s="18" t="s">
        <v>454</v>
      </c>
    </row>
    <row r="6093" spans="1:9" s="33" customFormat="1" ht="90">
      <c r="A6093" s="12">
        <v>43578.711909722224</v>
      </c>
      <c r="B6093" s="13" t="str">
        <f>HYPERLINK("https://twitter.com/LAbode_Aus","@LAbode_Aus")</f>
        <v>@LAbode_Aus</v>
      </c>
      <c r="C6093" s="14" t="s">
        <v>1080</v>
      </c>
      <c r="D6093" s="15" t="s">
        <v>1069</v>
      </c>
      <c r="E6093" s="16" t="str">
        <f>HYPERLINK("https://www.hootsuite.com","Hootsuite Inc.")</f>
        <v>Hootsuite Inc.</v>
      </c>
      <c r="F6093" s="12">
        <v>42052.720879629633</v>
      </c>
      <c r="G6093" s="24" t="s">
        <v>13001</v>
      </c>
      <c r="H6093" s="35" t="s">
        <v>453</v>
      </c>
      <c r="I6093" s="18" t="s">
        <v>1081</v>
      </c>
    </row>
    <row r="6094" spans="1:9" s="33" customFormat="1" ht="120">
      <c r="A6094" s="12">
        <v>43577.942858796298</v>
      </c>
      <c r="B6094" s="13" t="str">
        <f>HYPERLINK("https://twitter.com/clovar","@clovar")</f>
        <v>@clovar</v>
      </c>
      <c r="C6094" s="14" t="s">
        <v>451</v>
      </c>
      <c r="D6094" s="15" t="s">
        <v>1446</v>
      </c>
      <c r="E6094" s="16" t="str">
        <f>HYPERLINK("https://ifttt.com","IFTTT")</f>
        <v>IFTTT</v>
      </c>
      <c r="F6094" s="12">
        <v>40840.110983796294</v>
      </c>
      <c r="G6094" s="24" t="s">
        <v>13001</v>
      </c>
      <c r="H6094" s="35" t="s">
        <v>453</v>
      </c>
      <c r="I6094" s="18" t="s">
        <v>454</v>
      </c>
    </row>
    <row r="6095" spans="1:9" s="33" customFormat="1" ht="120">
      <c r="A6095" s="12">
        <v>43577.276724537034</v>
      </c>
      <c r="B6095" s="13" t="str">
        <f>HYPERLINK("https://twitter.com/clovar","@clovar")</f>
        <v>@clovar</v>
      </c>
      <c r="C6095" s="14" t="s">
        <v>451</v>
      </c>
      <c r="D6095" s="15" t="s">
        <v>1683</v>
      </c>
      <c r="E6095" s="16" t="str">
        <f>HYPERLINK("https://ifttt.com","IFTTT")</f>
        <v>IFTTT</v>
      </c>
      <c r="F6095" s="12">
        <v>40840.110983796294</v>
      </c>
      <c r="G6095" s="24" t="s">
        <v>13001</v>
      </c>
      <c r="H6095" s="35" t="s">
        <v>453</v>
      </c>
      <c r="I6095" s="18" t="s">
        <v>454</v>
      </c>
    </row>
    <row r="6096" spans="1:9" s="33" customFormat="1" ht="90">
      <c r="A6096" s="12">
        <v>43573.677430555559</v>
      </c>
      <c r="B6096" s="13" t="str">
        <f>HYPERLINK("https://twitter.com/LAbode_Aus","@LAbode_Aus")</f>
        <v>@LAbode_Aus</v>
      </c>
      <c r="C6096" s="14" t="s">
        <v>1080</v>
      </c>
      <c r="D6096" s="15" t="s">
        <v>2767</v>
      </c>
      <c r="E6096" s="16" t="str">
        <f>HYPERLINK("https://www.hootsuite.com","Hootsuite Inc.")</f>
        <v>Hootsuite Inc.</v>
      </c>
      <c r="F6096" s="12">
        <v>42052.720879629633</v>
      </c>
      <c r="G6096" s="24" t="s">
        <v>13001</v>
      </c>
      <c r="H6096" s="35" t="s">
        <v>453</v>
      </c>
      <c r="I6096" s="18" t="s">
        <v>1081</v>
      </c>
    </row>
    <row r="6097" spans="1:9" s="33" customFormat="1" ht="105">
      <c r="A6097" s="12">
        <v>43570.009143518517</v>
      </c>
      <c r="B6097" s="13" t="str">
        <f>HYPERLINK("https://twitter.com/LAbode_Aus","@LAbode_Aus")</f>
        <v>@LAbode_Aus</v>
      </c>
      <c r="C6097" s="14" t="s">
        <v>1080</v>
      </c>
      <c r="D6097" s="15" t="s">
        <v>4366</v>
      </c>
      <c r="E6097" s="16" t="str">
        <f>HYPERLINK("https://www.hootsuite.com","Hootsuite Inc.")</f>
        <v>Hootsuite Inc.</v>
      </c>
      <c r="F6097" s="12">
        <v>42052.720879629633</v>
      </c>
      <c r="G6097" s="24" t="s">
        <v>13001</v>
      </c>
      <c r="H6097" s="35" t="s">
        <v>453</v>
      </c>
      <c r="I6097" s="18" t="s">
        <v>1081</v>
      </c>
    </row>
    <row r="6098" spans="1:9" s="33" customFormat="1" ht="45">
      <c r="A6098" s="12">
        <v>43567.750543981485</v>
      </c>
      <c r="B6098" s="13" t="str">
        <f>HYPERLINK("https://twitter.com/LAbode_Aus","@LAbode_Aus")</f>
        <v>@LAbode_Aus</v>
      </c>
      <c r="C6098" s="14" t="s">
        <v>1080</v>
      </c>
      <c r="D6098" s="15" t="s">
        <v>4965</v>
      </c>
      <c r="E6098" s="16" t="str">
        <f>HYPERLINK("https://www.hootsuite.com","Hootsuite Inc.")</f>
        <v>Hootsuite Inc.</v>
      </c>
      <c r="F6098" s="12">
        <v>42052.720879629633</v>
      </c>
      <c r="G6098" s="24" t="s">
        <v>13001</v>
      </c>
      <c r="H6098" s="35" t="s">
        <v>453</v>
      </c>
      <c r="I6098" s="18" t="s">
        <v>1081</v>
      </c>
    </row>
    <row r="6099" spans="1:9" s="33" customFormat="1" ht="75">
      <c r="A6099" s="19">
        <v>43549.693402777775</v>
      </c>
      <c r="B6099" s="20" t="str">
        <f>HYPERLINK("https://twitter.com/TourismAccom","@TourismAccom")</f>
        <v>@TourismAccom</v>
      </c>
      <c r="C6099" s="21" t="s">
        <v>7942</v>
      </c>
      <c r="D6099" s="22" t="s">
        <v>7943</v>
      </c>
      <c r="E6099" s="23" t="str">
        <f>HYPERLINK("http://twitter.com","Twitter Web Client")</f>
        <v>Twitter Web Client</v>
      </c>
      <c r="F6099" s="19">
        <v>42297.008113425924</v>
      </c>
      <c r="G6099" s="24" t="s">
        <v>13001</v>
      </c>
      <c r="H6099" s="35" t="s">
        <v>3023</v>
      </c>
      <c r="I6099" s="25" t="s">
        <v>7944</v>
      </c>
    </row>
    <row r="6100" spans="1:9" s="33" customFormat="1" ht="60">
      <c r="A6100" s="19">
        <v>43549.005659722221</v>
      </c>
      <c r="B6100" s="20" t="str">
        <f>HYPERLINK("https://twitter.com/MatthewEager1","@MatthewEager1")</f>
        <v>@MatthewEager1</v>
      </c>
      <c r="C6100" s="21" t="s">
        <v>4018</v>
      </c>
      <c r="D6100" s="22" t="s">
        <v>8189</v>
      </c>
      <c r="E6100" s="23" t="str">
        <f>HYPERLINK("http://twitter.com/download/android","Twitter for Android")</f>
        <v>Twitter for Android</v>
      </c>
      <c r="F6100" s="19">
        <v>42230.918240740742</v>
      </c>
      <c r="G6100" s="24" t="s">
        <v>13001</v>
      </c>
      <c r="H6100" s="35" t="s">
        <v>3023</v>
      </c>
      <c r="I6100" s="25"/>
    </row>
    <row r="6101" spans="1:9" s="33" customFormat="1" ht="45">
      <c r="A6101" s="19">
        <v>43547.896793981483</v>
      </c>
      <c r="B6101" s="20" t="str">
        <f>HYPERLINK("https://twitter.com/ExpatAussieInNJ","@ExpatAussieInNJ")</f>
        <v>@ExpatAussieInNJ</v>
      </c>
      <c r="C6101" s="21" t="s">
        <v>8449</v>
      </c>
      <c r="D6101" s="22" t="s">
        <v>8450</v>
      </c>
      <c r="E6101" s="23" t="str">
        <f>HYPERLINK("http://twitter.com/download/iphone","Twitter for iPhone")</f>
        <v>Twitter for iPhone</v>
      </c>
      <c r="F6101" s="19">
        <v>40930.284548611111</v>
      </c>
      <c r="G6101" s="24" t="s">
        <v>13001</v>
      </c>
      <c r="H6101" s="35" t="s">
        <v>3023</v>
      </c>
      <c r="I6101" s="25" t="s">
        <v>8451</v>
      </c>
    </row>
    <row r="6102" spans="1:9" s="33" customFormat="1" ht="90">
      <c r="A6102" s="19">
        <v>43544.799027777779</v>
      </c>
      <c r="B6102" s="20" t="str">
        <f>HYPERLINK("https://twitter.com/KingstonGroupAu","@KingstonGroupAu")</f>
        <v>@KingstonGroupAu</v>
      </c>
      <c r="C6102" s="21" t="s">
        <v>9330</v>
      </c>
      <c r="D6102" s="22" t="s">
        <v>9331</v>
      </c>
      <c r="E6102" s="23" t="str">
        <f>HYPERLINK("http://twitter.com","Twitter Web Client")</f>
        <v>Twitter Web Client</v>
      </c>
      <c r="F6102" s="19">
        <v>42382.06177083333</v>
      </c>
      <c r="G6102" s="24" t="s">
        <v>13001</v>
      </c>
      <c r="H6102" s="35" t="s">
        <v>3023</v>
      </c>
      <c r="I6102" s="25" t="s">
        <v>9332</v>
      </c>
    </row>
    <row r="6103" spans="1:9" s="33" customFormat="1" ht="45">
      <c r="A6103" s="19">
        <v>43543.666539351849</v>
      </c>
      <c r="B6103" s="20" t="str">
        <f>HYPERLINK("https://twitter.com/TourismAccom","@TourismAccom")</f>
        <v>@TourismAccom</v>
      </c>
      <c r="C6103" s="21" t="s">
        <v>7942</v>
      </c>
      <c r="D6103" s="22" t="s">
        <v>9713</v>
      </c>
      <c r="E6103" s="23" t="str">
        <f>HYPERLINK("http://twitter.com","Twitter Web Client")</f>
        <v>Twitter Web Client</v>
      </c>
      <c r="F6103" s="19">
        <v>42297.008113425924</v>
      </c>
      <c r="G6103" s="24" t="s">
        <v>13001</v>
      </c>
      <c r="H6103" s="35" t="s">
        <v>3023</v>
      </c>
      <c r="I6103" s="25" t="s">
        <v>7944</v>
      </c>
    </row>
    <row r="6104" spans="1:9" s="33" customFormat="1" ht="15">
      <c r="A6104" s="19">
        <v>43543.221770833334</v>
      </c>
      <c r="B6104" s="20" t="str">
        <f>HYPERLINK("https://twitter.com/epragt","@epragt")</f>
        <v>@epragt</v>
      </c>
      <c r="C6104" s="21" t="s">
        <v>9895</v>
      </c>
      <c r="D6104" s="22" t="s">
        <v>9896</v>
      </c>
      <c r="E6104" s="23" t="str">
        <f>HYPERLINK("http://twitter.com","Twitter Web Client")</f>
        <v>Twitter Web Client</v>
      </c>
      <c r="F6104" s="19">
        <v>40000.202523148146</v>
      </c>
      <c r="G6104" s="24" t="s">
        <v>13001</v>
      </c>
      <c r="H6104" s="35" t="s">
        <v>3023</v>
      </c>
      <c r="I6104" s="25"/>
    </row>
    <row r="6105" spans="1:9" s="33" customFormat="1" ht="75">
      <c r="A6105" s="4">
        <v>43563.053831018522</v>
      </c>
      <c r="B6105" s="5" t="str">
        <f>HYPERLINK("https://twitter.com/AuthenticState","@AuthenticState")</f>
        <v>@AuthenticState</v>
      </c>
      <c r="C6105" s="6" t="s">
        <v>10480</v>
      </c>
      <c r="D6105" s="7" t="s">
        <v>10481</v>
      </c>
      <c r="E6105" s="8" t="str">
        <f>HYPERLINK("http://twitter.com/download/android","Twitter for Android")</f>
        <v>Twitter for Android</v>
      </c>
      <c r="F6105" s="4">
        <v>43539.792743055557</v>
      </c>
      <c r="G6105" s="24" t="s">
        <v>13001</v>
      </c>
      <c r="H6105" s="35" t="s">
        <v>3023</v>
      </c>
      <c r="I6105" s="10" t="s">
        <v>10482</v>
      </c>
    </row>
    <row r="6106" spans="1:9" s="33" customFormat="1" ht="45">
      <c r="A6106" s="4">
        <v>43557.753229166672</v>
      </c>
      <c r="B6106" s="5" t="str">
        <f>HYPERLINK("https://twitter.com/HardlyGospel","@HardlyGospel")</f>
        <v>@HardlyGospel</v>
      </c>
      <c r="C6106" s="6" t="s">
        <v>4467</v>
      </c>
      <c r="D6106" s="7" t="s">
        <v>12395</v>
      </c>
      <c r="E6106" s="8" t="str">
        <f>HYPERLINK("http://twitter.com","Twitter Web Client")</f>
        <v>Twitter Web Client</v>
      </c>
      <c r="F6106" s="4">
        <v>43052.563310185185</v>
      </c>
      <c r="G6106" s="24" t="s">
        <v>13001</v>
      </c>
      <c r="H6106" s="35" t="s">
        <v>3023</v>
      </c>
      <c r="I6106" s="10" t="s">
        <v>4469</v>
      </c>
    </row>
    <row r="6107" spans="1:9" s="33" customFormat="1" ht="105">
      <c r="A6107" s="4">
        <v>43557.577824074076</v>
      </c>
      <c r="B6107" s="5" t="str">
        <f>HYPERLINK("https://twitter.com/DesignEscapes","@DesignEscapes")</f>
        <v>@DesignEscapes</v>
      </c>
      <c r="C6107" s="6" t="s">
        <v>12465</v>
      </c>
      <c r="D6107" s="7" t="s">
        <v>12466</v>
      </c>
      <c r="E6107" s="8" t="str">
        <f>HYPERLINK("https://www.later.com","LaterMedia")</f>
        <v>LaterMedia</v>
      </c>
      <c r="F6107" s="4">
        <v>43427.880914351852</v>
      </c>
      <c r="G6107" s="24" t="s">
        <v>13001</v>
      </c>
      <c r="H6107" s="35" t="s">
        <v>3023</v>
      </c>
      <c r="I6107" s="10" t="s">
        <v>12467</v>
      </c>
    </row>
    <row r="6108" spans="1:9" s="33" customFormat="1" ht="105">
      <c r="A6108" s="12">
        <v>43573.040254629625</v>
      </c>
      <c r="B6108" s="13" t="str">
        <f>HYPERLINK("https://twitter.com/PittMartinTax","@PittMartinTax")</f>
        <v>@PittMartinTax</v>
      </c>
      <c r="C6108" s="14" t="s">
        <v>3021</v>
      </c>
      <c r="D6108" s="15" t="s">
        <v>3022</v>
      </c>
      <c r="E6108" s="16" t="str">
        <f>HYPERLINK("http://twitter.com","Twitter Web Client")</f>
        <v>Twitter Web Client</v>
      </c>
      <c r="F6108" s="12">
        <v>42576.825752314813</v>
      </c>
      <c r="G6108" s="24" t="s">
        <v>13001</v>
      </c>
      <c r="H6108" s="35" t="s">
        <v>3023</v>
      </c>
      <c r="I6108" s="18" t="s">
        <v>3024</v>
      </c>
    </row>
    <row r="6109" spans="1:9" s="33" customFormat="1" ht="30">
      <c r="A6109" s="12">
        <v>43571.75068287037</v>
      </c>
      <c r="B6109" s="13" t="str">
        <f>HYPERLINK("https://twitter.com/AdvisrAu","@AdvisrAu")</f>
        <v>@AdvisrAu</v>
      </c>
      <c r="C6109" s="14" t="s">
        <v>3563</v>
      </c>
      <c r="D6109" s="15" t="s">
        <v>3564</v>
      </c>
      <c r="E6109" s="16" t="str">
        <f>HYPERLINK("http://www.hubspot.com/","HubSpot")</f>
        <v>HubSpot</v>
      </c>
      <c r="F6109" s="12">
        <v>42493.875717592593</v>
      </c>
      <c r="G6109" s="24" t="s">
        <v>13001</v>
      </c>
      <c r="H6109" s="35" t="s">
        <v>3023</v>
      </c>
      <c r="I6109" s="18" t="s">
        <v>3565</v>
      </c>
    </row>
    <row r="6110" spans="1:9" s="33" customFormat="1" ht="105">
      <c r="A6110" s="12">
        <v>43570.611886574072</v>
      </c>
      <c r="B6110" s="13" t="str">
        <f>HYPERLINK("https://twitter.com/MatthewEager1","@MatthewEager1")</f>
        <v>@MatthewEager1</v>
      </c>
      <c r="C6110" s="14" t="s">
        <v>4018</v>
      </c>
      <c r="D6110" s="15" t="s">
        <v>4019</v>
      </c>
      <c r="E6110" s="16" t="str">
        <f>HYPERLINK("http://twitter.com/download/android","Twitter for Android")</f>
        <v>Twitter for Android</v>
      </c>
      <c r="F6110" s="12">
        <v>42230.918240740742</v>
      </c>
      <c r="G6110" s="24" t="s">
        <v>13001</v>
      </c>
      <c r="H6110" s="35" t="s">
        <v>3023</v>
      </c>
      <c r="I6110" s="18"/>
    </row>
    <row r="6111" spans="1:9" s="33" customFormat="1" ht="105">
      <c r="A6111" s="12">
        <v>43569.593159722222</v>
      </c>
      <c r="B6111" s="13" t="str">
        <f>HYPERLINK("https://twitter.com/HardlyGospel","@HardlyGospel")</f>
        <v>@HardlyGospel</v>
      </c>
      <c r="C6111" s="14" t="s">
        <v>4467</v>
      </c>
      <c r="D6111" s="15" t="s">
        <v>4468</v>
      </c>
      <c r="E6111" s="16" t="str">
        <f>HYPERLINK("http://twitter.com","Twitter Web Client")</f>
        <v>Twitter Web Client</v>
      </c>
      <c r="F6111" s="12">
        <v>43052.563310185185</v>
      </c>
      <c r="G6111" s="24" t="s">
        <v>13001</v>
      </c>
      <c r="H6111" s="35" t="s">
        <v>3023</v>
      </c>
      <c r="I6111" s="18" t="s">
        <v>4469</v>
      </c>
    </row>
    <row r="6112" spans="1:9" s="33" customFormat="1" ht="75">
      <c r="A6112" s="12">
        <v>43569.169803240744</v>
      </c>
      <c r="B6112" s="13" t="str">
        <f>HYPERLINK("https://twitter.com/oskar_zimmerman","@oskar_zimmerman")</f>
        <v>@oskar_zimmerman</v>
      </c>
      <c r="C6112" s="14" t="s">
        <v>4583</v>
      </c>
      <c r="D6112" s="15" t="s">
        <v>4584</v>
      </c>
      <c r="E6112" s="16" t="str">
        <f>HYPERLINK("http://instagram.com","Instagram")</f>
        <v>Instagram</v>
      </c>
      <c r="F6112" s="12">
        <v>43108.624479166669</v>
      </c>
      <c r="G6112" s="24" t="s">
        <v>13001</v>
      </c>
      <c r="H6112" s="35" t="s">
        <v>3023</v>
      </c>
      <c r="I6112" s="18" t="s">
        <v>4585</v>
      </c>
    </row>
    <row r="6113" spans="1:9" s="33" customFormat="1" ht="45">
      <c r="A6113" s="19">
        <v>43550.662268518514</v>
      </c>
      <c r="B6113" s="20" t="str">
        <f>HYPERLINK("https://twitter.com/CH_Strategies","@CH_Strategies")</f>
        <v>@CH_Strategies</v>
      </c>
      <c r="C6113" s="21" t="s">
        <v>7563</v>
      </c>
      <c r="D6113" s="22" t="s">
        <v>7564</v>
      </c>
      <c r="E6113" s="23" t="str">
        <f>HYPERLINK("https://www.hootsuite.com","Hootsuite Inc.")</f>
        <v>Hootsuite Inc.</v>
      </c>
      <c r="F6113" s="19">
        <v>40562.755740740744</v>
      </c>
      <c r="G6113" s="24" t="s">
        <v>13001</v>
      </c>
      <c r="H6113" s="35" t="s">
        <v>7565</v>
      </c>
      <c r="I6113" s="25" t="s">
        <v>7566</v>
      </c>
    </row>
    <row r="6114" spans="1:9" s="33" customFormat="1" ht="90">
      <c r="A6114" s="19">
        <v>43550.694444444445</v>
      </c>
      <c r="B6114" s="20" t="str">
        <f>HYPERLINK("https://twitter.com/LouiseGrimmer","@LouiseGrimmer")</f>
        <v>@LouiseGrimmer</v>
      </c>
      <c r="C6114" s="21" t="s">
        <v>7546</v>
      </c>
      <c r="D6114" s="22" t="s">
        <v>7547</v>
      </c>
      <c r="E6114" s="23" t="str">
        <f>HYPERLINK("http://twitter.com","Twitter Web Client")</f>
        <v>Twitter Web Client</v>
      </c>
      <c r="F6114" s="19">
        <v>41815.252083333333</v>
      </c>
      <c r="G6114" s="24" t="s">
        <v>13001</v>
      </c>
      <c r="H6114" s="35" t="s">
        <v>7548</v>
      </c>
      <c r="I6114" s="25" t="s">
        <v>7549</v>
      </c>
    </row>
    <row r="6115" spans="1:9" s="33" customFormat="1" ht="45">
      <c r="A6115" s="12">
        <v>43571.204768518517</v>
      </c>
      <c r="B6115" s="13" t="str">
        <f>HYPERLINK("https://twitter.com/cridonomics","@cridonomics")</f>
        <v>@cridonomics</v>
      </c>
      <c r="C6115" s="14" t="s">
        <v>3789</v>
      </c>
      <c r="D6115" s="15" t="s">
        <v>3790</v>
      </c>
      <c r="E6115" s="16" t="str">
        <f>HYPERLINK("http://twitter.com","Twitter Web Client")</f>
        <v>Twitter Web Client</v>
      </c>
      <c r="F6115" s="12">
        <v>39906.178368055553</v>
      </c>
      <c r="G6115" s="17" t="s">
        <v>13001</v>
      </c>
      <c r="H6115" s="35" t="s">
        <v>3791</v>
      </c>
      <c r="I6115" s="18" t="s">
        <v>3792</v>
      </c>
    </row>
    <row r="6116" spans="1:9" s="33" customFormat="1" ht="45">
      <c r="A6116" s="4">
        <v>43560.671377314815</v>
      </c>
      <c r="B6116" s="5" t="str">
        <f>HYPERLINK("https://twitter.com/AussieAce_","@AussieAce_")</f>
        <v>@AussieAce_</v>
      </c>
      <c r="C6116" s="6" t="s">
        <v>11227</v>
      </c>
      <c r="D6116" s="7" t="s">
        <v>11228</v>
      </c>
      <c r="E6116" s="8" t="str">
        <f>HYPERLINK("http://twitter.com","Twitter Web Client")</f>
        <v>Twitter Web Client</v>
      </c>
      <c r="F6116" s="4">
        <v>41079.104733796295</v>
      </c>
      <c r="G6116" s="9" t="s">
        <v>13001</v>
      </c>
      <c r="H6116" s="35" t="s">
        <v>11229</v>
      </c>
      <c r="I6116" s="10" t="s">
        <v>11230</v>
      </c>
    </row>
    <row r="6117" spans="1:9" s="33" customFormat="1" ht="45">
      <c r="A6117" s="19">
        <v>43543.321099537032</v>
      </c>
      <c r="B6117" s="20" t="str">
        <f>HYPERLINK("https://twitter.com/FDTraveller","@FDTraveller")</f>
        <v>@FDTraveller</v>
      </c>
      <c r="C6117" s="21" t="s">
        <v>9869</v>
      </c>
      <c r="D6117" s="22" t="s">
        <v>9870</v>
      </c>
      <c r="E6117" s="23" t="str">
        <f>HYPERLINK("https://fairdinkumtraveller.com/","Anthony Jury")</f>
        <v>Anthony Jury</v>
      </c>
      <c r="F6117" s="19">
        <v>42409.143125000002</v>
      </c>
      <c r="G6117" s="24" t="s">
        <v>13001</v>
      </c>
      <c r="H6117" s="35" t="s">
        <v>9871</v>
      </c>
      <c r="I6117" s="25" t="s">
        <v>9872</v>
      </c>
    </row>
    <row r="6118" spans="1:9" s="33" customFormat="1" ht="45">
      <c r="A6118" s="4">
        <v>43565.505474537036</v>
      </c>
      <c r="B6118" s="5" t="str">
        <f>HYPERLINK("https://twitter.com/PraiasG","@PraiasG")</f>
        <v>@PraiasG</v>
      </c>
      <c r="C6118" s="6" t="s">
        <v>4947</v>
      </c>
      <c r="D6118" s="7" t="s">
        <v>6056</v>
      </c>
      <c r="E6118" s="8" t="str">
        <f>HYPERLINK("http://twitter.com/download/android","Twitter for Android")</f>
        <v>Twitter for Android</v>
      </c>
      <c r="F6118" s="4">
        <v>43304.678749999999</v>
      </c>
      <c r="G6118" s="9" t="s">
        <v>13002</v>
      </c>
      <c r="H6118" s="35" t="s">
        <v>4949</v>
      </c>
      <c r="I6118" s="10" t="s">
        <v>4950</v>
      </c>
    </row>
    <row r="6119" spans="1:9" s="33" customFormat="1" ht="60">
      <c r="A6119" s="12">
        <v>43567.807384259257</v>
      </c>
      <c r="B6119" s="13" t="str">
        <f>HYPERLINK("https://twitter.com/PraiasG","@PraiasG")</f>
        <v>@PraiasG</v>
      </c>
      <c r="C6119" s="14" t="s">
        <v>4947</v>
      </c>
      <c r="D6119" s="15" t="s">
        <v>4948</v>
      </c>
      <c r="E6119" s="16" t="str">
        <f>HYPERLINK("http://twitter.com/download/android","Twitter for Android")</f>
        <v>Twitter for Android</v>
      </c>
      <c r="F6119" s="12">
        <v>43304.678749999999</v>
      </c>
      <c r="G6119" s="9" t="s">
        <v>13002</v>
      </c>
      <c r="H6119" s="35" t="s">
        <v>4949</v>
      </c>
      <c r="I6119" s="18" t="s">
        <v>4950</v>
      </c>
    </row>
    <row r="6120" spans="1:9" s="33" customFormat="1" ht="45">
      <c r="A6120" s="19">
        <v>43551.70045138889</v>
      </c>
      <c r="B6120" s="20" t="str">
        <f>HYPERLINK("https://twitter.com/vitariz","@vitariz")</f>
        <v>@vitariz</v>
      </c>
      <c r="C6120" s="21" t="s">
        <v>7038</v>
      </c>
      <c r="D6120" s="22" t="s">
        <v>7039</v>
      </c>
      <c r="E6120" s="23" t="str">
        <f>HYPERLINK("https://mobile.twitter.com","Twitter Web App")</f>
        <v>Twitter Web App</v>
      </c>
      <c r="F6120" s="19">
        <v>39962.356192129628</v>
      </c>
      <c r="G6120" s="24" t="s">
        <v>13002</v>
      </c>
      <c r="H6120" s="35" t="s">
        <v>7040</v>
      </c>
      <c r="I6120" s="25" t="s">
        <v>7041</v>
      </c>
    </row>
    <row r="6121" spans="1:9" s="33" customFormat="1" ht="60">
      <c r="A6121" s="4">
        <v>43557.674756944441</v>
      </c>
      <c r="B6121" s="5" t="str">
        <f>HYPERLINK("https://twitter.com/hdlf","@hdlf")</f>
        <v>@hdlf</v>
      </c>
      <c r="C6121" s="6" t="s">
        <v>12409</v>
      </c>
      <c r="D6121" s="7" t="s">
        <v>12410</v>
      </c>
      <c r="E6121" s="8" t="str">
        <f>HYPERLINK("https://mobile.twitter.com","Twitter Web App")</f>
        <v>Twitter Web App</v>
      </c>
      <c r="F6121" s="4">
        <v>39930.361909722225</v>
      </c>
      <c r="G6121" s="24" t="s">
        <v>13002</v>
      </c>
      <c r="H6121" s="35" t="s">
        <v>12411</v>
      </c>
      <c r="I6121" s="10" t="s">
        <v>12412</v>
      </c>
    </row>
    <row r="6122" spans="1:9" s="33" customFormat="1" ht="90">
      <c r="A6122" s="12">
        <v>43579.168796296297</v>
      </c>
      <c r="B6122" s="13" t="str">
        <f>HYPERLINK("https://twitter.com/ClemenGonzalez8","@ClemenGonzalez8")</f>
        <v>@ClemenGonzalez8</v>
      </c>
      <c r="C6122" s="14" t="s">
        <v>895</v>
      </c>
      <c r="D6122" s="15" t="s">
        <v>301</v>
      </c>
      <c r="E6122" s="16" t="str">
        <f>HYPERLINK("http://twitter.com","Twitter Web Client")</f>
        <v>Twitter Web Client</v>
      </c>
      <c r="F6122" s="12">
        <v>43570.490312499998</v>
      </c>
      <c r="G6122" s="17" t="s">
        <v>13002</v>
      </c>
      <c r="H6122" s="35" t="s">
        <v>896</v>
      </c>
      <c r="I6122" s="18" t="s">
        <v>897</v>
      </c>
    </row>
    <row r="6123" spans="1:9" s="33" customFormat="1" ht="75">
      <c r="A6123" s="12">
        <v>43578.380370370374</v>
      </c>
      <c r="B6123" s="13" t="str">
        <f>HYPERLINK("https://twitter.com/GranadosMillan","@GranadosMillan")</f>
        <v>@GranadosMillan</v>
      </c>
      <c r="C6123" s="14" t="s">
        <v>1245</v>
      </c>
      <c r="D6123" s="15" t="s">
        <v>996</v>
      </c>
      <c r="E6123" s="16" t="str">
        <f>HYPERLINK("http://twitter.com","Twitter Web Client")</f>
        <v>Twitter Web Client</v>
      </c>
      <c r="F6123" s="12">
        <v>43570.602129629631</v>
      </c>
      <c r="G6123" s="17" t="s">
        <v>13002</v>
      </c>
      <c r="H6123" s="35" t="s">
        <v>1246</v>
      </c>
      <c r="I6123" s="18" t="s">
        <v>1247</v>
      </c>
    </row>
    <row r="6124" spans="1:9" s="33" customFormat="1" ht="90">
      <c r="A6124" s="12">
        <v>43579.16987268519</v>
      </c>
      <c r="B6124" s="13" t="str">
        <f>HYPERLINK("https://twitter.com/ManuelSolartes","@ManuelSolartes")</f>
        <v>@ManuelSolartes</v>
      </c>
      <c r="C6124" s="14" t="s">
        <v>890</v>
      </c>
      <c r="D6124" s="15" t="s">
        <v>301</v>
      </c>
      <c r="E6124" s="16" t="str">
        <f>HYPERLINK("http://twitter.com","Twitter Web Client")</f>
        <v>Twitter Web Client</v>
      </c>
      <c r="F6124" s="12">
        <v>43570.653796296298</v>
      </c>
      <c r="G6124" s="17" t="s">
        <v>13002</v>
      </c>
      <c r="H6124" s="35" t="s">
        <v>891</v>
      </c>
      <c r="I6124" s="18" t="s">
        <v>892</v>
      </c>
    </row>
    <row r="6125" spans="1:9" s="33" customFormat="1" ht="90">
      <c r="A6125" s="12">
        <v>43579.170335648145</v>
      </c>
      <c r="B6125" s="13" t="str">
        <f>HYPERLINK("https://twitter.com/IvanOliveros19","@IvanOliveros19")</f>
        <v>@IvanOliveros19</v>
      </c>
      <c r="C6125" s="14" t="s">
        <v>887</v>
      </c>
      <c r="D6125" s="15" t="s">
        <v>301</v>
      </c>
      <c r="E6125" s="16" t="str">
        <f>HYPERLINK("http://twitter.com","Twitter Web Client")</f>
        <v>Twitter Web Client</v>
      </c>
      <c r="F6125" s="12">
        <v>43570.458923611106</v>
      </c>
      <c r="G6125" s="17" t="s">
        <v>13002</v>
      </c>
      <c r="H6125" s="35" t="s">
        <v>888</v>
      </c>
      <c r="I6125" s="18" t="s">
        <v>889</v>
      </c>
    </row>
    <row r="6126" spans="1:9" s="33" customFormat="1" ht="45">
      <c r="A6126" s="12">
        <v>43567.494259259256</v>
      </c>
      <c r="B6126" s="13" t="str">
        <f>HYPERLINK("https://twitter.com/JulianoZero","@JulianoZero")</f>
        <v>@JulianoZero</v>
      </c>
      <c r="C6126" s="14" t="s">
        <v>5090</v>
      </c>
      <c r="D6126" s="15" t="s">
        <v>5091</v>
      </c>
      <c r="E6126" s="16" t="str">
        <f>HYPERLINK("http://twitter.com","Twitter Web Client")</f>
        <v>Twitter Web Client</v>
      </c>
      <c r="F6126" s="12">
        <v>40092.282708333332</v>
      </c>
      <c r="G6126" s="17" t="s">
        <v>13002</v>
      </c>
      <c r="H6126" s="35" t="s">
        <v>5092</v>
      </c>
      <c r="I6126" s="18" t="s">
        <v>5093</v>
      </c>
    </row>
    <row r="6127" spans="1:9" s="33" customFormat="1" ht="45">
      <c r="A6127" s="12">
        <v>43566.429386574076</v>
      </c>
      <c r="B6127" s="13" t="str">
        <f>HYPERLINK("https://twitter.com/atencio82","@atencio82")</f>
        <v>@atencio82</v>
      </c>
      <c r="C6127" s="14" t="s">
        <v>5538</v>
      </c>
      <c r="D6127" s="15" t="s">
        <v>5539</v>
      </c>
      <c r="E6127" s="16" t="str">
        <f>HYPERLINK("http://twitter.com/download/android","Twitter for Android")</f>
        <v>Twitter for Android</v>
      </c>
      <c r="F6127" s="12">
        <v>40105.825578703705</v>
      </c>
      <c r="G6127" s="17" t="s">
        <v>13002</v>
      </c>
      <c r="H6127" s="35" t="s">
        <v>5540</v>
      </c>
      <c r="I6127" s="18" t="s">
        <v>5541</v>
      </c>
    </row>
    <row r="6128" spans="1:9" s="33" customFormat="1" ht="75">
      <c r="A6128" s="19">
        <v>43547.605856481481</v>
      </c>
      <c r="B6128" s="20" t="str">
        <f>HYPERLINK("https://twitter.com/Claudiaruiz","@Claudiaruiz")</f>
        <v>@Claudiaruiz</v>
      </c>
      <c r="C6128" s="21" t="s">
        <v>8498</v>
      </c>
      <c r="D6128" s="22" t="s">
        <v>8499</v>
      </c>
      <c r="E6128" s="23" t="str">
        <f>HYPERLINK("http://twitter.com","Twitter Web Client")</f>
        <v>Twitter Web Client</v>
      </c>
      <c r="F6128" s="19">
        <v>39632.895798611113</v>
      </c>
      <c r="G6128" s="17" t="s">
        <v>13002</v>
      </c>
      <c r="H6128" s="35" t="s">
        <v>3840</v>
      </c>
      <c r="I6128" s="25" t="s">
        <v>8500</v>
      </c>
    </row>
    <row r="6129" spans="1:9" s="33" customFormat="1" ht="75">
      <c r="A6129" s="19">
        <v>43547.31523148148</v>
      </c>
      <c r="B6129" s="20" t="str">
        <f>HYPERLINK("https://twitter.com/Claudiaruiz","@Claudiaruiz")</f>
        <v>@Claudiaruiz</v>
      </c>
      <c r="C6129" s="21" t="s">
        <v>8498</v>
      </c>
      <c r="D6129" s="22" t="s">
        <v>8588</v>
      </c>
      <c r="E6129" s="23" t="str">
        <f>HYPERLINK("http://instagram.com","Instagram")</f>
        <v>Instagram</v>
      </c>
      <c r="F6129" s="19">
        <v>39632.895798611113</v>
      </c>
      <c r="G6129" s="17" t="s">
        <v>13002</v>
      </c>
      <c r="H6129" s="35" t="s">
        <v>3840</v>
      </c>
      <c r="I6129" s="25" t="s">
        <v>8500</v>
      </c>
    </row>
    <row r="6130" spans="1:9" s="33" customFormat="1" ht="30">
      <c r="A6130" s="12">
        <v>43571.130798611106</v>
      </c>
      <c r="B6130" s="13" t="str">
        <f>HYPERLINK("https://twitter.com/ColombianaExper","@ColombianaExper")</f>
        <v>@ColombianaExper</v>
      </c>
      <c r="C6130" s="14" t="s">
        <v>3838</v>
      </c>
      <c r="D6130" s="15" t="s">
        <v>3839</v>
      </c>
      <c r="E6130" s="16" t="str">
        <f>HYPERLINK("http://twitter.com","Twitter Web Client")</f>
        <v>Twitter Web Client</v>
      </c>
      <c r="F6130" s="12">
        <v>43188.387777777782</v>
      </c>
      <c r="G6130" s="17" t="s">
        <v>13002</v>
      </c>
      <c r="H6130" s="35" t="s">
        <v>3840</v>
      </c>
      <c r="I6130" s="18" t="s">
        <v>3841</v>
      </c>
    </row>
    <row r="6131" spans="1:9" s="33" customFormat="1" ht="45">
      <c r="A6131" s="12">
        <v>43568.131678240738</v>
      </c>
      <c r="B6131" s="13" t="str">
        <f>HYPERLINK("https://twitter.com/ColombianaExper","@ColombianaExper")</f>
        <v>@ColombianaExper</v>
      </c>
      <c r="C6131" s="14" t="s">
        <v>3838</v>
      </c>
      <c r="D6131" s="15" t="s">
        <v>4866</v>
      </c>
      <c r="E6131" s="16" t="str">
        <f>HYPERLINK("http://twitter.com","Twitter Web Client")</f>
        <v>Twitter Web Client</v>
      </c>
      <c r="F6131" s="12">
        <v>43188.387777777782</v>
      </c>
      <c r="G6131" s="17" t="s">
        <v>13002</v>
      </c>
      <c r="H6131" s="35" t="s">
        <v>3840</v>
      </c>
      <c r="I6131" s="18" t="s">
        <v>3841</v>
      </c>
    </row>
    <row r="6132" spans="1:9" s="33" customFormat="1" ht="45">
      <c r="A6132" s="12">
        <v>43567.131319444445</v>
      </c>
      <c r="B6132" s="13" t="str">
        <f>HYPERLINK("https://twitter.com/ColombianaExper","@ColombianaExper")</f>
        <v>@ColombianaExper</v>
      </c>
      <c r="C6132" s="14" t="s">
        <v>3838</v>
      </c>
      <c r="D6132" s="15" t="s">
        <v>4866</v>
      </c>
      <c r="E6132" s="16" t="str">
        <f>HYPERLINK("http://twitter.com","Twitter Web Client")</f>
        <v>Twitter Web Client</v>
      </c>
      <c r="F6132" s="12">
        <v>43188.387777777782</v>
      </c>
      <c r="G6132" s="17" t="s">
        <v>13002</v>
      </c>
      <c r="H6132" s="35" t="s">
        <v>3840</v>
      </c>
      <c r="I6132" s="18" t="s">
        <v>3841</v>
      </c>
    </row>
    <row r="6133" spans="1:9" s="33" customFormat="1" ht="45">
      <c r="A6133" s="4">
        <v>43559.543495370366</v>
      </c>
      <c r="B6133" s="5" t="str">
        <f>HYPERLINK("https://twitter.com/cfretreats","@cfretreats")</f>
        <v>@cfretreats</v>
      </c>
      <c r="C6133" s="6" t="s">
        <v>5051</v>
      </c>
      <c r="D6133" s="7" t="s">
        <v>5052</v>
      </c>
      <c r="E6133" s="8" t="str">
        <f>HYPERLINK("http://twitter.com","Twitter Web Client")</f>
        <v>Twitter Web Client</v>
      </c>
      <c r="F6133" s="4">
        <v>41267.965081018519</v>
      </c>
      <c r="G6133" s="17" t="s">
        <v>13002</v>
      </c>
      <c r="H6133" s="35" t="s">
        <v>5053</v>
      </c>
      <c r="I6133" s="10" t="s">
        <v>5054</v>
      </c>
    </row>
    <row r="6134" spans="1:9" s="33" customFormat="1" ht="45">
      <c r="A6134" s="12">
        <v>43567.560266203705</v>
      </c>
      <c r="B6134" s="13" t="str">
        <f>HYPERLINK("https://twitter.com/cfretreats","@cfretreats")</f>
        <v>@cfretreats</v>
      </c>
      <c r="C6134" s="14" t="s">
        <v>5051</v>
      </c>
      <c r="D6134" s="15" t="s">
        <v>5052</v>
      </c>
      <c r="E6134" s="16" t="str">
        <f>HYPERLINK("http://twitter.com","Twitter Web Client")</f>
        <v>Twitter Web Client</v>
      </c>
      <c r="F6134" s="12">
        <v>41267.965081018519</v>
      </c>
      <c r="G6134" s="17" t="s">
        <v>13002</v>
      </c>
      <c r="H6134" s="35" t="s">
        <v>5053</v>
      </c>
      <c r="I6134" s="18" t="s">
        <v>5054</v>
      </c>
    </row>
    <row r="6135" spans="1:9" s="33" customFormat="1" ht="90">
      <c r="A6135" s="4">
        <v>43564.346608796295</v>
      </c>
      <c r="B6135" s="5" t="str">
        <f>HYPERLINK("https://twitter.com/runakay502","@runakay502")</f>
        <v>@runakay502</v>
      </c>
      <c r="C6135" s="6" t="s">
        <v>6670</v>
      </c>
      <c r="D6135" s="7" t="s">
        <v>6671</v>
      </c>
      <c r="E6135" s="8" t="str">
        <f>HYPERLINK("http://www.facebook.com/twitter","Facebook")</f>
        <v>Facebook</v>
      </c>
      <c r="F6135" s="4">
        <v>42229.520127314812</v>
      </c>
      <c r="G6135" s="17" t="s">
        <v>13002</v>
      </c>
      <c r="H6135" s="35" t="s">
        <v>6672</v>
      </c>
      <c r="I6135" s="10"/>
    </row>
    <row r="6136" spans="1:9" s="33" customFormat="1" ht="75">
      <c r="A6136" s="4">
        <v>43565.479166666672</v>
      </c>
      <c r="B6136" s="5" t="str">
        <f>HYPERLINK("https://twitter.com/telesurenglish","@telesurenglish")</f>
        <v>@telesurenglish</v>
      </c>
      <c r="C6136" s="6" t="s">
        <v>6062</v>
      </c>
      <c r="D6136" s="7" t="s">
        <v>6060</v>
      </c>
      <c r="E6136" s="8" t="str">
        <f>HYPERLINK("https://about.twitter.com/products/tweetdeck","TweetDeck")</f>
        <v>TweetDeck</v>
      </c>
      <c r="F6136" s="4">
        <v>40672.769548611112</v>
      </c>
      <c r="G6136" s="17" t="s">
        <v>13002</v>
      </c>
      <c r="H6136" s="35" t="s">
        <v>6063</v>
      </c>
      <c r="I6136" s="10" t="s">
        <v>6064</v>
      </c>
    </row>
    <row r="6137" spans="1:9" s="33" customFormat="1" ht="60">
      <c r="A6137" s="19">
        <v>43546.757013888884</v>
      </c>
      <c r="B6137" s="20" t="str">
        <f>HYPERLINK("https://twitter.com/fabioturis","@fabioturis")</f>
        <v>@fabioturis</v>
      </c>
      <c r="C6137" s="21" t="s">
        <v>2455</v>
      </c>
      <c r="D6137" s="22" t="s">
        <v>1705</v>
      </c>
      <c r="E6137" s="23" t="str">
        <f>HYPERLINK("https://www.hootsuite.com","Hootsuite Inc.")</f>
        <v>Hootsuite Inc.</v>
      </c>
      <c r="F6137" s="19">
        <v>40739.900717592594</v>
      </c>
      <c r="G6137" s="17" t="s">
        <v>13002</v>
      </c>
      <c r="H6137" s="35" t="s">
        <v>2456</v>
      </c>
      <c r="I6137" s="25" t="s">
        <v>2457</v>
      </c>
    </row>
    <row r="6138" spans="1:9" s="33" customFormat="1" ht="60">
      <c r="A6138" s="4">
        <v>43558.757013888884</v>
      </c>
      <c r="B6138" s="5" t="str">
        <f>HYPERLINK("https://twitter.com/fabioturis","@fabioturis")</f>
        <v>@fabioturis</v>
      </c>
      <c r="C6138" s="6" t="s">
        <v>2455</v>
      </c>
      <c r="D6138" s="7" t="s">
        <v>1705</v>
      </c>
      <c r="E6138" s="8" t="str">
        <f>HYPERLINK("https://www.hootsuite.com","Hootsuite Inc.")</f>
        <v>Hootsuite Inc.</v>
      </c>
      <c r="F6138" s="4">
        <v>40739.900717592594</v>
      </c>
      <c r="G6138" s="17" t="s">
        <v>13002</v>
      </c>
      <c r="H6138" s="35" t="s">
        <v>2456</v>
      </c>
      <c r="I6138" s="10" t="s">
        <v>2457</v>
      </c>
    </row>
    <row r="6139" spans="1:9" s="33" customFormat="1" ht="45">
      <c r="A6139" s="4">
        <v>43557.777094907404</v>
      </c>
      <c r="B6139" s="5" t="str">
        <f>HYPERLINK("https://twitter.com/fabioturis","@fabioturis")</f>
        <v>@fabioturis</v>
      </c>
      <c r="C6139" s="6" t="s">
        <v>2455</v>
      </c>
      <c r="D6139" s="7" t="s">
        <v>12391</v>
      </c>
      <c r="E6139" s="8" t="str">
        <f>HYPERLINK("https://buffer.com","Buffer")</f>
        <v>Buffer</v>
      </c>
      <c r="F6139" s="4">
        <v>40739.900717592594</v>
      </c>
      <c r="G6139" s="17" t="s">
        <v>13002</v>
      </c>
      <c r="H6139" s="35" t="s">
        <v>2456</v>
      </c>
      <c r="I6139" s="10" t="s">
        <v>2457</v>
      </c>
    </row>
    <row r="6140" spans="1:9" s="33" customFormat="1" ht="60">
      <c r="A6140" s="12">
        <v>43574.756990740745</v>
      </c>
      <c r="B6140" s="13" t="str">
        <f>HYPERLINK("https://twitter.com/fabioturis","@fabioturis")</f>
        <v>@fabioturis</v>
      </c>
      <c r="C6140" s="14" t="s">
        <v>2455</v>
      </c>
      <c r="D6140" s="15" t="s">
        <v>1705</v>
      </c>
      <c r="E6140" s="16" t="str">
        <f>HYPERLINK("https://www.hootsuite.com","Hootsuite Inc.")</f>
        <v>Hootsuite Inc.</v>
      </c>
      <c r="F6140" s="12">
        <v>40739.900717592594</v>
      </c>
      <c r="G6140" s="17" t="s">
        <v>13002</v>
      </c>
      <c r="H6140" s="35" t="s">
        <v>2456</v>
      </c>
      <c r="I6140" s="18" t="s">
        <v>2457</v>
      </c>
    </row>
    <row r="6141" spans="1:9" s="33" customFormat="1" ht="60">
      <c r="A6141" s="12">
        <v>43566.757013888884</v>
      </c>
      <c r="B6141" s="13" t="str">
        <f>HYPERLINK("https://twitter.com/fabioturis","@fabioturis")</f>
        <v>@fabioturis</v>
      </c>
      <c r="C6141" s="14" t="s">
        <v>2455</v>
      </c>
      <c r="D6141" s="15" t="s">
        <v>1705</v>
      </c>
      <c r="E6141" s="16" t="str">
        <f>HYPERLINK("https://www.hootsuite.com","Hootsuite Inc.")</f>
        <v>Hootsuite Inc.</v>
      </c>
      <c r="F6141" s="12">
        <v>40739.900717592594</v>
      </c>
      <c r="G6141" s="17" t="s">
        <v>13002</v>
      </c>
      <c r="H6141" s="35" t="s">
        <v>2456</v>
      </c>
      <c r="I6141" s="18" t="s">
        <v>2457</v>
      </c>
    </row>
    <row r="6142" spans="1:9" s="33" customFormat="1" ht="90">
      <c r="A6142" s="12">
        <v>43572.557141203702</v>
      </c>
      <c r="B6142" s="13" t="str">
        <f>HYPERLINK("https://twitter.com/rioconcierge","@rioconcierge")</f>
        <v>@rioconcierge</v>
      </c>
      <c r="C6142" s="14" t="s">
        <v>3167</v>
      </c>
      <c r="D6142" s="15" t="s">
        <v>3168</v>
      </c>
      <c r="E6142" s="16" t="str">
        <f>HYPERLINK("http://twitter.com","Twitter Web Client")</f>
        <v>Twitter Web Client</v>
      </c>
      <c r="F6142" s="12">
        <v>39701.611134259263</v>
      </c>
      <c r="G6142" s="17" t="s">
        <v>13002</v>
      </c>
      <c r="H6142" s="35" t="s">
        <v>3169</v>
      </c>
      <c r="I6142" s="18" t="s">
        <v>3170</v>
      </c>
    </row>
    <row r="6143" spans="1:9" s="33" customFormat="1" ht="60">
      <c r="A6143" s="19">
        <v>43549.454930555556</v>
      </c>
      <c r="B6143" s="20" t="str">
        <f t="shared" ref="B6143:B6149" si="232">HYPERLINK("https://twitter.com/passosdoturismo","@passosdoturismo")</f>
        <v>@passosdoturismo</v>
      </c>
      <c r="C6143" s="21" t="s">
        <v>1704</v>
      </c>
      <c r="D6143" s="22" t="s">
        <v>1705</v>
      </c>
      <c r="E6143" s="23" t="str">
        <f t="shared" ref="E6143:E6149" si="233">HYPERLINK("https://www.hootsuite.com","Hootsuite Inc.")</f>
        <v>Hootsuite Inc.</v>
      </c>
      <c r="F6143" s="19">
        <v>42335.861400462964</v>
      </c>
      <c r="G6143" s="17" t="s">
        <v>13002</v>
      </c>
      <c r="H6143" s="35" t="s">
        <v>1706</v>
      </c>
      <c r="I6143" s="25" t="s">
        <v>1707</v>
      </c>
    </row>
    <row r="6144" spans="1:9" s="33" customFormat="1" ht="45">
      <c r="A6144" s="19">
        <v>43546.670185185183</v>
      </c>
      <c r="B6144" s="20" t="str">
        <f t="shared" si="232"/>
        <v>@passosdoturismo</v>
      </c>
      <c r="C6144" s="21" t="s">
        <v>1704</v>
      </c>
      <c r="D6144" s="22" t="s">
        <v>8764</v>
      </c>
      <c r="E6144" s="23" t="str">
        <f t="shared" si="233"/>
        <v>Hootsuite Inc.</v>
      </c>
      <c r="F6144" s="19">
        <v>42335.861400462964</v>
      </c>
      <c r="G6144" s="17" t="s">
        <v>13002</v>
      </c>
      <c r="H6144" s="35" t="s">
        <v>1706</v>
      </c>
      <c r="I6144" s="25" t="s">
        <v>1707</v>
      </c>
    </row>
    <row r="6145" spans="1:9" s="33" customFormat="1" ht="60">
      <c r="A6145" s="19">
        <v>43543.513969907406</v>
      </c>
      <c r="B6145" s="20" t="str">
        <f t="shared" si="232"/>
        <v>@passosdoturismo</v>
      </c>
      <c r="C6145" s="21" t="s">
        <v>1704</v>
      </c>
      <c r="D6145" s="22" t="s">
        <v>1705</v>
      </c>
      <c r="E6145" s="23" t="str">
        <f t="shared" si="233"/>
        <v>Hootsuite Inc.</v>
      </c>
      <c r="F6145" s="19">
        <v>42335.861400462964</v>
      </c>
      <c r="G6145" s="17" t="s">
        <v>13002</v>
      </c>
      <c r="H6145" s="35" t="s">
        <v>1706</v>
      </c>
      <c r="I6145" s="25" t="s">
        <v>1707</v>
      </c>
    </row>
    <row r="6146" spans="1:9" s="33" customFormat="1" ht="60">
      <c r="A6146" s="4">
        <v>43563.336898148147</v>
      </c>
      <c r="B6146" s="5" t="str">
        <f t="shared" si="232"/>
        <v>@passosdoturismo</v>
      </c>
      <c r="C6146" s="6" t="s">
        <v>1704</v>
      </c>
      <c r="D6146" s="7" t="s">
        <v>1705</v>
      </c>
      <c r="E6146" s="8" t="str">
        <f t="shared" si="233"/>
        <v>Hootsuite Inc.</v>
      </c>
      <c r="F6146" s="4">
        <v>42335.861400462964</v>
      </c>
      <c r="G6146" s="17" t="s">
        <v>13002</v>
      </c>
      <c r="H6146" s="35" t="s">
        <v>1706</v>
      </c>
      <c r="I6146" s="10" t="s">
        <v>1707</v>
      </c>
    </row>
    <row r="6147" spans="1:9" s="33" customFormat="1" ht="60">
      <c r="A6147" s="4">
        <v>43560.572962962964</v>
      </c>
      <c r="B6147" s="5" t="str">
        <f t="shared" si="232"/>
        <v>@passosdoturismo</v>
      </c>
      <c r="C6147" s="6" t="s">
        <v>1704</v>
      </c>
      <c r="D6147" s="7" t="s">
        <v>1705</v>
      </c>
      <c r="E6147" s="8" t="str">
        <f t="shared" si="233"/>
        <v>Hootsuite Inc.</v>
      </c>
      <c r="F6147" s="4">
        <v>42335.861400462964</v>
      </c>
      <c r="G6147" s="17" t="s">
        <v>13002</v>
      </c>
      <c r="H6147" s="35" t="s">
        <v>1706</v>
      </c>
      <c r="I6147" s="10" t="s">
        <v>1707</v>
      </c>
    </row>
    <row r="6148" spans="1:9" s="33" customFormat="1" ht="60">
      <c r="A6148" s="12">
        <v>43577.209456018521</v>
      </c>
      <c r="B6148" s="13" t="str">
        <f t="shared" si="232"/>
        <v>@passosdoturismo</v>
      </c>
      <c r="C6148" s="14" t="s">
        <v>1704</v>
      </c>
      <c r="D6148" s="15" t="s">
        <v>1705</v>
      </c>
      <c r="E6148" s="16" t="str">
        <f t="shared" si="233"/>
        <v>Hootsuite Inc.</v>
      </c>
      <c r="F6148" s="12">
        <v>42335.861400462964</v>
      </c>
      <c r="G6148" s="17" t="s">
        <v>13002</v>
      </c>
      <c r="H6148" s="35" t="s">
        <v>1706</v>
      </c>
      <c r="I6148" s="18" t="s">
        <v>1707</v>
      </c>
    </row>
    <row r="6149" spans="1:9" s="33" customFormat="1" ht="60">
      <c r="A6149" s="12">
        <v>43570.215358796297</v>
      </c>
      <c r="B6149" s="13" t="str">
        <f t="shared" si="232"/>
        <v>@passosdoturismo</v>
      </c>
      <c r="C6149" s="14" t="s">
        <v>1704</v>
      </c>
      <c r="D6149" s="15" t="s">
        <v>1705</v>
      </c>
      <c r="E6149" s="16" t="str">
        <f t="shared" si="233"/>
        <v>Hootsuite Inc.</v>
      </c>
      <c r="F6149" s="12">
        <v>42335.861400462964</v>
      </c>
      <c r="G6149" s="17" t="s">
        <v>13002</v>
      </c>
      <c r="H6149" s="35" t="s">
        <v>1706</v>
      </c>
      <c r="I6149" s="18" t="s">
        <v>1707</v>
      </c>
    </row>
    <row r="6150" spans="1:9" s="33" customFormat="1" ht="105">
      <c r="A6150" s="12">
        <v>43566.848634259259</v>
      </c>
      <c r="B6150" s="13" t="str">
        <f>HYPERLINK("https://twitter.com/matrizderisco","@matrizderisco")</f>
        <v>@matrizderisco</v>
      </c>
      <c r="C6150" s="14" t="s">
        <v>5325</v>
      </c>
      <c r="D6150" s="15" t="s">
        <v>5326</v>
      </c>
      <c r="E6150" s="16" t="str">
        <f>HYPERLINK("https://www.spreaker.com","Spreaker")</f>
        <v>Spreaker</v>
      </c>
      <c r="F6150" s="12">
        <v>43413.413541666669</v>
      </c>
      <c r="G6150" s="17" t="s">
        <v>13002</v>
      </c>
      <c r="H6150" s="35" t="s">
        <v>5327</v>
      </c>
      <c r="I6150" s="18" t="s">
        <v>5328</v>
      </c>
    </row>
    <row r="6151" spans="1:9" s="33" customFormat="1" ht="15">
      <c r="A6151" s="19">
        <v>43551.208506944444</v>
      </c>
      <c r="B6151" s="20" t="str">
        <f>HYPERLINK("https://twitter.com/LaCafecita","@LaCafecita")</f>
        <v>@LaCafecita</v>
      </c>
      <c r="C6151" s="21" t="s">
        <v>7398</v>
      </c>
      <c r="D6151" s="22" t="s">
        <v>7399</v>
      </c>
      <c r="E6151" s="23" t="str">
        <f>HYPERLINK("http://twitter.com/download/android","Twitter for Android")</f>
        <v>Twitter for Android</v>
      </c>
      <c r="F6151" s="19">
        <v>41939.272314814814</v>
      </c>
      <c r="G6151" s="24" t="s">
        <v>13002</v>
      </c>
      <c r="H6151" s="35" t="s">
        <v>7400</v>
      </c>
      <c r="I6151" s="25" t="s">
        <v>7401</v>
      </c>
    </row>
    <row r="6152" spans="1:9" s="33" customFormat="1" ht="105">
      <c r="A6152" s="19">
        <v>43551.05569444444</v>
      </c>
      <c r="B6152" s="20" t="str">
        <f t="shared" ref="B6152:B6164" si="234">HYPERLINK("https://twitter.com/BuddhavillaA","@BuddhavillaA")</f>
        <v>@BuddhavillaA</v>
      </c>
      <c r="C6152" s="21" t="s">
        <v>204</v>
      </c>
      <c r="D6152" s="22" t="s">
        <v>7451</v>
      </c>
      <c r="E6152" s="23" t="str">
        <f t="shared" ref="E6152:E6164" si="235">HYPERLINK("https://mobile.twitter.com","Twitter Web App")</f>
        <v>Twitter Web App</v>
      </c>
      <c r="F6152" s="19">
        <v>43313.065034722225</v>
      </c>
      <c r="G6152" s="17" t="s">
        <v>13002</v>
      </c>
      <c r="H6152" s="35" t="s">
        <v>206</v>
      </c>
      <c r="I6152" s="25" t="s">
        <v>207</v>
      </c>
    </row>
    <row r="6153" spans="1:9" s="33" customFormat="1" ht="105">
      <c r="A6153" s="19">
        <v>43550.088414351849</v>
      </c>
      <c r="B6153" s="20" t="str">
        <f t="shared" si="234"/>
        <v>@BuddhavillaA</v>
      </c>
      <c r="C6153" s="21" t="s">
        <v>204</v>
      </c>
      <c r="D6153" s="22" t="s">
        <v>7846</v>
      </c>
      <c r="E6153" s="23" t="str">
        <f t="shared" si="235"/>
        <v>Twitter Web App</v>
      </c>
      <c r="F6153" s="19">
        <v>43313.065034722225</v>
      </c>
      <c r="G6153" s="17" t="s">
        <v>13002</v>
      </c>
      <c r="H6153" s="35" t="s">
        <v>206</v>
      </c>
      <c r="I6153" s="25" t="s">
        <v>207</v>
      </c>
    </row>
    <row r="6154" spans="1:9" s="33" customFormat="1" ht="105">
      <c r="A6154" s="19">
        <v>43549.091550925921</v>
      </c>
      <c r="B6154" s="20" t="str">
        <f t="shared" si="234"/>
        <v>@BuddhavillaA</v>
      </c>
      <c r="C6154" s="21" t="s">
        <v>204</v>
      </c>
      <c r="D6154" s="22" t="s">
        <v>8175</v>
      </c>
      <c r="E6154" s="23" t="str">
        <f t="shared" si="235"/>
        <v>Twitter Web App</v>
      </c>
      <c r="F6154" s="19">
        <v>43313.065034722225</v>
      </c>
      <c r="G6154" s="17" t="s">
        <v>13002</v>
      </c>
      <c r="H6154" s="35" t="s">
        <v>206</v>
      </c>
      <c r="I6154" s="25" t="s">
        <v>207</v>
      </c>
    </row>
    <row r="6155" spans="1:9" s="33" customFormat="1" ht="105">
      <c r="A6155" s="19">
        <v>43549.032673611116</v>
      </c>
      <c r="B6155" s="20" t="str">
        <f t="shared" si="234"/>
        <v>@BuddhavillaA</v>
      </c>
      <c r="C6155" s="21" t="s">
        <v>204</v>
      </c>
      <c r="D6155" s="22" t="s">
        <v>8188</v>
      </c>
      <c r="E6155" s="23" t="str">
        <f t="shared" si="235"/>
        <v>Twitter Web App</v>
      </c>
      <c r="F6155" s="19">
        <v>43313.065034722225</v>
      </c>
      <c r="G6155" s="17" t="s">
        <v>13002</v>
      </c>
      <c r="H6155" s="35" t="s">
        <v>206</v>
      </c>
      <c r="I6155" s="25" t="s">
        <v>207</v>
      </c>
    </row>
    <row r="6156" spans="1:9" s="33" customFormat="1" ht="105">
      <c r="A6156" s="19">
        <v>43544.142812499995</v>
      </c>
      <c r="B6156" s="20" t="str">
        <f t="shared" si="234"/>
        <v>@BuddhavillaA</v>
      </c>
      <c r="C6156" s="21" t="s">
        <v>204</v>
      </c>
      <c r="D6156" s="22" t="s">
        <v>9599</v>
      </c>
      <c r="E6156" s="23" t="str">
        <f t="shared" si="235"/>
        <v>Twitter Web App</v>
      </c>
      <c r="F6156" s="19">
        <v>43313.065034722225</v>
      </c>
      <c r="G6156" s="17" t="s">
        <v>13002</v>
      </c>
      <c r="H6156" s="35" t="s">
        <v>206</v>
      </c>
      <c r="I6156" s="25" t="s">
        <v>207</v>
      </c>
    </row>
    <row r="6157" spans="1:9" s="33" customFormat="1" ht="105">
      <c r="A6157" s="19">
        <v>43543.154085648144</v>
      </c>
      <c r="B6157" s="20" t="str">
        <f t="shared" si="234"/>
        <v>@BuddhavillaA</v>
      </c>
      <c r="C6157" s="21" t="s">
        <v>204</v>
      </c>
      <c r="D6157" s="22" t="s">
        <v>9923</v>
      </c>
      <c r="E6157" s="23" t="str">
        <f t="shared" si="235"/>
        <v>Twitter Web App</v>
      </c>
      <c r="F6157" s="19">
        <v>43313.065034722225</v>
      </c>
      <c r="G6157" s="17" t="s">
        <v>13002</v>
      </c>
      <c r="H6157" s="35" t="s">
        <v>206</v>
      </c>
      <c r="I6157" s="25" t="s">
        <v>207</v>
      </c>
    </row>
    <row r="6158" spans="1:9" s="33" customFormat="1" ht="105">
      <c r="A6158" s="4">
        <v>43565.223854166667</v>
      </c>
      <c r="B6158" s="5" t="str">
        <f t="shared" si="234"/>
        <v>@BuddhavillaA</v>
      </c>
      <c r="C6158" s="6" t="s">
        <v>204</v>
      </c>
      <c r="D6158" s="7" t="s">
        <v>6230</v>
      </c>
      <c r="E6158" s="8" t="str">
        <f t="shared" si="235"/>
        <v>Twitter Web App</v>
      </c>
      <c r="F6158" s="4">
        <v>43313.065034722225</v>
      </c>
      <c r="G6158" s="17" t="s">
        <v>13002</v>
      </c>
      <c r="H6158" s="35" t="s">
        <v>206</v>
      </c>
      <c r="I6158" s="10" t="s">
        <v>207</v>
      </c>
    </row>
    <row r="6159" spans="1:9" s="33" customFormat="1" ht="105">
      <c r="A6159" s="4">
        <v>43563.069780092592</v>
      </c>
      <c r="B6159" s="5" t="str">
        <f t="shared" si="234"/>
        <v>@BuddhavillaA</v>
      </c>
      <c r="C6159" s="6" t="s">
        <v>204</v>
      </c>
      <c r="D6159" s="7" t="s">
        <v>10476</v>
      </c>
      <c r="E6159" s="8" t="str">
        <f t="shared" si="235"/>
        <v>Twitter Web App</v>
      </c>
      <c r="F6159" s="4">
        <v>43313.065034722225</v>
      </c>
      <c r="G6159" s="17" t="s">
        <v>13002</v>
      </c>
      <c r="H6159" s="35" t="s">
        <v>206</v>
      </c>
      <c r="I6159" s="10" t="s">
        <v>207</v>
      </c>
    </row>
    <row r="6160" spans="1:9" s="33" customFormat="1" ht="105">
      <c r="A6160" s="4">
        <v>43557.042013888888</v>
      </c>
      <c r="B6160" s="5" t="str">
        <f t="shared" si="234"/>
        <v>@BuddhavillaA</v>
      </c>
      <c r="C6160" s="6" t="s">
        <v>204</v>
      </c>
      <c r="D6160" s="7" t="s">
        <v>12673</v>
      </c>
      <c r="E6160" s="8" t="str">
        <f t="shared" si="235"/>
        <v>Twitter Web App</v>
      </c>
      <c r="F6160" s="4">
        <v>43313.065034722225</v>
      </c>
      <c r="G6160" s="17" t="s">
        <v>13002</v>
      </c>
      <c r="H6160" s="35" t="s">
        <v>206</v>
      </c>
      <c r="I6160" s="10" t="s">
        <v>207</v>
      </c>
    </row>
    <row r="6161" spans="1:9" s="33" customFormat="1" ht="105">
      <c r="A6161" s="12">
        <v>43580.621666666666</v>
      </c>
      <c r="B6161" s="13" t="str">
        <f t="shared" si="234"/>
        <v>@BuddhavillaA</v>
      </c>
      <c r="C6161" s="14" t="s">
        <v>204</v>
      </c>
      <c r="D6161" s="15" t="s">
        <v>205</v>
      </c>
      <c r="E6161" s="16" t="str">
        <f t="shared" si="235"/>
        <v>Twitter Web App</v>
      </c>
      <c r="F6161" s="12">
        <v>43313.523368055554</v>
      </c>
      <c r="G6161" s="17" t="s">
        <v>13002</v>
      </c>
      <c r="H6161" s="35" t="s">
        <v>206</v>
      </c>
      <c r="I6161" s="18" t="s">
        <v>207</v>
      </c>
    </row>
    <row r="6162" spans="1:9" s="33" customFormat="1" ht="105">
      <c r="A6162" s="12">
        <v>43578.106238425928</v>
      </c>
      <c r="B6162" s="13" t="str">
        <f t="shared" si="234"/>
        <v>@BuddhavillaA</v>
      </c>
      <c r="C6162" s="14" t="s">
        <v>204</v>
      </c>
      <c r="D6162" s="15" t="s">
        <v>1397</v>
      </c>
      <c r="E6162" s="16" t="str">
        <f t="shared" si="235"/>
        <v>Twitter Web App</v>
      </c>
      <c r="F6162" s="12">
        <v>43313.065034722225</v>
      </c>
      <c r="G6162" s="17" t="s">
        <v>13002</v>
      </c>
      <c r="H6162" s="35" t="s">
        <v>206</v>
      </c>
      <c r="I6162" s="18" t="s">
        <v>207</v>
      </c>
    </row>
    <row r="6163" spans="1:9" s="33" customFormat="1" ht="105">
      <c r="A6163" s="12">
        <v>43571.08458333333</v>
      </c>
      <c r="B6163" s="13" t="str">
        <f t="shared" si="234"/>
        <v>@BuddhavillaA</v>
      </c>
      <c r="C6163" s="14" t="s">
        <v>204</v>
      </c>
      <c r="D6163" s="15" t="s">
        <v>1397</v>
      </c>
      <c r="E6163" s="16" t="str">
        <f t="shared" si="235"/>
        <v>Twitter Web App</v>
      </c>
      <c r="F6163" s="12">
        <v>43313.065034722225</v>
      </c>
      <c r="G6163" s="17" t="s">
        <v>13002</v>
      </c>
      <c r="H6163" s="35" t="s">
        <v>206</v>
      </c>
      <c r="I6163" s="18" t="s">
        <v>207</v>
      </c>
    </row>
    <row r="6164" spans="1:9" s="33" customFormat="1" ht="105">
      <c r="A6164" s="12">
        <v>43569.977326388893</v>
      </c>
      <c r="B6164" s="13" t="str">
        <f t="shared" si="234"/>
        <v>@BuddhavillaA</v>
      </c>
      <c r="C6164" s="14" t="s">
        <v>204</v>
      </c>
      <c r="D6164" s="15" t="s">
        <v>4368</v>
      </c>
      <c r="E6164" s="16" t="str">
        <f t="shared" si="235"/>
        <v>Twitter Web App</v>
      </c>
      <c r="F6164" s="12">
        <v>43313.065034722225</v>
      </c>
      <c r="G6164" s="17" t="s">
        <v>13002</v>
      </c>
      <c r="H6164" s="35" t="s">
        <v>206</v>
      </c>
      <c r="I6164" s="18" t="s">
        <v>207</v>
      </c>
    </row>
    <row r="6165" spans="1:9" s="33" customFormat="1" ht="90">
      <c r="A6165" s="12">
        <v>43579.603229166663</v>
      </c>
      <c r="B6165" s="13" t="str">
        <f>HYPERLINK("https://twitter.com/BenKrako","@BenKrako")</f>
        <v>@BenKrako</v>
      </c>
      <c r="C6165" s="14" t="s">
        <v>545</v>
      </c>
      <c r="D6165" s="15" t="s">
        <v>301</v>
      </c>
      <c r="E6165" s="16" t="str">
        <f>HYPERLINK("http://twitter.com","Twitter Web Client")</f>
        <v>Twitter Web Client</v>
      </c>
      <c r="F6165" s="12">
        <v>42971.552905092598</v>
      </c>
      <c r="G6165" s="17" t="s">
        <v>13002</v>
      </c>
      <c r="H6165" s="35" t="s">
        <v>546</v>
      </c>
      <c r="I6165" s="18" t="s">
        <v>547</v>
      </c>
    </row>
    <row r="6166" spans="1:9" s="33" customFormat="1" ht="60">
      <c r="A6166" s="19">
        <v>43551.69902777778</v>
      </c>
      <c r="B6166" s="20" t="str">
        <f>HYPERLINK("https://twitter.com/LuxuryAirbnb","@LuxuryAirbnb")</f>
        <v>@LuxuryAirbnb</v>
      </c>
      <c r="C6166" s="21" t="s">
        <v>5815</v>
      </c>
      <c r="D6166" s="22" t="s">
        <v>5816</v>
      </c>
      <c r="E6166" s="23" t="str">
        <f t="shared" ref="E6166:E6171" si="236">HYPERLINK("http://twitter.com/download/iphone","Twitter for iPhone")</f>
        <v>Twitter for iPhone</v>
      </c>
      <c r="F6166" s="19">
        <v>43153.768773148149</v>
      </c>
      <c r="G6166" s="17" t="s">
        <v>13002</v>
      </c>
      <c r="H6166" s="35" t="s">
        <v>5817</v>
      </c>
      <c r="I6166" s="25" t="s">
        <v>5818</v>
      </c>
    </row>
    <row r="6167" spans="1:9" s="33" customFormat="1" ht="60">
      <c r="A6167" s="4">
        <v>43558.773125</v>
      </c>
      <c r="B6167" s="5" t="str">
        <f>HYPERLINK("https://twitter.com/LuxuryAirbnb","@LuxuryAirbnb")</f>
        <v>@LuxuryAirbnb</v>
      </c>
      <c r="C6167" s="6" t="s">
        <v>5815</v>
      </c>
      <c r="D6167" s="7" t="s">
        <v>5816</v>
      </c>
      <c r="E6167" s="8" t="str">
        <f t="shared" si="236"/>
        <v>Twitter for iPhone</v>
      </c>
      <c r="F6167" s="4">
        <v>43153.768773148149</v>
      </c>
      <c r="G6167" s="17" t="s">
        <v>13002</v>
      </c>
      <c r="H6167" s="35" t="s">
        <v>5817</v>
      </c>
      <c r="I6167" s="10" t="s">
        <v>5818</v>
      </c>
    </row>
    <row r="6168" spans="1:9" s="33" customFormat="1" ht="60">
      <c r="A6168" s="12">
        <v>43566.029594907406</v>
      </c>
      <c r="B6168" s="13" t="str">
        <f>HYPERLINK("https://twitter.com/LuxuryAirbnb","@LuxuryAirbnb")</f>
        <v>@LuxuryAirbnb</v>
      </c>
      <c r="C6168" s="14" t="s">
        <v>5815</v>
      </c>
      <c r="D6168" s="15" t="s">
        <v>5816</v>
      </c>
      <c r="E6168" s="16" t="str">
        <f t="shared" si="236"/>
        <v>Twitter for iPhone</v>
      </c>
      <c r="F6168" s="12">
        <v>43153.768773148149</v>
      </c>
      <c r="G6168" s="17" t="s">
        <v>13002</v>
      </c>
      <c r="H6168" s="35" t="s">
        <v>5817</v>
      </c>
      <c r="I6168" s="18" t="s">
        <v>5818</v>
      </c>
    </row>
    <row r="6169" spans="1:9" s="33" customFormat="1" ht="60">
      <c r="A6169" s="4">
        <v>43558.773657407408</v>
      </c>
      <c r="B6169" s="5" t="str">
        <f>HYPERLINK("https://twitter.com/BrazilAirbnbSP","@BrazilAirbnbSP")</f>
        <v>@BrazilAirbnbSP</v>
      </c>
      <c r="C6169" s="6" t="s">
        <v>12040</v>
      </c>
      <c r="D6169" s="7" t="s">
        <v>5816</v>
      </c>
      <c r="E6169" s="8" t="str">
        <f t="shared" si="236"/>
        <v>Twitter for iPhone</v>
      </c>
      <c r="F6169" s="4">
        <v>42823.889236111107</v>
      </c>
      <c r="G6169" s="17" t="s">
        <v>13002</v>
      </c>
      <c r="H6169" s="35" t="s">
        <v>12041</v>
      </c>
      <c r="I6169" s="10" t="s">
        <v>5818</v>
      </c>
    </row>
    <row r="6170" spans="1:9" s="33" customFormat="1" ht="60">
      <c r="A6170" s="4">
        <v>43558.773495370369</v>
      </c>
      <c r="B6170" s="5" t="str">
        <f>HYPERLINK("https://twitter.com/nashschultz","@nashschultz")</f>
        <v>@nashschultz</v>
      </c>
      <c r="C6170" s="6" t="s">
        <v>12042</v>
      </c>
      <c r="D6170" s="7" t="s">
        <v>5816</v>
      </c>
      <c r="E6170" s="8" t="str">
        <f t="shared" si="236"/>
        <v>Twitter for iPhone</v>
      </c>
      <c r="F6170" s="4">
        <v>41275.743773148148</v>
      </c>
      <c r="G6170" s="17" t="s">
        <v>13002</v>
      </c>
      <c r="H6170" s="35" t="s">
        <v>12041</v>
      </c>
      <c r="I6170" s="10" t="s">
        <v>12043</v>
      </c>
    </row>
    <row r="6171" spans="1:9" s="33" customFormat="1" ht="60">
      <c r="A6171" s="4">
        <v>43558.773321759261</v>
      </c>
      <c r="B6171" s="5" t="str">
        <f>HYPERLINK("https://twitter.com/SaoPauloTravels","@SaoPauloTravels")</f>
        <v>@SaoPauloTravels</v>
      </c>
      <c r="C6171" s="6" t="s">
        <v>12044</v>
      </c>
      <c r="D6171" s="7" t="s">
        <v>5816</v>
      </c>
      <c r="E6171" s="8" t="str">
        <f t="shared" si="236"/>
        <v>Twitter for iPhone</v>
      </c>
      <c r="F6171" s="4">
        <v>42641.538576388892</v>
      </c>
      <c r="G6171" s="17" t="s">
        <v>13002</v>
      </c>
      <c r="H6171" s="35" t="s">
        <v>12041</v>
      </c>
      <c r="I6171" s="10" t="s">
        <v>5818</v>
      </c>
    </row>
    <row r="6172" spans="1:9" s="33" customFormat="1" ht="45">
      <c r="A6172" s="12">
        <v>43566.616655092592</v>
      </c>
      <c r="B6172" s="13" t="str">
        <f>HYPERLINK("https://twitter.com/juanitahong","@juanitahong")</f>
        <v>@juanitahong</v>
      </c>
      <c r="C6172" s="14" t="s">
        <v>5396</v>
      </c>
      <c r="D6172" s="15" t="s">
        <v>5397</v>
      </c>
      <c r="E6172" s="16" t="str">
        <f>HYPERLINK("http://instagram.com","Instagram")</f>
        <v>Instagram</v>
      </c>
      <c r="F6172" s="12">
        <v>39921.602175925924</v>
      </c>
      <c r="G6172" s="17" t="s">
        <v>13002</v>
      </c>
      <c r="H6172" s="35" t="s">
        <v>5398</v>
      </c>
      <c r="I6172" s="18" t="s">
        <v>5399</v>
      </c>
    </row>
    <row r="6173" spans="1:9" s="33" customFormat="1" ht="75">
      <c r="A6173" s="4">
        <v>43564.438333333332</v>
      </c>
      <c r="B6173" s="5" t="str">
        <f>HYPERLINK("https://twitter.com/veryitchyfeet","@veryitchyfeet")</f>
        <v>@veryitchyfeet</v>
      </c>
      <c r="C6173" s="5" t="s">
        <v>6610</v>
      </c>
      <c r="D6173" s="7" t="s">
        <v>6611</v>
      </c>
      <c r="E6173" s="8" t="str">
        <f>HYPERLINK("http://www.facebook.com/twitter","Facebook")</f>
        <v>Facebook</v>
      </c>
      <c r="F6173" s="4">
        <v>40010.28969907407</v>
      </c>
      <c r="G6173" s="17" t="s">
        <v>13002</v>
      </c>
      <c r="H6173" s="35" t="s">
        <v>6612</v>
      </c>
      <c r="I6173" s="10" t="s">
        <v>6613</v>
      </c>
    </row>
    <row r="6174" spans="1:9" s="33" customFormat="1" ht="105">
      <c r="A6174" s="4">
        <v>43558.555497685185</v>
      </c>
      <c r="B6174" s="5" t="str">
        <f>HYPERLINK("https://twitter.com/fernandommansur","@fernandommansur")</f>
        <v>@fernandommansur</v>
      </c>
      <c r="C6174" s="6" t="s">
        <v>5504</v>
      </c>
      <c r="D6174" s="7" t="s">
        <v>12133</v>
      </c>
      <c r="E6174" s="8" t="str">
        <f>HYPERLINK("https://ifttt.com","IFTTT")</f>
        <v>IFTTT</v>
      </c>
      <c r="F6174" s="4">
        <v>40364.607881944445</v>
      </c>
      <c r="G6174" s="9" t="s">
        <v>13002</v>
      </c>
      <c r="H6174" s="35" t="s">
        <v>1186</v>
      </c>
      <c r="I6174" s="10" t="s">
        <v>5506</v>
      </c>
    </row>
    <row r="6175" spans="1:9" s="33" customFormat="1" ht="75">
      <c r="A6175" s="12">
        <v>43578.465405092589</v>
      </c>
      <c r="B6175" s="13" t="str">
        <f>HYPERLINK("https://twitter.com/CasaGalpy","@CasaGalpy")</f>
        <v>@CasaGalpy</v>
      </c>
      <c r="C6175" s="14" t="s">
        <v>1184</v>
      </c>
      <c r="D6175" s="15" t="s">
        <v>1185</v>
      </c>
      <c r="E6175" s="16" t="str">
        <f>HYPERLINK("http://instagram.com","Instagram")</f>
        <v>Instagram</v>
      </c>
      <c r="F6175" s="12">
        <v>43399.085138888884</v>
      </c>
      <c r="G6175" s="9" t="s">
        <v>13002</v>
      </c>
      <c r="H6175" s="35" t="s">
        <v>1186</v>
      </c>
      <c r="I6175" s="18" t="s">
        <v>1187</v>
      </c>
    </row>
    <row r="6176" spans="1:9" s="33" customFormat="1" ht="105">
      <c r="A6176" s="12">
        <v>43566.472118055557</v>
      </c>
      <c r="B6176" s="13" t="str">
        <f>HYPERLINK("https://twitter.com/fernandommansur","@fernandommansur")</f>
        <v>@fernandommansur</v>
      </c>
      <c r="C6176" s="14" t="s">
        <v>5504</v>
      </c>
      <c r="D6176" s="15" t="s">
        <v>5505</v>
      </c>
      <c r="E6176" s="16" t="str">
        <f>HYPERLINK("https://ifttt.com","IFTTT")</f>
        <v>IFTTT</v>
      </c>
      <c r="F6176" s="12">
        <v>40364.607881944445</v>
      </c>
      <c r="G6176" s="9" t="s">
        <v>13002</v>
      </c>
      <c r="H6176" s="35" t="s">
        <v>1186</v>
      </c>
      <c r="I6176" s="18" t="s">
        <v>5506</v>
      </c>
    </row>
    <row r="6177" spans="1:9" s="33" customFormat="1" ht="90">
      <c r="A6177" s="19">
        <v>43545.228055555555</v>
      </c>
      <c r="B6177" s="20" t="str">
        <f>HYPERLINK("https://twitter.com/aireboho","@aireboho")</f>
        <v>@aireboho</v>
      </c>
      <c r="C6177" s="21" t="s">
        <v>6424</v>
      </c>
      <c r="D6177" s="22" t="s">
        <v>12918</v>
      </c>
      <c r="E6177" s="23" t="str">
        <f>HYPERLINK("http://twitter.com/download/android","Twitter for Android")</f>
        <v>Twitter for Android</v>
      </c>
      <c r="F6177" s="19">
        <v>42716.54387731482</v>
      </c>
      <c r="G6177" s="24" t="s">
        <v>13002</v>
      </c>
      <c r="H6177" s="35" t="s">
        <v>6425</v>
      </c>
      <c r="I6177" s="25" t="s">
        <v>6426</v>
      </c>
    </row>
    <row r="6178" spans="1:9" s="33" customFormat="1" ht="60">
      <c r="A6178" s="4">
        <v>43564.762152777781</v>
      </c>
      <c r="B6178" s="5" t="str">
        <f>HYPERLINK("https://twitter.com/aireboho","@aireboho")</f>
        <v>@aireboho</v>
      </c>
      <c r="C6178" s="6" t="s">
        <v>6424</v>
      </c>
      <c r="D6178" s="7" t="s">
        <v>12919</v>
      </c>
      <c r="E6178" s="8" t="str">
        <f>HYPERLINK("http://twitter.com/download/android","Twitter for Android")</f>
        <v>Twitter for Android</v>
      </c>
      <c r="F6178" s="4">
        <v>42716.54387731482</v>
      </c>
      <c r="G6178" s="9" t="s">
        <v>13002</v>
      </c>
      <c r="H6178" s="35" t="s">
        <v>6425</v>
      </c>
      <c r="I6178" s="10" t="s">
        <v>6426</v>
      </c>
    </row>
    <row r="6179" spans="1:9" s="33" customFormat="1" ht="90">
      <c r="A6179" s="12">
        <v>43572.122962962967</v>
      </c>
      <c r="B6179" s="13" t="str">
        <f>HYPERLINK("https://twitter.com/agreenebrand","@agreenebrand")</f>
        <v>@agreenebrand</v>
      </c>
      <c r="C6179" s="14" t="s">
        <v>3421</v>
      </c>
      <c r="D6179" s="15" t="s">
        <v>3422</v>
      </c>
      <c r="E6179" s="16" t="str">
        <f>HYPERLINK("https://buffer.com","Buffer")</f>
        <v>Buffer</v>
      </c>
      <c r="F6179" s="12">
        <v>42286.304490740746</v>
      </c>
      <c r="G6179" s="17" t="s">
        <v>13002</v>
      </c>
      <c r="H6179" s="35" t="s">
        <v>3423</v>
      </c>
      <c r="I6179" s="18" t="s">
        <v>3424</v>
      </c>
    </row>
    <row r="6180" spans="1:9" s="33" customFormat="1" ht="90">
      <c r="A6180" s="12">
        <v>43579.168715277774</v>
      </c>
      <c r="B6180" s="13" t="str">
        <f>HYPERLINK("https://twitter.com/pastoradhennys","@pastoradhennys")</f>
        <v>@pastoradhennys</v>
      </c>
      <c r="C6180" s="14" t="s">
        <v>898</v>
      </c>
      <c r="D6180" s="15" t="s">
        <v>301</v>
      </c>
      <c r="E6180" s="16" t="str">
        <f>HYPERLINK("http://twitter.com","Twitter Web Client")</f>
        <v>Twitter Web Client</v>
      </c>
      <c r="F6180" s="12">
        <v>43166.399050925931</v>
      </c>
      <c r="G6180" s="17" t="s">
        <v>13002</v>
      </c>
      <c r="H6180" s="35" t="s">
        <v>899</v>
      </c>
      <c r="I6180" s="18" t="s">
        <v>900</v>
      </c>
    </row>
    <row r="6181" spans="1:9" s="33" customFormat="1" ht="90">
      <c r="A6181" s="12">
        <v>43579.168368055558</v>
      </c>
      <c r="B6181" s="13" t="str">
        <f>HYPERLINK("https://twitter.com/GladysMalave6","@GladysMalave6")</f>
        <v>@GladysMalave6</v>
      </c>
      <c r="C6181" s="14" t="s">
        <v>903</v>
      </c>
      <c r="D6181" s="15" t="s">
        <v>301</v>
      </c>
      <c r="E6181" s="16" t="str">
        <f>HYPERLINK("http://twitter.com","Twitter Web Client")</f>
        <v>Twitter Web Client</v>
      </c>
      <c r="F6181" s="12">
        <v>43397.960358796292</v>
      </c>
      <c r="G6181" s="17" t="s">
        <v>13002</v>
      </c>
      <c r="H6181" s="35" t="s">
        <v>899</v>
      </c>
      <c r="I6181" s="18" t="s">
        <v>904</v>
      </c>
    </row>
    <row r="6182" spans="1:9" s="33" customFormat="1" ht="60">
      <c r="A6182" s="12">
        <v>43578.965266203704</v>
      </c>
      <c r="B6182" s="13" t="str">
        <f>HYPERLINK("https://twitter.com/pastoradhennys","@pastoradhennys")</f>
        <v>@pastoradhennys</v>
      </c>
      <c r="C6182" s="14" t="s">
        <v>898</v>
      </c>
      <c r="D6182" s="15" t="s">
        <v>938</v>
      </c>
      <c r="E6182" s="16" t="str">
        <f>HYPERLINK("http://twitter.com","Twitter Web Client")</f>
        <v>Twitter Web Client</v>
      </c>
      <c r="F6182" s="12">
        <v>43166.399050925931</v>
      </c>
      <c r="G6182" s="17" t="s">
        <v>13002</v>
      </c>
      <c r="H6182" s="35" t="s">
        <v>899</v>
      </c>
      <c r="I6182" s="18" t="s">
        <v>900</v>
      </c>
    </row>
    <row r="6183" spans="1:9" s="33" customFormat="1" ht="75">
      <c r="A6183" s="12">
        <v>43578.378865740742</v>
      </c>
      <c r="B6183" s="13" t="str">
        <f>HYPERLINK("https://twitter.com/pastoradhennys","@pastoradhennys")</f>
        <v>@pastoradhennys</v>
      </c>
      <c r="C6183" s="14" t="s">
        <v>898</v>
      </c>
      <c r="D6183" s="15" t="s">
        <v>996</v>
      </c>
      <c r="E6183" s="16" t="str">
        <f>HYPERLINK("http://twitter.com","Twitter Web Client")</f>
        <v>Twitter Web Client</v>
      </c>
      <c r="F6183" s="12">
        <v>43166.399050925931</v>
      </c>
      <c r="G6183" s="17" t="s">
        <v>13002</v>
      </c>
      <c r="H6183" s="35" t="s">
        <v>899</v>
      </c>
      <c r="I6183" s="18" t="s">
        <v>900</v>
      </c>
    </row>
    <row r="6184" spans="1:9" s="33" customFormat="1" ht="45">
      <c r="A6184" s="12">
        <v>43575.336423611108</v>
      </c>
      <c r="B6184" s="13" t="str">
        <f>HYPERLINK("https://twitter.com/brasuaramon","@brasuaramon")</f>
        <v>@brasuaramon</v>
      </c>
      <c r="C6184" s="14" t="s">
        <v>2291</v>
      </c>
      <c r="D6184" s="15" t="s">
        <v>2279</v>
      </c>
      <c r="E6184" s="16" t="str">
        <f>HYPERLINK("http://twitter.com","Twitter Web Client")</f>
        <v>Twitter Web Client</v>
      </c>
      <c r="F6184" s="12">
        <v>43212.677731481483</v>
      </c>
      <c r="G6184" s="17" t="s">
        <v>13002</v>
      </c>
      <c r="H6184" s="35" t="s">
        <v>899</v>
      </c>
      <c r="I6184" s="18"/>
    </row>
    <row r="6185" spans="1:9" s="33" customFormat="1">
      <c r="A6185" s="37"/>
      <c r="B6185"/>
      <c r="C6185"/>
      <c r="D6185"/>
      <c r="E6185"/>
      <c r="F6185"/>
      <c r="G6185"/>
      <c r="H6185"/>
      <c r="I6185"/>
    </row>
    <row r="6186" spans="1:9" s="33" customFormat="1">
      <c r="A6186" s="37"/>
      <c r="B6186"/>
      <c r="C6186"/>
      <c r="D6186"/>
      <c r="E6186"/>
      <c r="F6186"/>
      <c r="G6186"/>
      <c r="H6186"/>
      <c r="I6186"/>
    </row>
    <row r="6187" spans="1:9" s="33" customFormat="1">
      <c r="A6187" s="37"/>
      <c r="B6187"/>
      <c r="C6187"/>
      <c r="D6187"/>
      <c r="E6187"/>
      <c r="F6187"/>
      <c r="G6187"/>
      <c r="H6187"/>
      <c r="I6187"/>
    </row>
    <row r="6188" spans="1:9" s="33" customFormat="1">
      <c r="A6188" s="37"/>
      <c r="B6188"/>
      <c r="C6188"/>
      <c r="D6188"/>
      <c r="E6188"/>
      <c r="F6188"/>
      <c r="G6188"/>
      <c r="H6188"/>
      <c r="I6188"/>
    </row>
    <row r="6189" spans="1:9" s="33" customFormat="1">
      <c r="A6189" s="37"/>
      <c r="B6189"/>
      <c r="C6189"/>
      <c r="D6189"/>
      <c r="E6189"/>
      <c r="F6189"/>
      <c r="G6189"/>
      <c r="H6189"/>
      <c r="I6189"/>
    </row>
    <row r="6190" spans="1:9" s="33" customFormat="1">
      <c r="A6190" s="37"/>
      <c r="B6190"/>
      <c r="C6190"/>
      <c r="D6190"/>
      <c r="E6190"/>
      <c r="F6190"/>
      <c r="G6190"/>
      <c r="H6190"/>
      <c r="I6190"/>
    </row>
    <row r="6191" spans="1:9" s="33" customFormat="1">
      <c r="A6191" s="37"/>
      <c r="B6191"/>
      <c r="C6191"/>
      <c r="D6191"/>
      <c r="E6191"/>
      <c r="F6191"/>
      <c r="G6191"/>
      <c r="H6191"/>
      <c r="I6191"/>
    </row>
    <row r="6192" spans="1:9" s="33" customFormat="1">
      <c r="A6192" s="37"/>
      <c r="B6192"/>
      <c r="C6192"/>
      <c r="D6192"/>
      <c r="E6192"/>
      <c r="F6192"/>
      <c r="G6192"/>
      <c r="H6192"/>
      <c r="I6192"/>
    </row>
    <row r="6193" spans="1:9" s="33" customFormat="1">
      <c r="A6193" s="37"/>
      <c r="B6193"/>
      <c r="C6193"/>
      <c r="D6193"/>
      <c r="E6193"/>
      <c r="F6193"/>
      <c r="G6193"/>
      <c r="H6193"/>
      <c r="I6193"/>
    </row>
    <row r="6194" spans="1:9" s="33" customFormat="1">
      <c r="A6194" s="37"/>
      <c r="B6194"/>
      <c r="C6194"/>
      <c r="D6194"/>
      <c r="E6194"/>
      <c r="F6194"/>
      <c r="G6194"/>
      <c r="H6194"/>
      <c r="I6194"/>
    </row>
    <row r="6195" spans="1:9" s="33" customFormat="1">
      <c r="A6195" s="37"/>
      <c r="B6195"/>
      <c r="C6195"/>
      <c r="D6195"/>
      <c r="E6195"/>
      <c r="F6195"/>
      <c r="G6195"/>
      <c r="H6195"/>
      <c r="I6195"/>
    </row>
    <row r="6196" spans="1:9" s="33" customFormat="1">
      <c r="A6196" s="37"/>
      <c r="B6196"/>
      <c r="C6196"/>
      <c r="D6196"/>
      <c r="E6196"/>
      <c r="F6196"/>
      <c r="G6196"/>
      <c r="H6196"/>
      <c r="I6196"/>
    </row>
    <row r="6197" spans="1:9" s="33" customFormat="1">
      <c r="A6197" s="37"/>
      <c r="B6197"/>
      <c r="C6197"/>
      <c r="D6197"/>
      <c r="E6197"/>
      <c r="F6197"/>
      <c r="G6197"/>
      <c r="H6197"/>
      <c r="I6197"/>
    </row>
    <row r="6198" spans="1:9" s="33" customFormat="1">
      <c r="A6198" s="37"/>
      <c r="B6198"/>
      <c r="C6198"/>
      <c r="D6198"/>
      <c r="E6198"/>
      <c r="F6198"/>
      <c r="G6198"/>
      <c r="H6198"/>
      <c r="I6198"/>
    </row>
    <row r="6199" spans="1:9" s="33" customFormat="1">
      <c r="A6199" s="37"/>
      <c r="B6199"/>
      <c r="C6199"/>
      <c r="D6199"/>
      <c r="E6199"/>
      <c r="F6199"/>
      <c r="G6199"/>
      <c r="H6199"/>
      <c r="I6199"/>
    </row>
    <row r="6200" spans="1:9" s="33" customFormat="1">
      <c r="A6200" s="37"/>
      <c r="B6200"/>
      <c r="C6200"/>
      <c r="D6200"/>
      <c r="E6200"/>
      <c r="F6200"/>
      <c r="G6200"/>
      <c r="H6200"/>
      <c r="I6200"/>
    </row>
    <row r="6201" spans="1:9" s="33" customFormat="1">
      <c r="A6201" s="37"/>
      <c r="B6201"/>
      <c r="C6201"/>
      <c r="D6201"/>
      <c r="E6201"/>
      <c r="F6201"/>
      <c r="G6201"/>
      <c r="H6201"/>
      <c r="I6201"/>
    </row>
    <row r="6202" spans="1:9" s="33" customFormat="1">
      <c r="A6202" s="37"/>
      <c r="B6202"/>
      <c r="C6202"/>
      <c r="D6202"/>
      <c r="E6202"/>
      <c r="F6202"/>
      <c r="G6202"/>
      <c r="H6202"/>
      <c r="I6202"/>
    </row>
    <row r="6203" spans="1:9" s="33" customFormat="1">
      <c r="A6203" s="37"/>
      <c r="B6203"/>
      <c r="C6203"/>
      <c r="D6203"/>
      <c r="E6203"/>
      <c r="F6203"/>
      <c r="G6203"/>
      <c r="H6203"/>
      <c r="I6203"/>
    </row>
    <row r="6204" spans="1:9" s="33" customFormat="1">
      <c r="A6204" s="37"/>
      <c r="B6204"/>
      <c r="C6204"/>
      <c r="D6204"/>
      <c r="E6204"/>
      <c r="F6204"/>
      <c r="G6204"/>
      <c r="H6204"/>
      <c r="I6204"/>
    </row>
    <row r="6205" spans="1:9" s="33" customFormat="1">
      <c r="A6205" s="37"/>
      <c r="B6205"/>
      <c r="C6205"/>
      <c r="D6205"/>
      <c r="E6205"/>
      <c r="F6205"/>
      <c r="G6205"/>
      <c r="H6205"/>
      <c r="I6205"/>
    </row>
    <row r="6206" spans="1:9" s="33" customFormat="1">
      <c r="A6206" s="37"/>
      <c r="B6206"/>
      <c r="C6206"/>
      <c r="D6206"/>
      <c r="E6206"/>
      <c r="F6206"/>
      <c r="G6206"/>
      <c r="H6206"/>
      <c r="I6206"/>
    </row>
    <row r="6207" spans="1:9" s="33" customFormat="1">
      <c r="A6207" s="37"/>
      <c r="B6207"/>
      <c r="C6207"/>
      <c r="D6207"/>
      <c r="E6207"/>
      <c r="F6207"/>
      <c r="G6207"/>
      <c r="H6207"/>
      <c r="I6207"/>
    </row>
    <row r="6208" spans="1:9" s="33" customFormat="1">
      <c r="A6208" s="37"/>
      <c r="B6208"/>
      <c r="C6208"/>
      <c r="D6208"/>
      <c r="E6208"/>
      <c r="F6208"/>
      <c r="G6208"/>
      <c r="H6208"/>
      <c r="I6208"/>
    </row>
    <row r="6209" spans="1:9" s="33" customFormat="1">
      <c r="A6209" s="37"/>
      <c r="B6209"/>
      <c r="C6209"/>
      <c r="D6209"/>
      <c r="E6209"/>
      <c r="F6209"/>
      <c r="G6209"/>
      <c r="H6209"/>
      <c r="I6209"/>
    </row>
    <row r="6210" spans="1:9" s="33" customFormat="1">
      <c r="A6210" s="37"/>
      <c r="B6210"/>
      <c r="C6210"/>
      <c r="D6210"/>
      <c r="E6210"/>
      <c r="F6210"/>
      <c r="G6210"/>
      <c r="H6210"/>
      <c r="I6210"/>
    </row>
    <row r="6211" spans="1:9" s="33" customFormat="1">
      <c r="A6211" s="37"/>
      <c r="B6211"/>
      <c r="C6211"/>
      <c r="D6211"/>
      <c r="E6211"/>
      <c r="F6211"/>
      <c r="G6211"/>
      <c r="H6211"/>
      <c r="I6211"/>
    </row>
    <row r="6212" spans="1:9" s="33" customFormat="1">
      <c r="A6212" s="37"/>
      <c r="B6212"/>
      <c r="C6212"/>
      <c r="D6212"/>
      <c r="E6212"/>
      <c r="F6212"/>
      <c r="G6212"/>
      <c r="H6212"/>
      <c r="I6212"/>
    </row>
    <row r="6213" spans="1:9" s="33" customFormat="1">
      <c r="A6213" s="37"/>
      <c r="B6213"/>
      <c r="C6213"/>
      <c r="D6213"/>
      <c r="E6213"/>
      <c r="F6213"/>
      <c r="G6213"/>
      <c r="H6213"/>
      <c r="I6213"/>
    </row>
    <row r="6214" spans="1:9" s="33" customFormat="1">
      <c r="A6214" s="37"/>
      <c r="B6214"/>
      <c r="C6214"/>
      <c r="D6214"/>
      <c r="E6214"/>
      <c r="F6214"/>
      <c r="G6214"/>
      <c r="H6214"/>
      <c r="I6214"/>
    </row>
    <row r="6215" spans="1:9" s="33" customFormat="1">
      <c r="A6215" s="37"/>
      <c r="B6215"/>
      <c r="C6215"/>
      <c r="D6215"/>
      <c r="E6215"/>
      <c r="F6215"/>
      <c r="G6215"/>
      <c r="H6215"/>
      <c r="I6215"/>
    </row>
    <row r="6216" spans="1:9" s="33" customFormat="1">
      <c r="A6216" s="37"/>
      <c r="B6216"/>
      <c r="C6216"/>
      <c r="D6216"/>
      <c r="E6216"/>
      <c r="F6216"/>
      <c r="G6216"/>
      <c r="H6216"/>
      <c r="I6216"/>
    </row>
    <row r="6217" spans="1:9" s="33" customFormat="1">
      <c r="A6217" s="37"/>
      <c r="B6217"/>
      <c r="C6217"/>
      <c r="D6217"/>
      <c r="E6217"/>
      <c r="F6217"/>
      <c r="G6217"/>
      <c r="H6217"/>
      <c r="I6217"/>
    </row>
    <row r="6218" spans="1:9" s="33" customFormat="1">
      <c r="A6218" s="37"/>
      <c r="B6218"/>
      <c r="C6218"/>
      <c r="D6218"/>
      <c r="E6218"/>
      <c r="F6218"/>
      <c r="G6218"/>
      <c r="H6218"/>
      <c r="I6218"/>
    </row>
    <row r="6219" spans="1:9" s="33" customFormat="1">
      <c r="A6219" s="37"/>
      <c r="B6219"/>
      <c r="C6219"/>
      <c r="D6219"/>
      <c r="E6219"/>
      <c r="F6219"/>
      <c r="G6219"/>
      <c r="H6219"/>
      <c r="I6219"/>
    </row>
    <row r="6220" spans="1:9" s="33" customFormat="1">
      <c r="A6220" s="37"/>
      <c r="B6220"/>
      <c r="C6220"/>
      <c r="D6220"/>
      <c r="E6220"/>
      <c r="F6220"/>
      <c r="G6220"/>
      <c r="H6220"/>
      <c r="I6220"/>
    </row>
    <row r="6221" spans="1:9" s="33" customFormat="1">
      <c r="A6221" s="37"/>
      <c r="B6221"/>
      <c r="C6221"/>
      <c r="D6221"/>
      <c r="E6221"/>
      <c r="F6221"/>
      <c r="G6221"/>
      <c r="H6221"/>
      <c r="I6221"/>
    </row>
    <row r="6222" spans="1:9" s="33" customFormat="1">
      <c r="A6222" s="37"/>
      <c r="B6222"/>
      <c r="C6222"/>
      <c r="D6222"/>
      <c r="E6222"/>
      <c r="F6222"/>
      <c r="G6222"/>
      <c r="H6222"/>
      <c r="I6222"/>
    </row>
    <row r="6223" spans="1:9" s="33" customFormat="1">
      <c r="A6223" s="37"/>
      <c r="B6223"/>
      <c r="C6223"/>
      <c r="D6223"/>
      <c r="E6223"/>
      <c r="F6223"/>
      <c r="G6223"/>
      <c r="H6223"/>
      <c r="I6223"/>
    </row>
    <row r="6224" spans="1:9" s="33" customFormat="1">
      <c r="A6224" s="37"/>
      <c r="B6224"/>
      <c r="C6224"/>
      <c r="D6224"/>
      <c r="E6224"/>
      <c r="F6224"/>
      <c r="G6224"/>
      <c r="H6224"/>
      <c r="I6224"/>
    </row>
    <row r="6225" spans="1:9" s="33" customFormat="1">
      <c r="A6225" s="37"/>
      <c r="B6225"/>
      <c r="C6225"/>
      <c r="D6225"/>
      <c r="E6225"/>
      <c r="F6225"/>
      <c r="G6225"/>
      <c r="H6225"/>
      <c r="I6225"/>
    </row>
    <row r="6226" spans="1:9" s="33" customFormat="1">
      <c r="A6226" s="37"/>
      <c r="B6226"/>
      <c r="C6226"/>
      <c r="D6226"/>
      <c r="E6226"/>
      <c r="F6226"/>
      <c r="G6226"/>
      <c r="H6226"/>
      <c r="I6226"/>
    </row>
    <row r="6227" spans="1:9" s="33" customFormat="1">
      <c r="A6227" s="37"/>
      <c r="B6227"/>
      <c r="C6227"/>
      <c r="D6227"/>
      <c r="E6227"/>
      <c r="F6227"/>
      <c r="G6227"/>
      <c r="H6227"/>
      <c r="I6227"/>
    </row>
    <row r="6228" spans="1:9" s="33" customFormat="1">
      <c r="A6228" s="37"/>
      <c r="B6228"/>
      <c r="C6228"/>
      <c r="D6228"/>
      <c r="E6228"/>
      <c r="F6228"/>
      <c r="G6228"/>
      <c r="H6228"/>
      <c r="I6228"/>
    </row>
    <row r="6229" spans="1:9" s="33" customFormat="1">
      <c r="A6229" s="37"/>
      <c r="B6229"/>
      <c r="C6229"/>
      <c r="D6229"/>
      <c r="E6229"/>
      <c r="F6229"/>
      <c r="G6229"/>
      <c r="H6229"/>
      <c r="I6229"/>
    </row>
    <row r="6230" spans="1:9" s="33" customFormat="1">
      <c r="A6230" s="37"/>
      <c r="B6230"/>
      <c r="C6230"/>
      <c r="D6230"/>
      <c r="E6230"/>
      <c r="F6230"/>
      <c r="G6230"/>
      <c r="H6230"/>
      <c r="I6230"/>
    </row>
    <row r="6231" spans="1:9" s="33" customFormat="1">
      <c r="A6231" s="37"/>
      <c r="B6231"/>
      <c r="C6231"/>
      <c r="D6231"/>
      <c r="E6231"/>
      <c r="F6231"/>
      <c r="G6231"/>
      <c r="H6231"/>
      <c r="I6231"/>
    </row>
    <row r="6232" spans="1:9" s="33" customFormat="1">
      <c r="A6232" s="37"/>
      <c r="B6232"/>
      <c r="C6232"/>
      <c r="D6232"/>
      <c r="E6232"/>
      <c r="F6232"/>
      <c r="G6232"/>
      <c r="H6232"/>
      <c r="I6232"/>
    </row>
    <row r="6233" spans="1:9" s="33" customFormat="1">
      <c r="A6233" s="37"/>
      <c r="B6233"/>
      <c r="C6233"/>
      <c r="D6233"/>
      <c r="E6233"/>
      <c r="F6233"/>
      <c r="G6233"/>
      <c r="H6233"/>
      <c r="I6233"/>
    </row>
    <row r="6234" spans="1:9" s="33" customFormat="1">
      <c r="A6234" s="37"/>
      <c r="B6234"/>
      <c r="C6234"/>
      <c r="D6234"/>
      <c r="E6234"/>
      <c r="F6234"/>
      <c r="G6234"/>
      <c r="H6234"/>
      <c r="I6234"/>
    </row>
    <row r="6235" spans="1:9" s="33" customFormat="1">
      <c r="A6235" s="37"/>
      <c r="B6235"/>
      <c r="C6235"/>
      <c r="D6235"/>
      <c r="E6235"/>
      <c r="F6235"/>
      <c r="G6235"/>
      <c r="H6235"/>
      <c r="I6235"/>
    </row>
    <row r="6236" spans="1:9" s="33" customFormat="1">
      <c r="A6236" s="37"/>
      <c r="B6236"/>
      <c r="C6236"/>
      <c r="D6236"/>
      <c r="E6236"/>
      <c r="F6236"/>
      <c r="G6236"/>
      <c r="H6236"/>
      <c r="I6236"/>
    </row>
    <row r="6237" spans="1:9" s="33" customFormat="1">
      <c r="A6237" s="37"/>
      <c r="B6237"/>
      <c r="C6237"/>
      <c r="D6237"/>
      <c r="E6237"/>
      <c r="F6237"/>
      <c r="G6237"/>
      <c r="H6237"/>
      <c r="I6237"/>
    </row>
    <row r="6238" spans="1:9" s="33" customFormat="1">
      <c r="A6238" s="37"/>
      <c r="B6238"/>
      <c r="C6238"/>
      <c r="D6238"/>
      <c r="E6238"/>
      <c r="F6238"/>
      <c r="G6238"/>
      <c r="H6238"/>
      <c r="I6238"/>
    </row>
    <row r="6239" spans="1:9" s="33" customFormat="1">
      <c r="A6239" s="37"/>
      <c r="B6239"/>
      <c r="C6239"/>
      <c r="D6239"/>
      <c r="E6239"/>
      <c r="F6239"/>
      <c r="G6239"/>
      <c r="H6239"/>
      <c r="I6239"/>
    </row>
    <row r="6240" spans="1:9" s="33" customFormat="1">
      <c r="A6240" s="37"/>
      <c r="B6240"/>
      <c r="C6240"/>
      <c r="D6240"/>
      <c r="E6240"/>
      <c r="F6240"/>
      <c r="G6240"/>
      <c r="H6240"/>
      <c r="I6240"/>
    </row>
    <row r="6241" spans="1:9" s="33" customFormat="1">
      <c r="A6241" s="37"/>
      <c r="B6241"/>
      <c r="C6241"/>
      <c r="D6241"/>
      <c r="E6241"/>
      <c r="F6241"/>
      <c r="G6241"/>
      <c r="H6241"/>
      <c r="I6241"/>
    </row>
    <row r="6242" spans="1:9" s="33" customFormat="1">
      <c r="A6242" s="37"/>
      <c r="B6242"/>
      <c r="C6242"/>
      <c r="D6242"/>
      <c r="E6242"/>
      <c r="F6242"/>
      <c r="G6242"/>
      <c r="H6242"/>
      <c r="I6242"/>
    </row>
    <row r="6243" spans="1:9" s="33" customFormat="1">
      <c r="A6243" s="37"/>
      <c r="B6243"/>
      <c r="C6243"/>
      <c r="D6243"/>
      <c r="E6243"/>
      <c r="F6243"/>
      <c r="G6243"/>
      <c r="H6243"/>
      <c r="I6243"/>
    </row>
    <row r="6244" spans="1:9" s="33" customFormat="1">
      <c r="A6244" s="37"/>
      <c r="B6244"/>
      <c r="C6244"/>
      <c r="D6244"/>
      <c r="E6244"/>
      <c r="F6244"/>
      <c r="G6244"/>
      <c r="H6244"/>
      <c r="I6244"/>
    </row>
    <row r="6245" spans="1:9" s="33" customFormat="1">
      <c r="A6245" s="37"/>
      <c r="B6245"/>
      <c r="C6245"/>
      <c r="D6245"/>
      <c r="E6245"/>
      <c r="F6245"/>
      <c r="G6245"/>
      <c r="H6245"/>
      <c r="I6245"/>
    </row>
    <row r="6246" spans="1:9" s="33" customFormat="1">
      <c r="A6246" s="37"/>
      <c r="B6246"/>
      <c r="C6246"/>
      <c r="D6246"/>
      <c r="E6246"/>
      <c r="F6246"/>
      <c r="G6246"/>
      <c r="H6246"/>
      <c r="I6246"/>
    </row>
    <row r="6247" spans="1:9" s="33" customFormat="1">
      <c r="A6247" s="37"/>
      <c r="B6247"/>
      <c r="C6247"/>
      <c r="D6247"/>
      <c r="E6247"/>
      <c r="F6247"/>
      <c r="G6247"/>
      <c r="H6247"/>
      <c r="I6247"/>
    </row>
    <row r="6248" spans="1:9" s="33" customFormat="1">
      <c r="A6248" s="37"/>
      <c r="B6248"/>
      <c r="C6248"/>
      <c r="D6248"/>
      <c r="E6248"/>
      <c r="F6248"/>
      <c r="G6248"/>
      <c r="H6248"/>
      <c r="I6248"/>
    </row>
    <row r="6249" spans="1:9" s="33" customFormat="1">
      <c r="A6249" s="37"/>
      <c r="B6249"/>
      <c r="C6249"/>
      <c r="D6249"/>
      <c r="E6249"/>
      <c r="F6249"/>
      <c r="G6249"/>
      <c r="H6249"/>
      <c r="I6249"/>
    </row>
    <row r="6250" spans="1:9" s="33" customFormat="1">
      <c r="A6250" s="37"/>
      <c r="B6250"/>
      <c r="C6250"/>
      <c r="D6250"/>
      <c r="E6250"/>
      <c r="F6250"/>
      <c r="G6250"/>
      <c r="H6250"/>
      <c r="I6250"/>
    </row>
    <row r="6251" spans="1:9" s="33" customFormat="1">
      <c r="A6251" s="37"/>
      <c r="B6251"/>
      <c r="C6251"/>
      <c r="D6251"/>
      <c r="E6251"/>
      <c r="F6251"/>
      <c r="G6251"/>
      <c r="H6251"/>
      <c r="I6251"/>
    </row>
    <row r="6252" spans="1:9" s="33" customFormat="1">
      <c r="A6252" s="37"/>
      <c r="B6252"/>
      <c r="C6252"/>
      <c r="D6252"/>
      <c r="E6252"/>
      <c r="F6252"/>
      <c r="G6252"/>
      <c r="H6252"/>
      <c r="I6252"/>
    </row>
    <row r="6253" spans="1:9" s="33" customFormat="1">
      <c r="A6253" s="37"/>
      <c r="B6253"/>
      <c r="C6253"/>
      <c r="D6253"/>
      <c r="E6253"/>
      <c r="F6253"/>
      <c r="G6253"/>
      <c r="H6253"/>
      <c r="I6253"/>
    </row>
    <row r="6254" spans="1:9" s="33" customFormat="1">
      <c r="A6254" s="37"/>
      <c r="B6254"/>
      <c r="C6254"/>
      <c r="D6254"/>
      <c r="E6254"/>
      <c r="F6254"/>
      <c r="G6254"/>
      <c r="H6254"/>
      <c r="I6254"/>
    </row>
    <row r="6255" spans="1:9" s="33" customFormat="1">
      <c r="A6255" s="37"/>
      <c r="B6255"/>
      <c r="C6255"/>
      <c r="D6255"/>
      <c r="E6255"/>
      <c r="F6255"/>
      <c r="G6255"/>
      <c r="H6255"/>
      <c r="I6255"/>
    </row>
    <row r="6256" spans="1:9" s="33" customFormat="1">
      <c r="A6256" s="37"/>
      <c r="B6256"/>
      <c r="C6256"/>
      <c r="D6256"/>
      <c r="E6256"/>
      <c r="F6256"/>
      <c r="G6256"/>
      <c r="H6256"/>
      <c r="I6256"/>
    </row>
    <row r="6257" spans="1:9" s="33" customFormat="1">
      <c r="A6257" s="37"/>
      <c r="B6257"/>
      <c r="C6257"/>
      <c r="D6257"/>
      <c r="E6257"/>
      <c r="F6257"/>
      <c r="G6257"/>
      <c r="H6257"/>
      <c r="I6257"/>
    </row>
    <row r="6258" spans="1:9" s="33" customFormat="1">
      <c r="A6258" s="37"/>
      <c r="B6258"/>
      <c r="C6258"/>
      <c r="D6258"/>
      <c r="E6258"/>
      <c r="F6258"/>
      <c r="G6258"/>
      <c r="H6258"/>
      <c r="I6258"/>
    </row>
    <row r="6259" spans="1:9" s="33" customFormat="1">
      <c r="A6259" s="37"/>
      <c r="B6259"/>
      <c r="C6259"/>
      <c r="D6259"/>
      <c r="E6259"/>
      <c r="F6259"/>
      <c r="G6259"/>
      <c r="H6259"/>
      <c r="I6259"/>
    </row>
    <row r="6260" spans="1:9" s="33" customFormat="1">
      <c r="A6260" s="37"/>
      <c r="B6260"/>
      <c r="C6260"/>
      <c r="D6260"/>
      <c r="E6260"/>
      <c r="F6260"/>
      <c r="G6260"/>
      <c r="H6260"/>
      <c r="I6260"/>
    </row>
    <row r="6261" spans="1:9" s="33" customFormat="1">
      <c r="A6261" s="37"/>
      <c r="B6261"/>
      <c r="C6261"/>
      <c r="D6261"/>
      <c r="E6261"/>
      <c r="F6261"/>
      <c r="G6261"/>
      <c r="H6261"/>
      <c r="I6261"/>
    </row>
    <row r="6262" spans="1:9" s="33" customFormat="1">
      <c r="A6262" s="37"/>
      <c r="B6262"/>
      <c r="C6262"/>
      <c r="D6262"/>
      <c r="E6262"/>
      <c r="F6262"/>
      <c r="G6262"/>
      <c r="H6262"/>
      <c r="I6262"/>
    </row>
    <row r="6263" spans="1:9" s="33" customFormat="1">
      <c r="A6263" s="37"/>
      <c r="B6263"/>
      <c r="C6263"/>
      <c r="D6263"/>
      <c r="E6263"/>
      <c r="F6263"/>
      <c r="G6263"/>
      <c r="H6263"/>
      <c r="I6263"/>
    </row>
    <row r="6264" spans="1:9" s="33" customFormat="1">
      <c r="A6264" s="37"/>
      <c r="B6264"/>
      <c r="C6264"/>
      <c r="D6264"/>
      <c r="E6264"/>
      <c r="F6264"/>
      <c r="G6264"/>
      <c r="H6264"/>
      <c r="I6264"/>
    </row>
    <row r="6265" spans="1:9" s="33" customFormat="1">
      <c r="A6265" s="37"/>
      <c r="B6265"/>
      <c r="C6265"/>
      <c r="D6265"/>
      <c r="E6265"/>
      <c r="F6265"/>
      <c r="G6265"/>
      <c r="H6265"/>
      <c r="I6265"/>
    </row>
    <row r="6266" spans="1:9" s="33" customFormat="1">
      <c r="A6266" s="37"/>
      <c r="B6266"/>
      <c r="C6266"/>
      <c r="D6266"/>
      <c r="E6266"/>
      <c r="F6266"/>
      <c r="G6266"/>
      <c r="H6266"/>
      <c r="I6266"/>
    </row>
    <row r="6267" spans="1:9" s="33" customFormat="1">
      <c r="A6267" s="37"/>
      <c r="B6267"/>
      <c r="C6267"/>
      <c r="D6267"/>
      <c r="E6267"/>
      <c r="F6267"/>
      <c r="G6267"/>
      <c r="H6267"/>
      <c r="I6267"/>
    </row>
    <row r="6268" spans="1:9" s="33" customFormat="1">
      <c r="A6268" s="37"/>
      <c r="B6268"/>
      <c r="C6268"/>
      <c r="D6268"/>
      <c r="E6268"/>
      <c r="F6268"/>
      <c r="G6268"/>
      <c r="H6268"/>
      <c r="I6268"/>
    </row>
    <row r="6269" spans="1:9" s="33" customFormat="1">
      <c r="A6269" s="37"/>
      <c r="B6269"/>
      <c r="C6269"/>
      <c r="D6269"/>
      <c r="E6269"/>
      <c r="F6269"/>
      <c r="G6269"/>
      <c r="H6269"/>
      <c r="I6269"/>
    </row>
    <row r="6270" spans="1:9" s="33" customFormat="1">
      <c r="A6270" s="37"/>
      <c r="B6270"/>
      <c r="C6270"/>
      <c r="D6270"/>
      <c r="E6270"/>
      <c r="F6270"/>
      <c r="G6270"/>
      <c r="H6270"/>
      <c r="I6270"/>
    </row>
    <row r="6271" spans="1:9" s="33" customFormat="1">
      <c r="A6271" s="37"/>
      <c r="B6271"/>
      <c r="C6271"/>
      <c r="D6271"/>
      <c r="E6271"/>
      <c r="F6271"/>
      <c r="G6271"/>
      <c r="H6271"/>
      <c r="I6271"/>
    </row>
    <row r="6272" spans="1:9" s="33" customFormat="1">
      <c r="A6272" s="37"/>
      <c r="B6272"/>
      <c r="C6272"/>
      <c r="D6272"/>
      <c r="E6272"/>
      <c r="F6272"/>
      <c r="G6272"/>
      <c r="H6272"/>
      <c r="I6272"/>
    </row>
    <row r="6273" spans="1:9" s="33" customFormat="1">
      <c r="A6273" s="37"/>
      <c r="B6273"/>
      <c r="C6273"/>
      <c r="D6273"/>
      <c r="E6273"/>
      <c r="F6273"/>
      <c r="G6273"/>
      <c r="H6273"/>
      <c r="I6273"/>
    </row>
    <row r="6274" spans="1:9" s="33" customFormat="1">
      <c r="A6274" s="37"/>
      <c r="B6274"/>
      <c r="C6274"/>
      <c r="D6274"/>
      <c r="E6274"/>
      <c r="F6274"/>
      <c r="G6274"/>
      <c r="H6274"/>
      <c r="I6274"/>
    </row>
    <row r="6275" spans="1:9" s="33" customFormat="1">
      <c r="A6275" s="37"/>
      <c r="B6275"/>
      <c r="C6275"/>
      <c r="D6275"/>
      <c r="E6275"/>
      <c r="F6275"/>
      <c r="G6275"/>
      <c r="H6275"/>
      <c r="I6275"/>
    </row>
    <row r="6276" spans="1:9" s="33" customFormat="1">
      <c r="A6276" s="37"/>
      <c r="B6276"/>
      <c r="C6276"/>
      <c r="D6276"/>
      <c r="E6276"/>
      <c r="F6276"/>
      <c r="G6276"/>
      <c r="H6276"/>
      <c r="I6276"/>
    </row>
    <row r="6277" spans="1:9" s="33" customFormat="1">
      <c r="A6277" s="37"/>
      <c r="B6277"/>
      <c r="C6277"/>
      <c r="D6277"/>
      <c r="E6277"/>
      <c r="F6277"/>
      <c r="G6277"/>
      <c r="H6277"/>
      <c r="I6277"/>
    </row>
    <row r="6278" spans="1:9" s="33" customFormat="1">
      <c r="A6278" s="37"/>
      <c r="B6278"/>
      <c r="C6278"/>
      <c r="D6278"/>
      <c r="E6278"/>
      <c r="F6278"/>
      <c r="G6278"/>
      <c r="H6278"/>
      <c r="I6278"/>
    </row>
    <row r="6279" spans="1:9" s="33" customFormat="1">
      <c r="A6279" s="37"/>
      <c r="B6279"/>
      <c r="C6279"/>
      <c r="D6279"/>
      <c r="E6279"/>
      <c r="F6279"/>
      <c r="G6279"/>
      <c r="H6279"/>
      <c r="I6279"/>
    </row>
    <row r="6280" spans="1:9" s="33" customFormat="1">
      <c r="A6280" s="37"/>
      <c r="B6280"/>
      <c r="C6280"/>
      <c r="D6280"/>
      <c r="E6280"/>
      <c r="F6280"/>
      <c r="G6280"/>
      <c r="H6280"/>
      <c r="I6280"/>
    </row>
    <row r="6281" spans="1:9" s="33" customFormat="1">
      <c r="A6281" s="37"/>
      <c r="B6281"/>
      <c r="C6281"/>
      <c r="D6281"/>
      <c r="E6281"/>
      <c r="F6281"/>
      <c r="G6281"/>
      <c r="H6281"/>
      <c r="I6281"/>
    </row>
    <row r="6282" spans="1:9" s="33" customFormat="1">
      <c r="A6282" s="37"/>
      <c r="B6282"/>
      <c r="C6282"/>
      <c r="D6282"/>
      <c r="E6282"/>
      <c r="F6282"/>
      <c r="G6282"/>
      <c r="H6282"/>
      <c r="I6282"/>
    </row>
    <row r="6283" spans="1:9" s="33" customFormat="1">
      <c r="A6283" s="37"/>
      <c r="B6283"/>
      <c r="C6283"/>
      <c r="D6283"/>
      <c r="E6283"/>
      <c r="F6283"/>
      <c r="G6283"/>
      <c r="H6283"/>
      <c r="I6283"/>
    </row>
    <row r="6284" spans="1:9" s="33" customFormat="1">
      <c r="A6284" s="37"/>
      <c r="B6284"/>
      <c r="C6284"/>
      <c r="D6284"/>
      <c r="E6284"/>
      <c r="F6284"/>
      <c r="G6284"/>
      <c r="H6284"/>
      <c r="I6284"/>
    </row>
    <row r="6285" spans="1:9" s="33" customFormat="1">
      <c r="A6285" s="37"/>
      <c r="B6285"/>
      <c r="C6285"/>
      <c r="D6285"/>
      <c r="E6285"/>
      <c r="F6285"/>
      <c r="G6285"/>
      <c r="H6285"/>
      <c r="I6285"/>
    </row>
    <row r="6286" spans="1:9" s="33" customFormat="1">
      <c r="A6286" s="37"/>
      <c r="B6286"/>
      <c r="C6286"/>
      <c r="D6286"/>
      <c r="E6286"/>
      <c r="F6286"/>
      <c r="G6286"/>
      <c r="H6286"/>
      <c r="I6286"/>
    </row>
    <row r="6287" spans="1:9" s="33" customFormat="1">
      <c r="A6287" s="37"/>
      <c r="B6287"/>
      <c r="C6287"/>
      <c r="D6287"/>
      <c r="E6287"/>
      <c r="F6287"/>
      <c r="G6287"/>
      <c r="H6287"/>
      <c r="I6287"/>
    </row>
    <row r="6288" spans="1:9" s="33" customFormat="1">
      <c r="A6288" s="37"/>
      <c r="B6288"/>
      <c r="C6288"/>
      <c r="D6288"/>
      <c r="E6288"/>
      <c r="F6288"/>
      <c r="G6288"/>
      <c r="H6288"/>
      <c r="I6288"/>
    </row>
    <row r="6289" spans="1:9" s="33" customFormat="1">
      <c r="A6289" s="37"/>
      <c r="B6289"/>
      <c r="C6289"/>
      <c r="D6289"/>
      <c r="E6289"/>
      <c r="F6289"/>
      <c r="G6289"/>
      <c r="H6289"/>
      <c r="I6289"/>
    </row>
    <row r="6290" spans="1:9" s="33" customFormat="1">
      <c r="A6290" s="37"/>
      <c r="B6290"/>
      <c r="C6290"/>
      <c r="D6290"/>
      <c r="E6290"/>
      <c r="F6290"/>
      <c r="G6290"/>
      <c r="H6290"/>
      <c r="I6290"/>
    </row>
    <row r="6291" spans="1:9" s="33" customFormat="1">
      <c r="A6291" s="37"/>
      <c r="B6291"/>
      <c r="C6291"/>
      <c r="D6291"/>
      <c r="E6291"/>
      <c r="F6291"/>
      <c r="G6291"/>
      <c r="H6291"/>
      <c r="I6291"/>
    </row>
    <row r="6292" spans="1:9" s="33" customFormat="1">
      <c r="A6292" s="37"/>
      <c r="B6292"/>
      <c r="C6292"/>
      <c r="D6292"/>
      <c r="E6292"/>
      <c r="F6292"/>
      <c r="G6292"/>
      <c r="H6292"/>
      <c r="I6292"/>
    </row>
    <row r="6293" spans="1:9" s="33" customFormat="1">
      <c r="A6293" s="37"/>
      <c r="B6293"/>
      <c r="C6293"/>
      <c r="D6293"/>
      <c r="E6293"/>
      <c r="F6293"/>
      <c r="G6293"/>
      <c r="H6293"/>
      <c r="I6293"/>
    </row>
    <row r="6294" spans="1:9" s="33" customFormat="1">
      <c r="A6294" s="37"/>
      <c r="B6294"/>
      <c r="C6294"/>
      <c r="D6294"/>
      <c r="E6294"/>
      <c r="F6294"/>
      <c r="G6294"/>
      <c r="H6294"/>
      <c r="I6294"/>
    </row>
    <row r="6295" spans="1:9" s="33" customFormat="1">
      <c r="A6295" s="37"/>
      <c r="B6295"/>
      <c r="C6295"/>
      <c r="D6295"/>
      <c r="E6295"/>
      <c r="F6295"/>
      <c r="G6295"/>
      <c r="H6295"/>
      <c r="I6295"/>
    </row>
    <row r="6296" spans="1:9" s="33" customFormat="1">
      <c r="A6296" s="37"/>
      <c r="B6296"/>
      <c r="C6296"/>
      <c r="D6296"/>
      <c r="E6296"/>
      <c r="F6296"/>
      <c r="G6296"/>
      <c r="H6296"/>
      <c r="I6296"/>
    </row>
    <row r="6297" spans="1:9" s="33" customFormat="1">
      <c r="A6297" s="37"/>
      <c r="B6297"/>
      <c r="C6297"/>
      <c r="D6297"/>
      <c r="E6297"/>
      <c r="F6297"/>
      <c r="G6297"/>
      <c r="H6297"/>
      <c r="I6297"/>
    </row>
    <row r="6298" spans="1:9" s="33" customFormat="1">
      <c r="A6298" s="37"/>
      <c r="B6298"/>
      <c r="C6298"/>
      <c r="D6298"/>
      <c r="E6298"/>
      <c r="F6298"/>
      <c r="G6298"/>
      <c r="H6298"/>
      <c r="I6298"/>
    </row>
    <row r="6299" spans="1:9" s="33" customFormat="1">
      <c r="A6299" s="37"/>
      <c r="B6299"/>
      <c r="C6299"/>
      <c r="D6299"/>
      <c r="E6299"/>
      <c r="F6299"/>
      <c r="G6299"/>
      <c r="H6299"/>
      <c r="I6299"/>
    </row>
    <row r="6300" spans="1:9" s="33" customFormat="1">
      <c r="A6300" s="37"/>
      <c r="B6300"/>
      <c r="C6300"/>
      <c r="D6300"/>
      <c r="E6300"/>
      <c r="F6300"/>
      <c r="G6300"/>
      <c r="H6300"/>
      <c r="I6300"/>
    </row>
    <row r="6301" spans="1:9" s="33" customFormat="1">
      <c r="A6301" s="37"/>
      <c r="B6301"/>
      <c r="C6301"/>
      <c r="D6301"/>
      <c r="E6301"/>
      <c r="F6301"/>
      <c r="G6301"/>
      <c r="H6301"/>
      <c r="I6301"/>
    </row>
    <row r="6302" spans="1:9" s="33" customFormat="1">
      <c r="A6302" s="37"/>
      <c r="B6302"/>
      <c r="C6302"/>
      <c r="D6302"/>
      <c r="E6302"/>
      <c r="F6302"/>
      <c r="G6302"/>
      <c r="H6302"/>
      <c r="I6302"/>
    </row>
    <row r="6303" spans="1:9" s="33" customFormat="1">
      <c r="A6303" s="37"/>
      <c r="B6303"/>
      <c r="C6303"/>
      <c r="D6303"/>
      <c r="E6303"/>
      <c r="F6303"/>
      <c r="G6303"/>
      <c r="H6303"/>
      <c r="I6303"/>
    </row>
    <row r="6304" spans="1:9" s="33" customFormat="1">
      <c r="A6304" s="37"/>
      <c r="B6304"/>
      <c r="C6304"/>
      <c r="D6304"/>
      <c r="E6304"/>
      <c r="F6304"/>
      <c r="G6304"/>
      <c r="H6304"/>
      <c r="I6304"/>
    </row>
    <row r="6305" spans="1:9" s="33" customFormat="1">
      <c r="A6305" s="37"/>
      <c r="B6305"/>
      <c r="C6305"/>
      <c r="D6305"/>
      <c r="E6305"/>
      <c r="F6305"/>
      <c r="G6305"/>
      <c r="H6305"/>
      <c r="I6305"/>
    </row>
    <row r="6306" spans="1:9" s="33" customFormat="1">
      <c r="A6306" s="37"/>
      <c r="B6306"/>
      <c r="C6306"/>
      <c r="D6306"/>
      <c r="E6306"/>
      <c r="F6306"/>
      <c r="G6306"/>
      <c r="H6306"/>
      <c r="I6306"/>
    </row>
    <row r="6307" spans="1:9" s="33" customFormat="1">
      <c r="A6307" s="37"/>
      <c r="B6307"/>
      <c r="C6307"/>
      <c r="D6307"/>
      <c r="E6307"/>
      <c r="F6307"/>
      <c r="G6307"/>
      <c r="H6307"/>
      <c r="I6307"/>
    </row>
    <row r="6308" spans="1:9" s="33" customFormat="1">
      <c r="A6308" s="37"/>
      <c r="B6308"/>
      <c r="C6308"/>
      <c r="D6308"/>
      <c r="E6308"/>
      <c r="F6308"/>
      <c r="G6308"/>
      <c r="H6308"/>
      <c r="I6308"/>
    </row>
    <row r="6309" spans="1:9" s="33" customFormat="1">
      <c r="A6309" s="37"/>
      <c r="B6309"/>
      <c r="C6309"/>
      <c r="D6309"/>
      <c r="E6309"/>
      <c r="F6309"/>
      <c r="G6309"/>
      <c r="H6309"/>
      <c r="I6309"/>
    </row>
    <row r="6310" spans="1:9" s="33" customFormat="1">
      <c r="A6310" s="37"/>
      <c r="B6310"/>
      <c r="C6310"/>
      <c r="D6310"/>
      <c r="E6310"/>
      <c r="F6310"/>
      <c r="G6310"/>
      <c r="H6310"/>
      <c r="I6310"/>
    </row>
    <row r="6311" spans="1:9" s="33" customFormat="1">
      <c r="A6311" s="37"/>
      <c r="B6311"/>
      <c r="C6311"/>
      <c r="D6311"/>
      <c r="E6311"/>
      <c r="F6311"/>
      <c r="G6311"/>
      <c r="H6311"/>
      <c r="I6311"/>
    </row>
    <row r="6312" spans="1:9" s="33" customFormat="1">
      <c r="A6312" s="37"/>
      <c r="B6312"/>
      <c r="C6312"/>
      <c r="D6312"/>
      <c r="E6312"/>
      <c r="F6312"/>
      <c r="G6312"/>
      <c r="H6312"/>
      <c r="I6312"/>
    </row>
    <row r="6313" spans="1:9" s="33" customFormat="1">
      <c r="A6313" s="37"/>
      <c r="B6313"/>
      <c r="C6313"/>
      <c r="D6313"/>
      <c r="E6313"/>
      <c r="F6313"/>
      <c r="G6313"/>
      <c r="H6313"/>
      <c r="I6313"/>
    </row>
    <row r="6314" spans="1:9" s="33" customFormat="1">
      <c r="A6314" s="37"/>
      <c r="B6314"/>
      <c r="C6314"/>
      <c r="D6314"/>
      <c r="E6314"/>
      <c r="F6314"/>
      <c r="G6314"/>
      <c r="H6314"/>
      <c r="I6314"/>
    </row>
    <row r="6315" spans="1:9" s="33" customFormat="1">
      <c r="A6315" s="37"/>
      <c r="B6315"/>
      <c r="C6315"/>
      <c r="D6315"/>
      <c r="E6315"/>
      <c r="F6315"/>
      <c r="G6315"/>
      <c r="H6315"/>
      <c r="I6315"/>
    </row>
    <row r="6316" spans="1:9" s="33" customFormat="1">
      <c r="A6316" s="37"/>
      <c r="B6316"/>
      <c r="C6316"/>
      <c r="D6316"/>
      <c r="E6316"/>
      <c r="F6316"/>
      <c r="G6316"/>
      <c r="H6316"/>
      <c r="I6316"/>
    </row>
    <row r="6317" spans="1:9" s="33" customFormat="1">
      <c r="A6317" s="37"/>
      <c r="B6317"/>
      <c r="C6317"/>
      <c r="D6317"/>
      <c r="E6317"/>
      <c r="F6317"/>
      <c r="G6317"/>
      <c r="H6317"/>
      <c r="I6317"/>
    </row>
    <row r="6318" spans="1:9" s="33" customFormat="1">
      <c r="A6318" s="37"/>
      <c r="B6318"/>
      <c r="C6318"/>
      <c r="D6318"/>
      <c r="E6318"/>
      <c r="F6318"/>
      <c r="G6318"/>
      <c r="H6318"/>
      <c r="I6318"/>
    </row>
    <row r="6319" spans="1:9" s="33" customFormat="1">
      <c r="A6319" s="37"/>
      <c r="B6319"/>
      <c r="C6319"/>
      <c r="D6319"/>
      <c r="E6319"/>
      <c r="F6319"/>
      <c r="G6319"/>
      <c r="H6319"/>
      <c r="I6319"/>
    </row>
    <row r="6320" spans="1:9" s="33" customFormat="1">
      <c r="A6320" s="37"/>
      <c r="B6320"/>
      <c r="C6320"/>
      <c r="D6320"/>
      <c r="E6320"/>
      <c r="F6320"/>
      <c r="G6320"/>
      <c r="H6320"/>
      <c r="I6320"/>
    </row>
    <row r="6321" spans="1:9" s="33" customFormat="1">
      <c r="A6321" s="37"/>
      <c r="B6321"/>
      <c r="C6321"/>
      <c r="D6321"/>
      <c r="E6321"/>
      <c r="F6321"/>
      <c r="G6321"/>
      <c r="H6321"/>
      <c r="I6321"/>
    </row>
    <row r="6322" spans="1:9" s="33" customFormat="1">
      <c r="A6322" s="37"/>
      <c r="B6322"/>
      <c r="C6322"/>
      <c r="D6322"/>
      <c r="E6322"/>
      <c r="F6322"/>
      <c r="G6322"/>
      <c r="H6322"/>
      <c r="I6322"/>
    </row>
    <row r="6323" spans="1:9" s="33" customFormat="1">
      <c r="A6323" s="37"/>
      <c r="B6323"/>
      <c r="C6323"/>
      <c r="D6323"/>
      <c r="E6323"/>
      <c r="F6323"/>
      <c r="G6323"/>
      <c r="H6323"/>
      <c r="I6323"/>
    </row>
    <row r="6324" spans="1:9" s="33" customFormat="1">
      <c r="A6324" s="37"/>
      <c r="B6324"/>
      <c r="C6324"/>
      <c r="D6324"/>
      <c r="E6324"/>
      <c r="F6324"/>
      <c r="G6324"/>
      <c r="H6324"/>
      <c r="I6324"/>
    </row>
    <row r="6325" spans="1:9" s="33" customFormat="1">
      <c r="A6325" s="37"/>
      <c r="B6325"/>
      <c r="C6325"/>
      <c r="D6325"/>
      <c r="E6325"/>
      <c r="F6325"/>
      <c r="G6325"/>
      <c r="H6325"/>
      <c r="I6325"/>
    </row>
    <row r="6326" spans="1:9" s="33" customFormat="1">
      <c r="A6326" s="37"/>
      <c r="B6326"/>
      <c r="C6326"/>
      <c r="D6326"/>
      <c r="E6326"/>
      <c r="F6326"/>
      <c r="G6326"/>
      <c r="H6326"/>
      <c r="I6326"/>
    </row>
    <row r="6327" spans="1:9" s="33" customFormat="1">
      <c r="A6327" s="37"/>
      <c r="B6327"/>
      <c r="C6327"/>
      <c r="D6327"/>
      <c r="E6327"/>
      <c r="F6327"/>
      <c r="G6327"/>
      <c r="H6327"/>
      <c r="I6327"/>
    </row>
    <row r="6328" spans="1:9" s="33" customFormat="1">
      <c r="A6328" s="37"/>
      <c r="B6328"/>
      <c r="C6328"/>
      <c r="D6328"/>
      <c r="E6328"/>
      <c r="F6328"/>
      <c r="G6328"/>
      <c r="H6328"/>
      <c r="I6328"/>
    </row>
    <row r="6329" spans="1:9" s="33" customFormat="1">
      <c r="A6329" s="37"/>
      <c r="B6329"/>
      <c r="C6329"/>
      <c r="D6329"/>
      <c r="E6329"/>
      <c r="F6329"/>
      <c r="G6329"/>
      <c r="H6329"/>
      <c r="I6329"/>
    </row>
    <row r="6330" spans="1:9" s="33" customFormat="1">
      <c r="A6330" s="37"/>
      <c r="B6330"/>
      <c r="C6330"/>
      <c r="D6330"/>
      <c r="E6330"/>
      <c r="F6330"/>
      <c r="G6330"/>
      <c r="H6330"/>
      <c r="I6330"/>
    </row>
    <row r="6331" spans="1:9" s="33" customFormat="1">
      <c r="A6331" s="37"/>
      <c r="B6331"/>
      <c r="C6331"/>
      <c r="D6331"/>
      <c r="E6331"/>
      <c r="F6331"/>
      <c r="G6331"/>
      <c r="H6331"/>
      <c r="I6331"/>
    </row>
    <row r="6332" spans="1:9" s="33" customFormat="1">
      <c r="A6332" s="37"/>
      <c r="B6332"/>
      <c r="C6332"/>
      <c r="D6332"/>
      <c r="E6332"/>
      <c r="F6332"/>
      <c r="G6332"/>
      <c r="H6332"/>
      <c r="I6332"/>
    </row>
    <row r="6333" spans="1:9" s="33" customFormat="1">
      <c r="A6333" s="37"/>
      <c r="B6333"/>
      <c r="C6333"/>
      <c r="D6333"/>
      <c r="E6333"/>
      <c r="F6333"/>
      <c r="G6333"/>
      <c r="H6333"/>
      <c r="I6333"/>
    </row>
    <row r="6334" spans="1:9" s="33" customFormat="1">
      <c r="A6334" s="37"/>
      <c r="B6334"/>
      <c r="C6334"/>
      <c r="D6334"/>
      <c r="E6334"/>
      <c r="F6334"/>
      <c r="G6334"/>
      <c r="H6334"/>
      <c r="I6334"/>
    </row>
    <row r="6335" spans="1:9" s="33" customFormat="1">
      <c r="A6335" s="37"/>
      <c r="B6335"/>
      <c r="C6335"/>
      <c r="D6335"/>
      <c r="E6335"/>
      <c r="F6335"/>
      <c r="G6335"/>
      <c r="H6335"/>
      <c r="I6335"/>
    </row>
    <row r="6336" spans="1:9" s="33" customFormat="1">
      <c r="A6336" s="37"/>
      <c r="B6336"/>
      <c r="C6336"/>
      <c r="D6336"/>
      <c r="E6336"/>
      <c r="F6336"/>
      <c r="G6336"/>
      <c r="H6336"/>
      <c r="I6336"/>
    </row>
    <row r="6337" spans="1:9" s="33" customFormat="1">
      <c r="A6337" s="37"/>
      <c r="B6337"/>
      <c r="C6337"/>
      <c r="D6337"/>
      <c r="E6337"/>
      <c r="F6337"/>
      <c r="G6337"/>
      <c r="H6337"/>
      <c r="I6337"/>
    </row>
    <row r="6338" spans="1:9" s="33" customFormat="1">
      <c r="A6338" s="37"/>
      <c r="B6338"/>
      <c r="C6338"/>
      <c r="D6338"/>
      <c r="E6338"/>
      <c r="F6338"/>
      <c r="G6338"/>
      <c r="H6338"/>
      <c r="I6338"/>
    </row>
    <row r="6339" spans="1:9" s="33" customFormat="1">
      <c r="A6339" s="37"/>
      <c r="B6339"/>
      <c r="C6339"/>
      <c r="D6339"/>
      <c r="E6339"/>
      <c r="F6339"/>
      <c r="G6339"/>
      <c r="H6339"/>
      <c r="I6339"/>
    </row>
    <row r="6340" spans="1:9" s="33" customFormat="1">
      <c r="A6340" s="37"/>
      <c r="B6340"/>
      <c r="C6340"/>
      <c r="D6340"/>
      <c r="E6340"/>
      <c r="F6340"/>
      <c r="G6340"/>
      <c r="H6340"/>
      <c r="I6340"/>
    </row>
    <row r="6341" spans="1:9" s="33" customFormat="1">
      <c r="A6341" s="37"/>
      <c r="B6341"/>
      <c r="C6341"/>
      <c r="D6341"/>
      <c r="E6341"/>
      <c r="F6341"/>
      <c r="G6341"/>
      <c r="H6341"/>
      <c r="I6341"/>
    </row>
    <row r="6342" spans="1:9" s="33" customFormat="1">
      <c r="A6342" s="37"/>
      <c r="B6342"/>
      <c r="C6342"/>
      <c r="D6342"/>
      <c r="E6342"/>
      <c r="F6342"/>
      <c r="G6342"/>
      <c r="H6342"/>
      <c r="I6342"/>
    </row>
    <row r="6343" spans="1:9" s="33" customFormat="1">
      <c r="A6343" s="37"/>
      <c r="B6343"/>
      <c r="C6343"/>
      <c r="D6343"/>
      <c r="E6343"/>
      <c r="F6343"/>
      <c r="G6343"/>
      <c r="H6343"/>
      <c r="I6343"/>
    </row>
    <row r="6344" spans="1:9" s="33" customFormat="1">
      <c r="A6344" s="37"/>
      <c r="B6344"/>
      <c r="C6344"/>
      <c r="D6344"/>
      <c r="E6344"/>
      <c r="F6344"/>
      <c r="G6344"/>
      <c r="H6344"/>
      <c r="I6344"/>
    </row>
    <row r="6345" spans="1:9" s="33" customFormat="1">
      <c r="A6345" s="37"/>
      <c r="B6345"/>
      <c r="C6345"/>
      <c r="D6345"/>
      <c r="E6345"/>
      <c r="F6345"/>
      <c r="G6345"/>
      <c r="H6345"/>
      <c r="I6345"/>
    </row>
    <row r="6346" spans="1:9" s="33" customFormat="1">
      <c r="A6346" s="37"/>
      <c r="B6346"/>
      <c r="C6346"/>
      <c r="D6346"/>
      <c r="E6346"/>
      <c r="F6346"/>
      <c r="G6346"/>
      <c r="H6346"/>
      <c r="I6346"/>
    </row>
    <row r="6347" spans="1:9" s="33" customFormat="1">
      <c r="A6347" s="37"/>
      <c r="B6347"/>
      <c r="C6347"/>
      <c r="D6347"/>
      <c r="E6347"/>
      <c r="F6347"/>
      <c r="G6347"/>
      <c r="H6347"/>
      <c r="I6347"/>
    </row>
    <row r="6348" spans="1:9" s="33" customFormat="1">
      <c r="A6348" s="37"/>
      <c r="B6348"/>
      <c r="C6348"/>
      <c r="D6348"/>
      <c r="E6348"/>
      <c r="F6348"/>
      <c r="G6348"/>
      <c r="H6348"/>
      <c r="I6348"/>
    </row>
    <row r="6349" spans="1:9" s="33" customFormat="1">
      <c r="A6349" s="37"/>
      <c r="B6349"/>
      <c r="C6349"/>
      <c r="D6349"/>
      <c r="E6349"/>
      <c r="F6349"/>
      <c r="G6349"/>
      <c r="H6349"/>
      <c r="I6349"/>
    </row>
    <row r="6350" spans="1:9" s="33" customFormat="1">
      <c r="A6350" s="37"/>
      <c r="B6350"/>
      <c r="C6350"/>
      <c r="D6350"/>
      <c r="E6350"/>
      <c r="F6350"/>
      <c r="G6350"/>
      <c r="H6350"/>
      <c r="I6350"/>
    </row>
    <row r="6351" spans="1:9" s="33" customFormat="1">
      <c r="A6351" s="37"/>
      <c r="B6351"/>
      <c r="C6351"/>
      <c r="D6351"/>
      <c r="E6351"/>
      <c r="F6351"/>
      <c r="G6351"/>
      <c r="H6351"/>
      <c r="I6351"/>
    </row>
    <row r="6352" spans="1:9" s="33" customFormat="1">
      <c r="A6352" s="37"/>
      <c r="B6352"/>
      <c r="C6352"/>
      <c r="D6352"/>
      <c r="E6352"/>
      <c r="F6352"/>
      <c r="G6352"/>
      <c r="H6352"/>
      <c r="I6352"/>
    </row>
    <row r="6353" spans="1:9" s="33" customFormat="1">
      <c r="A6353" s="37"/>
      <c r="B6353"/>
      <c r="C6353"/>
      <c r="D6353"/>
      <c r="E6353"/>
      <c r="F6353"/>
      <c r="G6353"/>
      <c r="H6353"/>
      <c r="I6353"/>
    </row>
    <row r="6354" spans="1:9" s="33" customFormat="1">
      <c r="A6354" s="37"/>
      <c r="B6354"/>
      <c r="C6354"/>
      <c r="D6354"/>
      <c r="E6354"/>
      <c r="F6354"/>
      <c r="G6354"/>
      <c r="H6354"/>
      <c r="I6354"/>
    </row>
    <row r="6355" spans="1:9" s="33" customFormat="1">
      <c r="A6355" s="37"/>
      <c r="B6355"/>
      <c r="C6355"/>
      <c r="D6355"/>
      <c r="E6355"/>
      <c r="F6355"/>
      <c r="G6355"/>
      <c r="H6355"/>
      <c r="I6355"/>
    </row>
    <row r="6356" spans="1:9" s="33" customFormat="1">
      <c r="A6356" s="37"/>
      <c r="B6356"/>
      <c r="C6356"/>
      <c r="D6356"/>
      <c r="E6356"/>
      <c r="F6356"/>
      <c r="G6356"/>
      <c r="H6356"/>
      <c r="I6356"/>
    </row>
    <row r="6357" spans="1:9" s="33" customFormat="1">
      <c r="A6357" s="37"/>
      <c r="B6357"/>
      <c r="C6357"/>
      <c r="D6357"/>
      <c r="E6357"/>
      <c r="F6357"/>
      <c r="G6357"/>
      <c r="H6357"/>
      <c r="I6357"/>
    </row>
    <row r="6358" spans="1:9" s="33" customFormat="1">
      <c r="A6358" s="37"/>
      <c r="B6358"/>
      <c r="C6358"/>
      <c r="D6358"/>
      <c r="E6358"/>
      <c r="F6358"/>
      <c r="G6358"/>
      <c r="H6358"/>
      <c r="I6358"/>
    </row>
    <row r="6359" spans="1:9" s="33" customFormat="1">
      <c r="A6359" s="37"/>
      <c r="B6359"/>
      <c r="C6359"/>
      <c r="D6359"/>
      <c r="E6359"/>
      <c r="F6359"/>
      <c r="G6359"/>
      <c r="H6359"/>
      <c r="I6359"/>
    </row>
    <row r="6360" spans="1:9" s="33" customFormat="1">
      <c r="A6360" s="37"/>
      <c r="B6360"/>
      <c r="C6360"/>
      <c r="D6360"/>
      <c r="E6360"/>
      <c r="F6360"/>
      <c r="G6360"/>
      <c r="H6360"/>
      <c r="I6360"/>
    </row>
    <row r="6361" spans="1:9" s="33" customFormat="1">
      <c r="A6361" s="37"/>
      <c r="B6361"/>
      <c r="C6361"/>
      <c r="D6361"/>
      <c r="E6361"/>
      <c r="F6361"/>
      <c r="G6361"/>
      <c r="H6361"/>
      <c r="I6361"/>
    </row>
    <row r="6362" spans="1:9" s="33" customFormat="1">
      <c r="A6362" s="37"/>
      <c r="B6362"/>
      <c r="C6362"/>
      <c r="D6362"/>
      <c r="E6362"/>
      <c r="F6362"/>
      <c r="G6362"/>
      <c r="H6362"/>
      <c r="I6362"/>
    </row>
    <row r="6363" spans="1:9" s="33" customFormat="1">
      <c r="A6363" s="37"/>
      <c r="B6363"/>
      <c r="C6363"/>
      <c r="D6363"/>
      <c r="E6363"/>
      <c r="F6363"/>
      <c r="G6363"/>
      <c r="H6363"/>
      <c r="I6363"/>
    </row>
    <row r="6364" spans="1:9" s="33" customFormat="1">
      <c r="A6364" s="37"/>
      <c r="B6364"/>
      <c r="C6364"/>
      <c r="D6364"/>
      <c r="E6364"/>
      <c r="F6364"/>
      <c r="G6364"/>
      <c r="H6364"/>
      <c r="I6364"/>
    </row>
    <row r="6365" spans="1:9" s="33" customFormat="1">
      <c r="A6365" s="37"/>
      <c r="B6365"/>
      <c r="C6365"/>
      <c r="D6365"/>
      <c r="E6365"/>
      <c r="F6365"/>
      <c r="G6365"/>
      <c r="H6365"/>
      <c r="I6365"/>
    </row>
    <row r="6366" spans="1:9" s="33" customFormat="1">
      <c r="A6366" s="37"/>
      <c r="B6366"/>
      <c r="C6366"/>
      <c r="D6366"/>
      <c r="E6366"/>
      <c r="F6366"/>
      <c r="G6366"/>
      <c r="H6366"/>
      <c r="I6366"/>
    </row>
    <row r="6367" spans="1:9" s="33" customFormat="1">
      <c r="A6367" s="37"/>
      <c r="B6367"/>
      <c r="C6367"/>
      <c r="D6367"/>
      <c r="E6367"/>
      <c r="F6367"/>
      <c r="G6367"/>
      <c r="H6367"/>
      <c r="I6367"/>
    </row>
    <row r="6368" spans="1:9" s="33" customFormat="1">
      <c r="A6368" s="37"/>
      <c r="B6368"/>
      <c r="C6368"/>
      <c r="D6368"/>
      <c r="E6368"/>
      <c r="F6368"/>
      <c r="G6368"/>
      <c r="H6368"/>
      <c r="I6368"/>
    </row>
    <row r="6369" spans="1:9" s="33" customFormat="1">
      <c r="A6369" s="37"/>
      <c r="B6369"/>
      <c r="C6369"/>
      <c r="D6369"/>
      <c r="E6369"/>
      <c r="F6369"/>
      <c r="G6369"/>
      <c r="H6369"/>
      <c r="I6369"/>
    </row>
    <row r="6370" spans="1:9" s="33" customFormat="1">
      <c r="A6370" s="37"/>
      <c r="B6370"/>
      <c r="C6370"/>
      <c r="D6370"/>
      <c r="E6370"/>
      <c r="F6370"/>
      <c r="G6370"/>
      <c r="H6370"/>
      <c r="I6370"/>
    </row>
    <row r="6371" spans="1:9" s="33" customFormat="1">
      <c r="A6371" s="37"/>
      <c r="B6371"/>
      <c r="C6371"/>
      <c r="D6371"/>
      <c r="E6371"/>
      <c r="F6371"/>
      <c r="G6371"/>
      <c r="H6371"/>
      <c r="I6371"/>
    </row>
    <row r="6372" spans="1:9" s="33" customFormat="1">
      <c r="A6372" s="37"/>
      <c r="B6372"/>
      <c r="C6372"/>
      <c r="D6372"/>
      <c r="E6372"/>
      <c r="F6372"/>
      <c r="G6372"/>
      <c r="H6372"/>
      <c r="I6372"/>
    </row>
    <row r="6373" spans="1:9" s="33" customFormat="1">
      <c r="A6373" s="37"/>
      <c r="B6373"/>
      <c r="C6373"/>
      <c r="D6373"/>
      <c r="E6373"/>
      <c r="F6373"/>
      <c r="G6373"/>
      <c r="H6373"/>
      <c r="I6373"/>
    </row>
    <row r="6374" spans="1:9" s="33" customFormat="1">
      <c r="A6374" s="37"/>
      <c r="B6374"/>
      <c r="C6374"/>
      <c r="D6374"/>
      <c r="E6374"/>
      <c r="F6374"/>
      <c r="G6374"/>
      <c r="H6374"/>
      <c r="I6374"/>
    </row>
    <row r="6375" spans="1:9" s="33" customFormat="1">
      <c r="A6375" s="37"/>
      <c r="B6375"/>
      <c r="C6375"/>
      <c r="D6375"/>
      <c r="E6375"/>
      <c r="F6375"/>
      <c r="G6375"/>
      <c r="H6375"/>
      <c r="I6375"/>
    </row>
    <row r="6376" spans="1:9" s="33" customFormat="1">
      <c r="A6376" s="37"/>
      <c r="B6376"/>
      <c r="C6376"/>
      <c r="D6376"/>
      <c r="E6376"/>
      <c r="F6376"/>
      <c r="G6376"/>
      <c r="H6376"/>
      <c r="I6376"/>
    </row>
    <row r="6377" spans="1:9" s="33" customFormat="1">
      <c r="A6377" s="37"/>
      <c r="B6377"/>
      <c r="C6377"/>
      <c r="D6377"/>
      <c r="E6377"/>
      <c r="F6377"/>
      <c r="G6377"/>
      <c r="H6377"/>
      <c r="I6377"/>
    </row>
    <row r="6378" spans="1:9" s="33" customFormat="1">
      <c r="A6378" s="37"/>
      <c r="B6378"/>
      <c r="C6378"/>
      <c r="D6378"/>
      <c r="E6378"/>
      <c r="F6378"/>
      <c r="G6378"/>
      <c r="H6378"/>
      <c r="I6378"/>
    </row>
    <row r="6379" spans="1:9" s="33" customFormat="1">
      <c r="A6379" s="37"/>
      <c r="B6379"/>
      <c r="C6379"/>
      <c r="D6379"/>
      <c r="E6379"/>
      <c r="F6379"/>
      <c r="G6379"/>
      <c r="H6379"/>
      <c r="I6379"/>
    </row>
    <row r="6380" spans="1:9" s="33" customFormat="1">
      <c r="A6380" s="37"/>
      <c r="B6380"/>
      <c r="C6380"/>
      <c r="D6380"/>
      <c r="E6380"/>
      <c r="F6380"/>
      <c r="G6380"/>
      <c r="H6380"/>
      <c r="I6380"/>
    </row>
    <row r="6381" spans="1:9" s="33" customFormat="1">
      <c r="A6381" s="37"/>
      <c r="B6381"/>
      <c r="C6381"/>
      <c r="D6381"/>
      <c r="E6381"/>
      <c r="F6381"/>
      <c r="G6381"/>
      <c r="H6381"/>
      <c r="I6381"/>
    </row>
    <row r="6382" spans="1:9" s="33" customFormat="1">
      <c r="A6382" s="37"/>
      <c r="B6382"/>
      <c r="C6382"/>
      <c r="D6382"/>
      <c r="E6382"/>
      <c r="F6382"/>
      <c r="G6382"/>
      <c r="H6382"/>
      <c r="I6382"/>
    </row>
    <row r="6383" spans="1:9" s="33" customFormat="1">
      <c r="A6383" s="37"/>
      <c r="B6383"/>
      <c r="C6383"/>
      <c r="D6383"/>
      <c r="E6383"/>
      <c r="F6383"/>
      <c r="G6383"/>
      <c r="H6383"/>
      <c r="I6383"/>
    </row>
    <row r="6384" spans="1:9" s="33" customFormat="1">
      <c r="A6384" s="37"/>
      <c r="B6384"/>
      <c r="C6384"/>
      <c r="D6384"/>
      <c r="E6384"/>
      <c r="F6384"/>
      <c r="G6384"/>
      <c r="H6384"/>
      <c r="I6384"/>
    </row>
    <row r="6385" spans="1:9" s="33" customFormat="1">
      <c r="A6385" s="37"/>
      <c r="B6385"/>
      <c r="C6385"/>
      <c r="D6385"/>
      <c r="E6385"/>
      <c r="F6385"/>
      <c r="G6385"/>
      <c r="H6385"/>
      <c r="I6385"/>
    </row>
    <row r="6386" spans="1:9" s="33" customFormat="1">
      <c r="A6386" s="37"/>
      <c r="B6386"/>
      <c r="C6386"/>
      <c r="D6386"/>
      <c r="E6386"/>
      <c r="F6386"/>
      <c r="G6386"/>
      <c r="H6386"/>
      <c r="I6386"/>
    </row>
    <row r="6387" spans="1:9" s="33" customFormat="1">
      <c r="A6387" s="37"/>
      <c r="B6387"/>
      <c r="C6387"/>
      <c r="D6387"/>
      <c r="E6387"/>
      <c r="F6387"/>
      <c r="G6387"/>
      <c r="H6387"/>
      <c r="I6387"/>
    </row>
    <row r="6388" spans="1:9" s="33" customFormat="1">
      <c r="A6388" s="37"/>
      <c r="B6388"/>
      <c r="C6388"/>
      <c r="D6388"/>
      <c r="E6388"/>
      <c r="F6388"/>
      <c r="G6388"/>
      <c r="H6388"/>
      <c r="I6388"/>
    </row>
    <row r="6389" spans="1:9" s="33" customFormat="1">
      <c r="A6389" s="37"/>
      <c r="B6389"/>
      <c r="C6389"/>
      <c r="D6389"/>
      <c r="E6389"/>
      <c r="F6389"/>
      <c r="G6389"/>
      <c r="H6389"/>
      <c r="I6389"/>
    </row>
    <row r="6390" spans="1:9" s="33" customFormat="1">
      <c r="A6390" s="37"/>
      <c r="B6390"/>
      <c r="C6390"/>
      <c r="D6390"/>
      <c r="E6390"/>
      <c r="F6390"/>
      <c r="G6390"/>
      <c r="H6390"/>
      <c r="I6390"/>
    </row>
    <row r="6391" spans="1:9" s="33" customFormat="1">
      <c r="A6391" s="37"/>
      <c r="B6391"/>
      <c r="C6391"/>
      <c r="D6391"/>
      <c r="E6391"/>
      <c r="F6391"/>
      <c r="G6391"/>
      <c r="H6391"/>
      <c r="I6391"/>
    </row>
    <row r="6392" spans="1:9" s="33" customFormat="1">
      <c r="A6392" s="37"/>
      <c r="B6392"/>
      <c r="C6392"/>
      <c r="D6392"/>
      <c r="E6392"/>
      <c r="F6392"/>
      <c r="G6392"/>
      <c r="H6392"/>
      <c r="I6392"/>
    </row>
    <row r="6393" spans="1:9" s="33" customFormat="1">
      <c r="A6393" s="37"/>
      <c r="B6393"/>
      <c r="C6393"/>
      <c r="D6393"/>
      <c r="E6393"/>
      <c r="F6393"/>
      <c r="G6393"/>
      <c r="H6393"/>
      <c r="I6393"/>
    </row>
    <row r="6394" spans="1:9" s="33" customFormat="1">
      <c r="A6394" s="37"/>
      <c r="B6394"/>
      <c r="C6394"/>
      <c r="D6394"/>
      <c r="E6394"/>
      <c r="F6394"/>
      <c r="G6394"/>
      <c r="H6394"/>
      <c r="I6394"/>
    </row>
    <row r="6395" spans="1:9" s="33" customFormat="1">
      <c r="A6395" s="37"/>
      <c r="B6395"/>
      <c r="C6395"/>
      <c r="D6395"/>
      <c r="E6395"/>
      <c r="F6395"/>
      <c r="G6395"/>
      <c r="H6395"/>
      <c r="I6395"/>
    </row>
    <row r="6396" spans="1:9" s="33" customFormat="1">
      <c r="A6396" s="37"/>
      <c r="B6396"/>
      <c r="C6396"/>
      <c r="D6396"/>
      <c r="E6396"/>
      <c r="F6396"/>
      <c r="G6396"/>
      <c r="H6396"/>
      <c r="I6396"/>
    </row>
    <row r="6397" spans="1:9" s="33" customFormat="1">
      <c r="A6397" s="37"/>
      <c r="B6397"/>
      <c r="C6397"/>
      <c r="D6397"/>
      <c r="E6397"/>
      <c r="F6397"/>
      <c r="G6397"/>
      <c r="H6397"/>
      <c r="I6397"/>
    </row>
    <row r="6398" spans="1:9" s="33" customFormat="1">
      <c r="A6398" s="37"/>
      <c r="B6398"/>
      <c r="C6398"/>
      <c r="D6398"/>
      <c r="E6398"/>
      <c r="F6398"/>
      <c r="G6398"/>
      <c r="H6398"/>
      <c r="I6398"/>
    </row>
    <row r="6399" spans="1:9" s="33" customFormat="1">
      <c r="A6399" s="37"/>
      <c r="B6399"/>
      <c r="C6399"/>
      <c r="D6399"/>
      <c r="E6399"/>
      <c r="F6399"/>
      <c r="G6399"/>
      <c r="H6399"/>
      <c r="I6399"/>
    </row>
    <row r="6400" spans="1:9" s="33" customFormat="1">
      <c r="A6400" s="37"/>
      <c r="B6400"/>
      <c r="C6400"/>
      <c r="D6400"/>
      <c r="E6400"/>
      <c r="F6400"/>
      <c r="G6400"/>
      <c r="H6400"/>
      <c r="I6400"/>
    </row>
    <row r="6401" spans="1:9" s="33" customFormat="1">
      <c r="A6401" s="37"/>
      <c r="B6401"/>
      <c r="C6401"/>
      <c r="D6401"/>
      <c r="E6401"/>
      <c r="F6401"/>
      <c r="G6401"/>
      <c r="H6401"/>
      <c r="I6401"/>
    </row>
    <row r="6402" spans="1:9" s="33" customFormat="1">
      <c r="A6402" s="37"/>
      <c r="B6402"/>
      <c r="C6402"/>
      <c r="D6402"/>
      <c r="E6402"/>
      <c r="F6402"/>
      <c r="G6402"/>
      <c r="H6402"/>
      <c r="I6402"/>
    </row>
    <row r="6403" spans="1:9" s="33" customFormat="1">
      <c r="A6403" s="37"/>
      <c r="B6403"/>
      <c r="C6403"/>
      <c r="D6403"/>
      <c r="E6403"/>
      <c r="F6403"/>
      <c r="G6403"/>
      <c r="H6403"/>
      <c r="I6403"/>
    </row>
    <row r="6404" spans="1:9" s="33" customFormat="1">
      <c r="A6404" s="37"/>
      <c r="B6404"/>
      <c r="C6404"/>
      <c r="D6404"/>
      <c r="E6404"/>
      <c r="F6404"/>
      <c r="G6404"/>
      <c r="H6404"/>
      <c r="I6404"/>
    </row>
    <row r="6405" spans="1:9" s="33" customFormat="1">
      <c r="A6405" s="37"/>
      <c r="B6405"/>
      <c r="C6405"/>
      <c r="D6405"/>
      <c r="E6405"/>
      <c r="F6405"/>
      <c r="G6405"/>
      <c r="H6405"/>
      <c r="I6405"/>
    </row>
    <row r="6406" spans="1:9" s="33" customFormat="1">
      <c r="A6406" s="37"/>
      <c r="B6406"/>
      <c r="C6406"/>
      <c r="D6406"/>
      <c r="E6406"/>
      <c r="F6406"/>
      <c r="G6406"/>
      <c r="H6406"/>
      <c r="I6406"/>
    </row>
    <row r="6407" spans="1:9" s="33" customFormat="1">
      <c r="A6407" s="37"/>
      <c r="B6407"/>
      <c r="C6407"/>
      <c r="D6407"/>
      <c r="E6407"/>
      <c r="F6407"/>
      <c r="G6407"/>
      <c r="H6407"/>
      <c r="I6407"/>
    </row>
    <row r="6408" spans="1:9" s="33" customFormat="1">
      <c r="A6408" s="37"/>
      <c r="B6408"/>
      <c r="C6408"/>
      <c r="D6408"/>
      <c r="E6408"/>
      <c r="F6408"/>
      <c r="G6408"/>
      <c r="H6408"/>
      <c r="I6408"/>
    </row>
    <row r="6409" spans="1:9" s="33" customFormat="1">
      <c r="A6409" s="37"/>
      <c r="B6409"/>
      <c r="C6409"/>
      <c r="D6409"/>
      <c r="E6409"/>
      <c r="F6409"/>
      <c r="G6409"/>
      <c r="H6409"/>
      <c r="I6409"/>
    </row>
    <row r="6410" spans="1:9" s="33" customFormat="1">
      <c r="A6410" s="37"/>
      <c r="B6410"/>
      <c r="C6410"/>
      <c r="D6410"/>
      <c r="E6410"/>
      <c r="F6410"/>
      <c r="G6410"/>
      <c r="H6410"/>
      <c r="I6410"/>
    </row>
    <row r="6411" spans="1:9" s="33" customFormat="1">
      <c r="A6411" s="37"/>
      <c r="B6411"/>
      <c r="C6411"/>
      <c r="D6411"/>
      <c r="E6411"/>
      <c r="F6411"/>
      <c r="G6411"/>
      <c r="H6411"/>
      <c r="I6411"/>
    </row>
    <row r="6412" spans="1:9" s="33" customFormat="1">
      <c r="A6412" s="37"/>
      <c r="B6412"/>
      <c r="C6412"/>
      <c r="D6412"/>
      <c r="E6412"/>
      <c r="F6412"/>
      <c r="G6412"/>
      <c r="H6412"/>
      <c r="I6412"/>
    </row>
    <row r="6413" spans="1:9" s="33" customFormat="1">
      <c r="A6413" s="37"/>
      <c r="B6413"/>
      <c r="C6413"/>
      <c r="D6413"/>
      <c r="E6413"/>
      <c r="F6413"/>
      <c r="G6413"/>
      <c r="H6413"/>
      <c r="I6413"/>
    </row>
    <row r="6414" spans="1:9" s="33" customFormat="1">
      <c r="A6414" s="37"/>
      <c r="B6414"/>
      <c r="C6414"/>
      <c r="D6414"/>
      <c r="E6414"/>
      <c r="F6414"/>
      <c r="G6414"/>
      <c r="H6414"/>
      <c r="I6414"/>
    </row>
    <row r="6415" spans="1:9" s="33" customFormat="1">
      <c r="A6415" s="37"/>
      <c r="B6415"/>
      <c r="C6415"/>
      <c r="D6415"/>
      <c r="E6415"/>
      <c r="F6415"/>
      <c r="G6415"/>
      <c r="H6415"/>
      <c r="I6415"/>
    </row>
    <row r="6416" spans="1:9" s="33" customFormat="1">
      <c r="A6416" s="37"/>
      <c r="B6416"/>
      <c r="C6416"/>
      <c r="D6416"/>
      <c r="E6416"/>
      <c r="F6416"/>
      <c r="G6416"/>
      <c r="H6416"/>
      <c r="I6416"/>
    </row>
    <row r="6417" spans="1:9" s="33" customFormat="1">
      <c r="A6417" s="37"/>
      <c r="B6417"/>
      <c r="C6417"/>
      <c r="D6417"/>
      <c r="E6417"/>
      <c r="F6417"/>
      <c r="G6417"/>
      <c r="H6417"/>
      <c r="I6417"/>
    </row>
    <row r="6418" spans="1:9" s="33" customFormat="1">
      <c r="A6418" s="37"/>
      <c r="B6418"/>
      <c r="C6418"/>
      <c r="D6418"/>
      <c r="E6418"/>
      <c r="F6418"/>
      <c r="G6418"/>
      <c r="H6418"/>
      <c r="I6418"/>
    </row>
    <row r="6419" spans="1:9" s="33" customFormat="1">
      <c r="A6419" s="37"/>
      <c r="B6419"/>
      <c r="C6419"/>
      <c r="D6419"/>
      <c r="E6419"/>
      <c r="F6419"/>
      <c r="G6419"/>
      <c r="H6419"/>
      <c r="I6419"/>
    </row>
    <row r="6420" spans="1:9" s="33" customFormat="1">
      <c r="A6420" s="37"/>
      <c r="B6420"/>
      <c r="C6420"/>
      <c r="D6420"/>
      <c r="E6420"/>
      <c r="F6420"/>
      <c r="G6420"/>
      <c r="H6420"/>
      <c r="I6420"/>
    </row>
    <row r="6421" spans="1:9" s="33" customFormat="1">
      <c r="A6421" s="37"/>
      <c r="B6421"/>
      <c r="C6421"/>
      <c r="D6421"/>
      <c r="E6421"/>
      <c r="F6421"/>
      <c r="G6421"/>
      <c r="H6421"/>
      <c r="I6421"/>
    </row>
    <row r="6422" spans="1:9" s="33" customFormat="1">
      <c r="A6422" s="37"/>
      <c r="B6422"/>
      <c r="C6422"/>
      <c r="D6422"/>
      <c r="E6422"/>
      <c r="F6422"/>
      <c r="G6422"/>
      <c r="H6422"/>
      <c r="I6422"/>
    </row>
    <row r="6423" spans="1:9" s="33" customFormat="1">
      <c r="A6423" s="37"/>
      <c r="B6423"/>
      <c r="C6423"/>
      <c r="D6423"/>
      <c r="E6423"/>
      <c r="F6423"/>
      <c r="G6423"/>
      <c r="H6423"/>
      <c r="I6423"/>
    </row>
    <row r="6424" spans="1:9" s="33" customFormat="1">
      <c r="A6424" s="37"/>
      <c r="B6424"/>
      <c r="C6424"/>
      <c r="D6424"/>
      <c r="E6424"/>
      <c r="F6424"/>
      <c r="G6424"/>
      <c r="H6424"/>
      <c r="I6424"/>
    </row>
    <row r="6425" spans="1:9" s="33" customFormat="1">
      <c r="A6425" s="37"/>
      <c r="B6425"/>
      <c r="C6425"/>
      <c r="D6425"/>
      <c r="E6425"/>
      <c r="F6425"/>
      <c r="G6425"/>
      <c r="H6425"/>
      <c r="I6425"/>
    </row>
    <row r="6426" spans="1:9" s="33" customFormat="1">
      <c r="A6426" s="37"/>
      <c r="B6426"/>
      <c r="C6426"/>
      <c r="D6426"/>
      <c r="E6426"/>
      <c r="F6426"/>
      <c r="G6426"/>
      <c r="H6426"/>
      <c r="I6426"/>
    </row>
    <row r="6427" spans="1:9" s="33" customFormat="1">
      <c r="A6427" s="37"/>
      <c r="B6427"/>
      <c r="C6427"/>
      <c r="D6427"/>
      <c r="E6427"/>
      <c r="F6427"/>
      <c r="G6427"/>
      <c r="H6427"/>
      <c r="I6427"/>
    </row>
    <row r="6428" spans="1:9" s="33" customFormat="1">
      <c r="A6428" s="37"/>
      <c r="B6428"/>
      <c r="C6428"/>
      <c r="D6428"/>
      <c r="E6428"/>
      <c r="F6428"/>
      <c r="G6428"/>
      <c r="H6428"/>
      <c r="I6428"/>
    </row>
    <row r="6429" spans="1:9" s="33" customFormat="1">
      <c r="A6429" s="37"/>
      <c r="B6429"/>
      <c r="C6429"/>
      <c r="D6429"/>
      <c r="E6429"/>
      <c r="F6429"/>
      <c r="G6429"/>
      <c r="H6429"/>
      <c r="I6429"/>
    </row>
    <row r="6430" spans="1:9" s="33" customFormat="1">
      <c r="A6430" s="37"/>
      <c r="B6430"/>
      <c r="C6430"/>
      <c r="D6430"/>
      <c r="E6430"/>
      <c r="F6430"/>
      <c r="G6430"/>
      <c r="H6430"/>
      <c r="I6430"/>
    </row>
    <row r="6431" spans="1:9" s="33" customFormat="1">
      <c r="A6431" s="37"/>
      <c r="B6431"/>
      <c r="C6431"/>
      <c r="D6431"/>
      <c r="E6431"/>
      <c r="F6431"/>
      <c r="G6431"/>
      <c r="H6431"/>
      <c r="I6431"/>
    </row>
    <row r="6432" spans="1:9" s="33" customFormat="1">
      <c r="A6432" s="37"/>
      <c r="B6432"/>
      <c r="C6432"/>
      <c r="D6432"/>
      <c r="E6432"/>
      <c r="F6432"/>
      <c r="G6432"/>
      <c r="H6432"/>
      <c r="I6432"/>
    </row>
    <row r="6433" spans="1:9" s="33" customFormat="1">
      <c r="A6433" s="37"/>
      <c r="B6433"/>
      <c r="C6433"/>
      <c r="D6433"/>
      <c r="E6433"/>
      <c r="F6433"/>
      <c r="G6433"/>
      <c r="H6433"/>
      <c r="I6433"/>
    </row>
    <row r="6434" spans="1:9" s="33" customFormat="1">
      <c r="A6434" s="37"/>
      <c r="B6434"/>
      <c r="C6434"/>
      <c r="D6434"/>
      <c r="E6434"/>
      <c r="F6434"/>
      <c r="G6434"/>
      <c r="H6434"/>
      <c r="I6434"/>
    </row>
    <row r="6435" spans="1:9" s="33" customFormat="1">
      <c r="A6435" s="37"/>
      <c r="B6435"/>
      <c r="C6435"/>
      <c r="D6435"/>
      <c r="E6435"/>
      <c r="F6435"/>
      <c r="G6435"/>
      <c r="H6435"/>
      <c r="I6435"/>
    </row>
    <row r="6436" spans="1:9" s="33" customFormat="1">
      <c r="A6436" s="37"/>
      <c r="B6436"/>
      <c r="C6436"/>
      <c r="D6436"/>
      <c r="E6436"/>
      <c r="F6436"/>
      <c r="G6436"/>
      <c r="H6436"/>
      <c r="I6436"/>
    </row>
    <row r="6437" spans="1:9" s="33" customFormat="1">
      <c r="A6437" s="37"/>
      <c r="B6437"/>
      <c r="C6437"/>
      <c r="D6437"/>
      <c r="E6437"/>
      <c r="F6437"/>
      <c r="G6437"/>
      <c r="H6437"/>
      <c r="I6437"/>
    </row>
    <row r="6438" spans="1:9" s="33" customFormat="1">
      <c r="A6438" s="37"/>
      <c r="B6438"/>
      <c r="C6438"/>
      <c r="D6438"/>
      <c r="E6438"/>
      <c r="F6438"/>
      <c r="G6438"/>
      <c r="H6438"/>
      <c r="I6438"/>
    </row>
    <row r="6439" spans="1:9" s="33" customFormat="1">
      <c r="A6439" s="37"/>
      <c r="B6439"/>
      <c r="C6439"/>
      <c r="D6439"/>
      <c r="E6439"/>
      <c r="F6439"/>
      <c r="G6439"/>
      <c r="H6439"/>
      <c r="I6439"/>
    </row>
    <row r="6440" spans="1:9" s="33" customFormat="1">
      <c r="A6440" s="37"/>
      <c r="B6440"/>
      <c r="C6440"/>
      <c r="D6440"/>
      <c r="E6440"/>
      <c r="F6440"/>
      <c r="G6440"/>
      <c r="H6440"/>
      <c r="I6440"/>
    </row>
    <row r="6441" spans="1:9" s="33" customFormat="1">
      <c r="A6441" s="37"/>
      <c r="B6441"/>
      <c r="C6441"/>
      <c r="D6441"/>
      <c r="E6441"/>
      <c r="F6441"/>
      <c r="G6441"/>
      <c r="H6441"/>
      <c r="I6441"/>
    </row>
    <row r="6442" spans="1:9" s="33" customFormat="1">
      <c r="A6442" s="37"/>
      <c r="B6442"/>
      <c r="C6442"/>
      <c r="D6442"/>
      <c r="E6442"/>
      <c r="F6442"/>
      <c r="G6442"/>
      <c r="H6442"/>
      <c r="I6442"/>
    </row>
    <row r="6443" spans="1:9" s="33" customFormat="1">
      <c r="A6443" s="37"/>
      <c r="B6443"/>
      <c r="C6443"/>
      <c r="D6443"/>
      <c r="E6443"/>
      <c r="F6443"/>
      <c r="G6443"/>
      <c r="H6443"/>
      <c r="I6443"/>
    </row>
    <row r="6444" spans="1:9" s="33" customFormat="1">
      <c r="A6444" s="37"/>
      <c r="B6444"/>
      <c r="C6444"/>
      <c r="D6444"/>
      <c r="E6444"/>
      <c r="F6444"/>
      <c r="G6444"/>
      <c r="H6444"/>
      <c r="I6444"/>
    </row>
    <row r="6445" spans="1:9" s="33" customFormat="1">
      <c r="A6445" s="37"/>
      <c r="B6445"/>
      <c r="C6445"/>
      <c r="D6445"/>
      <c r="E6445"/>
      <c r="F6445"/>
      <c r="G6445"/>
      <c r="H6445"/>
      <c r="I6445"/>
    </row>
    <row r="6446" spans="1:9" s="33" customFormat="1">
      <c r="A6446" s="37"/>
      <c r="B6446"/>
      <c r="C6446"/>
      <c r="D6446"/>
      <c r="E6446"/>
      <c r="F6446"/>
      <c r="G6446"/>
      <c r="H6446"/>
      <c r="I6446"/>
    </row>
    <row r="6447" spans="1:9" s="33" customFormat="1">
      <c r="A6447" s="37"/>
      <c r="B6447"/>
      <c r="C6447"/>
      <c r="D6447"/>
      <c r="E6447"/>
      <c r="F6447"/>
      <c r="G6447"/>
      <c r="H6447"/>
      <c r="I6447"/>
    </row>
    <row r="6448" spans="1:9" s="33" customFormat="1">
      <c r="A6448" s="37"/>
      <c r="B6448"/>
      <c r="C6448"/>
      <c r="D6448"/>
      <c r="E6448"/>
      <c r="F6448"/>
      <c r="G6448"/>
      <c r="H6448"/>
      <c r="I6448"/>
    </row>
    <row r="6449" spans="1:9" s="33" customFormat="1">
      <c r="A6449" s="37"/>
      <c r="B6449"/>
      <c r="C6449"/>
      <c r="D6449"/>
      <c r="E6449"/>
      <c r="F6449"/>
      <c r="G6449"/>
      <c r="H6449"/>
      <c r="I6449"/>
    </row>
    <row r="6450" spans="1:9" s="33" customFormat="1">
      <c r="A6450" s="37"/>
      <c r="B6450"/>
      <c r="C6450"/>
      <c r="D6450"/>
      <c r="E6450"/>
      <c r="F6450"/>
      <c r="G6450"/>
      <c r="H6450"/>
      <c r="I6450"/>
    </row>
    <row r="6451" spans="1:9" s="33" customFormat="1">
      <c r="A6451" s="37"/>
      <c r="B6451"/>
      <c r="C6451"/>
      <c r="D6451"/>
      <c r="E6451"/>
      <c r="F6451"/>
      <c r="G6451"/>
      <c r="H6451"/>
      <c r="I6451"/>
    </row>
    <row r="6452" spans="1:9" s="33" customFormat="1">
      <c r="A6452" s="37"/>
      <c r="B6452"/>
      <c r="C6452"/>
      <c r="D6452"/>
      <c r="E6452"/>
      <c r="F6452"/>
      <c r="G6452"/>
      <c r="H6452"/>
      <c r="I6452"/>
    </row>
    <row r="6453" spans="1:9" s="33" customFormat="1">
      <c r="A6453" s="37"/>
      <c r="B6453"/>
      <c r="C6453"/>
      <c r="D6453"/>
      <c r="E6453"/>
      <c r="F6453"/>
      <c r="G6453"/>
      <c r="H6453"/>
      <c r="I6453"/>
    </row>
    <row r="6454" spans="1:9" s="33" customFormat="1">
      <c r="A6454" s="37"/>
      <c r="B6454"/>
      <c r="C6454"/>
      <c r="D6454"/>
      <c r="E6454"/>
      <c r="F6454"/>
      <c r="G6454"/>
      <c r="H6454"/>
      <c r="I6454"/>
    </row>
    <row r="6455" spans="1:9" s="33" customFormat="1">
      <c r="A6455" s="37"/>
      <c r="B6455"/>
      <c r="C6455"/>
      <c r="D6455"/>
      <c r="E6455"/>
      <c r="F6455"/>
      <c r="G6455"/>
      <c r="H6455"/>
      <c r="I6455"/>
    </row>
    <row r="6456" spans="1:9" s="33" customFormat="1">
      <c r="A6456" s="37"/>
      <c r="B6456"/>
      <c r="C6456"/>
      <c r="D6456"/>
      <c r="E6456"/>
      <c r="F6456"/>
      <c r="G6456"/>
      <c r="H6456"/>
      <c r="I6456"/>
    </row>
    <row r="6457" spans="1:9" s="33" customFormat="1">
      <c r="A6457" s="37"/>
      <c r="B6457"/>
      <c r="C6457"/>
      <c r="D6457"/>
      <c r="E6457"/>
      <c r="F6457"/>
      <c r="G6457"/>
      <c r="H6457"/>
      <c r="I6457"/>
    </row>
    <row r="6458" spans="1:9" s="33" customFormat="1">
      <c r="A6458" s="37"/>
      <c r="B6458"/>
      <c r="C6458"/>
      <c r="D6458"/>
      <c r="E6458"/>
      <c r="F6458"/>
      <c r="G6458"/>
      <c r="H6458"/>
      <c r="I6458"/>
    </row>
    <row r="6459" spans="1:9" s="33" customFormat="1">
      <c r="A6459" s="37"/>
      <c r="B6459"/>
      <c r="C6459"/>
      <c r="D6459"/>
      <c r="E6459"/>
      <c r="F6459"/>
      <c r="G6459"/>
      <c r="H6459"/>
      <c r="I6459"/>
    </row>
    <row r="6460" spans="1:9" s="33" customFormat="1">
      <c r="A6460" s="37"/>
      <c r="B6460"/>
      <c r="C6460"/>
      <c r="D6460"/>
      <c r="E6460"/>
      <c r="F6460"/>
      <c r="G6460"/>
      <c r="H6460"/>
      <c r="I6460"/>
    </row>
    <row r="6461" spans="1:9" s="33" customFormat="1">
      <c r="A6461" s="37"/>
      <c r="B6461"/>
      <c r="C6461"/>
      <c r="D6461"/>
      <c r="E6461"/>
      <c r="F6461"/>
      <c r="G6461"/>
      <c r="H6461"/>
      <c r="I6461"/>
    </row>
    <row r="6462" spans="1:9" s="33" customFormat="1">
      <c r="A6462" s="37"/>
      <c r="B6462"/>
      <c r="C6462"/>
      <c r="D6462"/>
      <c r="E6462"/>
      <c r="F6462"/>
      <c r="G6462"/>
      <c r="H6462"/>
      <c r="I6462"/>
    </row>
    <row r="6463" spans="1:9" s="33" customFormat="1">
      <c r="A6463" s="37"/>
      <c r="B6463"/>
      <c r="C6463"/>
      <c r="D6463"/>
      <c r="E6463"/>
      <c r="F6463"/>
      <c r="G6463"/>
      <c r="H6463"/>
      <c r="I6463"/>
    </row>
    <row r="6464" spans="1:9" s="33" customFormat="1">
      <c r="A6464" s="37"/>
      <c r="B6464"/>
      <c r="C6464"/>
      <c r="D6464"/>
      <c r="E6464"/>
      <c r="F6464"/>
      <c r="G6464"/>
      <c r="H6464"/>
      <c r="I6464"/>
    </row>
    <row r="6465" spans="1:9" s="33" customFormat="1">
      <c r="A6465" s="37"/>
      <c r="B6465"/>
      <c r="C6465"/>
      <c r="D6465"/>
      <c r="E6465"/>
      <c r="F6465"/>
      <c r="G6465"/>
      <c r="H6465"/>
      <c r="I6465"/>
    </row>
    <row r="6466" spans="1:9" s="33" customFormat="1">
      <c r="A6466" s="37"/>
      <c r="B6466"/>
      <c r="C6466"/>
      <c r="D6466"/>
      <c r="E6466"/>
      <c r="F6466"/>
      <c r="G6466"/>
      <c r="H6466"/>
      <c r="I6466"/>
    </row>
    <row r="6467" spans="1:9" s="33" customFormat="1">
      <c r="A6467" s="37"/>
      <c r="B6467"/>
      <c r="C6467"/>
      <c r="D6467"/>
      <c r="E6467"/>
      <c r="F6467"/>
      <c r="G6467"/>
      <c r="H6467"/>
      <c r="I6467"/>
    </row>
    <row r="6468" spans="1:9" s="33" customFormat="1">
      <c r="A6468" s="37"/>
      <c r="B6468"/>
      <c r="C6468"/>
      <c r="D6468"/>
      <c r="E6468"/>
      <c r="F6468"/>
      <c r="G6468"/>
      <c r="H6468"/>
      <c r="I6468"/>
    </row>
    <row r="6469" spans="1:9" s="33" customFormat="1">
      <c r="A6469" s="37"/>
      <c r="B6469"/>
      <c r="C6469"/>
      <c r="D6469"/>
      <c r="E6469"/>
      <c r="F6469"/>
      <c r="G6469"/>
      <c r="H6469"/>
      <c r="I6469"/>
    </row>
    <row r="6470" spans="1:9" s="33" customFormat="1">
      <c r="A6470" s="37"/>
      <c r="B6470"/>
      <c r="C6470"/>
      <c r="D6470"/>
      <c r="E6470"/>
      <c r="F6470"/>
      <c r="G6470"/>
      <c r="H6470"/>
      <c r="I6470"/>
    </row>
    <row r="6471" spans="1:9" s="33" customFormat="1">
      <c r="A6471" s="37"/>
      <c r="B6471"/>
      <c r="C6471"/>
      <c r="D6471"/>
      <c r="E6471"/>
      <c r="F6471"/>
      <c r="G6471"/>
      <c r="H6471"/>
      <c r="I6471"/>
    </row>
    <row r="6472" spans="1:9" s="33" customFormat="1">
      <c r="A6472" s="37"/>
      <c r="B6472"/>
      <c r="C6472"/>
      <c r="D6472"/>
      <c r="E6472"/>
      <c r="F6472"/>
      <c r="G6472"/>
      <c r="H6472"/>
      <c r="I6472"/>
    </row>
    <row r="6473" spans="1:9" s="33" customFormat="1">
      <c r="A6473" s="37"/>
      <c r="B6473"/>
      <c r="C6473"/>
      <c r="D6473"/>
      <c r="E6473"/>
      <c r="F6473"/>
      <c r="G6473"/>
      <c r="H6473"/>
      <c r="I6473"/>
    </row>
    <row r="6474" spans="1:9" s="33" customFormat="1">
      <c r="A6474" s="37"/>
      <c r="B6474"/>
      <c r="C6474"/>
      <c r="D6474"/>
      <c r="E6474"/>
      <c r="F6474"/>
      <c r="G6474"/>
      <c r="H6474"/>
      <c r="I6474"/>
    </row>
    <row r="6475" spans="1:9" s="33" customFormat="1">
      <c r="A6475" s="37"/>
      <c r="B6475"/>
      <c r="C6475"/>
      <c r="D6475"/>
      <c r="E6475"/>
      <c r="F6475"/>
      <c r="G6475"/>
      <c r="H6475"/>
      <c r="I6475"/>
    </row>
    <row r="6476" spans="1:9" s="33" customFormat="1">
      <c r="A6476" s="37"/>
      <c r="B6476"/>
      <c r="C6476"/>
      <c r="D6476"/>
      <c r="E6476"/>
      <c r="F6476"/>
      <c r="G6476"/>
      <c r="H6476"/>
      <c r="I6476"/>
    </row>
    <row r="6477" spans="1:9" s="33" customFormat="1">
      <c r="A6477" s="37"/>
      <c r="B6477"/>
      <c r="C6477"/>
      <c r="D6477"/>
      <c r="E6477"/>
      <c r="F6477"/>
      <c r="G6477"/>
      <c r="H6477"/>
      <c r="I6477"/>
    </row>
    <row r="6478" spans="1:9" s="33" customFormat="1">
      <c r="A6478" s="37"/>
      <c r="B6478"/>
      <c r="C6478"/>
      <c r="D6478"/>
      <c r="E6478"/>
      <c r="F6478"/>
      <c r="G6478"/>
      <c r="H6478"/>
      <c r="I6478"/>
    </row>
    <row r="6479" spans="1:9" s="33" customFormat="1">
      <c r="A6479" s="37"/>
      <c r="B6479"/>
      <c r="C6479"/>
      <c r="D6479"/>
      <c r="E6479"/>
      <c r="F6479"/>
      <c r="G6479"/>
      <c r="H6479"/>
      <c r="I6479"/>
    </row>
    <row r="6480" spans="1:9" s="33" customFormat="1">
      <c r="A6480" s="37"/>
      <c r="B6480"/>
      <c r="C6480"/>
      <c r="D6480"/>
      <c r="E6480"/>
      <c r="F6480"/>
      <c r="G6480"/>
      <c r="H6480"/>
      <c r="I6480"/>
    </row>
    <row r="6481" spans="1:9" s="33" customFormat="1">
      <c r="A6481" s="37"/>
      <c r="B6481"/>
      <c r="C6481"/>
      <c r="D6481"/>
      <c r="E6481"/>
      <c r="F6481"/>
      <c r="G6481"/>
      <c r="H6481"/>
      <c r="I6481"/>
    </row>
    <row r="6482" spans="1:9" s="33" customFormat="1">
      <c r="A6482" s="37"/>
      <c r="B6482"/>
      <c r="C6482"/>
      <c r="D6482"/>
      <c r="E6482"/>
      <c r="F6482"/>
      <c r="G6482"/>
      <c r="H6482"/>
      <c r="I6482"/>
    </row>
    <row r="6483" spans="1:9" s="33" customFormat="1">
      <c r="A6483" s="37"/>
      <c r="B6483"/>
      <c r="C6483"/>
      <c r="D6483"/>
      <c r="E6483"/>
      <c r="F6483"/>
      <c r="G6483"/>
      <c r="H6483"/>
      <c r="I6483"/>
    </row>
    <row r="6484" spans="1:9" s="33" customFormat="1">
      <c r="A6484" s="37"/>
      <c r="B6484"/>
      <c r="C6484"/>
      <c r="D6484"/>
      <c r="E6484"/>
      <c r="F6484"/>
      <c r="G6484"/>
      <c r="H6484"/>
      <c r="I6484"/>
    </row>
    <row r="6485" spans="1:9" s="33" customFormat="1">
      <c r="A6485" s="37"/>
      <c r="B6485"/>
      <c r="C6485"/>
      <c r="D6485"/>
      <c r="E6485"/>
      <c r="F6485"/>
      <c r="G6485"/>
      <c r="H6485"/>
      <c r="I6485"/>
    </row>
    <row r="6486" spans="1:9" s="33" customFormat="1">
      <c r="A6486" s="37"/>
      <c r="B6486"/>
      <c r="C6486"/>
      <c r="D6486"/>
      <c r="E6486"/>
      <c r="F6486"/>
      <c r="G6486"/>
      <c r="H6486"/>
      <c r="I6486"/>
    </row>
    <row r="6487" spans="1:9" s="33" customFormat="1">
      <c r="A6487" s="37"/>
      <c r="B6487"/>
      <c r="C6487"/>
      <c r="D6487"/>
      <c r="E6487"/>
      <c r="F6487"/>
      <c r="G6487"/>
      <c r="H6487"/>
      <c r="I6487"/>
    </row>
    <row r="6488" spans="1:9" s="33" customFormat="1">
      <c r="A6488" s="37"/>
      <c r="B6488"/>
      <c r="C6488"/>
      <c r="D6488"/>
      <c r="E6488"/>
      <c r="F6488"/>
      <c r="G6488"/>
      <c r="H6488"/>
      <c r="I6488"/>
    </row>
    <row r="6489" spans="1:9" s="33" customFormat="1">
      <c r="A6489" s="37"/>
      <c r="B6489"/>
      <c r="C6489"/>
      <c r="D6489"/>
      <c r="E6489"/>
      <c r="F6489"/>
      <c r="G6489"/>
      <c r="H6489"/>
      <c r="I6489"/>
    </row>
    <row r="6490" spans="1:9" s="33" customFormat="1">
      <c r="A6490" s="37"/>
      <c r="B6490"/>
      <c r="C6490"/>
      <c r="D6490"/>
      <c r="E6490"/>
      <c r="F6490"/>
      <c r="G6490"/>
      <c r="H6490"/>
      <c r="I6490"/>
    </row>
    <row r="6491" spans="1:9" s="33" customFormat="1">
      <c r="A6491" s="37"/>
      <c r="B6491"/>
      <c r="C6491"/>
      <c r="D6491"/>
      <c r="E6491"/>
      <c r="F6491"/>
      <c r="G6491"/>
      <c r="H6491"/>
      <c r="I6491"/>
    </row>
    <row r="6492" spans="1:9" s="33" customFormat="1">
      <c r="A6492" s="37"/>
      <c r="B6492"/>
      <c r="C6492"/>
      <c r="D6492"/>
      <c r="E6492"/>
      <c r="F6492"/>
      <c r="G6492"/>
      <c r="H6492"/>
      <c r="I6492"/>
    </row>
    <row r="6493" spans="1:9" s="33" customFormat="1">
      <c r="A6493" s="37"/>
      <c r="B6493"/>
      <c r="C6493"/>
      <c r="D6493"/>
      <c r="E6493"/>
      <c r="F6493"/>
      <c r="G6493"/>
      <c r="H6493"/>
      <c r="I6493"/>
    </row>
    <row r="6494" spans="1:9" s="33" customFormat="1">
      <c r="A6494" s="37"/>
      <c r="B6494"/>
      <c r="C6494"/>
      <c r="D6494"/>
      <c r="E6494"/>
      <c r="F6494"/>
      <c r="G6494"/>
      <c r="H6494"/>
      <c r="I6494"/>
    </row>
    <row r="6495" spans="1:9" s="33" customFormat="1">
      <c r="A6495" s="37"/>
      <c r="B6495"/>
      <c r="C6495"/>
      <c r="D6495"/>
      <c r="E6495"/>
      <c r="F6495"/>
      <c r="G6495"/>
      <c r="H6495"/>
      <c r="I6495"/>
    </row>
    <row r="6496" spans="1:9" s="33" customFormat="1">
      <c r="A6496" s="37"/>
      <c r="B6496"/>
      <c r="C6496"/>
      <c r="D6496"/>
      <c r="E6496"/>
      <c r="F6496"/>
      <c r="G6496"/>
      <c r="H6496"/>
      <c r="I6496"/>
    </row>
    <row r="6497" spans="1:9" s="33" customFormat="1">
      <c r="A6497" s="37"/>
      <c r="B6497"/>
      <c r="C6497"/>
      <c r="D6497"/>
      <c r="E6497"/>
      <c r="F6497"/>
      <c r="G6497"/>
      <c r="H6497"/>
      <c r="I6497"/>
    </row>
    <row r="6498" spans="1:9" s="33" customFormat="1">
      <c r="A6498" s="37"/>
      <c r="B6498"/>
      <c r="C6498"/>
      <c r="D6498"/>
      <c r="E6498"/>
      <c r="F6498"/>
      <c r="G6498"/>
      <c r="H6498"/>
      <c r="I6498"/>
    </row>
    <row r="6499" spans="1:9" s="33" customFormat="1">
      <c r="A6499" s="37"/>
      <c r="B6499"/>
      <c r="C6499"/>
      <c r="D6499"/>
      <c r="E6499"/>
      <c r="F6499"/>
      <c r="G6499"/>
      <c r="H6499"/>
      <c r="I6499"/>
    </row>
    <row r="6500" spans="1:9" s="33" customFormat="1">
      <c r="A6500" s="37"/>
      <c r="B6500"/>
      <c r="C6500"/>
      <c r="D6500"/>
      <c r="E6500"/>
      <c r="F6500"/>
      <c r="G6500"/>
      <c r="H6500"/>
      <c r="I6500"/>
    </row>
    <row r="6501" spans="1:9" s="33" customFormat="1">
      <c r="A6501" s="37"/>
      <c r="B6501"/>
      <c r="C6501"/>
      <c r="D6501"/>
      <c r="E6501"/>
      <c r="F6501"/>
      <c r="G6501"/>
      <c r="H6501"/>
      <c r="I6501"/>
    </row>
    <row r="6502" spans="1:9" s="33" customFormat="1">
      <c r="A6502" s="37"/>
      <c r="B6502"/>
      <c r="C6502"/>
      <c r="D6502"/>
      <c r="E6502"/>
      <c r="F6502"/>
      <c r="G6502"/>
      <c r="H6502"/>
      <c r="I6502"/>
    </row>
    <row r="6503" spans="1:9" s="33" customFormat="1">
      <c r="A6503" s="37"/>
      <c r="B6503"/>
      <c r="C6503"/>
      <c r="D6503"/>
      <c r="E6503"/>
      <c r="F6503"/>
      <c r="G6503"/>
      <c r="H6503"/>
      <c r="I6503"/>
    </row>
    <row r="6504" spans="1:9" s="33" customFormat="1">
      <c r="A6504" s="37"/>
      <c r="B6504"/>
      <c r="C6504"/>
      <c r="D6504"/>
      <c r="E6504"/>
      <c r="F6504"/>
      <c r="G6504"/>
      <c r="H6504"/>
      <c r="I6504"/>
    </row>
    <row r="6505" spans="1:9" s="33" customFormat="1">
      <c r="A6505" s="37"/>
      <c r="B6505"/>
      <c r="C6505"/>
      <c r="D6505"/>
      <c r="E6505"/>
      <c r="F6505"/>
      <c r="G6505"/>
      <c r="H6505"/>
      <c r="I6505"/>
    </row>
    <row r="6506" spans="1:9" s="33" customFormat="1">
      <c r="A6506" s="37"/>
      <c r="B6506"/>
      <c r="C6506"/>
      <c r="D6506"/>
      <c r="E6506"/>
      <c r="F6506"/>
      <c r="G6506"/>
      <c r="H6506"/>
      <c r="I6506"/>
    </row>
    <row r="6507" spans="1:9" s="33" customFormat="1">
      <c r="A6507" s="37"/>
      <c r="B6507"/>
      <c r="C6507"/>
      <c r="D6507"/>
      <c r="E6507"/>
      <c r="F6507"/>
      <c r="G6507"/>
      <c r="H6507"/>
      <c r="I6507"/>
    </row>
    <row r="6508" spans="1:9" s="33" customFormat="1">
      <c r="A6508" s="37"/>
      <c r="B6508"/>
      <c r="C6508"/>
      <c r="D6508"/>
      <c r="E6508"/>
      <c r="F6508"/>
      <c r="G6508"/>
      <c r="H6508"/>
      <c r="I6508"/>
    </row>
    <row r="6509" spans="1:9" s="33" customFormat="1">
      <c r="A6509" s="37"/>
      <c r="B6509"/>
      <c r="C6509"/>
      <c r="D6509"/>
      <c r="E6509"/>
      <c r="F6509"/>
      <c r="G6509"/>
      <c r="H6509"/>
      <c r="I6509"/>
    </row>
    <row r="6510" spans="1:9" s="33" customFormat="1">
      <c r="A6510" s="37"/>
      <c r="B6510"/>
      <c r="C6510"/>
      <c r="D6510"/>
      <c r="E6510"/>
      <c r="F6510"/>
      <c r="G6510"/>
      <c r="H6510"/>
      <c r="I6510"/>
    </row>
    <row r="6511" spans="1:9" s="33" customFormat="1">
      <c r="A6511" s="37"/>
      <c r="B6511"/>
      <c r="C6511"/>
      <c r="D6511"/>
      <c r="E6511"/>
      <c r="F6511"/>
      <c r="G6511"/>
      <c r="H6511"/>
      <c r="I6511"/>
    </row>
    <row r="6512" spans="1:9" s="33" customFormat="1">
      <c r="A6512" s="37"/>
      <c r="B6512"/>
      <c r="C6512"/>
      <c r="D6512"/>
      <c r="E6512"/>
      <c r="F6512"/>
      <c r="G6512"/>
      <c r="H6512"/>
      <c r="I6512"/>
    </row>
    <row r="6513" spans="1:9" s="33" customFormat="1">
      <c r="A6513" s="37"/>
      <c r="B6513"/>
      <c r="C6513"/>
      <c r="D6513"/>
      <c r="E6513"/>
      <c r="F6513"/>
      <c r="G6513"/>
      <c r="H6513"/>
      <c r="I6513"/>
    </row>
    <row r="6514" spans="1:9" s="33" customFormat="1">
      <c r="A6514" s="37"/>
      <c r="B6514"/>
      <c r="C6514"/>
      <c r="D6514"/>
      <c r="E6514"/>
      <c r="F6514"/>
      <c r="G6514"/>
      <c r="H6514"/>
      <c r="I6514"/>
    </row>
    <row r="6515" spans="1:9" s="33" customFormat="1">
      <c r="A6515" s="37"/>
      <c r="B6515"/>
      <c r="C6515"/>
      <c r="D6515"/>
      <c r="E6515"/>
      <c r="F6515"/>
      <c r="G6515"/>
      <c r="H6515"/>
      <c r="I6515"/>
    </row>
    <row r="6516" spans="1:9" s="33" customFormat="1">
      <c r="A6516" s="37"/>
      <c r="B6516"/>
      <c r="C6516"/>
      <c r="D6516"/>
      <c r="E6516"/>
      <c r="F6516"/>
      <c r="G6516"/>
      <c r="H6516"/>
      <c r="I6516"/>
    </row>
    <row r="6517" spans="1:9" s="33" customFormat="1">
      <c r="A6517" s="37"/>
      <c r="B6517"/>
      <c r="C6517"/>
      <c r="D6517"/>
      <c r="E6517"/>
      <c r="F6517"/>
      <c r="G6517"/>
      <c r="H6517"/>
      <c r="I6517"/>
    </row>
    <row r="6518" spans="1:9" s="33" customFormat="1">
      <c r="A6518" s="37"/>
      <c r="B6518"/>
      <c r="C6518"/>
      <c r="D6518"/>
      <c r="E6518"/>
      <c r="F6518"/>
      <c r="G6518"/>
      <c r="H6518"/>
      <c r="I6518"/>
    </row>
    <row r="6519" spans="1:9" s="33" customFormat="1">
      <c r="A6519" s="37"/>
      <c r="B6519"/>
      <c r="C6519"/>
      <c r="D6519"/>
      <c r="E6519"/>
      <c r="F6519"/>
      <c r="G6519"/>
      <c r="H6519"/>
      <c r="I6519"/>
    </row>
    <row r="6520" spans="1:9" s="33" customFormat="1">
      <c r="A6520" s="37"/>
      <c r="B6520"/>
      <c r="C6520"/>
      <c r="D6520"/>
      <c r="E6520"/>
      <c r="F6520"/>
      <c r="G6520"/>
      <c r="H6520"/>
      <c r="I6520"/>
    </row>
    <row r="6521" spans="1:9" s="33" customFormat="1">
      <c r="A6521" s="37"/>
      <c r="B6521"/>
      <c r="C6521"/>
      <c r="D6521"/>
      <c r="E6521"/>
      <c r="F6521"/>
      <c r="G6521"/>
      <c r="H6521"/>
      <c r="I6521"/>
    </row>
    <row r="6522" spans="1:9" s="33" customFormat="1">
      <c r="A6522" s="37"/>
      <c r="B6522"/>
      <c r="C6522"/>
      <c r="D6522"/>
      <c r="E6522"/>
      <c r="F6522"/>
      <c r="G6522"/>
      <c r="H6522"/>
      <c r="I6522"/>
    </row>
    <row r="6523" spans="1:9" s="33" customFormat="1">
      <c r="A6523" s="37"/>
      <c r="B6523"/>
      <c r="C6523"/>
      <c r="D6523"/>
      <c r="E6523"/>
      <c r="F6523"/>
      <c r="G6523"/>
      <c r="H6523"/>
      <c r="I6523"/>
    </row>
    <row r="6524" spans="1:9" s="33" customFormat="1">
      <c r="A6524" s="37"/>
      <c r="B6524"/>
      <c r="C6524"/>
      <c r="D6524"/>
      <c r="E6524"/>
      <c r="F6524"/>
      <c r="G6524"/>
      <c r="H6524"/>
      <c r="I6524"/>
    </row>
    <row r="6525" spans="1:9" s="33" customFormat="1">
      <c r="A6525" s="37"/>
      <c r="B6525"/>
      <c r="C6525"/>
      <c r="D6525"/>
      <c r="E6525"/>
      <c r="F6525"/>
      <c r="G6525"/>
      <c r="H6525"/>
      <c r="I6525"/>
    </row>
    <row r="6526" spans="1:9" s="33" customFormat="1">
      <c r="A6526" s="37"/>
      <c r="B6526"/>
      <c r="C6526"/>
      <c r="D6526"/>
      <c r="E6526"/>
      <c r="F6526"/>
      <c r="G6526"/>
      <c r="H6526"/>
      <c r="I6526"/>
    </row>
    <row r="6527" spans="1:9" s="33" customFormat="1">
      <c r="A6527" s="37"/>
      <c r="B6527"/>
      <c r="C6527"/>
      <c r="D6527"/>
      <c r="E6527"/>
      <c r="F6527"/>
      <c r="G6527"/>
      <c r="H6527"/>
      <c r="I6527"/>
    </row>
    <row r="6528" spans="1:9" s="33" customFormat="1">
      <c r="A6528" s="37"/>
      <c r="B6528"/>
      <c r="C6528"/>
      <c r="D6528"/>
      <c r="E6528"/>
      <c r="F6528"/>
      <c r="G6528"/>
      <c r="H6528"/>
      <c r="I6528"/>
    </row>
    <row r="6529" spans="1:9" s="33" customFormat="1">
      <c r="A6529" s="37"/>
      <c r="B6529"/>
      <c r="C6529"/>
      <c r="D6529"/>
      <c r="E6529"/>
      <c r="F6529"/>
      <c r="G6529"/>
      <c r="H6529"/>
      <c r="I6529"/>
    </row>
    <row r="6530" spans="1:9" s="33" customFormat="1">
      <c r="A6530" s="37"/>
      <c r="B6530"/>
      <c r="C6530"/>
      <c r="D6530"/>
      <c r="E6530"/>
      <c r="F6530"/>
      <c r="G6530"/>
      <c r="H6530"/>
      <c r="I6530"/>
    </row>
    <row r="6531" spans="1:9" s="33" customFormat="1">
      <c r="A6531" s="37"/>
      <c r="B6531"/>
      <c r="C6531"/>
      <c r="D6531"/>
      <c r="E6531"/>
      <c r="F6531"/>
      <c r="G6531"/>
      <c r="H6531"/>
      <c r="I6531"/>
    </row>
    <row r="6532" spans="1:9" s="33" customFormat="1">
      <c r="A6532" s="37"/>
      <c r="B6532"/>
      <c r="C6532"/>
      <c r="D6532"/>
      <c r="E6532"/>
      <c r="F6532"/>
      <c r="G6532"/>
      <c r="H6532"/>
      <c r="I6532"/>
    </row>
    <row r="6533" spans="1:9" s="33" customFormat="1">
      <c r="A6533" s="37"/>
      <c r="B6533"/>
      <c r="C6533"/>
      <c r="D6533"/>
      <c r="E6533"/>
      <c r="F6533"/>
      <c r="G6533"/>
      <c r="H6533"/>
      <c r="I6533"/>
    </row>
    <row r="6534" spans="1:9" s="33" customFormat="1">
      <c r="A6534" s="37"/>
      <c r="B6534"/>
      <c r="C6534"/>
      <c r="D6534"/>
      <c r="E6534"/>
      <c r="F6534"/>
      <c r="G6534"/>
      <c r="H6534"/>
      <c r="I6534"/>
    </row>
    <row r="6535" spans="1:9" s="33" customFormat="1">
      <c r="A6535" s="37"/>
      <c r="B6535"/>
      <c r="C6535"/>
      <c r="D6535"/>
      <c r="E6535"/>
      <c r="F6535"/>
      <c r="G6535"/>
      <c r="H6535"/>
      <c r="I6535"/>
    </row>
    <row r="6536" spans="1:9" s="33" customFormat="1">
      <c r="A6536" s="37"/>
      <c r="B6536"/>
      <c r="C6536"/>
      <c r="D6536"/>
      <c r="E6536"/>
      <c r="F6536"/>
      <c r="G6536"/>
      <c r="H6536"/>
      <c r="I6536"/>
    </row>
    <row r="6537" spans="1:9" s="33" customFormat="1">
      <c r="A6537" s="37"/>
      <c r="B6537"/>
      <c r="C6537"/>
      <c r="D6537"/>
      <c r="E6537"/>
      <c r="F6537"/>
      <c r="G6537"/>
      <c r="H6537"/>
      <c r="I6537"/>
    </row>
    <row r="6538" spans="1:9" s="33" customFormat="1">
      <c r="A6538" s="37"/>
      <c r="B6538"/>
      <c r="C6538"/>
      <c r="D6538"/>
      <c r="E6538"/>
      <c r="F6538"/>
      <c r="G6538"/>
      <c r="H6538"/>
      <c r="I6538"/>
    </row>
    <row r="6539" spans="1:9" s="33" customFormat="1">
      <c r="A6539" s="37"/>
      <c r="B6539"/>
      <c r="C6539"/>
      <c r="D6539"/>
      <c r="E6539"/>
      <c r="F6539"/>
      <c r="G6539"/>
      <c r="H6539"/>
      <c r="I6539"/>
    </row>
    <row r="6540" spans="1:9" s="33" customFormat="1">
      <c r="A6540" s="37"/>
      <c r="B6540"/>
      <c r="C6540"/>
      <c r="D6540"/>
      <c r="E6540"/>
      <c r="F6540"/>
      <c r="G6540"/>
      <c r="H6540"/>
      <c r="I6540"/>
    </row>
    <row r="6541" spans="1:9" s="33" customFormat="1">
      <c r="A6541" s="37"/>
      <c r="B6541"/>
      <c r="C6541"/>
      <c r="D6541"/>
      <c r="E6541"/>
      <c r="F6541"/>
      <c r="G6541"/>
      <c r="H6541"/>
      <c r="I6541"/>
    </row>
    <row r="6542" spans="1:9" s="33" customFormat="1">
      <c r="A6542" s="37"/>
      <c r="B6542"/>
      <c r="C6542"/>
      <c r="D6542"/>
      <c r="E6542"/>
      <c r="F6542"/>
      <c r="G6542"/>
      <c r="H6542"/>
      <c r="I6542"/>
    </row>
    <row r="6543" spans="1:9" s="33" customFormat="1">
      <c r="A6543" s="37"/>
      <c r="B6543"/>
      <c r="C6543"/>
      <c r="D6543"/>
      <c r="E6543"/>
      <c r="F6543"/>
      <c r="G6543"/>
      <c r="H6543"/>
      <c r="I6543"/>
    </row>
    <row r="6544" spans="1:9" s="33" customFormat="1">
      <c r="A6544" s="37"/>
      <c r="B6544"/>
      <c r="C6544"/>
      <c r="D6544"/>
      <c r="E6544"/>
      <c r="F6544"/>
      <c r="G6544"/>
      <c r="H6544"/>
      <c r="I6544"/>
    </row>
    <row r="6545" spans="1:9" s="33" customFormat="1">
      <c r="A6545" s="37"/>
      <c r="B6545"/>
      <c r="C6545"/>
      <c r="D6545"/>
      <c r="E6545"/>
      <c r="F6545"/>
      <c r="G6545"/>
      <c r="H6545"/>
      <c r="I6545"/>
    </row>
    <row r="6546" spans="1:9" s="33" customFormat="1">
      <c r="A6546" s="37"/>
      <c r="B6546"/>
      <c r="C6546"/>
      <c r="D6546"/>
      <c r="E6546"/>
      <c r="F6546"/>
      <c r="G6546"/>
      <c r="H6546"/>
      <c r="I6546"/>
    </row>
    <row r="6547" spans="1:9" s="33" customFormat="1">
      <c r="A6547" s="37"/>
      <c r="B6547"/>
      <c r="C6547"/>
      <c r="D6547"/>
      <c r="E6547"/>
      <c r="F6547"/>
      <c r="G6547"/>
      <c r="H6547"/>
      <c r="I6547"/>
    </row>
    <row r="6548" spans="1:9" s="33" customFormat="1">
      <c r="A6548" s="37"/>
      <c r="B6548"/>
      <c r="C6548"/>
      <c r="D6548"/>
      <c r="E6548"/>
      <c r="F6548"/>
      <c r="G6548"/>
      <c r="H6548"/>
      <c r="I6548"/>
    </row>
    <row r="6549" spans="1:9" s="33" customFormat="1">
      <c r="A6549" s="37"/>
      <c r="B6549"/>
      <c r="C6549"/>
      <c r="D6549"/>
      <c r="E6549"/>
      <c r="F6549"/>
      <c r="G6549"/>
      <c r="H6549"/>
      <c r="I6549"/>
    </row>
    <row r="6550" spans="1:9" s="33" customFormat="1">
      <c r="A6550" s="37"/>
      <c r="B6550"/>
      <c r="C6550"/>
      <c r="D6550"/>
      <c r="E6550"/>
      <c r="F6550"/>
      <c r="G6550"/>
      <c r="H6550"/>
      <c r="I6550"/>
    </row>
    <row r="6551" spans="1:9" s="33" customFormat="1">
      <c r="A6551" s="37"/>
      <c r="B6551"/>
      <c r="C6551"/>
      <c r="D6551"/>
      <c r="E6551"/>
      <c r="F6551"/>
      <c r="G6551"/>
      <c r="H6551"/>
      <c r="I6551"/>
    </row>
    <row r="6552" spans="1:9" s="33" customFormat="1">
      <c r="A6552" s="37"/>
      <c r="B6552"/>
      <c r="C6552"/>
      <c r="D6552"/>
      <c r="E6552"/>
      <c r="F6552"/>
      <c r="G6552"/>
      <c r="H6552"/>
      <c r="I6552"/>
    </row>
    <row r="6553" spans="1:9" s="33" customFormat="1">
      <c r="A6553" s="37"/>
      <c r="B6553"/>
      <c r="C6553"/>
      <c r="D6553"/>
      <c r="E6553"/>
      <c r="F6553"/>
      <c r="G6553"/>
      <c r="H6553"/>
      <c r="I6553"/>
    </row>
    <row r="6554" spans="1:9" s="33" customFormat="1">
      <c r="A6554" s="37"/>
      <c r="B6554"/>
      <c r="C6554"/>
      <c r="D6554"/>
      <c r="E6554"/>
      <c r="F6554"/>
      <c r="G6554"/>
      <c r="H6554"/>
      <c r="I6554"/>
    </row>
    <row r="6555" spans="1:9" s="33" customFormat="1">
      <c r="A6555" s="37"/>
      <c r="B6555"/>
      <c r="C6555"/>
      <c r="D6555"/>
      <c r="E6555"/>
      <c r="F6555"/>
      <c r="G6555"/>
      <c r="H6555"/>
      <c r="I6555"/>
    </row>
    <row r="6556" spans="1:9" s="33" customFormat="1">
      <c r="A6556" s="37"/>
      <c r="B6556"/>
      <c r="C6556"/>
      <c r="D6556"/>
      <c r="E6556"/>
      <c r="F6556"/>
      <c r="G6556"/>
      <c r="H6556"/>
      <c r="I6556"/>
    </row>
    <row r="6557" spans="1:9" s="33" customFormat="1">
      <c r="A6557" s="37"/>
      <c r="B6557"/>
      <c r="C6557"/>
      <c r="D6557"/>
      <c r="E6557"/>
      <c r="F6557"/>
      <c r="G6557"/>
      <c r="H6557"/>
      <c r="I6557"/>
    </row>
    <row r="6558" spans="1:9" s="33" customFormat="1">
      <c r="A6558" s="37"/>
      <c r="B6558"/>
      <c r="C6558"/>
      <c r="D6558"/>
      <c r="E6558"/>
      <c r="F6558"/>
      <c r="G6558"/>
      <c r="H6558"/>
      <c r="I6558"/>
    </row>
    <row r="6559" spans="1:9" s="33" customFormat="1">
      <c r="A6559" s="37"/>
      <c r="B6559"/>
      <c r="C6559"/>
      <c r="D6559"/>
      <c r="E6559"/>
      <c r="F6559"/>
      <c r="G6559"/>
      <c r="H6559"/>
      <c r="I6559"/>
    </row>
    <row r="6560" spans="1:9" s="33" customFormat="1">
      <c r="A6560" s="37"/>
      <c r="B6560"/>
      <c r="C6560"/>
      <c r="D6560"/>
      <c r="E6560"/>
      <c r="F6560"/>
      <c r="G6560"/>
      <c r="H6560"/>
      <c r="I6560"/>
    </row>
    <row r="6561" spans="1:9" s="33" customFormat="1">
      <c r="A6561" s="37"/>
      <c r="B6561"/>
      <c r="C6561"/>
      <c r="D6561"/>
      <c r="E6561"/>
      <c r="F6561"/>
      <c r="G6561"/>
      <c r="H6561"/>
      <c r="I6561"/>
    </row>
    <row r="6562" spans="1:9" s="33" customFormat="1">
      <c r="A6562" s="37"/>
      <c r="B6562"/>
      <c r="C6562"/>
      <c r="D6562"/>
      <c r="E6562"/>
      <c r="F6562"/>
      <c r="G6562"/>
      <c r="H6562"/>
      <c r="I6562"/>
    </row>
    <row r="6563" spans="1:9" s="33" customFormat="1">
      <c r="A6563" s="37"/>
      <c r="B6563"/>
      <c r="C6563"/>
      <c r="D6563"/>
      <c r="E6563"/>
      <c r="F6563"/>
      <c r="G6563"/>
      <c r="H6563"/>
      <c r="I6563"/>
    </row>
    <row r="6564" spans="1:9" s="33" customFormat="1">
      <c r="A6564" s="37"/>
      <c r="B6564"/>
      <c r="C6564"/>
      <c r="D6564"/>
      <c r="E6564"/>
      <c r="F6564"/>
      <c r="G6564"/>
      <c r="H6564"/>
      <c r="I6564"/>
    </row>
    <row r="6565" spans="1:9" s="33" customFormat="1">
      <c r="A6565" s="37"/>
      <c r="B6565"/>
      <c r="C6565"/>
      <c r="D6565"/>
      <c r="E6565"/>
      <c r="F6565"/>
      <c r="G6565"/>
      <c r="H6565"/>
      <c r="I6565"/>
    </row>
    <row r="6566" spans="1:9" s="33" customFormat="1">
      <c r="A6566" s="37"/>
      <c r="B6566"/>
      <c r="C6566"/>
      <c r="D6566"/>
      <c r="E6566"/>
      <c r="F6566"/>
      <c r="G6566"/>
      <c r="H6566"/>
      <c r="I6566"/>
    </row>
    <row r="6567" spans="1:9" s="33" customFormat="1">
      <c r="A6567" s="37"/>
      <c r="B6567"/>
      <c r="C6567"/>
      <c r="D6567"/>
      <c r="E6567"/>
      <c r="F6567"/>
      <c r="G6567"/>
      <c r="H6567"/>
      <c r="I6567"/>
    </row>
    <row r="6568" spans="1:9" s="33" customFormat="1">
      <c r="A6568" s="37"/>
      <c r="B6568"/>
      <c r="C6568"/>
      <c r="D6568"/>
      <c r="E6568"/>
      <c r="F6568"/>
      <c r="G6568"/>
      <c r="H6568"/>
      <c r="I6568"/>
    </row>
    <row r="6569" spans="1:9" s="33" customFormat="1">
      <c r="A6569" s="37"/>
      <c r="B6569"/>
      <c r="C6569"/>
      <c r="D6569"/>
      <c r="E6569"/>
      <c r="F6569"/>
      <c r="G6569"/>
      <c r="H6569"/>
      <c r="I6569"/>
    </row>
    <row r="6570" spans="1:9" s="33" customFormat="1">
      <c r="A6570" s="37"/>
      <c r="B6570"/>
      <c r="C6570"/>
      <c r="D6570"/>
      <c r="E6570"/>
      <c r="F6570"/>
      <c r="G6570"/>
      <c r="H6570"/>
      <c r="I6570"/>
    </row>
    <row r="6571" spans="1:9" s="33" customFormat="1">
      <c r="A6571" s="37"/>
      <c r="B6571"/>
      <c r="C6571"/>
      <c r="D6571"/>
      <c r="E6571"/>
      <c r="F6571"/>
      <c r="G6571"/>
      <c r="H6571"/>
      <c r="I6571"/>
    </row>
    <row r="6572" spans="1:9" s="33" customFormat="1">
      <c r="A6572" s="37"/>
      <c r="B6572"/>
      <c r="C6572"/>
      <c r="D6572"/>
      <c r="E6572"/>
      <c r="F6572"/>
      <c r="G6572"/>
      <c r="H6572"/>
      <c r="I6572"/>
    </row>
    <row r="6573" spans="1:9" s="33" customFormat="1">
      <c r="A6573" s="37"/>
      <c r="B6573"/>
      <c r="C6573"/>
      <c r="D6573"/>
      <c r="E6573"/>
      <c r="F6573"/>
      <c r="G6573"/>
      <c r="H6573"/>
      <c r="I6573"/>
    </row>
    <row r="6574" spans="1:9" s="33" customFormat="1">
      <c r="A6574" s="37"/>
      <c r="B6574"/>
      <c r="C6574"/>
      <c r="D6574"/>
      <c r="E6574"/>
      <c r="F6574"/>
      <c r="G6574"/>
      <c r="H6574"/>
      <c r="I6574"/>
    </row>
    <row r="6575" spans="1:9" s="33" customFormat="1">
      <c r="A6575" s="37"/>
      <c r="B6575"/>
      <c r="C6575"/>
      <c r="D6575"/>
      <c r="E6575"/>
      <c r="F6575"/>
      <c r="G6575"/>
      <c r="H6575"/>
      <c r="I6575"/>
    </row>
    <row r="6576" spans="1:9" s="33" customFormat="1">
      <c r="A6576" s="37"/>
      <c r="B6576"/>
      <c r="C6576"/>
      <c r="D6576"/>
      <c r="E6576"/>
      <c r="F6576"/>
      <c r="G6576"/>
      <c r="H6576"/>
      <c r="I6576"/>
    </row>
    <row r="6577" spans="1:9" s="33" customFormat="1">
      <c r="A6577" s="37"/>
      <c r="B6577"/>
      <c r="C6577"/>
      <c r="D6577"/>
      <c r="E6577"/>
      <c r="F6577"/>
      <c r="G6577"/>
      <c r="H6577"/>
      <c r="I6577"/>
    </row>
    <row r="6578" spans="1:9" s="33" customFormat="1">
      <c r="A6578" s="37"/>
      <c r="B6578"/>
      <c r="C6578"/>
      <c r="D6578"/>
      <c r="E6578"/>
      <c r="F6578"/>
      <c r="G6578"/>
      <c r="H6578"/>
      <c r="I6578"/>
    </row>
    <row r="6579" spans="1:9" s="33" customFormat="1">
      <c r="A6579" s="37"/>
      <c r="B6579"/>
      <c r="C6579"/>
      <c r="D6579"/>
      <c r="E6579"/>
      <c r="F6579"/>
      <c r="G6579"/>
      <c r="H6579"/>
      <c r="I6579"/>
    </row>
    <row r="6580" spans="1:9" s="33" customFormat="1">
      <c r="A6580" s="37"/>
      <c r="B6580"/>
      <c r="C6580"/>
      <c r="D6580"/>
      <c r="E6580"/>
      <c r="F6580"/>
      <c r="G6580"/>
      <c r="H6580"/>
      <c r="I6580"/>
    </row>
    <row r="6581" spans="1:9" s="33" customFormat="1">
      <c r="A6581" s="37"/>
      <c r="B6581"/>
      <c r="C6581"/>
      <c r="D6581"/>
      <c r="E6581"/>
      <c r="F6581"/>
      <c r="G6581"/>
      <c r="H6581"/>
      <c r="I6581"/>
    </row>
    <row r="6582" spans="1:9" s="33" customFormat="1">
      <c r="A6582" s="37"/>
      <c r="B6582"/>
      <c r="C6582"/>
      <c r="D6582"/>
      <c r="E6582"/>
      <c r="F6582"/>
      <c r="G6582"/>
      <c r="H6582"/>
      <c r="I6582"/>
    </row>
    <row r="6583" spans="1:9" s="33" customFormat="1">
      <c r="A6583" s="37"/>
      <c r="B6583"/>
      <c r="C6583"/>
      <c r="D6583"/>
      <c r="E6583"/>
      <c r="F6583"/>
      <c r="G6583"/>
      <c r="H6583"/>
      <c r="I6583"/>
    </row>
    <row r="6584" spans="1:9" s="33" customFormat="1">
      <c r="A6584" s="37"/>
      <c r="B6584"/>
      <c r="C6584"/>
      <c r="D6584"/>
      <c r="E6584"/>
      <c r="F6584"/>
      <c r="G6584"/>
      <c r="H6584"/>
      <c r="I6584"/>
    </row>
    <row r="6585" spans="1:9" s="33" customFormat="1">
      <c r="A6585" s="37"/>
      <c r="B6585"/>
      <c r="C6585"/>
      <c r="D6585"/>
      <c r="E6585"/>
      <c r="F6585"/>
      <c r="G6585"/>
      <c r="H6585"/>
      <c r="I6585"/>
    </row>
    <row r="6586" spans="1:9" s="33" customFormat="1">
      <c r="A6586" s="37"/>
      <c r="B6586"/>
      <c r="C6586"/>
      <c r="D6586"/>
      <c r="E6586"/>
      <c r="F6586"/>
      <c r="G6586"/>
      <c r="H6586"/>
      <c r="I6586"/>
    </row>
    <row r="6587" spans="1:9" s="33" customFormat="1">
      <c r="A6587" s="37"/>
      <c r="B6587"/>
      <c r="C6587"/>
      <c r="D6587"/>
      <c r="E6587"/>
      <c r="F6587"/>
      <c r="G6587"/>
      <c r="H6587"/>
      <c r="I6587"/>
    </row>
    <row r="6588" spans="1:9" s="33" customFormat="1">
      <c r="A6588" s="37"/>
      <c r="B6588"/>
      <c r="C6588"/>
      <c r="D6588"/>
      <c r="E6588"/>
      <c r="F6588"/>
      <c r="G6588"/>
      <c r="H6588"/>
      <c r="I6588"/>
    </row>
    <row r="6589" spans="1:9" s="33" customFormat="1">
      <c r="A6589" s="37"/>
      <c r="B6589"/>
      <c r="C6589"/>
      <c r="D6589"/>
      <c r="E6589"/>
      <c r="F6589"/>
      <c r="G6589"/>
      <c r="H6589"/>
      <c r="I6589"/>
    </row>
    <row r="6590" spans="1:9" s="33" customFormat="1">
      <c r="A6590" s="37"/>
      <c r="B6590"/>
      <c r="C6590"/>
      <c r="D6590"/>
      <c r="E6590"/>
      <c r="F6590"/>
      <c r="G6590"/>
      <c r="H6590"/>
      <c r="I6590"/>
    </row>
    <row r="6591" spans="1:9" s="33" customFormat="1">
      <c r="A6591" s="37"/>
      <c r="B6591"/>
      <c r="C6591"/>
      <c r="D6591"/>
      <c r="E6591"/>
      <c r="F6591"/>
      <c r="G6591"/>
      <c r="H6591"/>
      <c r="I6591"/>
    </row>
    <row r="6592" spans="1:9" s="33" customFormat="1">
      <c r="A6592" s="37"/>
      <c r="B6592"/>
      <c r="C6592"/>
      <c r="D6592"/>
      <c r="E6592"/>
      <c r="F6592"/>
      <c r="G6592"/>
      <c r="H6592"/>
      <c r="I6592"/>
    </row>
    <row r="6593" spans="1:9" s="33" customFormat="1">
      <c r="A6593" s="37"/>
      <c r="B6593"/>
      <c r="C6593"/>
      <c r="D6593"/>
      <c r="E6593"/>
      <c r="F6593"/>
      <c r="G6593"/>
      <c r="H6593"/>
      <c r="I6593"/>
    </row>
    <row r="6594" spans="1:9" s="33" customFormat="1">
      <c r="A6594" s="37"/>
      <c r="B6594"/>
      <c r="C6594"/>
      <c r="D6594"/>
      <c r="E6594"/>
      <c r="F6594"/>
      <c r="G6594"/>
      <c r="H6594"/>
      <c r="I6594"/>
    </row>
    <row r="6595" spans="1:9" s="33" customFormat="1">
      <c r="A6595" s="37"/>
      <c r="B6595"/>
      <c r="C6595"/>
      <c r="D6595"/>
      <c r="E6595"/>
      <c r="F6595"/>
      <c r="G6595"/>
      <c r="H6595"/>
      <c r="I6595"/>
    </row>
    <row r="6596" spans="1:9" s="33" customFormat="1">
      <c r="A6596" s="37"/>
      <c r="B6596"/>
      <c r="C6596"/>
      <c r="D6596"/>
      <c r="E6596"/>
      <c r="F6596"/>
      <c r="G6596"/>
      <c r="H6596"/>
      <c r="I6596"/>
    </row>
    <row r="6597" spans="1:9" s="33" customFormat="1">
      <c r="A6597" s="37"/>
      <c r="B6597"/>
      <c r="C6597"/>
      <c r="D6597"/>
      <c r="E6597"/>
      <c r="F6597"/>
      <c r="G6597"/>
      <c r="H6597"/>
      <c r="I6597"/>
    </row>
    <row r="6598" spans="1:9" s="33" customFormat="1">
      <c r="A6598" s="37"/>
      <c r="B6598"/>
      <c r="C6598"/>
      <c r="D6598"/>
      <c r="E6598"/>
      <c r="F6598"/>
      <c r="G6598"/>
      <c r="H6598"/>
      <c r="I6598"/>
    </row>
    <row r="6599" spans="1:9" s="33" customFormat="1">
      <c r="A6599" s="37"/>
      <c r="B6599"/>
      <c r="C6599"/>
      <c r="D6599"/>
      <c r="E6599"/>
      <c r="F6599"/>
      <c r="G6599"/>
      <c r="H6599"/>
      <c r="I6599"/>
    </row>
    <row r="6600" spans="1:9" s="33" customFormat="1">
      <c r="A6600" s="37"/>
      <c r="B6600"/>
      <c r="C6600"/>
      <c r="D6600"/>
      <c r="E6600"/>
      <c r="F6600"/>
      <c r="G6600"/>
      <c r="H6600"/>
      <c r="I6600"/>
    </row>
    <row r="6601" spans="1:9" s="33" customFormat="1">
      <c r="A6601" s="37"/>
      <c r="B6601"/>
      <c r="C6601"/>
      <c r="D6601"/>
      <c r="E6601"/>
      <c r="F6601"/>
      <c r="G6601"/>
      <c r="H6601"/>
      <c r="I6601"/>
    </row>
    <row r="6602" spans="1:9" s="33" customFormat="1">
      <c r="A6602" s="37"/>
      <c r="B6602"/>
      <c r="C6602"/>
      <c r="D6602"/>
      <c r="E6602"/>
      <c r="F6602"/>
      <c r="G6602"/>
      <c r="H6602"/>
      <c r="I6602"/>
    </row>
    <row r="6603" spans="1:9" s="33" customFormat="1">
      <c r="A6603" s="37"/>
      <c r="B6603"/>
      <c r="C6603"/>
      <c r="D6603"/>
      <c r="E6603"/>
      <c r="F6603"/>
      <c r="G6603"/>
      <c r="H6603"/>
      <c r="I6603"/>
    </row>
    <row r="6604" spans="1:9" s="33" customFormat="1">
      <c r="A6604" s="37"/>
      <c r="B6604"/>
      <c r="C6604"/>
      <c r="D6604"/>
      <c r="E6604"/>
      <c r="F6604"/>
      <c r="G6604"/>
      <c r="H6604"/>
      <c r="I6604"/>
    </row>
    <row r="6605" spans="1:9" s="33" customFormat="1">
      <c r="A6605" s="37"/>
      <c r="B6605"/>
      <c r="C6605"/>
      <c r="D6605"/>
      <c r="E6605"/>
      <c r="F6605"/>
      <c r="G6605"/>
      <c r="H6605"/>
      <c r="I6605"/>
    </row>
    <row r="6606" spans="1:9" s="33" customFormat="1">
      <c r="A6606" s="37"/>
      <c r="B6606"/>
      <c r="C6606"/>
      <c r="D6606"/>
      <c r="E6606"/>
      <c r="F6606"/>
      <c r="G6606"/>
      <c r="H6606"/>
      <c r="I6606"/>
    </row>
    <row r="6607" spans="1:9" s="33" customFormat="1">
      <c r="A6607" s="37"/>
      <c r="B6607"/>
      <c r="C6607"/>
      <c r="D6607"/>
      <c r="E6607"/>
      <c r="F6607"/>
      <c r="G6607"/>
      <c r="H6607"/>
      <c r="I6607"/>
    </row>
    <row r="6608" spans="1:9" s="33" customFormat="1">
      <c r="A6608" s="37"/>
      <c r="B6608"/>
      <c r="C6608"/>
      <c r="D6608"/>
      <c r="E6608"/>
      <c r="F6608"/>
      <c r="G6608"/>
      <c r="H6608"/>
      <c r="I6608"/>
    </row>
    <row r="6609" spans="1:9" s="33" customFormat="1">
      <c r="A6609" s="37"/>
      <c r="B6609"/>
      <c r="C6609"/>
      <c r="D6609"/>
      <c r="E6609"/>
      <c r="F6609"/>
      <c r="G6609"/>
      <c r="H6609"/>
      <c r="I6609"/>
    </row>
    <row r="6610" spans="1:9" s="33" customFormat="1">
      <c r="A6610" s="37"/>
      <c r="B6610"/>
      <c r="C6610"/>
      <c r="D6610"/>
      <c r="E6610"/>
      <c r="F6610"/>
      <c r="G6610"/>
      <c r="H6610"/>
      <c r="I6610"/>
    </row>
    <row r="6611" spans="1:9" s="33" customFormat="1">
      <c r="A6611" s="37"/>
      <c r="B6611"/>
      <c r="C6611"/>
      <c r="D6611"/>
      <c r="E6611"/>
      <c r="F6611"/>
      <c r="G6611"/>
      <c r="H6611"/>
      <c r="I6611"/>
    </row>
    <row r="6612" spans="1:9" s="33" customFormat="1">
      <c r="A6612" s="37"/>
      <c r="B6612"/>
      <c r="C6612"/>
      <c r="D6612"/>
      <c r="E6612"/>
      <c r="F6612"/>
      <c r="G6612"/>
      <c r="H6612"/>
      <c r="I6612"/>
    </row>
    <row r="6613" spans="1:9" s="33" customFormat="1">
      <c r="A6613" s="37"/>
      <c r="B6613"/>
      <c r="C6613"/>
      <c r="D6613"/>
      <c r="E6613"/>
      <c r="F6613"/>
      <c r="G6613"/>
      <c r="H6613"/>
      <c r="I6613"/>
    </row>
    <row r="6614" spans="1:9" s="33" customFormat="1">
      <c r="A6614" s="37"/>
      <c r="B6614"/>
      <c r="C6614"/>
      <c r="D6614"/>
      <c r="E6614"/>
      <c r="F6614"/>
      <c r="G6614"/>
      <c r="H6614"/>
      <c r="I6614"/>
    </row>
    <row r="6615" spans="1:9" s="33" customFormat="1">
      <c r="A6615" s="37"/>
      <c r="B6615"/>
      <c r="C6615"/>
      <c r="D6615"/>
      <c r="E6615"/>
      <c r="F6615"/>
      <c r="G6615"/>
      <c r="H6615"/>
      <c r="I6615"/>
    </row>
    <row r="6616" spans="1:9" s="33" customFormat="1">
      <c r="A6616" s="37"/>
      <c r="B6616"/>
      <c r="C6616"/>
      <c r="D6616"/>
      <c r="E6616"/>
      <c r="F6616"/>
      <c r="G6616"/>
      <c r="H6616"/>
      <c r="I6616"/>
    </row>
    <row r="6617" spans="1:9" s="33" customFormat="1">
      <c r="A6617" s="37"/>
      <c r="B6617"/>
      <c r="C6617"/>
      <c r="D6617"/>
      <c r="E6617"/>
      <c r="F6617"/>
      <c r="G6617"/>
      <c r="H6617"/>
      <c r="I6617"/>
    </row>
    <row r="6618" spans="1:9" s="33" customFormat="1">
      <c r="A6618" s="37"/>
      <c r="B6618"/>
      <c r="C6618"/>
      <c r="D6618"/>
      <c r="E6618"/>
      <c r="F6618"/>
      <c r="G6618"/>
      <c r="H6618"/>
      <c r="I6618"/>
    </row>
    <row r="6619" spans="1:9" s="33" customFormat="1">
      <c r="A6619" s="37"/>
      <c r="B6619"/>
      <c r="C6619"/>
      <c r="D6619"/>
      <c r="E6619"/>
      <c r="F6619"/>
      <c r="G6619"/>
      <c r="H6619"/>
      <c r="I6619"/>
    </row>
    <row r="6620" spans="1:9" s="33" customFormat="1">
      <c r="A6620" s="37"/>
      <c r="B6620"/>
      <c r="C6620"/>
      <c r="D6620"/>
      <c r="E6620"/>
      <c r="F6620"/>
      <c r="G6620"/>
      <c r="H6620"/>
      <c r="I6620"/>
    </row>
    <row r="6621" spans="1:9" s="33" customFormat="1">
      <c r="A6621" s="37"/>
      <c r="B6621"/>
      <c r="C6621"/>
      <c r="D6621"/>
      <c r="E6621"/>
      <c r="F6621"/>
      <c r="G6621"/>
      <c r="H6621"/>
      <c r="I6621"/>
    </row>
    <row r="6622" spans="1:9" s="33" customFormat="1">
      <c r="A6622" s="37"/>
      <c r="B6622"/>
      <c r="C6622"/>
      <c r="D6622"/>
      <c r="E6622"/>
      <c r="F6622"/>
      <c r="G6622"/>
      <c r="H6622"/>
      <c r="I6622"/>
    </row>
    <row r="6623" spans="1:9" s="33" customFormat="1">
      <c r="A6623" s="37"/>
      <c r="B6623"/>
      <c r="C6623"/>
      <c r="D6623"/>
      <c r="E6623"/>
      <c r="F6623"/>
      <c r="G6623"/>
      <c r="H6623"/>
      <c r="I6623"/>
    </row>
    <row r="6624" spans="1:9" s="33" customFormat="1">
      <c r="A6624" s="37"/>
      <c r="B6624"/>
      <c r="C6624"/>
      <c r="D6624"/>
      <c r="E6624"/>
      <c r="F6624"/>
      <c r="G6624"/>
      <c r="H6624"/>
      <c r="I6624"/>
    </row>
    <row r="6625" spans="1:9" s="33" customFormat="1">
      <c r="A6625" s="37"/>
      <c r="B6625"/>
      <c r="C6625"/>
      <c r="D6625"/>
      <c r="E6625"/>
      <c r="F6625"/>
      <c r="G6625"/>
      <c r="H6625"/>
      <c r="I6625"/>
    </row>
    <row r="6626" spans="1:9" s="33" customFormat="1">
      <c r="A6626" s="37"/>
      <c r="B6626"/>
      <c r="C6626"/>
      <c r="D6626"/>
      <c r="E6626"/>
      <c r="F6626"/>
      <c r="G6626"/>
      <c r="H6626"/>
      <c r="I6626"/>
    </row>
    <row r="6627" spans="1:9" s="33" customFormat="1">
      <c r="A6627" s="37"/>
      <c r="B6627"/>
      <c r="C6627"/>
      <c r="D6627"/>
      <c r="E6627"/>
      <c r="F6627"/>
      <c r="G6627"/>
      <c r="H6627"/>
      <c r="I6627"/>
    </row>
    <row r="6628" spans="1:9" s="33" customFormat="1">
      <c r="A6628" s="37"/>
      <c r="B6628"/>
      <c r="C6628"/>
      <c r="D6628"/>
      <c r="E6628"/>
      <c r="F6628"/>
      <c r="G6628"/>
      <c r="H6628"/>
      <c r="I6628"/>
    </row>
    <row r="6629" spans="1:9" s="33" customFormat="1">
      <c r="A6629" s="37"/>
      <c r="B6629"/>
      <c r="C6629"/>
      <c r="D6629"/>
      <c r="E6629"/>
      <c r="F6629"/>
      <c r="G6629"/>
      <c r="H6629"/>
      <c r="I6629"/>
    </row>
    <row r="6630" spans="1:9" s="33" customFormat="1">
      <c r="A6630" s="37"/>
      <c r="B6630"/>
      <c r="C6630"/>
      <c r="D6630"/>
      <c r="E6630"/>
      <c r="F6630"/>
      <c r="G6630"/>
      <c r="H6630"/>
      <c r="I6630"/>
    </row>
    <row r="6631" spans="1:9" s="33" customFormat="1">
      <c r="A6631" s="37"/>
      <c r="B6631"/>
      <c r="C6631"/>
      <c r="D6631"/>
      <c r="E6631"/>
      <c r="F6631"/>
      <c r="G6631"/>
      <c r="H6631"/>
      <c r="I6631"/>
    </row>
    <row r="6632" spans="1:9" s="33" customFormat="1">
      <c r="A6632" s="37"/>
      <c r="B6632"/>
      <c r="C6632"/>
      <c r="D6632"/>
      <c r="E6632"/>
      <c r="F6632"/>
      <c r="G6632"/>
      <c r="H6632"/>
      <c r="I6632"/>
    </row>
    <row r="6633" spans="1:9" s="33" customFormat="1">
      <c r="A6633" s="37"/>
      <c r="B6633"/>
      <c r="C6633"/>
      <c r="D6633"/>
      <c r="E6633"/>
      <c r="F6633"/>
      <c r="G6633"/>
      <c r="H6633"/>
      <c r="I6633"/>
    </row>
    <row r="6634" spans="1:9" s="33" customFormat="1">
      <c r="A6634" s="37"/>
      <c r="B6634"/>
      <c r="C6634"/>
      <c r="D6634"/>
      <c r="E6634"/>
      <c r="F6634"/>
      <c r="G6634"/>
      <c r="H6634"/>
      <c r="I6634"/>
    </row>
    <row r="6635" spans="1:9" s="33" customFormat="1">
      <c r="A6635" s="37"/>
      <c r="B6635"/>
      <c r="C6635"/>
      <c r="D6635"/>
      <c r="E6635"/>
      <c r="F6635"/>
      <c r="G6635"/>
      <c r="H6635"/>
      <c r="I6635"/>
    </row>
    <row r="6636" spans="1:9" s="33" customFormat="1">
      <c r="A6636" s="37"/>
      <c r="B6636"/>
      <c r="C6636"/>
      <c r="D6636"/>
      <c r="E6636"/>
      <c r="F6636"/>
      <c r="G6636"/>
      <c r="H6636"/>
      <c r="I6636"/>
    </row>
    <row r="6637" spans="1:9" s="33" customFormat="1">
      <c r="A6637" s="37"/>
      <c r="B6637"/>
      <c r="C6637"/>
      <c r="D6637"/>
      <c r="E6637"/>
      <c r="F6637"/>
      <c r="G6637"/>
      <c r="H6637"/>
      <c r="I6637"/>
    </row>
    <row r="6638" spans="1:9" s="33" customFormat="1">
      <c r="A6638" s="37"/>
      <c r="B6638"/>
      <c r="C6638"/>
      <c r="D6638"/>
      <c r="E6638"/>
      <c r="F6638"/>
      <c r="G6638"/>
      <c r="H6638"/>
      <c r="I6638"/>
    </row>
    <row r="6639" spans="1:9" s="33" customFormat="1">
      <c r="A6639" s="38"/>
      <c r="B6639" s="34"/>
      <c r="C6639" s="34"/>
      <c r="D6639" s="34"/>
      <c r="E6639" s="34"/>
      <c r="F6639" s="34"/>
      <c r="G6639" s="34"/>
      <c r="H6639" s="35"/>
      <c r="I6639" s="34"/>
    </row>
    <row r="6640" spans="1:9" s="33" customFormat="1">
      <c r="A6640" s="38"/>
      <c r="B6640" s="34"/>
      <c r="C6640" s="34"/>
      <c r="D6640" s="34"/>
      <c r="E6640" s="34"/>
      <c r="F6640" s="34"/>
      <c r="G6640" s="34"/>
      <c r="H6640" s="35"/>
      <c r="I6640" s="34"/>
    </row>
    <row r="6641" spans="1:9" s="33" customFormat="1">
      <c r="A6641" s="38"/>
      <c r="B6641" s="34"/>
      <c r="C6641" s="34"/>
      <c r="D6641" s="34"/>
      <c r="E6641" s="34"/>
      <c r="F6641" s="34"/>
      <c r="G6641" s="34"/>
      <c r="H6641" s="35"/>
      <c r="I6641" s="34"/>
    </row>
    <row r="6642" spans="1:9" s="33" customFormat="1">
      <c r="A6642" s="38"/>
      <c r="B6642" s="34"/>
      <c r="C6642" s="34"/>
      <c r="D6642" s="34"/>
      <c r="E6642" s="34"/>
      <c r="F6642" s="34"/>
      <c r="G6642" s="34"/>
      <c r="H6642" s="35"/>
      <c r="I6642" s="34"/>
    </row>
    <row r="6643" spans="1:9" s="33" customFormat="1">
      <c r="A6643" s="38"/>
      <c r="B6643" s="34"/>
      <c r="C6643" s="34"/>
      <c r="D6643" s="34"/>
      <c r="E6643" s="34"/>
      <c r="F6643" s="34"/>
      <c r="G6643" s="34"/>
      <c r="H6643" s="35"/>
      <c r="I6643" s="34"/>
    </row>
    <row r="6644" spans="1:9" s="33" customFormat="1">
      <c r="A6644" s="38"/>
      <c r="B6644" s="34"/>
      <c r="C6644" s="34"/>
      <c r="D6644" s="34"/>
      <c r="E6644" s="34"/>
      <c r="F6644" s="34"/>
      <c r="G6644" s="34"/>
      <c r="H6644" s="35"/>
      <c r="I6644" s="34"/>
    </row>
    <row r="6645" spans="1:9" s="33" customFormat="1">
      <c r="A6645" s="38"/>
      <c r="B6645" s="34"/>
      <c r="C6645" s="34"/>
      <c r="D6645" s="34"/>
      <c r="E6645" s="34"/>
      <c r="F6645" s="34"/>
      <c r="G6645" s="34"/>
      <c r="H6645" s="35"/>
      <c r="I6645" s="34"/>
    </row>
    <row r="6646" spans="1:9" s="33" customFormat="1">
      <c r="A6646" s="38"/>
      <c r="B6646" s="34"/>
      <c r="C6646" s="34"/>
      <c r="D6646" s="34"/>
      <c r="E6646" s="34"/>
      <c r="F6646" s="34"/>
      <c r="G6646" s="34"/>
      <c r="H6646" s="35"/>
      <c r="I6646" s="34"/>
    </row>
    <row r="6647" spans="1:9" s="33" customFormat="1">
      <c r="A6647" s="38"/>
      <c r="B6647" s="34"/>
      <c r="C6647" s="34"/>
      <c r="D6647" s="34"/>
      <c r="E6647" s="34"/>
      <c r="F6647" s="34"/>
      <c r="G6647" s="34"/>
      <c r="H6647" s="35"/>
      <c r="I6647" s="34"/>
    </row>
    <row r="6648" spans="1:9" s="33" customFormat="1">
      <c r="A6648" s="38"/>
      <c r="B6648" s="34"/>
      <c r="C6648" s="34"/>
      <c r="D6648" s="34"/>
      <c r="E6648" s="34"/>
      <c r="F6648" s="34"/>
      <c r="G6648" s="34"/>
      <c r="H6648" s="35"/>
      <c r="I6648" s="34"/>
    </row>
    <row r="6649" spans="1:9" s="33" customFormat="1">
      <c r="A6649" s="38"/>
      <c r="B6649" s="34"/>
      <c r="C6649" s="34"/>
      <c r="D6649" s="34"/>
      <c r="E6649" s="34"/>
      <c r="F6649" s="34"/>
      <c r="G6649" s="34"/>
      <c r="H6649" s="35"/>
      <c r="I6649" s="34"/>
    </row>
    <row r="6650" spans="1:9" s="33" customFormat="1">
      <c r="A6650" s="38"/>
      <c r="B6650" s="34"/>
      <c r="C6650" s="34"/>
      <c r="D6650" s="34"/>
      <c r="E6650" s="34"/>
      <c r="F6650" s="34"/>
      <c r="G6650" s="34"/>
      <c r="H6650" s="35"/>
      <c r="I6650" s="34"/>
    </row>
    <row r="6651" spans="1:9" s="33" customFormat="1">
      <c r="A6651" s="38"/>
      <c r="B6651" s="34"/>
      <c r="C6651" s="34"/>
      <c r="D6651" s="34"/>
      <c r="E6651" s="34"/>
      <c r="F6651" s="34"/>
      <c r="G6651" s="34"/>
      <c r="H6651" s="35"/>
      <c r="I6651" s="34"/>
    </row>
    <row r="6652" spans="1:9" s="33" customFormat="1">
      <c r="A6652" s="38"/>
      <c r="B6652" s="34"/>
      <c r="C6652" s="34"/>
      <c r="D6652" s="34"/>
      <c r="E6652" s="34"/>
      <c r="F6652" s="34"/>
      <c r="G6652" s="34"/>
      <c r="H6652" s="35"/>
      <c r="I6652" s="34"/>
    </row>
    <row r="6653" spans="1:9" s="33" customFormat="1">
      <c r="A6653" s="38"/>
      <c r="B6653" s="34"/>
      <c r="C6653" s="34"/>
      <c r="D6653" s="34"/>
      <c r="E6653" s="34"/>
      <c r="F6653" s="34"/>
      <c r="G6653" s="34"/>
      <c r="H6653" s="35"/>
      <c r="I6653" s="34"/>
    </row>
    <row r="6654" spans="1:9" s="33" customFormat="1">
      <c r="A6654" s="38"/>
      <c r="B6654" s="34"/>
      <c r="C6654" s="34"/>
      <c r="D6654" s="34"/>
      <c r="E6654" s="34"/>
      <c r="F6654" s="34"/>
      <c r="G6654" s="34"/>
      <c r="H6654" s="35"/>
      <c r="I6654" s="34"/>
    </row>
    <row r="6655" spans="1:9" s="33" customFormat="1">
      <c r="A6655" s="38"/>
      <c r="B6655" s="34"/>
      <c r="C6655" s="34"/>
      <c r="D6655" s="34"/>
      <c r="E6655" s="34"/>
      <c r="F6655" s="34"/>
      <c r="G6655" s="34"/>
      <c r="H6655" s="35"/>
      <c r="I6655" s="34"/>
    </row>
    <row r="6656" spans="1:9" s="33" customFormat="1">
      <c r="A6656" s="38"/>
      <c r="B6656" s="34"/>
      <c r="C6656" s="34"/>
      <c r="D6656" s="34"/>
      <c r="E6656" s="34"/>
      <c r="F6656" s="34"/>
      <c r="G6656" s="34"/>
      <c r="H6656" s="35"/>
      <c r="I6656" s="34"/>
    </row>
    <row r="6657" spans="1:9" s="33" customFormat="1">
      <c r="A6657" s="38"/>
      <c r="B6657" s="34"/>
      <c r="C6657" s="34"/>
      <c r="D6657" s="34"/>
      <c r="E6657" s="34"/>
      <c r="F6657" s="34"/>
      <c r="G6657" s="34"/>
      <c r="H6657" s="35"/>
      <c r="I6657" s="34"/>
    </row>
    <row r="6658" spans="1:9" s="33" customFormat="1">
      <c r="A6658" s="38"/>
      <c r="B6658" s="34"/>
      <c r="C6658" s="34"/>
      <c r="D6658" s="34"/>
      <c r="E6658" s="34"/>
      <c r="F6658" s="34"/>
      <c r="G6658" s="34"/>
      <c r="H6658" s="35"/>
      <c r="I6658" s="34"/>
    </row>
    <row r="6659" spans="1:9" s="33" customFormat="1">
      <c r="A6659" s="38"/>
      <c r="B6659" s="34"/>
      <c r="C6659" s="34"/>
      <c r="D6659" s="34"/>
      <c r="E6659" s="34"/>
      <c r="F6659" s="34"/>
      <c r="G6659" s="34"/>
      <c r="H6659" s="35"/>
      <c r="I6659" s="34"/>
    </row>
    <row r="6660" spans="1:9" s="33" customFormat="1">
      <c r="A6660" s="38"/>
      <c r="B6660" s="34"/>
      <c r="C6660" s="34"/>
      <c r="D6660" s="34"/>
      <c r="E6660" s="34"/>
      <c r="F6660" s="34"/>
      <c r="G6660" s="34"/>
      <c r="H6660" s="35"/>
      <c r="I6660" s="34"/>
    </row>
    <row r="6661" spans="1:9" s="33" customFormat="1">
      <c r="A6661" s="38"/>
      <c r="B6661" s="34"/>
      <c r="C6661" s="34"/>
      <c r="D6661" s="34"/>
      <c r="E6661" s="34"/>
      <c r="F6661" s="34"/>
      <c r="G6661" s="34"/>
      <c r="H6661" s="35"/>
      <c r="I6661" s="34"/>
    </row>
    <row r="6662" spans="1:9" s="33" customFormat="1">
      <c r="A6662" s="38"/>
      <c r="B6662" s="34"/>
      <c r="C6662" s="34"/>
      <c r="D6662" s="34"/>
      <c r="E6662" s="34"/>
      <c r="F6662" s="34"/>
      <c r="G6662" s="34"/>
      <c r="H6662" s="35"/>
      <c r="I6662" s="34"/>
    </row>
    <row r="6663" spans="1:9" s="33" customFormat="1">
      <c r="A6663" s="38"/>
      <c r="B6663" s="34"/>
      <c r="C6663" s="34"/>
      <c r="D6663" s="34"/>
      <c r="E6663" s="34"/>
      <c r="F6663" s="34"/>
      <c r="G6663" s="34"/>
      <c r="H6663" s="35"/>
      <c r="I6663" s="34"/>
    </row>
    <row r="6664" spans="1:9" s="33" customFormat="1">
      <c r="A6664" s="38"/>
      <c r="B6664" s="34"/>
      <c r="C6664" s="34"/>
      <c r="D6664" s="34"/>
      <c r="E6664" s="34"/>
      <c r="F6664" s="34"/>
      <c r="G6664" s="34"/>
      <c r="H6664" s="35"/>
      <c r="I6664" s="34"/>
    </row>
    <row r="6665" spans="1:9" s="33" customFormat="1">
      <c r="A6665" s="38"/>
      <c r="B6665" s="34"/>
      <c r="C6665" s="34"/>
      <c r="D6665" s="34"/>
      <c r="E6665" s="34"/>
      <c r="F6665" s="34"/>
      <c r="G6665" s="34"/>
      <c r="H6665" s="35"/>
      <c r="I6665" s="34"/>
    </row>
    <row r="6666" spans="1:9" s="33" customFormat="1">
      <c r="A6666" s="38"/>
      <c r="B6666" s="34"/>
      <c r="C6666" s="34"/>
      <c r="D6666" s="34"/>
      <c r="E6666" s="34"/>
      <c r="F6666" s="34"/>
      <c r="G6666" s="34"/>
      <c r="H6666" s="35"/>
      <c r="I6666" s="34"/>
    </row>
    <row r="6667" spans="1:9" s="33" customFormat="1">
      <c r="A6667" s="38"/>
      <c r="B6667" s="34"/>
      <c r="C6667" s="34"/>
      <c r="D6667" s="34"/>
      <c r="E6667" s="34"/>
      <c r="F6667" s="34"/>
      <c r="G6667" s="34"/>
      <c r="H6667" s="35"/>
      <c r="I6667" s="34"/>
    </row>
    <row r="6668" spans="1:9" s="33" customFormat="1">
      <c r="A6668" s="38"/>
      <c r="B6668" s="34"/>
      <c r="C6668" s="34"/>
      <c r="D6668" s="34"/>
      <c r="E6668" s="34"/>
      <c r="F6668" s="34"/>
      <c r="G6668" s="34"/>
      <c r="H6668" s="35"/>
      <c r="I6668" s="34"/>
    </row>
    <row r="6669" spans="1:9" s="33" customFormat="1">
      <c r="A6669" s="38"/>
      <c r="B6669" s="34"/>
      <c r="C6669" s="34"/>
      <c r="D6669" s="34"/>
      <c r="E6669" s="34"/>
      <c r="F6669" s="34"/>
      <c r="G6669" s="34"/>
      <c r="H6669" s="35"/>
      <c r="I6669" s="34"/>
    </row>
    <row r="6670" spans="1:9" s="33" customFormat="1">
      <c r="A6670" s="38"/>
      <c r="B6670" s="34"/>
      <c r="C6670" s="34"/>
      <c r="D6670" s="34"/>
      <c r="E6670" s="34"/>
      <c r="F6670" s="34"/>
      <c r="G6670" s="34"/>
      <c r="H6670" s="35"/>
      <c r="I6670" s="34"/>
    </row>
    <row r="6671" spans="1:9" s="33" customFormat="1">
      <c r="A6671" s="38"/>
      <c r="B6671" s="34"/>
      <c r="C6671" s="34"/>
      <c r="D6671" s="34"/>
      <c r="E6671" s="34"/>
      <c r="F6671" s="34"/>
      <c r="G6671" s="34"/>
      <c r="H6671" s="35"/>
      <c r="I6671" s="34"/>
    </row>
    <row r="6672" spans="1:9" s="33" customFormat="1">
      <c r="A6672" s="38"/>
      <c r="B6672" s="34"/>
      <c r="C6672" s="34"/>
      <c r="D6672" s="34"/>
      <c r="E6672" s="34"/>
      <c r="F6672" s="34"/>
      <c r="G6672" s="34"/>
      <c r="H6672" s="35"/>
      <c r="I6672" s="34"/>
    </row>
    <row r="6673" spans="1:9" s="33" customFormat="1">
      <c r="A6673" s="38"/>
      <c r="B6673" s="34"/>
      <c r="C6673" s="34"/>
      <c r="D6673" s="34"/>
      <c r="E6673" s="34"/>
      <c r="F6673" s="34"/>
      <c r="G6673" s="34"/>
      <c r="H6673" s="35"/>
      <c r="I6673" s="34"/>
    </row>
    <row r="6674" spans="1:9" s="33" customFormat="1">
      <c r="A6674" s="38"/>
      <c r="B6674" s="34"/>
      <c r="C6674" s="34"/>
      <c r="D6674" s="34"/>
      <c r="E6674" s="34"/>
      <c r="F6674" s="34"/>
      <c r="G6674" s="34"/>
      <c r="H6674" s="35"/>
      <c r="I6674" s="34"/>
    </row>
    <row r="6675" spans="1:9" s="33" customFormat="1">
      <c r="A6675" s="38"/>
      <c r="B6675" s="34"/>
      <c r="C6675" s="34"/>
      <c r="D6675" s="34"/>
      <c r="E6675" s="34"/>
      <c r="F6675" s="34"/>
      <c r="G6675" s="34"/>
      <c r="H6675" s="35"/>
      <c r="I6675" s="34"/>
    </row>
    <row r="6676" spans="1:9" s="33" customFormat="1">
      <c r="A6676" s="38"/>
      <c r="B6676" s="34"/>
      <c r="C6676" s="34"/>
      <c r="D6676" s="34"/>
      <c r="E6676" s="34"/>
      <c r="F6676" s="34"/>
      <c r="G6676" s="34"/>
      <c r="H6676" s="35"/>
      <c r="I6676" s="34"/>
    </row>
    <row r="6677" spans="1:9" s="33" customFormat="1">
      <c r="A6677" s="38"/>
      <c r="B6677" s="34"/>
      <c r="C6677" s="34"/>
      <c r="D6677" s="34"/>
      <c r="E6677" s="34"/>
      <c r="F6677" s="34"/>
      <c r="G6677" s="34"/>
      <c r="H6677" s="35"/>
      <c r="I6677" s="34"/>
    </row>
    <row r="6678" spans="1:9" s="33" customFormat="1">
      <c r="A6678" s="38"/>
      <c r="B6678" s="34"/>
      <c r="C6678" s="34"/>
      <c r="D6678" s="34"/>
      <c r="E6678" s="34"/>
      <c r="F6678" s="34"/>
      <c r="G6678" s="34"/>
      <c r="H6678" s="35"/>
      <c r="I6678" s="34"/>
    </row>
    <row r="6679" spans="1:9" s="33" customFormat="1">
      <c r="A6679" s="38"/>
      <c r="B6679" s="34"/>
      <c r="C6679" s="34"/>
      <c r="D6679" s="34"/>
      <c r="E6679" s="34"/>
      <c r="F6679" s="34"/>
      <c r="G6679" s="34"/>
      <c r="H6679" s="35"/>
      <c r="I6679" s="34"/>
    </row>
    <row r="6680" spans="1:9" s="33" customFormat="1">
      <c r="A6680" s="38"/>
      <c r="B6680" s="34"/>
      <c r="C6680" s="34"/>
      <c r="D6680" s="34"/>
      <c r="E6680" s="34"/>
      <c r="F6680" s="34"/>
      <c r="G6680" s="34"/>
      <c r="H6680" s="35"/>
      <c r="I6680" s="34"/>
    </row>
    <row r="6681" spans="1:9" s="33" customFormat="1">
      <c r="A6681" s="38"/>
      <c r="B6681" s="34"/>
      <c r="C6681" s="34"/>
      <c r="D6681" s="34"/>
      <c r="E6681" s="34"/>
      <c r="F6681" s="34"/>
      <c r="G6681" s="34"/>
      <c r="H6681" s="35"/>
      <c r="I6681" s="34"/>
    </row>
    <row r="6682" spans="1:9" s="33" customFormat="1">
      <c r="A6682" s="38"/>
      <c r="B6682" s="34"/>
      <c r="C6682" s="34"/>
      <c r="D6682" s="34"/>
      <c r="E6682" s="34"/>
      <c r="F6682" s="34"/>
      <c r="G6682" s="34"/>
      <c r="H6682" s="35"/>
      <c r="I6682" s="34"/>
    </row>
    <row r="6683" spans="1:9" s="33" customFormat="1">
      <c r="A6683" s="38"/>
      <c r="B6683" s="34"/>
      <c r="C6683" s="34"/>
      <c r="D6683" s="34"/>
      <c r="E6683" s="34"/>
      <c r="F6683" s="34"/>
      <c r="G6683" s="34"/>
      <c r="H6683" s="35"/>
      <c r="I6683" s="34"/>
    </row>
    <row r="6684" spans="1:9" s="33" customFormat="1">
      <c r="A6684" s="38"/>
      <c r="B6684" s="34"/>
      <c r="C6684" s="34"/>
      <c r="D6684" s="34"/>
      <c r="E6684" s="34"/>
      <c r="F6684" s="34"/>
      <c r="G6684" s="34"/>
      <c r="H6684" s="35"/>
      <c r="I6684" s="34"/>
    </row>
    <row r="6685" spans="1:9" s="33" customFormat="1">
      <c r="A6685" s="38"/>
      <c r="B6685" s="34"/>
      <c r="C6685" s="34"/>
      <c r="D6685" s="34"/>
      <c r="E6685" s="34"/>
      <c r="F6685" s="34"/>
      <c r="G6685" s="34"/>
      <c r="H6685" s="35"/>
      <c r="I6685" s="34"/>
    </row>
    <row r="6686" spans="1:9" s="33" customFormat="1">
      <c r="A6686" s="38"/>
      <c r="B6686" s="34"/>
      <c r="C6686" s="34"/>
      <c r="D6686" s="34"/>
      <c r="E6686" s="34"/>
      <c r="F6686" s="34"/>
      <c r="G6686" s="34"/>
      <c r="H6686" s="35"/>
      <c r="I6686" s="34"/>
    </row>
    <row r="6687" spans="1:9" s="33" customFormat="1">
      <c r="A6687" s="38"/>
      <c r="B6687" s="34"/>
      <c r="C6687" s="34"/>
      <c r="D6687" s="34"/>
      <c r="E6687" s="34"/>
      <c r="F6687" s="34"/>
      <c r="G6687" s="34"/>
      <c r="H6687" s="35"/>
      <c r="I6687" s="34"/>
    </row>
    <row r="6688" spans="1:9" s="33" customFormat="1">
      <c r="A6688" s="38"/>
      <c r="B6688" s="34"/>
      <c r="C6688" s="34"/>
      <c r="D6688" s="34"/>
      <c r="E6688" s="34"/>
      <c r="F6688" s="34"/>
      <c r="G6688" s="34"/>
      <c r="H6688" s="35"/>
      <c r="I6688" s="34"/>
    </row>
    <row r="6689" spans="1:9" s="33" customFormat="1">
      <c r="A6689" s="38"/>
      <c r="B6689" s="34"/>
      <c r="C6689" s="34"/>
      <c r="D6689" s="34"/>
      <c r="E6689" s="34"/>
      <c r="F6689" s="34"/>
      <c r="G6689" s="34"/>
      <c r="H6689" s="35"/>
      <c r="I6689" s="34"/>
    </row>
    <row r="6690" spans="1:9" s="33" customFormat="1">
      <c r="A6690" s="38"/>
      <c r="B6690" s="34"/>
      <c r="C6690" s="34"/>
      <c r="D6690" s="34"/>
      <c r="E6690" s="34"/>
      <c r="F6690" s="34"/>
      <c r="G6690" s="34"/>
      <c r="H6690" s="35"/>
      <c r="I6690" s="34"/>
    </row>
    <row r="6691" spans="1:9" s="33" customFormat="1">
      <c r="A6691" s="38"/>
      <c r="B6691" s="34"/>
      <c r="C6691" s="34"/>
      <c r="D6691" s="34"/>
      <c r="E6691" s="34"/>
      <c r="F6691" s="34"/>
      <c r="G6691" s="34"/>
      <c r="H6691" s="35"/>
      <c r="I6691" s="34"/>
    </row>
    <row r="6692" spans="1:9" s="33" customFormat="1">
      <c r="A6692" s="38"/>
      <c r="B6692" s="34"/>
      <c r="C6692" s="34"/>
      <c r="D6692" s="34"/>
      <c r="E6692" s="34"/>
      <c r="F6692" s="34"/>
      <c r="G6692" s="34"/>
      <c r="H6692" s="35"/>
      <c r="I6692" s="34"/>
    </row>
    <row r="6693" spans="1:9" s="33" customFormat="1">
      <c r="A6693" s="38"/>
      <c r="B6693" s="34"/>
      <c r="C6693" s="34"/>
      <c r="D6693" s="34"/>
      <c r="E6693" s="34"/>
      <c r="F6693" s="34"/>
      <c r="G6693" s="34"/>
      <c r="H6693" s="35"/>
      <c r="I6693" s="34"/>
    </row>
    <row r="6694" spans="1:9" s="33" customFormat="1">
      <c r="A6694" s="38"/>
      <c r="B6694" s="34"/>
      <c r="C6694" s="34"/>
      <c r="D6694" s="34"/>
      <c r="E6694" s="34"/>
      <c r="F6694" s="34"/>
      <c r="G6694" s="34"/>
      <c r="H6694" s="35"/>
      <c r="I6694" s="34"/>
    </row>
    <row r="6695" spans="1:9" s="33" customFormat="1">
      <c r="A6695" s="38"/>
      <c r="B6695" s="34"/>
      <c r="C6695" s="34"/>
      <c r="D6695" s="34"/>
      <c r="E6695" s="34"/>
      <c r="F6695" s="34"/>
      <c r="G6695" s="34"/>
      <c r="H6695" s="35"/>
      <c r="I6695" s="34"/>
    </row>
    <row r="6696" spans="1:9" s="33" customFormat="1">
      <c r="A6696" s="38"/>
      <c r="B6696" s="34"/>
      <c r="C6696" s="34"/>
      <c r="D6696" s="34"/>
      <c r="E6696" s="34"/>
      <c r="F6696" s="34"/>
      <c r="G6696" s="34"/>
      <c r="H6696" s="35"/>
      <c r="I6696" s="34"/>
    </row>
    <row r="6697" spans="1:9" s="33" customFormat="1">
      <c r="A6697" s="38"/>
      <c r="B6697" s="34"/>
      <c r="C6697" s="34"/>
      <c r="D6697" s="34"/>
      <c r="E6697" s="34"/>
      <c r="F6697" s="34"/>
      <c r="G6697" s="34"/>
      <c r="H6697" s="35"/>
      <c r="I6697" s="34"/>
    </row>
    <row r="6698" spans="1:9" s="33" customFormat="1">
      <c r="A6698" s="38"/>
      <c r="B6698" s="34"/>
      <c r="C6698" s="34"/>
      <c r="D6698" s="34"/>
      <c r="E6698" s="34"/>
      <c r="F6698" s="34"/>
      <c r="G6698" s="34"/>
      <c r="H6698" s="35"/>
      <c r="I6698" s="34"/>
    </row>
    <row r="6699" spans="1:9" s="33" customFormat="1">
      <c r="A6699" s="38"/>
      <c r="B6699" s="34"/>
      <c r="C6699" s="34"/>
      <c r="D6699" s="34"/>
      <c r="E6699" s="34"/>
      <c r="F6699" s="34"/>
      <c r="G6699" s="34"/>
      <c r="H6699" s="35"/>
      <c r="I6699" s="34"/>
    </row>
    <row r="6700" spans="1:9" s="33" customFormat="1">
      <c r="A6700" s="38"/>
      <c r="B6700" s="34"/>
      <c r="C6700" s="34"/>
      <c r="D6700" s="34"/>
      <c r="E6700" s="34"/>
      <c r="F6700" s="34"/>
      <c r="G6700" s="34"/>
      <c r="H6700" s="35"/>
      <c r="I6700" s="34"/>
    </row>
    <row r="6701" spans="1:9" s="33" customFormat="1">
      <c r="A6701" s="38"/>
      <c r="B6701" s="34"/>
      <c r="C6701" s="34"/>
      <c r="D6701" s="34"/>
      <c r="E6701" s="34"/>
      <c r="F6701" s="34"/>
      <c r="G6701" s="34"/>
      <c r="H6701" s="35"/>
      <c r="I6701" s="34"/>
    </row>
    <row r="6702" spans="1:9" s="33" customFormat="1">
      <c r="A6702" s="38"/>
      <c r="B6702" s="34"/>
      <c r="C6702" s="34"/>
      <c r="D6702" s="34"/>
      <c r="E6702" s="34"/>
      <c r="F6702" s="34"/>
      <c r="G6702" s="34"/>
      <c r="H6702" s="35"/>
      <c r="I6702" s="34"/>
    </row>
    <row r="6703" spans="1:9" s="33" customFormat="1">
      <c r="A6703" s="38"/>
      <c r="B6703" s="34"/>
      <c r="C6703" s="34"/>
      <c r="D6703" s="34"/>
      <c r="E6703" s="34"/>
      <c r="F6703" s="34"/>
      <c r="G6703" s="34"/>
      <c r="H6703" s="35"/>
      <c r="I6703" s="34"/>
    </row>
    <row r="6704" spans="1:9" s="33" customFormat="1">
      <c r="A6704" s="38"/>
      <c r="B6704" s="34"/>
      <c r="C6704" s="34"/>
      <c r="D6704" s="34"/>
      <c r="E6704" s="34"/>
      <c r="F6704" s="34"/>
      <c r="G6704" s="34"/>
      <c r="H6704" s="35"/>
      <c r="I6704" s="34"/>
    </row>
    <row r="6705" spans="1:9" s="33" customFormat="1">
      <c r="A6705" s="38"/>
      <c r="B6705" s="34"/>
      <c r="C6705" s="34"/>
      <c r="D6705" s="34"/>
      <c r="E6705" s="34"/>
      <c r="F6705" s="34"/>
      <c r="G6705" s="34"/>
      <c r="H6705" s="35"/>
      <c r="I6705" s="34"/>
    </row>
    <row r="6706" spans="1:9" s="33" customFormat="1">
      <c r="A6706" s="38"/>
      <c r="B6706" s="34"/>
      <c r="C6706" s="34"/>
      <c r="D6706" s="34"/>
      <c r="E6706" s="34"/>
      <c r="F6706" s="34"/>
      <c r="G6706" s="34"/>
      <c r="H6706" s="35"/>
      <c r="I6706" s="34"/>
    </row>
    <row r="6707" spans="1:9" s="33" customFormat="1">
      <c r="A6707" s="38"/>
      <c r="B6707" s="34"/>
      <c r="C6707" s="34"/>
      <c r="D6707" s="34"/>
      <c r="E6707" s="34"/>
      <c r="F6707" s="34"/>
      <c r="G6707" s="34"/>
      <c r="H6707" s="35"/>
      <c r="I6707" s="34"/>
    </row>
    <row r="6708" spans="1:9" s="33" customFormat="1">
      <c r="A6708" s="38"/>
      <c r="B6708" s="34"/>
      <c r="C6708" s="34"/>
      <c r="D6708" s="34"/>
      <c r="E6708" s="34"/>
      <c r="F6708" s="34"/>
      <c r="G6708" s="34"/>
      <c r="H6708" s="35"/>
      <c r="I6708" s="34"/>
    </row>
    <row r="6709" spans="1:9" s="33" customFormat="1">
      <c r="A6709" s="38"/>
      <c r="B6709" s="34"/>
      <c r="C6709" s="34"/>
      <c r="D6709" s="34"/>
      <c r="E6709" s="34"/>
      <c r="F6709" s="34"/>
      <c r="G6709" s="34"/>
      <c r="H6709" s="35"/>
      <c r="I6709" s="34"/>
    </row>
    <row r="6710" spans="1:9" s="33" customFormat="1">
      <c r="A6710" s="38"/>
      <c r="B6710" s="34"/>
      <c r="C6710" s="34"/>
      <c r="D6710" s="34"/>
      <c r="E6710" s="34"/>
      <c r="F6710" s="34"/>
      <c r="G6710" s="34"/>
      <c r="H6710" s="35"/>
      <c r="I6710" s="34"/>
    </row>
    <row r="6711" spans="1:9" s="33" customFormat="1">
      <c r="A6711" s="38"/>
      <c r="B6711" s="34"/>
      <c r="C6711" s="34"/>
      <c r="D6711" s="34"/>
      <c r="E6711" s="34"/>
      <c r="F6711" s="34"/>
      <c r="G6711" s="34"/>
      <c r="H6711" s="35"/>
      <c r="I6711" s="34"/>
    </row>
    <row r="6712" spans="1:9" s="33" customFormat="1">
      <c r="A6712" s="38"/>
      <c r="B6712" s="34"/>
      <c r="C6712" s="34"/>
      <c r="D6712" s="34"/>
      <c r="E6712" s="34"/>
      <c r="F6712" s="34"/>
      <c r="G6712" s="34"/>
      <c r="H6712" s="35"/>
      <c r="I6712" s="34"/>
    </row>
    <row r="6713" spans="1:9" s="33" customFormat="1">
      <c r="A6713" s="38"/>
      <c r="B6713" s="34"/>
      <c r="C6713" s="34"/>
      <c r="D6713" s="34"/>
      <c r="E6713" s="34"/>
      <c r="F6713" s="34"/>
      <c r="G6713" s="34"/>
      <c r="H6713" s="35"/>
      <c r="I6713" s="34"/>
    </row>
  </sheetData>
  <autoFilter ref="A1:I6184">
    <sortState ref="A2:I6184">
      <sortCondition ref="G1:G6638"/>
    </sortState>
  </autoFilter>
  <sortState ref="A2:O7204">
    <sortCondition ref="G1"/>
  </sortState>
  <dataValidations count="1">
    <dataValidation type="textLength" allowBlank="1" showInputMessage="1" showErrorMessage="1" sqref="G6639:H1048576 G1:H6184">
      <formula1>1</formula1>
      <formula2>50</formula2>
    </dataValidation>
  </dataValidations>
  <hyperlinks>
    <hyperlink ref="I258" r:id="rId1"/>
    <hyperlink ref="I259" r:id="rId2"/>
    <hyperlink ref="I260" r:id="rId3"/>
    <hyperlink ref="I261" r:id="rId4"/>
    <hyperlink ref="I262" r:id="rId5"/>
    <hyperlink ref="C1003" r:id="rId6"/>
    <hyperlink ref="C5389" r:id="rId7"/>
    <hyperlink ref="C674" r:id="rId8"/>
    <hyperlink ref="C675" r:id="rId9"/>
    <hyperlink ref="C676" r:id="rId10"/>
    <hyperlink ref="C2092" r:id="rId11"/>
    <hyperlink ref="C5289" r:id="rId12"/>
    <hyperlink ref="I263" r:id="rId13"/>
    <hyperlink ref="I264" r:id="rId14"/>
    <hyperlink ref="I265" r:id="rId15"/>
    <hyperlink ref="I1681" r:id="rId16"/>
    <hyperlink ref="I1682" r:id="rId17"/>
    <hyperlink ref="I1683" r:id="rId18"/>
    <hyperlink ref="C1889" r:id="rId19"/>
    <hyperlink ref="I266" r:id="rId20"/>
    <hyperlink ref="I267" r:id="rId21"/>
    <hyperlink ref="I268" r:id="rId22"/>
    <hyperlink ref="C4602" r:id="rId23"/>
    <hyperlink ref="C4603" r:id="rId24"/>
    <hyperlink ref="C1614" r:id="rId25"/>
    <hyperlink ref="C6173" r:id="rId26"/>
    <hyperlink ref="C2094" r:id="rId27"/>
    <hyperlink ref="I1148" r:id="rId28"/>
    <hyperlink ref="C2013" r:id="rId29"/>
    <hyperlink ref="C2096" r:id="rId30"/>
    <hyperlink ref="C2274" r:id="rId31"/>
    <hyperlink ref="C2097" r:id="rId32"/>
    <hyperlink ref="C804" r:id="rId33"/>
    <hyperlink ref="C814" r:id="rId34"/>
    <hyperlink ref="C5" r:id="rId35"/>
    <hyperlink ref="C6" r:id="rId36"/>
    <hyperlink ref="C7" r:id="rId37"/>
    <hyperlink ref="C1367" r:id="rId38"/>
    <hyperlink ref="C8" r:id="rId39"/>
    <hyperlink ref="C2994" r:id="rId40"/>
    <hyperlink ref="C2099" r:id="rId41"/>
    <hyperlink ref="C2100" r:id="rId42"/>
    <hyperlink ref="C3129" r:id="rId43"/>
    <hyperlink ref="C5189" r:id="rId44"/>
    <hyperlink ref="C2953" r:id="rId45"/>
    <hyperlink ref="C677" r:id="rId46"/>
    <hyperlink ref="C2995" r:id="rId47"/>
    <hyperlink ref="C4594" r:id="rId48"/>
    <hyperlink ref="C4595" r:id="rId49"/>
    <hyperlink ref="C2065" r:id="rId50"/>
    <hyperlink ref="C2104" r:id="rId51"/>
    <hyperlink ref="C4596" r:id="rId52"/>
  </hyperlinks>
  <pageMargins left="0.7" right="0.7" top="0.75" bottom="0.75" header="0.3" footer="0.3"/>
  <pageSetup orientation="portrait" r:id="rId5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13"/>
  <sheetViews>
    <sheetView topLeftCell="A13" zoomScale="55" zoomScaleNormal="55" workbookViewId="0">
      <selection activeCell="M14" sqref="M14"/>
    </sheetView>
  </sheetViews>
  <sheetFormatPr defaultRowHeight="15"/>
  <cols>
    <col min="1" max="1" width="13" customWidth="1"/>
    <col min="2" max="2" width="10.28515625" customWidth="1"/>
    <col min="3" max="3" width="13.7109375" customWidth="1"/>
    <col min="4" max="4" width="67.140625" customWidth="1"/>
    <col min="5" max="5" width="17.140625" customWidth="1"/>
    <col min="6" max="6" width="19.7109375" customWidth="1"/>
    <col min="7" max="7" width="19" customWidth="1"/>
    <col min="8" max="8" width="16.42578125" customWidth="1"/>
    <col min="9" max="9" width="29" customWidth="1"/>
  </cols>
  <sheetData>
    <row r="1" spans="1:9" s="3" customFormat="1" ht="29.25" customHeight="1">
      <c r="A1" s="36" t="s">
        <v>0</v>
      </c>
      <c r="B1" s="1" t="s">
        <v>1</v>
      </c>
      <c r="C1" s="1" t="s">
        <v>2</v>
      </c>
      <c r="D1" s="2" t="s">
        <v>3</v>
      </c>
      <c r="E1" s="1" t="s">
        <v>5</v>
      </c>
      <c r="F1" s="1" t="s">
        <v>6</v>
      </c>
      <c r="G1" s="1" t="s">
        <v>13003</v>
      </c>
      <c r="H1" s="1" t="s">
        <v>4</v>
      </c>
      <c r="I1" s="2" t="s">
        <v>7</v>
      </c>
    </row>
    <row r="2" spans="1:9" s="11" customFormat="1" ht="45">
      <c r="A2" s="12">
        <v>43566.081875000003</v>
      </c>
      <c r="B2" s="13" t="s">
        <v>13095</v>
      </c>
      <c r="C2" s="14" t="s">
        <v>5805</v>
      </c>
      <c r="D2" s="15" t="s">
        <v>12809</v>
      </c>
      <c r="E2" s="16" t="s">
        <v>13009</v>
      </c>
      <c r="F2" s="12">
        <v>40897.486932870372</v>
      </c>
      <c r="G2" s="17" t="s">
        <v>2783</v>
      </c>
      <c r="H2" s="35" t="s">
        <v>12810</v>
      </c>
      <c r="I2" s="18"/>
    </row>
    <row r="3" spans="1:9" s="11" customFormat="1" ht="120">
      <c r="A3" s="4">
        <v>43557.944050925929</v>
      </c>
      <c r="B3" s="5" t="s">
        <v>13096</v>
      </c>
      <c r="C3" s="6" t="s">
        <v>12358</v>
      </c>
      <c r="D3" s="7" t="s">
        <v>12911</v>
      </c>
      <c r="E3" s="8" t="s">
        <v>13009</v>
      </c>
      <c r="F3" s="4">
        <v>40245.252372685187</v>
      </c>
      <c r="G3" s="9" t="s">
        <v>2783</v>
      </c>
      <c r="H3" s="35" t="s">
        <v>12359</v>
      </c>
      <c r="I3" s="10" t="s">
        <v>12360</v>
      </c>
    </row>
    <row r="4" spans="1:9" s="11" customFormat="1" ht="90">
      <c r="A4" s="4">
        <v>43557.670914351853</v>
      </c>
      <c r="B4" s="5" t="s">
        <v>13097</v>
      </c>
      <c r="C4" s="6" t="s">
        <v>12416</v>
      </c>
      <c r="D4" s="7" t="s">
        <v>12912</v>
      </c>
      <c r="E4" s="8" t="s">
        <v>13009</v>
      </c>
      <c r="F4" s="4">
        <v>41725.470208333332</v>
      </c>
      <c r="G4" s="9" t="s">
        <v>2783</v>
      </c>
      <c r="H4" s="35" t="s">
        <v>12417</v>
      </c>
      <c r="I4" s="10" t="s">
        <v>12418</v>
      </c>
    </row>
    <row r="5" spans="1:9" s="11" customFormat="1" ht="105">
      <c r="A5" s="12">
        <v>43566.291192129633</v>
      </c>
      <c r="B5" s="13" t="s">
        <v>13098</v>
      </c>
      <c r="C5" s="14" t="s">
        <v>5679</v>
      </c>
      <c r="D5" s="15" t="s">
        <v>12913</v>
      </c>
      <c r="E5" s="16" t="s">
        <v>13099</v>
      </c>
      <c r="F5" s="12">
        <v>41818.191087962965</v>
      </c>
      <c r="G5" s="9" t="s">
        <v>2783</v>
      </c>
      <c r="H5" s="35" t="s">
        <v>5680</v>
      </c>
      <c r="I5" s="18" t="s">
        <v>5681</v>
      </c>
    </row>
    <row r="6" spans="1:9" s="11" customFormat="1" ht="105">
      <c r="A6" s="4">
        <v>43557.613935185189</v>
      </c>
      <c r="B6" s="5" t="s">
        <v>13100</v>
      </c>
      <c r="C6" s="6" t="s">
        <v>12442</v>
      </c>
      <c r="D6" s="7" t="s">
        <v>12983</v>
      </c>
      <c r="E6" s="8" t="s">
        <v>13101</v>
      </c>
      <c r="F6" s="4">
        <v>39843.980717592596</v>
      </c>
      <c r="G6" s="9" t="s">
        <v>2783</v>
      </c>
      <c r="H6" s="35" t="s">
        <v>12443</v>
      </c>
      <c r="I6" s="10" t="s">
        <v>12444</v>
      </c>
    </row>
    <row r="7" spans="1:9" s="11" customFormat="1" ht="75">
      <c r="A7" s="19">
        <v>43549.672673611116</v>
      </c>
      <c r="B7" s="20" t="s">
        <v>13102</v>
      </c>
      <c r="C7" s="21" t="s">
        <v>7953</v>
      </c>
      <c r="D7" s="22" t="s">
        <v>12890</v>
      </c>
      <c r="E7" s="23" t="s">
        <v>13103</v>
      </c>
      <c r="F7" s="19">
        <v>41993.998888888891</v>
      </c>
      <c r="G7" s="24" t="s">
        <v>2783</v>
      </c>
      <c r="H7" s="35" t="s">
        <v>7954</v>
      </c>
      <c r="I7" s="25" t="s">
        <v>7955</v>
      </c>
    </row>
    <row r="8" spans="1:9" s="11" customFormat="1" ht="75">
      <c r="A8" s="4">
        <v>43563.291215277779</v>
      </c>
      <c r="B8" s="5" t="s">
        <v>13104</v>
      </c>
      <c r="C8" s="6" t="s">
        <v>10396</v>
      </c>
      <c r="D8" s="7" t="s">
        <v>12900</v>
      </c>
      <c r="E8" s="8" t="s">
        <v>13009</v>
      </c>
      <c r="F8" s="4">
        <v>40162.981944444444</v>
      </c>
      <c r="G8" s="9" t="s">
        <v>2783</v>
      </c>
      <c r="H8" s="35" t="s">
        <v>10397</v>
      </c>
      <c r="I8" s="10" t="s">
        <v>10398</v>
      </c>
    </row>
    <row r="9" spans="1:9" s="11" customFormat="1" ht="60">
      <c r="A9" s="12">
        <v>43567.5159837963</v>
      </c>
      <c r="B9" s="13" t="s">
        <v>13105</v>
      </c>
      <c r="C9" s="14" t="s">
        <v>5076</v>
      </c>
      <c r="D9" s="15" t="s">
        <v>12914</v>
      </c>
      <c r="E9" s="16" t="s">
        <v>13034</v>
      </c>
      <c r="F9" s="12">
        <v>42731.900185185186</v>
      </c>
      <c r="G9" s="17" t="s">
        <v>2783</v>
      </c>
      <c r="H9" s="35" t="s">
        <v>5077</v>
      </c>
      <c r="I9" s="18" t="s">
        <v>12915</v>
      </c>
    </row>
    <row r="10" spans="1:9" s="11" customFormat="1" ht="75">
      <c r="A10" s="19">
        <v>43542.890335648146</v>
      </c>
      <c r="B10" s="20" t="s">
        <v>13106</v>
      </c>
      <c r="C10" s="21" t="s">
        <v>9998</v>
      </c>
      <c r="D10" s="22" t="s">
        <v>12928</v>
      </c>
      <c r="E10" s="23" t="s">
        <v>13032</v>
      </c>
      <c r="F10" s="19">
        <v>40778.728020833332</v>
      </c>
      <c r="G10" s="24" t="s">
        <v>2783</v>
      </c>
      <c r="H10" s="35" t="s">
        <v>9999</v>
      </c>
      <c r="I10" s="25" t="s">
        <v>12929</v>
      </c>
    </row>
    <row r="11" spans="1:9" s="11" customFormat="1" ht="90">
      <c r="A11" s="4">
        <v>43556.858958333338</v>
      </c>
      <c r="B11" s="5" t="s">
        <v>13107</v>
      </c>
      <c r="C11" s="6" t="s">
        <v>12718</v>
      </c>
      <c r="D11" s="7" t="s">
        <v>12930</v>
      </c>
      <c r="E11" s="8" t="s">
        <v>13013</v>
      </c>
      <c r="F11" s="4">
        <v>41065.117835648147</v>
      </c>
      <c r="G11" s="9" t="s">
        <v>2783</v>
      </c>
      <c r="H11" s="35" t="s">
        <v>12719</v>
      </c>
      <c r="I11" s="10" t="s">
        <v>12931</v>
      </c>
    </row>
    <row r="12" spans="1:9" s="11" customFormat="1" ht="75">
      <c r="A12" s="4">
        <v>43564.663900462961</v>
      </c>
      <c r="B12" s="5" t="s">
        <v>13108</v>
      </c>
      <c r="C12" s="6" t="s">
        <v>2782</v>
      </c>
      <c r="D12" s="7" t="s">
        <v>4487</v>
      </c>
      <c r="E12" s="8" t="s">
        <v>13034</v>
      </c>
      <c r="F12" s="4">
        <v>41457.411504629628</v>
      </c>
      <c r="G12" s="9" t="s">
        <v>2783</v>
      </c>
      <c r="H12" s="35" t="s">
        <v>2783</v>
      </c>
      <c r="I12" s="10" t="s">
        <v>2784</v>
      </c>
    </row>
    <row r="13" spans="1:9" s="11" customFormat="1" ht="75">
      <c r="A13" s="4">
        <v>43563.396006944444</v>
      </c>
      <c r="B13" s="5" t="s">
        <v>13108</v>
      </c>
      <c r="C13" s="6" t="s">
        <v>2782</v>
      </c>
      <c r="D13" s="7" t="s">
        <v>4801</v>
      </c>
      <c r="E13" s="8" t="s">
        <v>13034</v>
      </c>
      <c r="F13" s="4">
        <v>41457.411504629628</v>
      </c>
      <c r="G13" s="9" t="s">
        <v>2783</v>
      </c>
      <c r="H13" s="35" t="s">
        <v>2783</v>
      </c>
      <c r="I13" s="10" t="s">
        <v>2784</v>
      </c>
    </row>
    <row r="14" spans="1:9" s="11" customFormat="1" ht="75">
      <c r="A14" s="12">
        <v>43573.663912037038</v>
      </c>
      <c r="B14" s="13" t="s">
        <v>13108</v>
      </c>
      <c r="C14" s="14" t="s">
        <v>2782</v>
      </c>
      <c r="D14" s="15" t="s">
        <v>1032</v>
      </c>
      <c r="E14" s="16" t="s">
        <v>13034</v>
      </c>
      <c r="F14" s="12">
        <v>41457.411504629628</v>
      </c>
      <c r="G14" s="17" t="s">
        <v>2783</v>
      </c>
      <c r="H14" s="35" t="s">
        <v>2783</v>
      </c>
      <c r="I14" s="18" t="s">
        <v>2784</v>
      </c>
    </row>
    <row r="15" spans="1:9" s="11" customFormat="1" ht="75">
      <c r="A15" s="19">
        <v>43549.818495370375</v>
      </c>
      <c r="B15" s="20" t="s">
        <v>13109</v>
      </c>
      <c r="C15" s="21" t="s">
        <v>7919</v>
      </c>
      <c r="D15" s="22" t="s">
        <v>7920</v>
      </c>
      <c r="E15" s="23" t="s">
        <v>13032</v>
      </c>
      <c r="F15" s="19">
        <v>40031.341689814813</v>
      </c>
      <c r="G15" s="17" t="s">
        <v>2783</v>
      </c>
      <c r="H15" s="35" t="s">
        <v>1833</v>
      </c>
      <c r="I15" s="25" t="s">
        <v>7921</v>
      </c>
    </row>
    <row r="16" spans="1:9" s="11" customFormat="1" ht="60">
      <c r="A16" s="19">
        <v>43547.421030092592</v>
      </c>
      <c r="B16" s="20" t="s">
        <v>13110</v>
      </c>
      <c r="C16" s="21" t="s">
        <v>8555</v>
      </c>
      <c r="D16" s="22" t="s">
        <v>8556</v>
      </c>
      <c r="E16" s="23" t="s">
        <v>13013</v>
      </c>
      <c r="F16" s="19">
        <v>43071.068402777775</v>
      </c>
      <c r="G16" s="17" t="s">
        <v>2783</v>
      </c>
      <c r="H16" s="35" t="s">
        <v>1833</v>
      </c>
      <c r="I16" s="25" t="s">
        <v>8557</v>
      </c>
    </row>
    <row r="17" spans="1:9" s="11" customFormat="1" ht="45">
      <c r="A17" s="19">
        <v>43544.566574074073</v>
      </c>
      <c r="B17" s="20" t="s">
        <v>13111</v>
      </c>
      <c r="C17" s="21" t="s">
        <v>9409</v>
      </c>
      <c r="D17" s="22" t="s">
        <v>9410</v>
      </c>
      <c r="E17" s="23" t="s">
        <v>13032</v>
      </c>
      <c r="F17" s="19">
        <v>40369.272615740745</v>
      </c>
      <c r="G17" s="17" t="s">
        <v>2783</v>
      </c>
      <c r="H17" s="35" t="s">
        <v>1833</v>
      </c>
      <c r="I17" s="25" t="s">
        <v>9411</v>
      </c>
    </row>
    <row r="18" spans="1:9" s="11" customFormat="1">
      <c r="A18" s="12">
        <v>43576.795891203699</v>
      </c>
      <c r="B18" s="13" t="s">
        <v>13112</v>
      </c>
      <c r="C18" s="14" t="s">
        <v>1831</v>
      </c>
      <c r="D18" s="15" t="s">
        <v>1832</v>
      </c>
      <c r="E18" s="16" t="s">
        <v>13027</v>
      </c>
      <c r="F18" s="12">
        <v>40353.448368055557</v>
      </c>
      <c r="G18" s="17" t="s">
        <v>2783</v>
      </c>
      <c r="H18" s="35" t="s">
        <v>1833</v>
      </c>
      <c r="I18" s="18"/>
    </row>
    <row r="19" spans="1:9" s="11" customFormat="1" ht="30">
      <c r="A19" s="12">
        <v>43576.171099537038</v>
      </c>
      <c r="B19" s="13" t="s">
        <v>13112</v>
      </c>
      <c r="C19" s="14" t="s">
        <v>1831</v>
      </c>
      <c r="D19" s="15" t="s">
        <v>2036</v>
      </c>
      <c r="E19" s="16" t="s">
        <v>13027</v>
      </c>
      <c r="F19" s="12">
        <v>40353.448368055557</v>
      </c>
      <c r="G19" s="17" t="s">
        <v>2783</v>
      </c>
      <c r="H19" s="35" t="s">
        <v>1833</v>
      </c>
      <c r="I19" s="18"/>
    </row>
    <row r="20" spans="1:9" s="11" customFormat="1" ht="30">
      <c r="A20" s="12">
        <v>43573.712141203709</v>
      </c>
      <c r="B20" s="13" t="s">
        <v>13112</v>
      </c>
      <c r="C20" s="14" t="s">
        <v>1831</v>
      </c>
      <c r="D20" s="15" t="s">
        <v>2762</v>
      </c>
      <c r="E20" s="16" t="s">
        <v>13027</v>
      </c>
      <c r="F20" s="12">
        <v>40353.448368055557</v>
      </c>
      <c r="G20" s="17" t="s">
        <v>2783</v>
      </c>
      <c r="H20" s="35" t="s">
        <v>1833</v>
      </c>
      <c r="I20" s="18"/>
    </row>
    <row r="21" spans="1:9" s="11" customFormat="1" ht="30">
      <c r="A21" s="12">
        <v>43572.754421296297</v>
      </c>
      <c r="B21" s="13" t="s">
        <v>13112</v>
      </c>
      <c r="C21" s="14" t="s">
        <v>1831</v>
      </c>
      <c r="D21" s="15" t="s">
        <v>3102</v>
      </c>
      <c r="E21" s="16" t="s">
        <v>13027</v>
      </c>
      <c r="F21" s="12">
        <v>40353.448368055557</v>
      </c>
      <c r="G21" s="17" t="s">
        <v>2783</v>
      </c>
      <c r="H21" s="35" t="s">
        <v>1833</v>
      </c>
      <c r="I21" s="18"/>
    </row>
    <row r="22" spans="1:9" s="11" customFormat="1" ht="60">
      <c r="A22" s="12">
        <v>43572.042870370366</v>
      </c>
      <c r="B22" s="13" t="s">
        <v>13113</v>
      </c>
      <c r="C22" s="14" t="s">
        <v>3454</v>
      </c>
      <c r="D22" s="15" t="s">
        <v>3455</v>
      </c>
      <c r="E22" s="16" t="s">
        <v>13114</v>
      </c>
      <c r="F22" s="12">
        <v>40890.886863425927</v>
      </c>
      <c r="G22" s="17" t="s">
        <v>2783</v>
      </c>
      <c r="H22" s="35" t="s">
        <v>1833</v>
      </c>
      <c r="I22" s="18" t="s">
        <v>3456</v>
      </c>
    </row>
    <row r="23" spans="1:9" s="11" customFormat="1" ht="30">
      <c r="A23" s="12">
        <v>43571.96261574074</v>
      </c>
      <c r="B23" s="13" t="s">
        <v>13112</v>
      </c>
      <c r="C23" s="14" t="s">
        <v>1831</v>
      </c>
      <c r="D23" s="15" t="s">
        <v>3477</v>
      </c>
      <c r="E23" s="16" t="s">
        <v>13027</v>
      </c>
      <c r="F23" s="12">
        <v>40353.448368055557</v>
      </c>
      <c r="G23" s="17" t="s">
        <v>2783</v>
      </c>
      <c r="H23" s="35" t="s">
        <v>1833</v>
      </c>
      <c r="I23" s="18"/>
    </row>
    <row r="24" spans="1:9" s="11" customFormat="1">
      <c r="A24" s="12">
        <v>43571.004872685182</v>
      </c>
      <c r="B24" s="13" t="s">
        <v>13112</v>
      </c>
      <c r="C24" s="14" t="s">
        <v>1831</v>
      </c>
      <c r="D24" s="15" t="s">
        <v>3902</v>
      </c>
      <c r="E24" s="16" t="s">
        <v>13027</v>
      </c>
      <c r="F24" s="12">
        <v>40353.448368055557</v>
      </c>
      <c r="G24" s="17" t="s">
        <v>2783</v>
      </c>
      <c r="H24" s="35" t="s">
        <v>1833</v>
      </c>
      <c r="I24" s="18"/>
    </row>
    <row r="25" spans="1:9" s="11" customFormat="1" ht="120">
      <c r="A25" s="4">
        <v>43564.668680555551</v>
      </c>
      <c r="B25" s="5" t="s">
        <v>13115</v>
      </c>
      <c r="C25" s="6" t="s">
        <v>6462</v>
      </c>
      <c r="D25" s="7" t="s">
        <v>6463</v>
      </c>
      <c r="E25" s="8" t="s">
        <v>13009</v>
      </c>
      <c r="F25" s="4">
        <v>40223.810370370367</v>
      </c>
      <c r="G25" s="17" t="s">
        <v>2783</v>
      </c>
      <c r="H25" s="35" t="s">
        <v>6464</v>
      </c>
      <c r="I25" s="10" t="s">
        <v>6465</v>
      </c>
    </row>
    <row r="26" spans="1:9" s="11" customFormat="1" ht="135">
      <c r="A26" s="19">
        <v>43542.60460648148</v>
      </c>
      <c r="B26" s="20" t="s">
        <v>13116</v>
      </c>
      <c r="C26" s="21" t="s">
        <v>556</v>
      </c>
      <c r="D26" s="22" t="s">
        <v>10080</v>
      </c>
      <c r="E26" s="23" t="s">
        <v>13015</v>
      </c>
      <c r="F26" s="19">
        <v>40250.143541666665</v>
      </c>
      <c r="G26" s="17" t="s">
        <v>2783</v>
      </c>
      <c r="H26" s="35" t="s">
        <v>558</v>
      </c>
      <c r="I26" s="25" t="s">
        <v>559</v>
      </c>
    </row>
    <row r="27" spans="1:9" s="11" customFormat="1" ht="135">
      <c r="A27" s="4">
        <v>43562.571168981478</v>
      </c>
      <c r="B27" s="5" t="s">
        <v>13116</v>
      </c>
      <c r="C27" s="6" t="s">
        <v>556</v>
      </c>
      <c r="D27" s="7" t="s">
        <v>10651</v>
      </c>
      <c r="E27" s="8" t="s">
        <v>13015</v>
      </c>
      <c r="F27" s="4">
        <v>40250.143541666665</v>
      </c>
      <c r="G27" s="17" t="s">
        <v>2783</v>
      </c>
      <c r="H27" s="35" t="s">
        <v>558</v>
      </c>
      <c r="I27" s="10" t="s">
        <v>559</v>
      </c>
    </row>
    <row r="28" spans="1:9" s="11" customFormat="1" ht="135">
      <c r="A28" s="4">
        <v>43560.572847222225</v>
      </c>
      <c r="B28" s="5" t="s">
        <v>13116</v>
      </c>
      <c r="C28" s="6" t="s">
        <v>556</v>
      </c>
      <c r="D28" s="7" t="s">
        <v>11276</v>
      </c>
      <c r="E28" s="8" t="s">
        <v>13015</v>
      </c>
      <c r="F28" s="4">
        <v>40250.143541666665</v>
      </c>
      <c r="G28" s="17" t="s">
        <v>2783</v>
      </c>
      <c r="H28" s="35" t="s">
        <v>558</v>
      </c>
      <c r="I28" s="10" t="s">
        <v>559</v>
      </c>
    </row>
    <row r="29" spans="1:9" s="11" customFormat="1" ht="135">
      <c r="A29" s="4">
        <v>43557.59306712963</v>
      </c>
      <c r="B29" s="5" t="s">
        <v>13116</v>
      </c>
      <c r="C29" s="6" t="s">
        <v>556</v>
      </c>
      <c r="D29" s="7" t="s">
        <v>12449</v>
      </c>
      <c r="E29" s="8" t="s">
        <v>13015</v>
      </c>
      <c r="F29" s="4">
        <v>40250.143541666665</v>
      </c>
      <c r="G29" s="17" t="s">
        <v>2783</v>
      </c>
      <c r="H29" s="35" t="s">
        <v>558</v>
      </c>
      <c r="I29" s="10" t="s">
        <v>559</v>
      </c>
    </row>
    <row r="30" spans="1:9" s="11" customFormat="1" ht="135">
      <c r="A30" s="12">
        <v>43579.593807870369</v>
      </c>
      <c r="B30" s="13" t="s">
        <v>13116</v>
      </c>
      <c r="C30" s="14" t="s">
        <v>556</v>
      </c>
      <c r="D30" s="15" t="s">
        <v>557</v>
      </c>
      <c r="E30" s="16" t="s">
        <v>13015</v>
      </c>
      <c r="F30" s="12">
        <v>40250.143541666665</v>
      </c>
      <c r="G30" s="17" t="s">
        <v>2783</v>
      </c>
      <c r="H30" s="35" t="s">
        <v>558</v>
      </c>
      <c r="I30" s="18" t="s">
        <v>559</v>
      </c>
    </row>
    <row r="31" spans="1:9" s="11" customFormat="1" ht="135">
      <c r="A31" s="12">
        <v>43572.579837962963</v>
      </c>
      <c r="B31" s="13" t="s">
        <v>13116</v>
      </c>
      <c r="C31" s="14" t="s">
        <v>556</v>
      </c>
      <c r="D31" s="15" t="s">
        <v>3154</v>
      </c>
      <c r="E31" s="16" t="s">
        <v>13015</v>
      </c>
      <c r="F31" s="12">
        <v>40250.143541666665</v>
      </c>
      <c r="G31" s="17" t="s">
        <v>2783</v>
      </c>
      <c r="H31" s="35" t="s">
        <v>558</v>
      </c>
      <c r="I31" s="18" t="s">
        <v>559</v>
      </c>
    </row>
    <row r="32" spans="1:9" s="11" customFormat="1" ht="90">
      <c r="A32" s="12">
        <v>43577.74936342593</v>
      </c>
      <c r="B32" s="13" t="s">
        <v>13117</v>
      </c>
      <c r="C32" s="14" t="s">
        <v>1514</v>
      </c>
      <c r="D32" s="15" t="s">
        <v>1515</v>
      </c>
      <c r="E32" s="16" t="s">
        <v>13009</v>
      </c>
      <c r="F32" s="12">
        <v>40560.245763888888</v>
      </c>
      <c r="G32" s="17" t="s">
        <v>2783</v>
      </c>
      <c r="H32" s="35" t="s">
        <v>1516</v>
      </c>
      <c r="I32" s="18" t="s">
        <v>1517</v>
      </c>
    </row>
    <row r="33" spans="1:9" s="11" customFormat="1" ht="60">
      <c r="A33" s="19">
        <v>43551.003287037034</v>
      </c>
      <c r="B33" s="20" t="s">
        <v>13118</v>
      </c>
      <c r="C33" s="21" t="s">
        <v>309</v>
      </c>
      <c r="D33" s="22" t="s">
        <v>7454</v>
      </c>
      <c r="E33" s="23" t="s">
        <v>13009</v>
      </c>
      <c r="F33" s="19">
        <v>43083.938125000001</v>
      </c>
      <c r="G33" s="17" t="s">
        <v>2783</v>
      </c>
      <c r="H33" s="35" t="s">
        <v>311</v>
      </c>
      <c r="I33" s="25" t="s">
        <v>312</v>
      </c>
    </row>
    <row r="34" spans="1:9" s="11" customFormat="1" ht="75">
      <c r="A34" s="19">
        <v>43550.921458333338</v>
      </c>
      <c r="B34" s="20" t="s">
        <v>13118</v>
      </c>
      <c r="C34" s="21" t="s">
        <v>309</v>
      </c>
      <c r="D34" s="22" t="s">
        <v>7470</v>
      </c>
      <c r="E34" s="23" t="s">
        <v>13009</v>
      </c>
      <c r="F34" s="19">
        <v>43083.938125000001</v>
      </c>
      <c r="G34" s="17" t="s">
        <v>2783</v>
      </c>
      <c r="H34" s="35" t="s">
        <v>311</v>
      </c>
      <c r="I34" s="25" t="s">
        <v>312</v>
      </c>
    </row>
    <row r="35" spans="1:9" s="11" customFormat="1" ht="75">
      <c r="A35" s="19">
        <v>43550.870694444442</v>
      </c>
      <c r="B35" s="20" t="s">
        <v>13118</v>
      </c>
      <c r="C35" s="21" t="s">
        <v>309</v>
      </c>
      <c r="D35" s="22" t="s">
        <v>7482</v>
      </c>
      <c r="E35" s="23" t="s">
        <v>13009</v>
      </c>
      <c r="F35" s="19">
        <v>43083.938125000001</v>
      </c>
      <c r="G35" s="17" t="s">
        <v>2783</v>
      </c>
      <c r="H35" s="35" t="s">
        <v>311</v>
      </c>
      <c r="I35" s="25" t="s">
        <v>312</v>
      </c>
    </row>
    <row r="36" spans="1:9" s="11" customFormat="1" ht="75">
      <c r="A36" s="19">
        <v>43550.870196759264</v>
      </c>
      <c r="B36" s="20" t="s">
        <v>13118</v>
      </c>
      <c r="C36" s="21" t="s">
        <v>309</v>
      </c>
      <c r="D36" s="22" t="s">
        <v>7483</v>
      </c>
      <c r="E36" s="23" t="s">
        <v>13009</v>
      </c>
      <c r="F36" s="19">
        <v>43083.938125000001</v>
      </c>
      <c r="G36" s="17" t="s">
        <v>2783</v>
      </c>
      <c r="H36" s="35" t="s">
        <v>311</v>
      </c>
      <c r="I36" s="25" t="s">
        <v>312</v>
      </c>
    </row>
    <row r="37" spans="1:9" s="11" customFormat="1" ht="75">
      <c r="A37" s="19">
        <v>43550.013761574075</v>
      </c>
      <c r="B37" s="20" t="s">
        <v>13118</v>
      </c>
      <c r="C37" s="21" t="s">
        <v>309</v>
      </c>
      <c r="D37" s="22" t="s">
        <v>7863</v>
      </c>
      <c r="E37" s="23" t="s">
        <v>13009</v>
      </c>
      <c r="F37" s="19">
        <v>43083.938125000001</v>
      </c>
      <c r="G37" s="17" t="s">
        <v>2783</v>
      </c>
      <c r="H37" s="35" t="s">
        <v>311</v>
      </c>
      <c r="I37" s="25" t="s">
        <v>312</v>
      </c>
    </row>
    <row r="38" spans="1:9" s="11" customFormat="1" ht="75">
      <c r="A38" s="19">
        <v>43549.834247685183</v>
      </c>
      <c r="B38" s="20" t="s">
        <v>13118</v>
      </c>
      <c r="C38" s="21" t="s">
        <v>309</v>
      </c>
      <c r="D38" s="22" t="s">
        <v>7905</v>
      </c>
      <c r="E38" s="23" t="s">
        <v>13009</v>
      </c>
      <c r="F38" s="19">
        <v>43083.938125000001</v>
      </c>
      <c r="G38" s="17" t="s">
        <v>2783</v>
      </c>
      <c r="H38" s="35" t="s">
        <v>311</v>
      </c>
      <c r="I38" s="25" t="s">
        <v>312</v>
      </c>
    </row>
    <row r="39" spans="1:9" s="11" customFormat="1" ht="90">
      <c r="A39" s="19">
        <v>43549.833020833335</v>
      </c>
      <c r="B39" s="20" t="s">
        <v>13118</v>
      </c>
      <c r="C39" s="21" t="s">
        <v>309</v>
      </c>
      <c r="D39" s="22" t="s">
        <v>7909</v>
      </c>
      <c r="E39" s="23" t="s">
        <v>13009</v>
      </c>
      <c r="F39" s="19">
        <v>43083.938125000001</v>
      </c>
      <c r="G39" s="17" t="s">
        <v>2783</v>
      </c>
      <c r="H39" s="35" t="s">
        <v>311</v>
      </c>
      <c r="I39" s="25" t="s">
        <v>312</v>
      </c>
    </row>
    <row r="40" spans="1:9" s="11" customFormat="1" ht="105">
      <c r="A40" s="19">
        <v>43549.828773148147</v>
      </c>
      <c r="B40" s="20" t="s">
        <v>13118</v>
      </c>
      <c r="C40" s="21" t="s">
        <v>309</v>
      </c>
      <c r="D40" s="22" t="s">
        <v>7914</v>
      </c>
      <c r="E40" s="23" t="s">
        <v>13009</v>
      </c>
      <c r="F40" s="19">
        <v>43083.938125000001</v>
      </c>
      <c r="G40" s="17" t="s">
        <v>2783</v>
      </c>
      <c r="H40" s="35" t="s">
        <v>311</v>
      </c>
      <c r="I40" s="25" t="s">
        <v>312</v>
      </c>
    </row>
    <row r="41" spans="1:9" s="11" customFormat="1" ht="120">
      <c r="A41" s="19">
        <v>43549.291678240741</v>
      </c>
      <c r="B41" s="20" t="s">
        <v>13119</v>
      </c>
      <c r="C41" s="21" t="s">
        <v>8107</v>
      </c>
      <c r="D41" s="22" t="s">
        <v>8108</v>
      </c>
      <c r="E41" s="23" t="s">
        <v>13120</v>
      </c>
      <c r="F41" s="19">
        <v>40290.339837962965</v>
      </c>
      <c r="G41" s="17" t="s">
        <v>2783</v>
      </c>
      <c r="H41" s="35" t="s">
        <v>311</v>
      </c>
      <c r="I41" s="25" t="s">
        <v>8109</v>
      </c>
    </row>
    <row r="42" spans="1:9" s="11" customFormat="1" ht="45">
      <c r="A42" s="19">
        <v>43549.181157407409</v>
      </c>
      <c r="B42" s="20" t="s">
        <v>13121</v>
      </c>
      <c r="C42" s="21" t="s">
        <v>8139</v>
      </c>
      <c r="D42" s="22" t="s">
        <v>8140</v>
      </c>
      <c r="E42" s="23" t="s">
        <v>13009</v>
      </c>
      <c r="F42" s="19">
        <v>43012.10555555555</v>
      </c>
      <c r="G42" s="17" t="s">
        <v>2783</v>
      </c>
      <c r="H42" s="35" t="s">
        <v>311</v>
      </c>
      <c r="I42" s="25" t="s">
        <v>8141</v>
      </c>
    </row>
    <row r="43" spans="1:9" s="11" customFormat="1" ht="60">
      <c r="A43" s="19">
        <v>43548.942453703705</v>
      </c>
      <c r="B43" s="20" t="s">
        <v>13118</v>
      </c>
      <c r="C43" s="21" t="s">
        <v>309</v>
      </c>
      <c r="D43" s="22" t="s">
        <v>8196</v>
      </c>
      <c r="E43" s="23" t="s">
        <v>13009</v>
      </c>
      <c r="F43" s="19">
        <v>43083.938125000001</v>
      </c>
      <c r="G43" s="17" t="s">
        <v>2783</v>
      </c>
      <c r="H43" s="35" t="s">
        <v>311</v>
      </c>
      <c r="I43" s="25" t="s">
        <v>312</v>
      </c>
    </row>
    <row r="44" spans="1:9" s="11" customFormat="1" ht="60">
      <c r="A44" s="19">
        <v>43548.913622685184</v>
      </c>
      <c r="B44" s="20" t="s">
        <v>13118</v>
      </c>
      <c r="C44" s="21" t="s">
        <v>309</v>
      </c>
      <c r="D44" s="22" t="s">
        <v>8203</v>
      </c>
      <c r="E44" s="23" t="s">
        <v>13009</v>
      </c>
      <c r="F44" s="19">
        <v>43083.938125000001</v>
      </c>
      <c r="G44" s="17" t="s">
        <v>2783</v>
      </c>
      <c r="H44" s="35" t="s">
        <v>311</v>
      </c>
      <c r="I44" s="25" t="s">
        <v>312</v>
      </c>
    </row>
    <row r="45" spans="1:9" s="11" customFormat="1" ht="75">
      <c r="A45" s="19">
        <v>43548.810034722221</v>
      </c>
      <c r="B45" s="20" t="s">
        <v>13118</v>
      </c>
      <c r="C45" s="21" t="s">
        <v>309</v>
      </c>
      <c r="D45" s="22" t="s">
        <v>8218</v>
      </c>
      <c r="E45" s="23" t="s">
        <v>13009</v>
      </c>
      <c r="F45" s="19">
        <v>43083.938125000001</v>
      </c>
      <c r="G45" s="17" t="s">
        <v>2783</v>
      </c>
      <c r="H45" s="35" t="s">
        <v>311</v>
      </c>
      <c r="I45" s="25" t="s">
        <v>312</v>
      </c>
    </row>
    <row r="46" spans="1:9" s="11" customFormat="1" ht="75">
      <c r="A46" s="19">
        <v>43548.791620370372</v>
      </c>
      <c r="B46" s="20" t="s">
        <v>13118</v>
      </c>
      <c r="C46" s="21" t="s">
        <v>309</v>
      </c>
      <c r="D46" s="22" t="s">
        <v>8222</v>
      </c>
      <c r="E46" s="23" t="s">
        <v>13009</v>
      </c>
      <c r="F46" s="19">
        <v>43083.938125000001</v>
      </c>
      <c r="G46" s="17" t="s">
        <v>2783</v>
      </c>
      <c r="H46" s="35" t="s">
        <v>311</v>
      </c>
      <c r="I46" s="25" t="s">
        <v>312</v>
      </c>
    </row>
    <row r="47" spans="1:9" s="11" customFormat="1" ht="75">
      <c r="A47" s="19">
        <v>43548.787546296298</v>
      </c>
      <c r="B47" s="20" t="s">
        <v>13118</v>
      </c>
      <c r="C47" s="21" t="s">
        <v>309</v>
      </c>
      <c r="D47" s="22" t="s">
        <v>8223</v>
      </c>
      <c r="E47" s="23" t="s">
        <v>13009</v>
      </c>
      <c r="F47" s="19">
        <v>43083.938125000001</v>
      </c>
      <c r="G47" s="17" t="s">
        <v>2783</v>
      </c>
      <c r="H47" s="35" t="s">
        <v>311</v>
      </c>
      <c r="I47" s="25" t="s">
        <v>312</v>
      </c>
    </row>
    <row r="48" spans="1:9" s="11" customFormat="1" ht="60">
      <c r="A48" s="19">
        <v>43546.08017361111</v>
      </c>
      <c r="B48" s="20" t="s">
        <v>13118</v>
      </c>
      <c r="C48" s="21" t="s">
        <v>309</v>
      </c>
      <c r="D48" s="22" t="s">
        <v>8967</v>
      </c>
      <c r="E48" s="23" t="s">
        <v>13009</v>
      </c>
      <c r="F48" s="19">
        <v>43083.938125000001</v>
      </c>
      <c r="G48" s="17" t="s">
        <v>2783</v>
      </c>
      <c r="H48" s="35" t="s">
        <v>311</v>
      </c>
      <c r="I48" s="25" t="s">
        <v>312</v>
      </c>
    </row>
    <row r="49" spans="1:9" s="11" customFormat="1" ht="60">
      <c r="A49" s="19">
        <v>43546.079618055555</v>
      </c>
      <c r="B49" s="20" t="s">
        <v>13118</v>
      </c>
      <c r="C49" s="21" t="s">
        <v>309</v>
      </c>
      <c r="D49" s="22" t="s">
        <v>8967</v>
      </c>
      <c r="E49" s="23" t="s">
        <v>13009</v>
      </c>
      <c r="F49" s="19">
        <v>43083.938125000001</v>
      </c>
      <c r="G49" s="17" t="s">
        <v>2783</v>
      </c>
      <c r="H49" s="35" t="s">
        <v>311</v>
      </c>
      <c r="I49" s="25" t="s">
        <v>312</v>
      </c>
    </row>
    <row r="50" spans="1:9" s="11" customFormat="1" ht="120">
      <c r="A50" s="19">
        <v>43545.906805555554</v>
      </c>
      <c r="B50" s="20" t="s">
        <v>13118</v>
      </c>
      <c r="C50" s="21" t="s">
        <v>309</v>
      </c>
      <c r="D50" s="22" t="s">
        <v>9004</v>
      </c>
      <c r="E50" s="23" t="s">
        <v>13009</v>
      </c>
      <c r="F50" s="19">
        <v>43083.938125000001</v>
      </c>
      <c r="G50" s="17" t="s">
        <v>2783</v>
      </c>
      <c r="H50" s="35" t="s">
        <v>311</v>
      </c>
      <c r="I50" s="25" t="s">
        <v>312</v>
      </c>
    </row>
    <row r="51" spans="1:9" s="11" customFormat="1" ht="75">
      <c r="A51" s="19">
        <v>43545.904108796298</v>
      </c>
      <c r="B51" s="20" t="s">
        <v>13118</v>
      </c>
      <c r="C51" s="21" t="s">
        <v>309</v>
      </c>
      <c r="D51" s="22" t="s">
        <v>9012</v>
      </c>
      <c r="E51" s="23" t="s">
        <v>13009</v>
      </c>
      <c r="F51" s="19">
        <v>43083.938125000001</v>
      </c>
      <c r="G51" s="17" t="s">
        <v>2783</v>
      </c>
      <c r="H51" s="35" t="s">
        <v>311</v>
      </c>
      <c r="I51" s="25" t="s">
        <v>312</v>
      </c>
    </row>
    <row r="52" spans="1:9" s="11" customFormat="1" ht="60">
      <c r="A52" s="19">
        <v>43545.008136574077</v>
      </c>
      <c r="B52" s="20" t="s">
        <v>13118</v>
      </c>
      <c r="C52" s="21" t="s">
        <v>309</v>
      </c>
      <c r="D52" s="22" t="s">
        <v>9310</v>
      </c>
      <c r="E52" s="23" t="s">
        <v>13009</v>
      </c>
      <c r="F52" s="19">
        <v>43083.938125000001</v>
      </c>
      <c r="G52" s="17" t="s">
        <v>2783</v>
      </c>
      <c r="H52" s="35" t="s">
        <v>311</v>
      </c>
      <c r="I52" s="25" t="s">
        <v>312</v>
      </c>
    </row>
    <row r="53" spans="1:9" s="11" customFormat="1" ht="60">
      <c r="A53" s="19">
        <v>43545.003854166665</v>
      </c>
      <c r="B53" s="20" t="s">
        <v>13118</v>
      </c>
      <c r="C53" s="21" t="s">
        <v>309</v>
      </c>
      <c r="D53" s="22" t="s">
        <v>9311</v>
      </c>
      <c r="E53" s="23" t="s">
        <v>13009</v>
      </c>
      <c r="F53" s="19">
        <v>43083.938125000001</v>
      </c>
      <c r="G53" s="17" t="s">
        <v>2783</v>
      </c>
      <c r="H53" s="35" t="s">
        <v>311</v>
      </c>
      <c r="I53" s="25" t="s">
        <v>312</v>
      </c>
    </row>
    <row r="54" spans="1:9" s="11" customFormat="1" ht="90">
      <c r="A54" s="19">
        <v>43544.996828703705</v>
      </c>
      <c r="B54" s="20" t="s">
        <v>13118</v>
      </c>
      <c r="C54" s="21" t="s">
        <v>309</v>
      </c>
      <c r="D54" s="22" t="s">
        <v>9314</v>
      </c>
      <c r="E54" s="23" t="s">
        <v>13009</v>
      </c>
      <c r="F54" s="19">
        <v>43083.938125000001</v>
      </c>
      <c r="G54" s="17" t="s">
        <v>2783</v>
      </c>
      <c r="H54" s="35" t="s">
        <v>311</v>
      </c>
      <c r="I54" s="25" t="s">
        <v>312</v>
      </c>
    </row>
    <row r="55" spans="1:9" s="11" customFormat="1" ht="90">
      <c r="A55" s="19">
        <v>43544.995115740741</v>
      </c>
      <c r="B55" s="20" t="s">
        <v>13118</v>
      </c>
      <c r="C55" s="21" t="s">
        <v>309</v>
      </c>
      <c r="D55" s="22" t="s">
        <v>9315</v>
      </c>
      <c r="E55" s="23" t="s">
        <v>13009</v>
      </c>
      <c r="F55" s="19">
        <v>43083.938125000001</v>
      </c>
      <c r="G55" s="17" t="s">
        <v>2783</v>
      </c>
      <c r="H55" s="35" t="s">
        <v>311</v>
      </c>
      <c r="I55" s="25" t="s">
        <v>312</v>
      </c>
    </row>
    <row r="56" spans="1:9" s="11" customFormat="1" ht="60">
      <c r="A56" s="19">
        <v>43543.998935185184</v>
      </c>
      <c r="B56" s="20" t="s">
        <v>13118</v>
      </c>
      <c r="C56" s="21" t="s">
        <v>309</v>
      </c>
      <c r="D56" s="22" t="s">
        <v>9640</v>
      </c>
      <c r="E56" s="23" t="s">
        <v>13009</v>
      </c>
      <c r="F56" s="19">
        <v>43083.938125000001</v>
      </c>
      <c r="G56" s="17" t="s">
        <v>2783</v>
      </c>
      <c r="H56" s="35" t="s">
        <v>311</v>
      </c>
      <c r="I56" s="25" t="s">
        <v>312</v>
      </c>
    </row>
    <row r="57" spans="1:9" s="11" customFormat="1" ht="60">
      <c r="A57" s="19">
        <v>43543.99417824074</v>
      </c>
      <c r="B57" s="20" t="s">
        <v>13118</v>
      </c>
      <c r="C57" s="21" t="s">
        <v>309</v>
      </c>
      <c r="D57" s="22" t="s">
        <v>9641</v>
      </c>
      <c r="E57" s="23" t="s">
        <v>13009</v>
      </c>
      <c r="F57" s="19">
        <v>43083.938125000001</v>
      </c>
      <c r="G57" s="17" t="s">
        <v>2783</v>
      </c>
      <c r="H57" s="35" t="s">
        <v>311</v>
      </c>
      <c r="I57" s="25" t="s">
        <v>312</v>
      </c>
    </row>
    <row r="58" spans="1:9" s="11" customFormat="1" ht="120">
      <c r="A58" s="19">
        <v>43543.98918981482</v>
      </c>
      <c r="B58" s="20" t="s">
        <v>13118</v>
      </c>
      <c r="C58" s="21" t="s">
        <v>309</v>
      </c>
      <c r="D58" s="22" t="s">
        <v>9642</v>
      </c>
      <c r="E58" s="23" t="s">
        <v>13009</v>
      </c>
      <c r="F58" s="19">
        <v>43083.938125000001</v>
      </c>
      <c r="G58" s="17" t="s">
        <v>2783</v>
      </c>
      <c r="H58" s="35" t="s">
        <v>311</v>
      </c>
      <c r="I58" s="25" t="s">
        <v>312</v>
      </c>
    </row>
    <row r="59" spans="1:9" s="11" customFormat="1" ht="75">
      <c r="A59" s="19">
        <v>43543.968425925923</v>
      </c>
      <c r="B59" s="20" t="s">
        <v>13118</v>
      </c>
      <c r="C59" s="21" t="s">
        <v>309</v>
      </c>
      <c r="D59" s="22" t="s">
        <v>9652</v>
      </c>
      <c r="E59" s="23" t="s">
        <v>13009</v>
      </c>
      <c r="F59" s="19">
        <v>43083.938125000001</v>
      </c>
      <c r="G59" s="17" t="s">
        <v>2783</v>
      </c>
      <c r="H59" s="35" t="s">
        <v>311</v>
      </c>
      <c r="I59" s="25" t="s">
        <v>312</v>
      </c>
    </row>
    <row r="60" spans="1:9" s="11" customFormat="1" ht="90">
      <c r="A60" s="19">
        <v>43543.962199074071</v>
      </c>
      <c r="B60" s="20" t="s">
        <v>13118</v>
      </c>
      <c r="C60" s="21" t="s">
        <v>309</v>
      </c>
      <c r="D60" s="22" t="s">
        <v>9653</v>
      </c>
      <c r="E60" s="23" t="s">
        <v>13009</v>
      </c>
      <c r="F60" s="19">
        <v>43083.938125000001</v>
      </c>
      <c r="G60" s="17" t="s">
        <v>2783</v>
      </c>
      <c r="H60" s="35" t="s">
        <v>311</v>
      </c>
      <c r="I60" s="25" t="s">
        <v>312</v>
      </c>
    </row>
    <row r="61" spans="1:9" s="11" customFormat="1" ht="60">
      <c r="A61" s="19">
        <v>43542.983344907407</v>
      </c>
      <c r="B61" s="20" t="s">
        <v>13118</v>
      </c>
      <c r="C61" s="21" t="s">
        <v>309</v>
      </c>
      <c r="D61" s="22" t="s">
        <v>9969</v>
      </c>
      <c r="E61" s="23" t="s">
        <v>13009</v>
      </c>
      <c r="F61" s="19">
        <v>43083.938125000001</v>
      </c>
      <c r="G61" s="17" t="s">
        <v>2783</v>
      </c>
      <c r="H61" s="35" t="s">
        <v>311</v>
      </c>
      <c r="I61" s="25" t="s">
        <v>312</v>
      </c>
    </row>
    <row r="62" spans="1:9" s="11" customFormat="1" ht="90">
      <c r="A62" s="19">
        <v>43542.954861111109</v>
      </c>
      <c r="B62" s="20" t="s">
        <v>13118</v>
      </c>
      <c r="C62" s="21" t="s">
        <v>309</v>
      </c>
      <c r="D62" s="22" t="s">
        <v>9987</v>
      </c>
      <c r="E62" s="23" t="s">
        <v>13009</v>
      </c>
      <c r="F62" s="19">
        <v>43083.938125000001</v>
      </c>
      <c r="G62" s="17" t="s">
        <v>2783</v>
      </c>
      <c r="H62" s="35" t="s">
        <v>311</v>
      </c>
      <c r="I62" s="25" t="s">
        <v>312</v>
      </c>
    </row>
    <row r="63" spans="1:9" s="11" customFormat="1" ht="75">
      <c r="A63" s="19">
        <v>43542.949374999997</v>
      </c>
      <c r="B63" s="20" t="s">
        <v>13118</v>
      </c>
      <c r="C63" s="21" t="s">
        <v>309</v>
      </c>
      <c r="D63" s="22" t="s">
        <v>9988</v>
      </c>
      <c r="E63" s="23" t="s">
        <v>13009</v>
      </c>
      <c r="F63" s="19">
        <v>43083.938125000001</v>
      </c>
      <c r="G63" s="17" t="s">
        <v>2783</v>
      </c>
      <c r="H63" s="35" t="s">
        <v>311</v>
      </c>
      <c r="I63" s="25" t="s">
        <v>312</v>
      </c>
    </row>
    <row r="64" spans="1:9" s="11" customFormat="1" ht="75">
      <c r="A64" s="19">
        <v>43542.918692129635</v>
      </c>
      <c r="B64" s="20" t="s">
        <v>13118</v>
      </c>
      <c r="C64" s="21" t="s">
        <v>309</v>
      </c>
      <c r="D64" s="22" t="s">
        <v>9993</v>
      </c>
      <c r="E64" s="23" t="s">
        <v>13009</v>
      </c>
      <c r="F64" s="19">
        <v>43083.938125000001</v>
      </c>
      <c r="G64" s="17" t="s">
        <v>2783</v>
      </c>
      <c r="H64" s="35" t="s">
        <v>311</v>
      </c>
      <c r="I64" s="25" t="s">
        <v>312</v>
      </c>
    </row>
    <row r="65" spans="1:9" s="11" customFormat="1" ht="60">
      <c r="A65" s="4">
        <v>43565.067835648151</v>
      </c>
      <c r="B65" s="5" t="s">
        <v>13118</v>
      </c>
      <c r="C65" s="6" t="s">
        <v>309</v>
      </c>
      <c r="D65" s="7" t="s">
        <v>6306</v>
      </c>
      <c r="E65" s="8" t="s">
        <v>13009</v>
      </c>
      <c r="F65" s="4">
        <v>43083.938125000001</v>
      </c>
      <c r="G65" s="17" t="s">
        <v>2783</v>
      </c>
      <c r="H65" s="35" t="s">
        <v>311</v>
      </c>
      <c r="I65" s="10" t="s">
        <v>312</v>
      </c>
    </row>
    <row r="66" spans="1:9" s="11" customFormat="1" ht="75">
      <c r="A66" s="4">
        <v>43564.992997685185</v>
      </c>
      <c r="B66" s="5" t="s">
        <v>13118</v>
      </c>
      <c r="C66" s="6" t="s">
        <v>309</v>
      </c>
      <c r="D66" s="7" t="s">
        <v>6351</v>
      </c>
      <c r="E66" s="8" t="s">
        <v>13009</v>
      </c>
      <c r="F66" s="4">
        <v>43083.938125000001</v>
      </c>
      <c r="G66" s="17" t="s">
        <v>2783</v>
      </c>
      <c r="H66" s="35" t="s">
        <v>311</v>
      </c>
      <c r="I66" s="10" t="s">
        <v>312</v>
      </c>
    </row>
    <row r="67" spans="1:9" s="11" customFormat="1" ht="60">
      <c r="A67" s="4">
        <v>43564.988182870366</v>
      </c>
      <c r="B67" s="5" t="s">
        <v>13118</v>
      </c>
      <c r="C67" s="6" t="s">
        <v>309</v>
      </c>
      <c r="D67" s="7" t="s">
        <v>6353</v>
      </c>
      <c r="E67" s="8" t="s">
        <v>13009</v>
      </c>
      <c r="F67" s="4">
        <v>43083.938125000001</v>
      </c>
      <c r="G67" s="17" t="s">
        <v>2783</v>
      </c>
      <c r="H67" s="35" t="s">
        <v>311</v>
      </c>
      <c r="I67" s="10" t="s">
        <v>312</v>
      </c>
    </row>
    <row r="68" spans="1:9" s="11" customFormat="1" ht="75">
      <c r="A68" s="4">
        <v>43564.979733796295</v>
      </c>
      <c r="B68" s="5" t="s">
        <v>13118</v>
      </c>
      <c r="C68" s="6" t="s">
        <v>309</v>
      </c>
      <c r="D68" s="7" t="s">
        <v>6354</v>
      </c>
      <c r="E68" s="8" t="s">
        <v>13009</v>
      </c>
      <c r="F68" s="4">
        <v>43083.938125000001</v>
      </c>
      <c r="G68" s="17" t="s">
        <v>2783</v>
      </c>
      <c r="H68" s="35" t="s">
        <v>311</v>
      </c>
      <c r="I68" s="10" t="s">
        <v>312</v>
      </c>
    </row>
    <row r="69" spans="1:9" s="11" customFormat="1" ht="60">
      <c r="A69" s="4">
        <v>43564.065405092595</v>
      </c>
      <c r="B69" s="5" t="s">
        <v>13118</v>
      </c>
      <c r="C69" s="6" t="s">
        <v>309</v>
      </c>
      <c r="D69" s="7" t="s">
        <v>6794</v>
      </c>
      <c r="E69" s="8" t="s">
        <v>13009</v>
      </c>
      <c r="F69" s="4">
        <v>43083.938125000001</v>
      </c>
      <c r="G69" s="17" t="s">
        <v>2783</v>
      </c>
      <c r="H69" s="35" t="s">
        <v>311</v>
      </c>
      <c r="I69" s="10" t="s">
        <v>312</v>
      </c>
    </row>
    <row r="70" spans="1:9" s="11" customFormat="1" ht="60">
      <c r="A70" s="4">
        <v>43563.88071759259</v>
      </c>
      <c r="B70" s="5" t="s">
        <v>13118</v>
      </c>
      <c r="C70" s="6" t="s">
        <v>309</v>
      </c>
      <c r="D70" s="7" t="s">
        <v>6854</v>
      </c>
      <c r="E70" s="8" t="s">
        <v>13009</v>
      </c>
      <c r="F70" s="4">
        <v>43083.938125000001</v>
      </c>
      <c r="G70" s="17" t="s">
        <v>2783</v>
      </c>
      <c r="H70" s="35" t="s">
        <v>311</v>
      </c>
      <c r="I70" s="10" t="s">
        <v>312</v>
      </c>
    </row>
    <row r="71" spans="1:9" s="11" customFormat="1" ht="90">
      <c r="A71" s="4">
        <v>43563.879548611112</v>
      </c>
      <c r="B71" s="5" t="s">
        <v>13118</v>
      </c>
      <c r="C71" s="6" t="s">
        <v>309</v>
      </c>
      <c r="D71" s="7" t="s">
        <v>6855</v>
      </c>
      <c r="E71" s="8" t="s">
        <v>13009</v>
      </c>
      <c r="F71" s="4">
        <v>43083.938125000001</v>
      </c>
      <c r="G71" s="17" t="s">
        <v>2783</v>
      </c>
      <c r="H71" s="35" t="s">
        <v>311</v>
      </c>
      <c r="I71" s="10" t="s">
        <v>312</v>
      </c>
    </row>
    <row r="72" spans="1:9" s="11" customFormat="1" ht="60">
      <c r="A72" s="4">
        <v>43563.878842592589</v>
      </c>
      <c r="B72" s="5" t="s">
        <v>13118</v>
      </c>
      <c r="C72" s="6" t="s">
        <v>309</v>
      </c>
      <c r="D72" s="7" t="s">
        <v>6856</v>
      </c>
      <c r="E72" s="8" t="s">
        <v>13009</v>
      </c>
      <c r="F72" s="4">
        <v>43083.938125000001</v>
      </c>
      <c r="G72" s="17" t="s">
        <v>2783</v>
      </c>
      <c r="H72" s="35" t="s">
        <v>311</v>
      </c>
      <c r="I72" s="10" t="s">
        <v>312</v>
      </c>
    </row>
    <row r="73" spans="1:9" s="11" customFormat="1" ht="105">
      <c r="A73" s="4">
        <v>43563.878055555557</v>
      </c>
      <c r="B73" s="5" t="s">
        <v>13118</v>
      </c>
      <c r="C73" s="6" t="s">
        <v>309</v>
      </c>
      <c r="D73" s="7" t="s">
        <v>6857</v>
      </c>
      <c r="E73" s="8" t="s">
        <v>13009</v>
      </c>
      <c r="F73" s="4">
        <v>43083.938125000001</v>
      </c>
      <c r="G73" s="17" t="s">
        <v>2783</v>
      </c>
      <c r="H73" s="35" t="s">
        <v>311</v>
      </c>
      <c r="I73" s="10" t="s">
        <v>312</v>
      </c>
    </row>
    <row r="74" spans="1:9" s="11" customFormat="1" ht="75">
      <c r="A74" s="4">
        <v>43562.95480324074</v>
      </c>
      <c r="B74" s="5" t="s">
        <v>13118</v>
      </c>
      <c r="C74" s="6" t="s">
        <v>309</v>
      </c>
      <c r="D74" s="7" t="s">
        <v>10530</v>
      </c>
      <c r="E74" s="8" t="s">
        <v>13009</v>
      </c>
      <c r="F74" s="4">
        <v>43083.938125000001</v>
      </c>
      <c r="G74" s="17" t="s">
        <v>2783</v>
      </c>
      <c r="H74" s="35" t="s">
        <v>311</v>
      </c>
      <c r="I74" s="10" t="s">
        <v>312</v>
      </c>
    </row>
    <row r="75" spans="1:9" s="11" customFormat="1" ht="60">
      <c r="A75" s="4">
        <v>43562.946527777778</v>
      </c>
      <c r="B75" s="5" t="s">
        <v>13118</v>
      </c>
      <c r="C75" s="6" t="s">
        <v>309</v>
      </c>
      <c r="D75" s="7" t="s">
        <v>10536</v>
      </c>
      <c r="E75" s="8" t="s">
        <v>13009</v>
      </c>
      <c r="F75" s="4">
        <v>43083.938125000001</v>
      </c>
      <c r="G75" s="17" t="s">
        <v>2783</v>
      </c>
      <c r="H75" s="35" t="s">
        <v>311</v>
      </c>
      <c r="I75" s="10" t="s">
        <v>312</v>
      </c>
    </row>
    <row r="76" spans="1:9" s="11" customFormat="1" ht="105">
      <c r="A76" s="4">
        <v>43562.935590277775</v>
      </c>
      <c r="B76" s="5" t="s">
        <v>13118</v>
      </c>
      <c r="C76" s="6" t="s">
        <v>309</v>
      </c>
      <c r="D76" s="7" t="s">
        <v>10538</v>
      </c>
      <c r="E76" s="8" t="s">
        <v>13009</v>
      </c>
      <c r="F76" s="4">
        <v>43083.938125000001</v>
      </c>
      <c r="G76" s="17" t="s">
        <v>2783</v>
      </c>
      <c r="H76" s="35" t="s">
        <v>311</v>
      </c>
      <c r="I76" s="10" t="s">
        <v>312</v>
      </c>
    </row>
    <row r="77" spans="1:9" s="11" customFormat="1" ht="75">
      <c r="A77" s="4">
        <v>43562.934930555552</v>
      </c>
      <c r="B77" s="5" t="s">
        <v>13118</v>
      </c>
      <c r="C77" s="6" t="s">
        <v>309</v>
      </c>
      <c r="D77" s="7" t="s">
        <v>10539</v>
      </c>
      <c r="E77" s="8" t="s">
        <v>13009</v>
      </c>
      <c r="F77" s="4">
        <v>43083.938125000001</v>
      </c>
      <c r="G77" s="17" t="s">
        <v>2783</v>
      </c>
      <c r="H77" s="35" t="s">
        <v>311</v>
      </c>
      <c r="I77" s="10" t="s">
        <v>312</v>
      </c>
    </row>
    <row r="78" spans="1:9" s="11" customFormat="1" ht="105">
      <c r="A78" s="4">
        <v>43562.922129629631</v>
      </c>
      <c r="B78" s="5" t="s">
        <v>13118</v>
      </c>
      <c r="C78" s="6" t="s">
        <v>309</v>
      </c>
      <c r="D78" s="7" t="s">
        <v>10541</v>
      </c>
      <c r="E78" s="8" t="s">
        <v>13009</v>
      </c>
      <c r="F78" s="4">
        <v>43083.938125000001</v>
      </c>
      <c r="G78" s="17" t="s">
        <v>2783</v>
      </c>
      <c r="H78" s="35" t="s">
        <v>311</v>
      </c>
      <c r="I78" s="10" t="s">
        <v>312</v>
      </c>
    </row>
    <row r="79" spans="1:9" s="11" customFormat="1" ht="60">
      <c r="A79" s="4">
        <v>43560.054016203707</v>
      </c>
      <c r="B79" s="5" t="s">
        <v>13118</v>
      </c>
      <c r="C79" s="6" t="s">
        <v>309</v>
      </c>
      <c r="D79" s="7" t="s">
        <v>11627</v>
      </c>
      <c r="E79" s="8" t="s">
        <v>13009</v>
      </c>
      <c r="F79" s="4">
        <v>43083.938125000001</v>
      </c>
      <c r="G79" s="17" t="s">
        <v>2783</v>
      </c>
      <c r="H79" s="35" t="s">
        <v>311</v>
      </c>
      <c r="I79" s="10" t="s">
        <v>312</v>
      </c>
    </row>
    <row r="80" spans="1:9" s="11" customFormat="1" ht="90">
      <c r="A80" s="4">
        <v>43559.994745370372</v>
      </c>
      <c r="B80" s="5" t="s">
        <v>13118</v>
      </c>
      <c r="C80" s="6" t="s">
        <v>309</v>
      </c>
      <c r="D80" s="7" t="s">
        <v>11641</v>
      </c>
      <c r="E80" s="8" t="s">
        <v>13009</v>
      </c>
      <c r="F80" s="4">
        <v>43083.938125000001</v>
      </c>
      <c r="G80" s="17" t="s">
        <v>2783</v>
      </c>
      <c r="H80" s="35" t="s">
        <v>311</v>
      </c>
      <c r="I80" s="10" t="s">
        <v>312</v>
      </c>
    </row>
    <row r="81" spans="1:9" s="11" customFormat="1" ht="60">
      <c r="A81" s="4">
        <v>43559.007071759261</v>
      </c>
      <c r="B81" s="5" t="s">
        <v>13118</v>
      </c>
      <c r="C81" s="6" t="s">
        <v>309</v>
      </c>
      <c r="D81" s="7" t="s">
        <v>11979</v>
      </c>
      <c r="E81" s="8" t="s">
        <v>13009</v>
      </c>
      <c r="F81" s="4">
        <v>43083.938125000001</v>
      </c>
      <c r="G81" s="17" t="s">
        <v>2783</v>
      </c>
      <c r="H81" s="35" t="s">
        <v>311</v>
      </c>
      <c r="I81" s="10" t="s">
        <v>312</v>
      </c>
    </row>
    <row r="82" spans="1:9" s="11" customFormat="1" ht="75">
      <c r="A82" s="4">
        <v>43559.001111111109</v>
      </c>
      <c r="B82" s="5" t="s">
        <v>13118</v>
      </c>
      <c r="C82" s="6" t="s">
        <v>309</v>
      </c>
      <c r="D82" s="7" t="s">
        <v>11980</v>
      </c>
      <c r="E82" s="8" t="s">
        <v>13009</v>
      </c>
      <c r="F82" s="4">
        <v>43083.938125000001</v>
      </c>
      <c r="G82" s="17" t="s">
        <v>2783</v>
      </c>
      <c r="H82" s="35" t="s">
        <v>311</v>
      </c>
      <c r="I82" s="10" t="s">
        <v>312</v>
      </c>
    </row>
    <row r="83" spans="1:9" s="11" customFormat="1" ht="75">
      <c r="A83" s="4">
        <v>43559.000034722223</v>
      </c>
      <c r="B83" s="5" t="s">
        <v>13118</v>
      </c>
      <c r="C83" s="6" t="s">
        <v>309</v>
      </c>
      <c r="D83" s="7" t="s">
        <v>11981</v>
      </c>
      <c r="E83" s="8" t="s">
        <v>13009</v>
      </c>
      <c r="F83" s="4">
        <v>43083.938125000001</v>
      </c>
      <c r="G83" s="17" t="s">
        <v>2783</v>
      </c>
      <c r="H83" s="35" t="s">
        <v>311</v>
      </c>
      <c r="I83" s="10" t="s">
        <v>312</v>
      </c>
    </row>
    <row r="84" spans="1:9" s="11" customFormat="1" ht="120">
      <c r="A84" s="4">
        <v>43558.999513888892</v>
      </c>
      <c r="B84" s="5" t="s">
        <v>13118</v>
      </c>
      <c r="C84" s="6" t="s">
        <v>309</v>
      </c>
      <c r="D84" s="7" t="s">
        <v>11982</v>
      </c>
      <c r="E84" s="8" t="s">
        <v>13009</v>
      </c>
      <c r="F84" s="4">
        <v>43083.938125000001</v>
      </c>
      <c r="G84" s="17" t="s">
        <v>2783</v>
      </c>
      <c r="H84" s="35" t="s">
        <v>311</v>
      </c>
      <c r="I84" s="10" t="s">
        <v>312</v>
      </c>
    </row>
    <row r="85" spans="1:9" s="11" customFormat="1" ht="60">
      <c r="A85" s="4">
        <v>43557.033310185187</v>
      </c>
      <c r="B85" s="5" t="s">
        <v>13118</v>
      </c>
      <c r="C85" s="6" t="s">
        <v>309</v>
      </c>
      <c r="D85" s="7" t="s">
        <v>12675</v>
      </c>
      <c r="E85" s="8" t="s">
        <v>13009</v>
      </c>
      <c r="F85" s="4">
        <v>43083.938125000001</v>
      </c>
      <c r="G85" s="17" t="s">
        <v>2783</v>
      </c>
      <c r="H85" s="35" t="s">
        <v>311</v>
      </c>
      <c r="I85" s="10" t="s">
        <v>312</v>
      </c>
    </row>
    <row r="86" spans="1:9" s="11" customFormat="1" ht="60">
      <c r="A86" s="4">
        <v>43557.024988425925</v>
      </c>
      <c r="B86" s="5" t="s">
        <v>13118</v>
      </c>
      <c r="C86" s="6" t="s">
        <v>309</v>
      </c>
      <c r="D86" s="7" t="s">
        <v>12676</v>
      </c>
      <c r="E86" s="8" t="s">
        <v>13009</v>
      </c>
      <c r="F86" s="4">
        <v>43083.938125000001</v>
      </c>
      <c r="G86" s="17" t="s">
        <v>2783</v>
      </c>
      <c r="H86" s="35" t="s">
        <v>311</v>
      </c>
      <c r="I86" s="10" t="s">
        <v>312</v>
      </c>
    </row>
    <row r="87" spans="1:9" s="11" customFormat="1" ht="75">
      <c r="A87" s="4">
        <v>43557.016087962962</v>
      </c>
      <c r="B87" s="5" t="s">
        <v>13118</v>
      </c>
      <c r="C87" s="6" t="s">
        <v>309</v>
      </c>
      <c r="D87" s="7" t="s">
        <v>12677</v>
      </c>
      <c r="E87" s="8" t="s">
        <v>13009</v>
      </c>
      <c r="F87" s="4">
        <v>43083.938125000001</v>
      </c>
      <c r="G87" s="17" t="s">
        <v>2783</v>
      </c>
      <c r="H87" s="35" t="s">
        <v>311</v>
      </c>
      <c r="I87" s="10" t="s">
        <v>312</v>
      </c>
    </row>
    <row r="88" spans="1:9" s="11" customFormat="1" ht="120">
      <c r="A88" s="4">
        <v>43556.958333333328</v>
      </c>
      <c r="B88" s="5" t="s">
        <v>13119</v>
      </c>
      <c r="C88" s="6" t="s">
        <v>8107</v>
      </c>
      <c r="D88" s="7" t="s">
        <v>12695</v>
      </c>
      <c r="E88" s="8" t="s">
        <v>13120</v>
      </c>
      <c r="F88" s="4">
        <v>40290.339837962965</v>
      </c>
      <c r="G88" s="17" t="s">
        <v>2783</v>
      </c>
      <c r="H88" s="35" t="s">
        <v>311</v>
      </c>
      <c r="I88" s="10" t="s">
        <v>8109</v>
      </c>
    </row>
    <row r="89" spans="1:9" s="11" customFormat="1" ht="75">
      <c r="A89" s="12">
        <v>43580.053831018522</v>
      </c>
      <c r="B89" s="13" t="s">
        <v>13118</v>
      </c>
      <c r="C89" s="14" t="s">
        <v>309</v>
      </c>
      <c r="D89" s="15" t="s">
        <v>310</v>
      </c>
      <c r="E89" s="16" t="s">
        <v>13009</v>
      </c>
      <c r="F89" s="12">
        <v>43083.938125000001</v>
      </c>
      <c r="G89" s="17" t="s">
        <v>2783</v>
      </c>
      <c r="H89" s="35" t="s">
        <v>311</v>
      </c>
      <c r="I89" s="18" t="s">
        <v>312</v>
      </c>
    </row>
    <row r="90" spans="1:9" s="11" customFormat="1" ht="75">
      <c r="A90" s="12">
        <v>43580.027118055557</v>
      </c>
      <c r="B90" s="13" t="s">
        <v>13118</v>
      </c>
      <c r="C90" s="14" t="s">
        <v>309</v>
      </c>
      <c r="D90" s="15" t="s">
        <v>328</v>
      </c>
      <c r="E90" s="16" t="s">
        <v>13009</v>
      </c>
      <c r="F90" s="12">
        <v>43083.938125000001</v>
      </c>
      <c r="G90" s="17" t="s">
        <v>2783</v>
      </c>
      <c r="H90" s="35" t="s">
        <v>311</v>
      </c>
      <c r="I90" s="18" t="s">
        <v>312</v>
      </c>
    </row>
    <row r="91" spans="1:9" s="11" customFormat="1" ht="90">
      <c r="A91" s="12">
        <v>43579.99217592593</v>
      </c>
      <c r="B91" s="13" t="s">
        <v>13118</v>
      </c>
      <c r="C91" s="14" t="s">
        <v>309</v>
      </c>
      <c r="D91" s="15" t="s">
        <v>360</v>
      </c>
      <c r="E91" s="16" t="s">
        <v>13009</v>
      </c>
      <c r="F91" s="12">
        <v>43083.938125000001</v>
      </c>
      <c r="G91" s="17" t="s">
        <v>2783</v>
      </c>
      <c r="H91" s="35" t="s">
        <v>311</v>
      </c>
      <c r="I91" s="18" t="s">
        <v>312</v>
      </c>
    </row>
    <row r="92" spans="1:9" s="11" customFormat="1" ht="90">
      <c r="A92" s="12">
        <v>43579.991215277776</v>
      </c>
      <c r="B92" s="13" t="s">
        <v>13118</v>
      </c>
      <c r="C92" s="14" t="s">
        <v>309</v>
      </c>
      <c r="D92" s="15" t="s">
        <v>361</v>
      </c>
      <c r="E92" s="16" t="s">
        <v>13009</v>
      </c>
      <c r="F92" s="12">
        <v>43083.938125000001</v>
      </c>
      <c r="G92" s="17" t="s">
        <v>2783</v>
      </c>
      <c r="H92" s="35" t="s">
        <v>311</v>
      </c>
      <c r="I92" s="18" t="s">
        <v>312</v>
      </c>
    </row>
    <row r="93" spans="1:9" s="11" customFormat="1" ht="105">
      <c r="A93" s="12">
        <v>43579.961608796293</v>
      </c>
      <c r="B93" s="13" t="s">
        <v>13118</v>
      </c>
      <c r="C93" s="14" t="s">
        <v>309</v>
      </c>
      <c r="D93" s="15" t="s">
        <v>374</v>
      </c>
      <c r="E93" s="16" t="s">
        <v>13009</v>
      </c>
      <c r="F93" s="12">
        <v>43083.938125000001</v>
      </c>
      <c r="G93" s="17" t="s">
        <v>2783</v>
      </c>
      <c r="H93" s="35" t="s">
        <v>311</v>
      </c>
      <c r="I93" s="18" t="s">
        <v>312</v>
      </c>
    </row>
    <row r="94" spans="1:9" s="11" customFormat="1" ht="60">
      <c r="A94" s="12">
        <v>43577.942546296297</v>
      </c>
      <c r="B94" s="13" t="s">
        <v>13118</v>
      </c>
      <c r="C94" s="14" t="s">
        <v>309</v>
      </c>
      <c r="D94" s="15" t="s">
        <v>1447</v>
      </c>
      <c r="E94" s="16" t="s">
        <v>13009</v>
      </c>
      <c r="F94" s="12">
        <v>43083.938125000001</v>
      </c>
      <c r="G94" s="17" t="s">
        <v>2783</v>
      </c>
      <c r="H94" s="35" t="s">
        <v>311</v>
      </c>
      <c r="I94" s="18" t="s">
        <v>312</v>
      </c>
    </row>
    <row r="95" spans="1:9" s="11" customFormat="1" ht="60">
      <c r="A95" s="12">
        <v>43577.941284722227</v>
      </c>
      <c r="B95" s="13" t="s">
        <v>13118</v>
      </c>
      <c r="C95" s="14" t="s">
        <v>309</v>
      </c>
      <c r="D95" s="15" t="s">
        <v>1448</v>
      </c>
      <c r="E95" s="16" t="s">
        <v>13009</v>
      </c>
      <c r="F95" s="12">
        <v>43083.938125000001</v>
      </c>
      <c r="G95" s="17" t="s">
        <v>2783</v>
      </c>
      <c r="H95" s="35" t="s">
        <v>311</v>
      </c>
      <c r="I95" s="18" t="s">
        <v>312</v>
      </c>
    </row>
    <row r="96" spans="1:9" s="11" customFormat="1" ht="105">
      <c r="A96" s="12">
        <v>43577.939282407402</v>
      </c>
      <c r="B96" s="13" t="s">
        <v>13118</v>
      </c>
      <c r="C96" s="14" t="s">
        <v>309</v>
      </c>
      <c r="D96" s="15" t="s">
        <v>1449</v>
      </c>
      <c r="E96" s="16" t="s">
        <v>13009</v>
      </c>
      <c r="F96" s="12">
        <v>43083.938125000001</v>
      </c>
      <c r="G96" s="17" t="s">
        <v>2783</v>
      </c>
      <c r="H96" s="35" t="s">
        <v>311</v>
      </c>
      <c r="I96" s="18" t="s">
        <v>312</v>
      </c>
    </row>
    <row r="97" spans="1:9" s="11" customFormat="1" ht="90">
      <c r="A97" s="12">
        <v>43577.9371875</v>
      </c>
      <c r="B97" s="13" t="s">
        <v>13118</v>
      </c>
      <c r="C97" s="14" t="s">
        <v>309</v>
      </c>
      <c r="D97" s="15" t="s">
        <v>1453</v>
      </c>
      <c r="E97" s="16" t="s">
        <v>13009</v>
      </c>
      <c r="F97" s="12">
        <v>43083.938125000001</v>
      </c>
      <c r="G97" s="17" t="s">
        <v>2783</v>
      </c>
      <c r="H97" s="35" t="s">
        <v>311</v>
      </c>
      <c r="I97" s="18" t="s">
        <v>312</v>
      </c>
    </row>
    <row r="98" spans="1:9" s="11" customFormat="1" ht="75">
      <c r="A98" s="12">
        <v>43577.929930555554</v>
      </c>
      <c r="B98" s="13" t="s">
        <v>13118</v>
      </c>
      <c r="C98" s="14" t="s">
        <v>309</v>
      </c>
      <c r="D98" s="15" t="s">
        <v>1459</v>
      </c>
      <c r="E98" s="16" t="s">
        <v>13009</v>
      </c>
      <c r="F98" s="12">
        <v>43083.938125000001</v>
      </c>
      <c r="G98" s="17" t="s">
        <v>2783</v>
      </c>
      <c r="H98" s="35" t="s">
        <v>311</v>
      </c>
      <c r="I98" s="18" t="s">
        <v>312</v>
      </c>
    </row>
    <row r="99" spans="1:9" s="11" customFormat="1" ht="60">
      <c r="A99" s="12">
        <v>43577.060115740736</v>
      </c>
      <c r="B99" s="13" t="s">
        <v>13118</v>
      </c>
      <c r="C99" s="14" t="s">
        <v>309</v>
      </c>
      <c r="D99" s="15" t="s">
        <v>1763</v>
      </c>
      <c r="E99" s="16" t="s">
        <v>13009</v>
      </c>
      <c r="F99" s="12">
        <v>43083.938125000001</v>
      </c>
      <c r="G99" s="17" t="s">
        <v>2783</v>
      </c>
      <c r="H99" s="35" t="s">
        <v>311</v>
      </c>
      <c r="I99" s="18" t="s">
        <v>312</v>
      </c>
    </row>
    <row r="100" spans="1:9" s="11" customFormat="1" ht="90">
      <c r="A100" s="12">
        <v>43576.958113425921</v>
      </c>
      <c r="B100" s="13" t="s">
        <v>13118</v>
      </c>
      <c r="C100" s="14" t="s">
        <v>309</v>
      </c>
      <c r="D100" s="15" t="s">
        <v>1791</v>
      </c>
      <c r="E100" s="16" t="s">
        <v>13009</v>
      </c>
      <c r="F100" s="12">
        <v>43083.938125000001</v>
      </c>
      <c r="G100" s="17" t="s">
        <v>2783</v>
      </c>
      <c r="H100" s="35" t="s">
        <v>311</v>
      </c>
      <c r="I100" s="18" t="s">
        <v>312</v>
      </c>
    </row>
    <row r="101" spans="1:9" s="11" customFormat="1" ht="60">
      <c r="A101" s="12">
        <v>43576.944143518514</v>
      </c>
      <c r="B101" s="13" t="s">
        <v>13118</v>
      </c>
      <c r="C101" s="14" t="s">
        <v>309</v>
      </c>
      <c r="D101" s="15" t="s">
        <v>1797</v>
      </c>
      <c r="E101" s="16" t="s">
        <v>13009</v>
      </c>
      <c r="F101" s="12">
        <v>43083.938125000001</v>
      </c>
      <c r="G101" s="17" t="s">
        <v>2783</v>
      </c>
      <c r="H101" s="35" t="s">
        <v>311</v>
      </c>
      <c r="I101" s="18" t="s">
        <v>312</v>
      </c>
    </row>
    <row r="102" spans="1:9" s="11" customFormat="1" ht="60">
      <c r="A102" s="12">
        <v>43576.809745370367</v>
      </c>
      <c r="B102" s="13" t="s">
        <v>13118</v>
      </c>
      <c r="C102" s="14" t="s">
        <v>309</v>
      </c>
      <c r="D102" s="15" t="s">
        <v>1825</v>
      </c>
      <c r="E102" s="16" t="s">
        <v>13009</v>
      </c>
      <c r="F102" s="12">
        <v>43083.938125000001</v>
      </c>
      <c r="G102" s="17" t="s">
        <v>2783</v>
      </c>
      <c r="H102" s="35" t="s">
        <v>311</v>
      </c>
      <c r="I102" s="18" t="s">
        <v>312</v>
      </c>
    </row>
    <row r="103" spans="1:9" s="11" customFormat="1" ht="60">
      <c r="A103" s="12">
        <v>43576.807939814811</v>
      </c>
      <c r="B103" s="13" t="s">
        <v>13118</v>
      </c>
      <c r="C103" s="14" t="s">
        <v>309</v>
      </c>
      <c r="D103" s="15" t="s">
        <v>1826</v>
      </c>
      <c r="E103" s="16" t="s">
        <v>13009</v>
      </c>
      <c r="F103" s="12">
        <v>43083.938125000001</v>
      </c>
      <c r="G103" s="17" t="s">
        <v>2783</v>
      </c>
      <c r="H103" s="35" t="s">
        <v>311</v>
      </c>
      <c r="I103" s="18" t="s">
        <v>312</v>
      </c>
    </row>
    <row r="104" spans="1:9" s="11" customFormat="1" ht="60">
      <c r="A104" s="12">
        <v>43573.992835648147</v>
      </c>
      <c r="B104" s="13" t="s">
        <v>13118</v>
      </c>
      <c r="C104" s="14" t="s">
        <v>309</v>
      </c>
      <c r="D104" s="15" t="s">
        <v>2697</v>
      </c>
      <c r="E104" s="16" t="s">
        <v>13009</v>
      </c>
      <c r="F104" s="12">
        <v>43083.938125000001</v>
      </c>
      <c r="G104" s="17" t="s">
        <v>2783</v>
      </c>
      <c r="H104" s="35" t="s">
        <v>311</v>
      </c>
      <c r="I104" s="18" t="s">
        <v>312</v>
      </c>
    </row>
    <row r="105" spans="1:9" s="11" customFormat="1" ht="60">
      <c r="A105" s="12">
        <v>43573.96030092593</v>
      </c>
      <c r="B105" s="13" t="s">
        <v>13118</v>
      </c>
      <c r="C105" s="14" t="s">
        <v>309</v>
      </c>
      <c r="D105" s="15" t="s">
        <v>2699</v>
      </c>
      <c r="E105" s="16" t="s">
        <v>13009</v>
      </c>
      <c r="F105" s="12">
        <v>43083.938125000001</v>
      </c>
      <c r="G105" s="17" t="s">
        <v>2783</v>
      </c>
      <c r="H105" s="35" t="s">
        <v>311</v>
      </c>
      <c r="I105" s="18" t="s">
        <v>312</v>
      </c>
    </row>
    <row r="106" spans="1:9" s="11" customFormat="1" ht="60">
      <c r="A106" s="12">
        <v>43573.927094907413</v>
      </c>
      <c r="B106" s="13" t="s">
        <v>13118</v>
      </c>
      <c r="C106" s="14" t="s">
        <v>309</v>
      </c>
      <c r="D106" s="15" t="s">
        <v>2704</v>
      </c>
      <c r="E106" s="16" t="s">
        <v>13009</v>
      </c>
      <c r="F106" s="12">
        <v>43083.938125000001</v>
      </c>
      <c r="G106" s="17" t="s">
        <v>2783</v>
      </c>
      <c r="H106" s="35" t="s">
        <v>311</v>
      </c>
      <c r="I106" s="18" t="s">
        <v>312</v>
      </c>
    </row>
    <row r="107" spans="1:9" s="11" customFormat="1" ht="60">
      <c r="A107" s="12">
        <v>43573.923900462964</v>
      </c>
      <c r="B107" s="13" t="s">
        <v>13118</v>
      </c>
      <c r="C107" s="14" t="s">
        <v>309</v>
      </c>
      <c r="D107" s="15" t="s">
        <v>2705</v>
      </c>
      <c r="E107" s="16" t="s">
        <v>13009</v>
      </c>
      <c r="F107" s="12">
        <v>43083.938125000001</v>
      </c>
      <c r="G107" s="17" t="s">
        <v>2783</v>
      </c>
      <c r="H107" s="35" t="s">
        <v>311</v>
      </c>
      <c r="I107" s="18" t="s">
        <v>312</v>
      </c>
    </row>
    <row r="108" spans="1:9" s="11" customFormat="1" ht="75">
      <c r="A108" s="12">
        <v>43573.921875</v>
      </c>
      <c r="B108" s="13" t="s">
        <v>13118</v>
      </c>
      <c r="C108" s="14" t="s">
        <v>309</v>
      </c>
      <c r="D108" s="15" t="s">
        <v>2706</v>
      </c>
      <c r="E108" s="16" t="s">
        <v>13009</v>
      </c>
      <c r="F108" s="12">
        <v>43083.938125000001</v>
      </c>
      <c r="G108" s="17" t="s">
        <v>2783</v>
      </c>
      <c r="H108" s="35" t="s">
        <v>311</v>
      </c>
      <c r="I108" s="18" t="s">
        <v>312</v>
      </c>
    </row>
    <row r="109" spans="1:9" s="11" customFormat="1" ht="60">
      <c r="A109" s="12">
        <v>43572.898148148146</v>
      </c>
      <c r="B109" s="13" t="s">
        <v>13118</v>
      </c>
      <c r="C109" s="14" t="s">
        <v>309</v>
      </c>
      <c r="D109" s="15" t="s">
        <v>3063</v>
      </c>
      <c r="E109" s="16" t="s">
        <v>13009</v>
      </c>
      <c r="F109" s="12">
        <v>43083.938125000001</v>
      </c>
      <c r="G109" s="17" t="s">
        <v>2783</v>
      </c>
      <c r="H109" s="35" t="s">
        <v>311</v>
      </c>
      <c r="I109" s="18" t="s">
        <v>312</v>
      </c>
    </row>
    <row r="110" spans="1:9" s="11" customFormat="1" ht="75">
      <c r="A110" s="12">
        <v>43572.89680555556</v>
      </c>
      <c r="B110" s="13" t="s">
        <v>13118</v>
      </c>
      <c r="C110" s="14" t="s">
        <v>309</v>
      </c>
      <c r="D110" s="15" t="s">
        <v>3064</v>
      </c>
      <c r="E110" s="16" t="s">
        <v>13009</v>
      </c>
      <c r="F110" s="12">
        <v>43083.938125000001</v>
      </c>
      <c r="G110" s="17" t="s">
        <v>2783</v>
      </c>
      <c r="H110" s="35" t="s">
        <v>311</v>
      </c>
      <c r="I110" s="18" t="s">
        <v>312</v>
      </c>
    </row>
    <row r="111" spans="1:9" s="11" customFormat="1" ht="75">
      <c r="A111" s="12">
        <v>43572.8909837963</v>
      </c>
      <c r="B111" s="13" t="s">
        <v>13118</v>
      </c>
      <c r="C111" s="14" t="s">
        <v>309</v>
      </c>
      <c r="D111" s="15" t="s">
        <v>3065</v>
      </c>
      <c r="E111" s="16" t="s">
        <v>13009</v>
      </c>
      <c r="F111" s="12">
        <v>43083.938125000001</v>
      </c>
      <c r="G111" s="17" t="s">
        <v>2783</v>
      </c>
      <c r="H111" s="35" t="s">
        <v>311</v>
      </c>
      <c r="I111" s="18" t="s">
        <v>312</v>
      </c>
    </row>
    <row r="112" spans="1:9" s="11" customFormat="1" ht="60">
      <c r="A112" s="12">
        <v>43572.889166666668</v>
      </c>
      <c r="B112" s="13" t="s">
        <v>13118</v>
      </c>
      <c r="C112" s="14" t="s">
        <v>309</v>
      </c>
      <c r="D112" s="15" t="s">
        <v>3066</v>
      </c>
      <c r="E112" s="16" t="s">
        <v>13009</v>
      </c>
      <c r="F112" s="12">
        <v>43083.938125000001</v>
      </c>
      <c r="G112" s="17" t="s">
        <v>2783</v>
      </c>
      <c r="H112" s="35" t="s">
        <v>311</v>
      </c>
      <c r="I112" s="18" t="s">
        <v>312</v>
      </c>
    </row>
    <row r="113" spans="1:9" s="11" customFormat="1" ht="60">
      <c r="A113" s="12">
        <v>43572.885960648149</v>
      </c>
      <c r="B113" s="13" t="s">
        <v>13118</v>
      </c>
      <c r="C113" s="14" t="s">
        <v>309</v>
      </c>
      <c r="D113" s="15" t="s">
        <v>3068</v>
      </c>
      <c r="E113" s="16" t="s">
        <v>13009</v>
      </c>
      <c r="F113" s="12">
        <v>43083.938125000001</v>
      </c>
      <c r="G113" s="17" t="s">
        <v>2783</v>
      </c>
      <c r="H113" s="35" t="s">
        <v>311</v>
      </c>
      <c r="I113" s="18" t="s">
        <v>312</v>
      </c>
    </row>
    <row r="114" spans="1:9" s="11" customFormat="1" ht="60">
      <c r="A114" s="12">
        <v>43571.941851851851</v>
      </c>
      <c r="B114" s="13" t="s">
        <v>13118</v>
      </c>
      <c r="C114" s="14" t="s">
        <v>309</v>
      </c>
      <c r="D114" s="15" t="s">
        <v>3490</v>
      </c>
      <c r="E114" s="16" t="s">
        <v>13009</v>
      </c>
      <c r="F114" s="12">
        <v>43083.938125000001</v>
      </c>
      <c r="G114" s="17" t="s">
        <v>2783</v>
      </c>
      <c r="H114" s="35" t="s">
        <v>311</v>
      </c>
      <c r="I114" s="18" t="s">
        <v>312</v>
      </c>
    </row>
    <row r="115" spans="1:9" s="11" customFormat="1" ht="105">
      <c r="A115" s="12">
        <v>43571.934155092589</v>
      </c>
      <c r="B115" s="13" t="s">
        <v>13118</v>
      </c>
      <c r="C115" s="14" t="s">
        <v>309</v>
      </c>
      <c r="D115" s="15" t="s">
        <v>3492</v>
      </c>
      <c r="E115" s="16" t="s">
        <v>13009</v>
      </c>
      <c r="F115" s="12">
        <v>43083.938125000001</v>
      </c>
      <c r="G115" s="17" t="s">
        <v>2783</v>
      </c>
      <c r="H115" s="35" t="s">
        <v>311</v>
      </c>
      <c r="I115" s="18" t="s">
        <v>312</v>
      </c>
    </row>
    <row r="116" spans="1:9" s="11" customFormat="1" ht="75">
      <c r="A116" s="12">
        <v>43571.933368055557</v>
      </c>
      <c r="B116" s="13" t="s">
        <v>13118</v>
      </c>
      <c r="C116" s="14" t="s">
        <v>309</v>
      </c>
      <c r="D116" s="15" t="s">
        <v>3493</v>
      </c>
      <c r="E116" s="16" t="s">
        <v>13009</v>
      </c>
      <c r="F116" s="12">
        <v>43083.938125000001</v>
      </c>
      <c r="G116" s="17" t="s">
        <v>2783</v>
      </c>
      <c r="H116" s="35" t="s">
        <v>311</v>
      </c>
      <c r="I116" s="18" t="s">
        <v>312</v>
      </c>
    </row>
    <row r="117" spans="1:9" s="11" customFormat="1" ht="60">
      <c r="A117" s="12">
        <v>43571.928159722222</v>
      </c>
      <c r="B117" s="13" t="s">
        <v>13118</v>
      </c>
      <c r="C117" s="14" t="s">
        <v>309</v>
      </c>
      <c r="D117" s="15" t="s">
        <v>3498</v>
      </c>
      <c r="E117" s="16" t="s">
        <v>13009</v>
      </c>
      <c r="F117" s="12">
        <v>43083.938125000001</v>
      </c>
      <c r="G117" s="17" t="s">
        <v>2783</v>
      </c>
      <c r="H117" s="35" t="s">
        <v>311</v>
      </c>
      <c r="I117" s="18" t="s">
        <v>312</v>
      </c>
    </row>
    <row r="118" spans="1:9" s="11" customFormat="1" ht="90">
      <c r="A118" s="12">
        <v>43570.884247685186</v>
      </c>
      <c r="B118" s="13" t="s">
        <v>13118</v>
      </c>
      <c r="C118" s="14" t="s">
        <v>309</v>
      </c>
      <c r="D118" s="15" t="s">
        <v>3952</v>
      </c>
      <c r="E118" s="16" t="s">
        <v>13009</v>
      </c>
      <c r="F118" s="12">
        <v>43083.938125000001</v>
      </c>
      <c r="G118" s="17" t="s">
        <v>2783</v>
      </c>
      <c r="H118" s="35" t="s">
        <v>311</v>
      </c>
      <c r="I118" s="18" t="s">
        <v>312</v>
      </c>
    </row>
    <row r="119" spans="1:9" s="11" customFormat="1" ht="75">
      <c r="A119" s="12">
        <v>43569.898564814815</v>
      </c>
      <c r="B119" s="13" t="s">
        <v>13118</v>
      </c>
      <c r="C119" s="14" t="s">
        <v>309</v>
      </c>
      <c r="D119" s="15" t="s">
        <v>4376</v>
      </c>
      <c r="E119" s="16" t="s">
        <v>13009</v>
      </c>
      <c r="F119" s="12">
        <v>43083.938125000001</v>
      </c>
      <c r="G119" s="17" t="s">
        <v>2783</v>
      </c>
      <c r="H119" s="35" t="s">
        <v>311</v>
      </c>
      <c r="I119" s="18" t="s">
        <v>312</v>
      </c>
    </row>
    <row r="120" spans="1:9" s="11" customFormat="1" ht="75">
      <c r="A120" s="12">
        <v>43569.897650462968</v>
      </c>
      <c r="B120" s="13" t="s">
        <v>13118</v>
      </c>
      <c r="C120" s="14" t="s">
        <v>309</v>
      </c>
      <c r="D120" s="15" t="s">
        <v>4377</v>
      </c>
      <c r="E120" s="16" t="s">
        <v>13009</v>
      </c>
      <c r="F120" s="12">
        <v>43083.938125000001</v>
      </c>
      <c r="G120" s="17" t="s">
        <v>2783</v>
      </c>
      <c r="H120" s="35" t="s">
        <v>311</v>
      </c>
      <c r="I120" s="18" t="s">
        <v>312</v>
      </c>
    </row>
    <row r="121" spans="1:9" s="11" customFormat="1" ht="105">
      <c r="A121" s="12">
        <v>43569.896956018521</v>
      </c>
      <c r="B121" s="13" t="s">
        <v>13118</v>
      </c>
      <c r="C121" s="14" t="s">
        <v>309</v>
      </c>
      <c r="D121" s="15" t="s">
        <v>4378</v>
      </c>
      <c r="E121" s="16" t="s">
        <v>13009</v>
      </c>
      <c r="F121" s="12">
        <v>43083.938125000001</v>
      </c>
      <c r="G121" s="17" t="s">
        <v>2783</v>
      </c>
      <c r="H121" s="35" t="s">
        <v>311</v>
      </c>
      <c r="I121" s="18" t="s">
        <v>312</v>
      </c>
    </row>
    <row r="122" spans="1:9" s="11" customFormat="1" ht="105">
      <c r="A122" s="12">
        <v>43569.896250000005</v>
      </c>
      <c r="B122" s="13" t="s">
        <v>13118</v>
      </c>
      <c r="C122" s="14" t="s">
        <v>309</v>
      </c>
      <c r="D122" s="15" t="s">
        <v>4379</v>
      </c>
      <c r="E122" s="16" t="s">
        <v>13009</v>
      </c>
      <c r="F122" s="12">
        <v>43083.938125000001</v>
      </c>
      <c r="G122" s="17" t="s">
        <v>2783</v>
      </c>
      <c r="H122" s="35" t="s">
        <v>311</v>
      </c>
      <c r="I122" s="18" t="s">
        <v>312</v>
      </c>
    </row>
    <row r="123" spans="1:9" s="11" customFormat="1" ht="60">
      <c r="A123" s="12">
        <v>43565.932939814811</v>
      </c>
      <c r="B123" s="13" t="s">
        <v>13118</v>
      </c>
      <c r="C123" s="14" t="s">
        <v>309</v>
      </c>
      <c r="D123" s="15" t="s">
        <v>5849</v>
      </c>
      <c r="E123" s="16" t="s">
        <v>13009</v>
      </c>
      <c r="F123" s="12">
        <v>43083.938125000001</v>
      </c>
      <c r="G123" s="17" t="s">
        <v>2783</v>
      </c>
      <c r="H123" s="35" t="s">
        <v>311</v>
      </c>
      <c r="I123" s="18" t="s">
        <v>312</v>
      </c>
    </row>
    <row r="124" spans="1:9" s="11" customFormat="1" ht="60">
      <c r="A124" s="12">
        <v>43565.929212962961</v>
      </c>
      <c r="B124" s="13" t="s">
        <v>13118</v>
      </c>
      <c r="C124" s="14" t="s">
        <v>309</v>
      </c>
      <c r="D124" s="15" t="s">
        <v>5850</v>
      </c>
      <c r="E124" s="16" t="s">
        <v>13009</v>
      </c>
      <c r="F124" s="12">
        <v>43083.938125000001</v>
      </c>
      <c r="G124" s="17" t="s">
        <v>2783</v>
      </c>
      <c r="H124" s="35" t="s">
        <v>311</v>
      </c>
      <c r="I124" s="18" t="s">
        <v>312</v>
      </c>
    </row>
    <row r="125" spans="1:9" s="11" customFormat="1" ht="120">
      <c r="A125" s="12">
        <v>43565.928402777776</v>
      </c>
      <c r="B125" s="13" t="s">
        <v>13118</v>
      </c>
      <c r="C125" s="14" t="s">
        <v>309</v>
      </c>
      <c r="D125" s="15" t="s">
        <v>5851</v>
      </c>
      <c r="E125" s="16" t="s">
        <v>13009</v>
      </c>
      <c r="F125" s="12">
        <v>43083.938125000001</v>
      </c>
      <c r="G125" s="17" t="s">
        <v>2783</v>
      </c>
      <c r="H125" s="35" t="s">
        <v>311</v>
      </c>
      <c r="I125" s="18" t="s">
        <v>312</v>
      </c>
    </row>
    <row r="126" spans="1:9" s="11" customFormat="1" ht="105">
      <c r="A126" s="12">
        <v>43565.923807870371</v>
      </c>
      <c r="B126" s="13" t="s">
        <v>13118</v>
      </c>
      <c r="C126" s="14" t="s">
        <v>309</v>
      </c>
      <c r="D126" s="15" t="s">
        <v>5852</v>
      </c>
      <c r="E126" s="16" t="s">
        <v>13009</v>
      </c>
      <c r="F126" s="12">
        <v>43083.938125000001</v>
      </c>
      <c r="G126" s="17" t="s">
        <v>2783</v>
      </c>
      <c r="H126" s="35" t="s">
        <v>311</v>
      </c>
      <c r="I126" s="18" t="s">
        <v>312</v>
      </c>
    </row>
    <row r="127" spans="1:9" s="11" customFormat="1" ht="105">
      <c r="A127" s="19">
        <v>43547.714918981481</v>
      </c>
      <c r="B127" s="20" t="s">
        <v>13122</v>
      </c>
      <c r="C127" s="21" t="s">
        <v>1405</v>
      </c>
      <c r="D127" s="22" t="s">
        <v>8478</v>
      </c>
      <c r="E127" s="23" t="s">
        <v>13009</v>
      </c>
      <c r="F127" s="19">
        <v>42383.254629629635</v>
      </c>
      <c r="G127" s="24" t="s">
        <v>2783</v>
      </c>
      <c r="H127" s="35" t="s">
        <v>342</v>
      </c>
      <c r="I127" s="25" t="s">
        <v>1407</v>
      </c>
    </row>
    <row r="128" spans="1:9" s="11" customFormat="1" ht="105">
      <c r="A128" s="19">
        <v>43545.174884259264</v>
      </c>
      <c r="B128" s="20" t="s">
        <v>13123</v>
      </c>
      <c r="C128" s="21" t="s">
        <v>340</v>
      </c>
      <c r="D128" s="22" t="s">
        <v>9270</v>
      </c>
      <c r="E128" s="23" t="s">
        <v>13027</v>
      </c>
      <c r="F128" s="19">
        <v>41894.147187499999</v>
      </c>
      <c r="G128" s="24" t="s">
        <v>2783</v>
      </c>
      <c r="H128" s="35" t="s">
        <v>342</v>
      </c>
      <c r="I128" s="25" t="s">
        <v>343</v>
      </c>
    </row>
    <row r="129" spans="1:9" s="11" customFormat="1" ht="105">
      <c r="A129" s="19">
        <v>43544.741724537038</v>
      </c>
      <c r="B129" s="20" t="s">
        <v>13122</v>
      </c>
      <c r="C129" s="21" t="s">
        <v>1405</v>
      </c>
      <c r="D129" s="22" t="s">
        <v>9360</v>
      </c>
      <c r="E129" s="23" t="s">
        <v>13009</v>
      </c>
      <c r="F129" s="19">
        <v>42383.254629629635</v>
      </c>
      <c r="G129" s="24" t="s">
        <v>2783</v>
      </c>
      <c r="H129" s="35" t="s">
        <v>342</v>
      </c>
      <c r="I129" s="25" t="s">
        <v>1407</v>
      </c>
    </row>
    <row r="130" spans="1:9" s="11" customFormat="1" ht="105">
      <c r="A130" s="4">
        <v>43565.25849537037</v>
      </c>
      <c r="B130" s="5" t="s">
        <v>13123</v>
      </c>
      <c r="C130" s="6" t="s">
        <v>340</v>
      </c>
      <c r="D130" s="7" t="s">
        <v>6207</v>
      </c>
      <c r="E130" s="8" t="s">
        <v>13027</v>
      </c>
      <c r="F130" s="4">
        <v>41894.147187499999</v>
      </c>
      <c r="G130" s="24" t="s">
        <v>2783</v>
      </c>
      <c r="H130" s="35" t="s">
        <v>342</v>
      </c>
      <c r="I130" s="10" t="s">
        <v>343</v>
      </c>
    </row>
    <row r="131" spans="1:9" s="11" customFormat="1" ht="105">
      <c r="A131" s="12">
        <v>43580.008796296301</v>
      </c>
      <c r="B131" s="13" t="s">
        <v>13123</v>
      </c>
      <c r="C131" s="14" t="s">
        <v>340</v>
      </c>
      <c r="D131" s="15" t="s">
        <v>341</v>
      </c>
      <c r="E131" s="16" t="s">
        <v>13027</v>
      </c>
      <c r="F131" s="12">
        <v>41894.147187499999</v>
      </c>
      <c r="G131" s="24" t="s">
        <v>2783</v>
      </c>
      <c r="H131" s="35" t="s">
        <v>342</v>
      </c>
      <c r="I131" s="18" t="s">
        <v>343</v>
      </c>
    </row>
    <row r="132" spans="1:9" s="11" customFormat="1" ht="105">
      <c r="A132" s="12">
        <v>43578.097118055557</v>
      </c>
      <c r="B132" s="13" t="s">
        <v>13122</v>
      </c>
      <c r="C132" s="14" t="s">
        <v>1405</v>
      </c>
      <c r="D132" s="15" t="s">
        <v>1406</v>
      </c>
      <c r="E132" s="16" t="s">
        <v>13009</v>
      </c>
      <c r="F132" s="12">
        <v>42383.254629629635</v>
      </c>
      <c r="G132" s="24" t="s">
        <v>2783</v>
      </c>
      <c r="H132" s="35" t="s">
        <v>342</v>
      </c>
      <c r="I132" s="18" t="s">
        <v>1407</v>
      </c>
    </row>
    <row r="133" spans="1:9" s="11" customFormat="1" ht="105">
      <c r="A133" s="12">
        <v>43578.088599537034</v>
      </c>
      <c r="B133" s="13" t="s">
        <v>13122</v>
      </c>
      <c r="C133" s="14" t="s">
        <v>1405</v>
      </c>
      <c r="D133" s="15" t="s">
        <v>1408</v>
      </c>
      <c r="E133" s="16" t="s">
        <v>13009</v>
      </c>
      <c r="F133" s="12">
        <v>42383.254629629635</v>
      </c>
      <c r="G133" s="24" t="s">
        <v>2783</v>
      </c>
      <c r="H133" s="35" t="s">
        <v>342</v>
      </c>
      <c r="I133" s="18" t="s">
        <v>1407</v>
      </c>
    </row>
    <row r="134" spans="1:9" s="11" customFormat="1" ht="105">
      <c r="A134" s="12">
        <v>43577.175462962958</v>
      </c>
      <c r="B134" s="13" t="s">
        <v>13123</v>
      </c>
      <c r="C134" s="14" t="s">
        <v>340</v>
      </c>
      <c r="D134" s="15" t="s">
        <v>1724</v>
      </c>
      <c r="E134" s="16" t="s">
        <v>13027</v>
      </c>
      <c r="F134" s="12">
        <v>41894.147187499999</v>
      </c>
      <c r="G134" s="24" t="s">
        <v>2783</v>
      </c>
      <c r="H134" s="35" t="s">
        <v>342</v>
      </c>
      <c r="I134" s="18" t="s">
        <v>343</v>
      </c>
    </row>
    <row r="135" spans="1:9" s="11" customFormat="1" ht="105">
      <c r="A135" s="12">
        <v>43571.900497685187</v>
      </c>
      <c r="B135" s="13" t="s">
        <v>13122</v>
      </c>
      <c r="C135" s="14" t="s">
        <v>1405</v>
      </c>
      <c r="D135" s="15" t="s">
        <v>3504</v>
      </c>
      <c r="E135" s="16" t="s">
        <v>13009</v>
      </c>
      <c r="F135" s="12">
        <v>42383.254629629635</v>
      </c>
      <c r="G135" s="24" t="s">
        <v>2783</v>
      </c>
      <c r="H135" s="35" t="s">
        <v>342</v>
      </c>
      <c r="I135" s="18" t="s">
        <v>1407</v>
      </c>
    </row>
    <row r="136" spans="1:9" s="11" customFormat="1" ht="105">
      <c r="A136" s="12">
        <v>43571.095879629633</v>
      </c>
      <c r="B136" s="13" t="s">
        <v>13122</v>
      </c>
      <c r="C136" s="14" t="s">
        <v>1405</v>
      </c>
      <c r="D136" s="15" t="s">
        <v>3851</v>
      </c>
      <c r="E136" s="16" t="s">
        <v>13009</v>
      </c>
      <c r="F136" s="12">
        <v>42383.254629629635</v>
      </c>
      <c r="G136" s="24" t="s">
        <v>2783</v>
      </c>
      <c r="H136" s="35" t="s">
        <v>342</v>
      </c>
      <c r="I136" s="18" t="s">
        <v>1407</v>
      </c>
    </row>
    <row r="137" spans="1:9" s="11" customFormat="1" ht="105">
      <c r="A137" s="12">
        <v>43566.296736111108</v>
      </c>
      <c r="B137" s="13" t="s">
        <v>13122</v>
      </c>
      <c r="C137" s="14" t="s">
        <v>1405</v>
      </c>
      <c r="D137" s="15" t="s">
        <v>5669</v>
      </c>
      <c r="E137" s="16" t="s">
        <v>13009</v>
      </c>
      <c r="F137" s="12">
        <v>42383.254629629635</v>
      </c>
      <c r="G137" s="24" t="s">
        <v>2783</v>
      </c>
      <c r="H137" s="35" t="s">
        <v>342</v>
      </c>
      <c r="I137" s="18" t="s">
        <v>1407</v>
      </c>
    </row>
    <row r="138" spans="1:9" s="11" customFormat="1" ht="105">
      <c r="A138" s="4">
        <v>43561.824687500004</v>
      </c>
      <c r="B138" s="5" t="s">
        <v>13124</v>
      </c>
      <c r="C138" s="6" t="s">
        <v>10822</v>
      </c>
      <c r="D138" s="7" t="s">
        <v>10823</v>
      </c>
      <c r="E138" s="8" t="s">
        <v>13006</v>
      </c>
      <c r="F138" s="4">
        <v>39888.270682870367</v>
      </c>
      <c r="G138" s="24" t="s">
        <v>2783</v>
      </c>
      <c r="H138" s="35" t="s">
        <v>10824</v>
      </c>
      <c r="I138" s="10" t="s">
        <v>10825</v>
      </c>
    </row>
    <row r="139" spans="1:9" s="11" customFormat="1" ht="30">
      <c r="A139" s="4">
        <v>43564.773402777777</v>
      </c>
      <c r="B139" s="5" t="s">
        <v>13125</v>
      </c>
      <c r="C139" s="6" t="s">
        <v>6421</v>
      </c>
      <c r="D139" s="7" t="s">
        <v>6422</v>
      </c>
      <c r="E139" s="8" t="s">
        <v>13011</v>
      </c>
      <c r="F139" s="4">
        <v>40327.192430555559</v>
      </c>
      <c r="G139" s="9" t="s">
        <v>2783</v>
      </c>
      <c r="H139" s="35" t="s">
        <v>6423</v>
      </c>
      <c r="I139" s="10"/>
    </row>
    <row r="140" spans="1:9" s="11" customFormat="1" ht="60">
      <c r="A140" s="19">
        <v>43548.132870370369</v>
      </c>
      <c r="B140" s="20" t="s">
        <v>13126</v>
      </c>
      <c r="C140" s="21" t="s">
        <v>4844</v>
      </c>
      <c r="D140" s="22" t="s">
        <v>8404</v>
      </c>
      <c r="E140" s="23" t="s">
        <v>13009</v>
      </c>
      <c r="F140" s="19">
        <v>43337.436759259261</v>
      </c>
      <c r="G140" s="9" t="s">
        <v>2783</v>
      </c>
      <c r="H140" s="35" t="s">
        <v>4846</v>
      </c>
      <c r="I140" s="25" t="s">
        <v>4847</v>
      </c>
    </row>
    <row r="141" spans="1:9" s="11" customFormat="1" ht="60">
      <c r="A141" s="19">
        <v>43546.281342592592</v>
      </c>
      <c r="B141" s="20" t="s">
        <v>13126</v>
      </c>
      <c r="C141" s="21" t="s">
        <v>4844</v>
      </c>
      <c r="D141" s="22" t="s">
        <v>8919</v>
      </c>
      <c r="E141" s="23" t="s">
        <v>13009</v>
      </c>
      <c r="F141" s="19">
        <v>43337.436759259261</v>
      </c>
      <c r="G141" s="9" t="s">
        <v>2783</v>
      </c>
      <c r="H141" s="35" t="s">
        <v>4846</v>
      </c>
      <c r="I141" s="25" t="s">
        <v>4847</v>
      </c>
    </row>
    <row r="142" spans="1:9" s="11" customFormat="1" ht="60">
      <c r="A142" s="19">
        <v>43546.234780092593</v>
      </c>
      <c r="B142" s="20" t="s">
        <v>13126</v>
      </c>
      <c r="C142" s="21" t="s">
        <v>4844</v>
      </c>
      <c r="D142" s="22" t="s">
        <v>8928</v>
      </c>
      <c r="E142" s="23" t="s">
        <v>13009</v>
      </c>
      <c r="F142" s="19">
        <v>43337.436759259261</v>
      </c>
      <c r="G142" s="9" t="s">
        <v>2783</v>
      </c>
      <c r="H142" s="35" t="s">
        <v>4846</v>
      </c>
      <c r="I142" s="25" t="s">
        <v>4847</v>
      </c>
    </row>
    <row r="143" spans="1:9" s="11" customFormat="1" ht="60">
      <c r="A143" s="19">
        <v>43545.743506944447</v>
      </c>
      <c r="B143" s="20" t="s">
        <v>13126</v>
      </c>
      <c r="C143" s="21" t="s">
        <v>4844</v>
      </c>
      <c r="D143" s="22" t="s">
        <v>9064</v>
      </c>
      <c r="E143" s="23" t="s">
        <v>13009</v>
      </c>
      <c r="F143" s="19">
        <v>43337.436759259261</v>
      </c>
      <c r="G143" s="9" t="s">
        <v>2783</v>
      </c>
      <c r="H143" s="35" t="s">
        <v>4846</v>
      </c>
      <c r="I143" s="25" t="s">
        <v>4847</v>
      </c>
    </row>
    <row r="144" spans="1:9" s="11" customFormat="1" ht="60">
      <c r="A144" s="19">
        <v>43544.90489583333</v>
      </c>
      <c r="B144" s="20" t="s">
        <v>13126</v>
      </c>
      <c r="C144" s="21" t="s">
        <v>4844</v>
      </c>
      <c r="D144" s="22" t="s">
        <v>9318</v>
      </c>
      <c r="E144" s="23" t="s">
        <v>13009</v>
      </c>
      <c r="F144" s="19">
        <v>43337.436759259261</v>
      </c>
      <c r="G144" s="9" t="s">
        <v>2783</v>
      </c>
      <c r="H144" s="35" t="s">
        <v>4846</v>
      </c>
      <c r="I144" s="25" t="s">
        <v>4847</v>
      </c>
    </row>
    <row r="145" spans="1:9" s="11" customFormat="1" ht="60">
      <c r="A145" s="4">
        <v>43563.787824074076</v>
      </c>
      <c r="B145" s="5" t="s">
        <v>13126</v>
      </c>
      <c r="C145" s="6" t="s">
        <v>4844</v>
      </c>
      <c r="D145" s="7" t="s">
        <v>6878</v>
      </c>
      <c r="E145" s="8" t="s">
        <v>13009</v>
      </c>
      <c r="F145" s="4">
        <v>43337.436759259261</v>
      </c>
      <c r="G145" s="9" t="s">
        <v>2783</v>
      </c>
      <c r="H145" s="35" t="s">
        <v>4846</v>
      </c>
      <c r="I145" s="10" t="s">
        <v>4847</v>
      </c>
    </row>
    <row r="146" spans="1:9" s="11" customFormat="1" ht="60">
      <c r="A146" s="4">
        <v>43559.934236111112</v>
      </c>
      <c r="B146" s="5" t="s">
        <v>13126</v>
      </c>
      <c r="C146" s="6" t="s">
        <v>4844</v>
      </c>
      <c r="D146" s="7" t="s">
        <v>11659</v>
      </c>
      <c r="E146" s="8" t="s">
        <v>13011</v>
      </c>
      <c r="F146" s="4">
        <v>43337.436759259261</v>
      </c>
      <c r="G146" s="9" t="s">
        <v>2783</v>
      </c>
      <c r="H146" s="35" t="s">
        <v>4846</v>
      </c>
      <c r="I146" s="10" t="s">
        <v>4847</v>
      </c>
    </row>
    <row r="147" spans="1:9" s="11" customFormat="1" ht="60">
      <c r="A147" s="12">
        <v>43568.211921296301</v>
      </c>
      <c r="B147" s="13" t="s">
        <v>13126</v>
      </c>
      <c r="C147" s="14" t="s">
        <v>4844</v>
      </c>
      <c r="D147" s="15" t="s">
        <v>4845</v>
      </c>
      <c r="E147" s="16" t="s">
        <v>13011</v>
      </c>
      <c r="F147" s="12">
        <v>43337.436759259261</v>
      </c>
      <c r="G147" s="9" t="s">
        <v>2783</v>
      </c>
      <c r="H147" s="35" t="s">
        <v>4846</v>
      </c>
      <c r="I147" s="18" t="s">
        <v>4847</v>
      </c>
    </row>
    <row r="148" spans="1:9" s="11" customFormat="1" ht="75">
      <c r="A148" s="19">
        <v>43542.437268518523</v>
      </c>
      <c r="B148" s="20" t="s">
        <v>13127</v>
      </c>
      <c r="C148" s="21" t="s">
        <v>10166</v>
      </c>
      <c r="D148" s="22" t="s">
        <v>10167</v>
      </c>
      <c r="E148" s="23" t="s">
        <v>13032</v>
      </c>
      <c r="F148" s="19">
        <v>41040.586909722224</v>
      </c>
      <c r="G148" s="9" t="s">
        <v>2783</v>
      </c>
      <c r="H148" s="35" t="s">
        <v>10168</v>
      </c>
      <c r="I148" s="25" t="s">
        <v>10169</v>
      </c>
    </row>
    <row r="149" spans="1:9" s="11" customFormat="1" ht="105">
      <c r="A149" s="4">
        <v>43562.057442129633</v>
      </c>
      <c r="B149" s="5" t="s">
        <v>13128</v>
      </c>
      <c r="C149" s="6" t="s">
        <v>10765</v>
      </c>
      <c r="D149" s="7" t="s">
        <v>10766</v>
      </c>
      <c r="E149" s="8" t="s">
        <v>13013</v>
      </c>
      <c r="F149" s="4">
        <v>40141.829930555556</v>
      </c>
      <c r="G149" s="9" t="s">
        <v>2783</v>
      </c>
      <c r="H149" s="35" t="s">
        <v>10168</v>
      </c>
      <c r="I149" s="10" t="s">
        <v>10767</v>
      </c>
    </row>
    <row r="150" spans="1:9" s="11" customFormat="1" ht="60">
      <c r="A150" s="4">
        <v>43561.752754629633</v>
      </c>
      <c r="B150" s="5" t="s">
        <v>13129</v>
      </c>
      <c r="C150" s="6" t="s">
        <v>10842</v>
      </c>
      <c r="D150" s="7" t="s">
        <v>10843</v>
      </c>
      <c r="E150" s="8" t="s">
        <v>13130</v>
      </c>
      <c r="F150" s="4">
        <v>40096.401736111111</v>
      </c>
      <c r="G150" s="9" t="s">
        <v>2783</v>
      </c>
      <c r="H150" s="35" t="s">
        <v>10168</v>
      </c>
      <c r="I150" s="10"/>
    </row>
    <row r="151" spans="1:9" s="11" customFormat="1" ht="120">
      <c r="A151" s="4">
        <v>43558.985775462963</v>
      </c>
      <c r="B151" s="5" t="s">
        <v>13129</v>
      </c>
      <c r="C151" s="6" t="s">
        <v>10842</v>
      </c>
      <c r="D151" s="7" t="s">
        <v>11986</v>
      </c>
      <c r="E151" s="8" t="s">
        <v>13011</v>
      </c>
      <c r="F151" s="4">
        <v>40096.401736111111</v>
      </c>
      <c r="G151" s="9" t="s">
        <v>2783</v>
      </c>
      <c r="H151" s="35" t="s">
        <v>10168</v>
      </c>
      <c r="I151" s="10"/>
    </row>
    <row r="152" spans="1:9" s="11" customFormat="1" ht="75">
      <c r="A152" s="12">
        <v>43565.973900462966</v>
      </c>
      <c r="B152" s="13" t="s">
        <v>13131</v>
      </c>
      <c r="C152" s="14" t="s">
        <v>5828</v>
      </c>
      <c r="D152" s="15" t="s">
        <v>5829</v>
      </c>
      <c r="E152" s="16" t="s">
        <v>13013</v>
      </c>
      <c r="F152" s="12">
        <v>39516.436006944445</v>
      </c>
      <c r="G152" s="9" t="s">
        <v>2783</v>
      </c>
      <c r="H152" s="35" t="s">
        <v>5830</v>
      </c>
      <c r="I152" s="18" t="s">
        <v>5831</v>
      </c>
    </row>
    <row r="153" spans="1:9" s="11" customFormat="1" ht="60">
      <c r="A153" s="19">
        <v>43549.912268518514</v>
      </c>
      <c r="B153" s="20" t="s">
        <v>13132</v>
      </c>
      <c r="C153" s="21" t="s">
        <v>7872</v>
      </c>
      <c r="D153" s="22" t="s">
        <v>7873</v>
      </c>
      <c r="E153" s="23" t="s">
        <v>13015</v>
      </c>
      <c r="F153" s="19">
        <v>43407.828206018516</v>
      </c>
      <c r="G153" s="9" t="s">
        <v>2783</v>
      </c>
      <c r="H153" s="35" t="s">
        <v>7874</v>
      </c>
      <c r="I153" s="29" t="s">
        <v>7875</v>
      </c>
    </row>
    <row r="154" spans="1:9" s="11" customFormat="1" ht="60">
      <c r="A154" s="19">
        <v>43549.898090277777</v>
      </c>
      <c r="B154" s="20" t="s">
        <v>13132</v>
      </c>
      <c r="C154" s="21" t="s">
        <v>7872</v>
      </c>
      <c r="D154" s="22" t="s">
        <v>7876</v>
      </c>
      <c r="E154" s="23" t="s">
        <v>13015</v>
      </c>
      <c r="F154" s="19">
        <v>43407.828206018516</v>
      </c>
      <c r="G154" s="9" t="s">
        <v>2783</v>
      </c>
      <c r="H154" s="35" t="s">
        <v>7874</v>
      </c>
      <c r="I154" s="29" t="s">
        <v>7875</v>
      </c>
    </row>
    <row r="155" spans="1:9" s="11" customFormat="1" ht="60">
      <c r="A155" s="19">
        <v>43549.894456018519</v>
      </c>
      <c r="B155" s="20" t="s">
        <v>13132</v>
      </c>
      <c r="C155" s="21" t="s">
        <v>7872</v>
      </c>
      <c r="D155" s="22" t="s">
        <v>7880</v>
      </c>
      <c r="E155" s="23" t="s">
        <v>13015</v>
      </c>
      <c r="F155" s="19">
        <v>43407.828206018516</v>
      </c>
      <c r="G155" s="9" t="s">
        <v>2783</v>
      </c>
      <c r="H155" s="35" t="s">
        <v>7874</v>
      </c>
      <c r="I155" s="29" t="s">
        <v>7875</v>
      </c>
    </row>
    <row r="156" spans="1:9" s="11" customFormat="1" ht="60">
      <c r="A156" s="19">
        <v>43549.891493055555</v>
      </c>
      <c r="B156" s="20" t="s">
        <v>13132</v>
      </c>
      <c r="C156" s="21" t="s">
        <v>7872</v>
      </c>
      <c r="D156" s="22" t="s">
        <v>7886</v>
      </c>
      <c r="E156" s="23" t="s">
        <v>13015</v>
      </c>
      <c r="F156" s="19">
        <v>43407.828206018516</v>
      </c>
      <c r="G156" s="9" t="s">
        <v>2783</v>
      </c>
      <c r="H156" s="35" t="s">
        <v>7874</v>
      </c>
      <c r="I156" s="29" t="s">
        <v>7875</v>
      </c>
    </row>
    <row r="157" spans="1:9" s="11" customFormat="1" ht="45">
      <c r="A157" s="19">
        <v>43549.887766203705</v>
      </c>
      <c r="B157" s="20" t="s">
        <v>13132</v>
      </c>
      <c r="C157" s="21" t="s">
        <v>7872</v>
      </c>
      <c r="D157" s="22" t="s">
        <v>7887</v>
      </c>
      <c r="E157" s="23" t="s">
        <v>13015</v>
      </c>
      <c r="F157" s="19">
        <v>43407.828206018516</v>
      </c>
      <c r="G157" s="9" t="s">
        <v>2783</v>
      </c>
      <c r="H157" s="35" t="s">
        <v>7874</v>
      </c>
      <c r="I157" s="29" t="s">
        <v>7875</v>
      </c>
    </row>
    <row r="158" spans="1:9" s="11" customFormat="1" ht="45">
      <c r="A158" s="19">
        <v>43546.023553240739</v>
      </c>
      <c r="B158" s="20" t="s">
        <v>13132</v>
      </c>
      <c r="C158" s="21" t="s">
        <v>7872</v>
      </c>
      <c r="D158" s="22" t="s">
        <v>8986</v>
      </c>
      <c r="E158" s="23" t="s">
        <v>13015</v>
      </c>
      <c r="F158" s="19">
        <v>43407.828206018516</v>
      </c>
      <c r="G158" s="9" t="s">
        <v>2783</v>
      </c>
      <c r="H158" s="35" t="s">
        <v>7874</v>
      </c>
      <c r="I158" s="29" t="s">
        <v>7875</v>
      </c>
    </row>
    <row r="159" spans="1:9" s="11" customFormat="1" ht="60">
      <c r="A159" s="19">
        <v>43545.934027777781</v>
      </c>
      <c r="B159" s="20" t="s">
        <v>13132</v>
      </c>
      <c r="C159" s="21" t="s">
        <v>7872</v>
      </c>
      <c r="D159" s="22" t="s">
        <v>8996</v>
      </c>
      <c r="E159" s="23" t="s">
        <v>13009</v>
      </c>
      <c r="F159" s="19">
        <v>43407.828206018516</v>
      </c>
      <c r="G159" s="9" t="s">
        <v>2783</v>
      </c>
      <c r="H159" s="35" t="s">
        <v>7874</v>
      </c>
      <c r="I159" s="29" t="s">
        <v>7875</v>
      </c>
    </row>
    <row r="160" spans="1:9" s="11" customFormat="1" ht="60">
      <c r="A160" s="19">
        <v>43545.931747685187</v>
      </c>
      <c r="B160" s="20" t="s">
        <v>13132</v>
      </c>
      <c r="C160" s="21" t="s">
        <v>7872</v>
      </c>
      <c r="D160" s="22" t="s">
        <v>8998</v>
      </c>
      <c r="E160" s="23" t="s">
        <v>13009</v>
      </c>
      <c r="F160" s="19">
        <v>43407.828206018516</v>
      </c>
      <c r="G160" s="9" t="s">
        <v>2783</v>
      </c>
      <c r="H160" s="35" t="s">
        <v>7874</v>
      </c>
      <c r="I160" s="29" t="s">
        <v>7875</v>
      </c>
    </row>
    <row r="161" spans="1:9" s="11" customFormat="1" ht="60">
      <c r="A161" s="19">
        <v>43545.015648148154</v>
      </c>
      <c r="B161" s="20" t="s">
        <v>13132</v>
      </c>
      <c r="C161" s="21" t="s">
        <v>7872</v>
      </c>
      <c r="D161" s="22" t="s">
        <v>9298</v>
      </c>
      <c r="E161" s="23" t="s">
        <v>13009</v>
      </c>
      <c r="F161" s="19">
        <v>43407.828206018516</v>
      </c>
      <c r="G161" s="9" t="s">
        <v>2783</v>
      </c>
      <c r="H161" s="35" t="s">
        <v>7874</v>
      </c>
      <c r="I161" s="29" t="s">
        <v>7875</v>
      </c>
    </row>
    <row r="162" spans="1:9" s="11" customFormat="1" ht="60">
      <c r="A162" s="19">
        <v>43545.002164351856</v>
      </c>
      <c r="B162" s="20" t="s">
        <v>13132</v>
      </c>
      <c r="C162" s="21" t="s">
        <v>7872</v>
      </c>
      <c r="D162" s="22" t="s">
        <v>9312</v>
      </c>
      <c r="E162" s="23" t="s">
        <v>13009</v>
      </c>
      <c r="F162" s="19">
        <v>43407.828206018516</v>
      </c>
      <c r="G162" s="9" t="s">
        <v>2783</v>
      </c>
      <c r="H162" s="35" t="s">
        <v>7874</v>
      </c>
      <c r="I162" s="29" t="s">
        <v>7875</v>
      </c>
    </row>
    <row r="163" spans="1:9" s="11" customFormat="1" ht="45">
      <c r="A163" s="19">
        <v>43544.998124999998</v>
      </c>
      <c r="B163" s="20" t="s">
        <v>13132</v>
      </c>
      <c r="C163" s="21" t="s">
        <v>7872</v>
      </c>
      <c r="D163" s="22" t="s">
        <v>9313</v>
      </c>
      <c r="E163" s="23" t="s">
        <v>13009</v>
      </c>
      <c r="F163" s="19">
        <v>43407.828206018516</v>
      </c>
      <c r="G163" s="9" t="s">
        <v>2783</v>
      </c>
      <c r="H163" s="35" t="s">
        <v>7874</v>
      </c>
      <c r="I163" s="29" t="s">
        <v>7875</v>
      </c>
    </row>
    <row r="164" spans="1:9" s="11" customFormat="1" ht="45">
      <c r="A164" s="19">
        <v>43548.886076388888</v>
      </c>
      <c r="B164" s="20" t="s">
        <v>13133</v>
      </c>
      <c r="C164" s="21" t="s">
        <v>8205</v>
      </c>
      <c r="D164" s="22" t="s">
        <v>8206</v>
      </c>
      <c r="E164" s="23" t="s">
        <v>13032</v>
      </c>
      <c r="F164" s="19">
        <v>39884.844409722224</v>
      </c>
      <c r="G164" s="24" t="s">
        <v>2783</v>
      </c>
      <c r="H164" s="35" t="s">
        <v>1772</v>
      </c>
      <c r="I164" s="25" t="s">
        <v>8207</v>
      </c>
    </row>
    <row r="165" spans="1:9" s="11" customFormat="1" ht="45">
      <c r="A165" s="19">
        <v>43548.66673611111</v>
      </c>
      <c r="B165" s="20" t="s">
        <v>13133</v>
      </c>
      <c r="C165" s="21" t="s">
        <v>8205</v>
      </c>
      <c r="D165" s="22" t="s">
        <v>8252</v>
      </c>
      <c r="E165" s="23" t="s">
        <v>13032</v>
      </c>
      <c r="F165" s="19">
        <v>39884.844409722224</v>
      </c>
      <c r="G165" s="24" t="s">
        <v>2783</v>
      </c>
      <c r="H165" s="35" t="s">
        <v>1772</v>
      </c>
      <c r="I165" s="25" t="s">
        <v>8207</v>
      </c>
    </row>
    <row r="166" spans="1:9" s="11" customFormat="1" ht="75">
      <c r="A166" s="4">
        <v>43564.101099537038</v>
      </c>
      <c r="B166" s="5" t="s">
        <v>13134</v>
      </c>
      <c r="C166" s="6" t="s">
        <v>1770</v>
      </c>
      <c r="D166" s="7" t="s">
        <v>6784</v>
      </c>
      <c r="E166" s="8" t="s">
        <v>13009</v>
      </c>
      <c r="F166" s="4">
        <v>43528.02479166667</v>
      </c>
      <c r="G166" s="24" t="s">
        <v>2783</v>
      </c>
      <c r="H166" s="35" t="s">
        <v>1772</v>
      </c>
      <c r="I166" s="10" t="s">
        <v>1773</v>
      </c>
    </row>
    <row r="167" spans="1:9" s="11" customFormat="1" ht="60">
      <c r="A167" s="12">
        <v>43577.030347222222</v>
      </c>
      <c r="B167" s="13" t="s">
        <v>13134</v>
      </c>
      <c r="C167" s="14" t="s">
        <v>1770</v>
      </c>
      <c r="D167" s="15" t="s">
        <v>1771</v>
      </c>
      <c r="E167" s="16" t="s">
        <v>13009</v>
      </c>
      <c r="F167" s="12">
        <v>43528.02479166667</v>
      </c>
      <c r="G167" s="24" t="s">
        <v>2783</v>
      </c>
      <c r="H167" s="35" t="s">
        <v>1772</v>
      </c>
      <c r="I167" s="18" t="s">
        <v>1773</v>
      </c>
    </row>
    <row r="168" spans="1:9" s="11" customFormat="1" ht="30">
      <c r="A168" s="12">
        <v>43575.969351851847</v>
      </c>
      <c r="B168" s="13" t="s">
        <v>13135</v>
      </c>
      <c r="C168" s="14" t="s">
        <v>2084</v>
      </c>
      <c r="D168" s="15" t="s">
        <v>2085</v>
      </c>
      <c r="E168" s="16" t="s">
        <v>13130</v>
      </c>
      <c r="F168" s="12">
        <v>39932.146168981482</v>
      </c>
      <c r="G168" s="24" t="s">
        <v>2783</v>
      </c>
      <c r="H168" s="35" t="s">
        <v>2086</v>
      </c>
      <c r="I168" s="18" t="s">
        <v>2087</v>
      </c>
    </row>
    <row r="169" spans="1:9" s="11" customFormat="1" ht="90">
      <c r="A169" s="19">
        <v>43549.043009259258</v>
      </c>
      <c r="B169" s="20" t="s">
        <v>13136</v>
      </c>
      <c r="C169" s="21" t="s">
        <v>1321</v>
      </c>
      <c r="D169" s="22" t="s">
        <v>8182</v>
      </c>
      <c r="E169" s="23" t="s">
        <v>13009</v>
      </c>
      <c r="F169" s="19">
        <v>43495.884583333333</v>
      </c>
      <c r="G169" s="24" t="s">
        <v>2783</v>
      </c>
      <c r="H169" s="35" t="s">
        <v>1323</v>
      </c>
      <c r="I169" s="25" t="s">
        <v>1324</v>
      </c>
    </row>
    <row r="170" spans="1:9" s="11" customFormat="1" ht="90">
      <c r="A170" s="19">
        <v>43546.314386574071</v>
      </c>
      <c r="B170" s="20" t="s">
        <v>13136</v>
      </c>
      <c r="C170" s="21" t="s">
        <v>1321</v>
      </c>
      <c r="D170" s="22" t="s">
        <v>8911</v>
      </c>
      <c r="E170" s="23" t="s">
        <v>13009</v>
      </c>
      <c r="F170" s="19">
        <v>43495.884583333333</v>
      </c>
      <c r="G170" s="24" t="s">
        <v>2783</v>
      </c>
      <c r="H170" s="35" t="s">
        <v>1323</v>
      </c>
      <c r="I170" s="25" t="s">
        <v>1324</v>
      </c>
    </row>
    <row r="171" spans="1:9" s="11" customFormat="1" ht="90">
      <c r="A171" s="19">
        <v>43544.112638888888</v>
      </c>
      <c r="B171" s="20" t="s">
        <v>13136</v>
      </c>
      <c r="C171" s="21" t="s">
        <v>1321</v>
      </c>
      <c r="D171" s="22" t="s">
        <v>9612</v>
      </c>
      <c r="E171" s="23" t="s">
        <v>13009</v>
      </c>
      <c r="F171" s="19">
        <v>43495.884583333333</v>
      </c>
      <c r="G171" s="24" t="s">
        <v>2783</v>
      </c>
      <c r="H171" s="35" t="s">
        <v>1323</v>
      </c>
      <c r="I171" s="25" t="s">
        <v>1324</v>
      </c>
    </row>
    <row r="172" spans="1:9" s="11" customFormat="1" ht="90">
      <c r="A172" s="4">
        <v>43563.139247685191</v>
      </c>
      <c r="B172" s="5" t="s">
        <v>13136</v>
      </c>
      <c r="C172" s="6" t="s">
        <v>1321</v>
      </c>
      <c r="D172" s="7" t="s">
        <v>10453</v>
      </c>
      <c r="E172" s="8" t="s">
        <v>13009</v>
      </c>
      <c r="F172" s="4">
        <v>43495.884583333333</v>
      </c>
      <c r="G172" s="24" t="s">
        <v>2783</v>
      </c>
      <c r="H172" s="35" t="s">
        <v>1323</v>
      </c>
      <c r="I172" s="10" t="s">
        <v>1324</v>
      </c>
    </row>
    <row r="173" spans="1:9" s="11" customFormat="1" ht="90">
      <c r="A173" s="4">
        <v>43559.219270833331</v>
      </c>
      <c r="B173" s="5" t="s">
        <v>13136</v>
      </c>
      <c r="C173" s="6" t="s">
        <v>1321</v>
      </c>
      <c r="D173" s="7" t="s">
        <v>11909</v>
      </c>
      <c r="E173" s="8" t="s">
        <v>13009</v>
      </c>
      <c r="F173" s="4">
        <v>43495.884583333333</v>
      </c>
      <c r="G173" s="24" t="s">
        <v>2783</v>
      </c>
      <c r="H173" s="35" t="s">
        <v>1323</v>
      </c>
      <c r="I173" s="10" t="s">
        <v>1324</v>
      </c>
    </row>
    <row r="174" spans="1:9" s="11" customFormat="1" ht="90">
      <c r="A174" s="12">
        <v>43578.282164351855</v>
      </c>
      <c r="B174" s="13" t="s">
        <v>13136</v>
      </c>
      <c r="C174" s="14" t="s">
        <v>1321</v>
      </c>
      <c r="D174" s="15" t="s">
        <v>1322</v>
      </c>
      <c r="E174" s="16" t="s">
        <v>13009</v>
      </c>
      <c r="F174" s="12">
        <v>43495.884583333333</v>
      </c>
      <c r="G174" s="24" t="s">
        <v>2783</v>
      </c>
      <c r="H174" s="35" t="s">
        <v>1323</v>
      </c>
      <c r="I174" s="18" t="s">
        <v>1324</v>
      </c>
    </row>
    <row r="175" spans="1:9" s="11" customFormat="1" ht="45">
      <c r="A175" s="12">
        <v>43577.365277777775</v>
      </c>
      <c r="B175" s="13" t="s">
        <v>13137</v>
      </c>
      <c r="C175" s="14" t="s">
        <v>1652</v>
      </c>
      <c r="D175" s="15" t="s">
        <v>405</v>
      </c>
      <c r="E175" s="16" t="s">
        <v>13034</v>
      </c>
      <c r="F175" s="12">
        <v>41025.333981481483</v>
      </c>
      <c r="G175" s="24" t="s">
        <v>2783</v>
      </c>
      <c r="H175" s="35" t="s">
        <v>1323</v>
      </c>
      <c r="I175" s="18" t="s">
        <v>1653</v>
      </c>
    </row>
    <row r="176" spans="1:9" s="11" customFormat="1" ht="45">
      <c r="A176" s="12">
        <v>43572.245844907404</v>
      </c>
      <c r="B176" s="13" t="s">
        <v>13137</v>
      </c>
      <c r="C176" s="14" t="s">
        <v>1652</v>
      </c>
      <c r="D176" s="15" t="s">
        <v>502</v>
      </c>
      <c r="E176" s="16" t="s">
        <v>13034</v>
      </c>
      <c r="F176" s="12">
        <v>41025.333981481483</v>
      </c>
      <c r="G176" s="24" t="s">
        <v>2783</v>
      </c>
      <c r="H176" s="35" t="s">
        <v>1323</v>
      </c>
      <c r="I176" s="18" t="s">
        <v>1653</v>
      </c>
    </row>
    <row r="177" spans="1:9" s="11" customFormat="1" ht="30">
      <c r="A177" s="19">
        <v>43551.316620370373</v>
      </c>
      <c r="B177" s="20" t="s">
        <v>13138</v>
      </c>
      <c r="C177" s="21" t="s">
        <v>7315</v>
      </c>
      <c r="D177" s="22" t="s">
        <v>7316</v>
      </c>
      <c r="E177" s="23" t="s">
        <v>13009</v>
      </c>
      <c r="F177" s="19">
        <v>42715.263506944444</v>
      </c>
      <c r="G177" s="24" t="s">
        <v>2783</v>
      </c>
      <c r="H177" s="35" t="s">
        <v>198</v>
      </c>
      <c r="I177" s="25" t="s">
        <v>7317</v>
      </c>
    </row>
    <row r="178" spans="1:9" s="11" customFormat="1" ht="75">
      <c r="A178" s="4">
        <v>43564.391689814816</v>
      </c>
      <c r="B178" s="5" t="s">
        <v>13139</v>
      </c>
      <c r="C178" s="6" t="s">
        <v>6634</v>
      </c>
      <c r="D178" s="7" t="s">
        <v>6635</v>
      </c>
      <c r="E178" s="8" t="s">
        <v>13013</v>
      </c>
      <c r="F178" s="4">
        <v>40008.480787037035</v>
      </c>
      <c r="G178" s="24" t="s">
        <v>2783</v>
      </c>
      <c r="H178" s="35" t="s">
        <v>198</v>
      </c>
      <c r="I178" s="10"/>
    </row>
    <row r="179" spans="1:9" s="11" customFormat="1" ht="75">
      <c r="A179" s="4">
        <v>43564.388888888891</v>
      </c>
      <c r="B179" s="5" t="s">
        <v>13139</v>
      </c>
      <c r="C179" s="6" t="s">
        <v>6634</v>
      </c>
      <c r="D179" s="7" t="s">
        <v>6640</v>
      </c>
      <c r="E179" s="8" t="s">
        <v>13013</v>
      </c>
      <c r="F179" s="4">
        <v>40008.480787037035</v>
      </c>
      <c r="G179" s="24" t="s">
        <v>2783</v>
      </c>
      <c r="H179" s="35" t="s">
        <v>198</v>
      </c>
      <c r="I179" s="10"/>
    </row>
    <row r="180" spans="1:9" s="11" customFormat="1" ht="90">
      <c r="A180" s="4">
        <v>43564.204837962963</v>
      </c>
      <c r="B180" s="5" t="s">
        <v>13140</v>
      </c>
      <c r="C180" s="6" t="s">
        <v>6735</v>
      </c>
      <c r="D180" s="7" t="s">
        <v>6736</v>
      </c>
      <c r="E180" s="8" t="s">
        <v>13141</v>
      </c>
      <c r="F180" s="4">
        <v>42893.020648148144</v>
      </c>
      <c r="G180" s="24" t="s">
        <v>2783</v>
      </c>
      <c r="H180" s="35" t="s">
        <v>198</v>
      </c>
      <c r="I180" s="10" t="s">
        <v>6737</v>
      </c>
    </row>
    <row r="181" spans="1:9" s="11" customFormat="1" ht="60">
      <c r="A181" s="4">
        <v>43558.975694444445</v>
      </c>
      <c r="B181" s="5" t="s">
        <v>13142</v>
      </c>
      <c r="C181" s="6" t="s">
        <v>11987</v>
      </c>
      <c r="D181" s="7" t="s">
        <v>11988</v>
      </c>
      <c r="E181" s="8" t="s">
        <v>13120</v>
      </c>
      <c r="F181" s="4">
        <v>42816.12222222222</v>
      </c>
      <c r="G181" s="24" t="s">
        <v>2783</v>
      </c>
      <c r="H181" s="35" t="s">
        <v>198</v>
      </c>
      <c r="I181" s="10" t="s">
        <v>11989</v>
      </c>
    </row>
    <row r="182" spans="1:9" s="11" customFormat="1" ht="90">
      <c r="A182" s="4">
        <v>43557.312569444446</v>
      </c>
      <c r="B182" s="5" t="s">
        <v>13143</v>
      </c>
      <c r="C182" s="6" t="s">
        <v>12564</v>
      </c>
      <c r="D182" s="7" t="s">
        <v>12565</v>
      </c>
      <c r="E182" s="8" t="s">
        <v>13034</v>
      </c>
      <c r="F182" s="4">
        <v>41240.40996527778</v>
      </c>
      <c r="G182" s="24" t="s">
        <v>2783</v>
      </c>
      <c r="H182" s="35" t="s">
        <v>198</v>
      </c>
      <c r="I182" s="10" t="s">
        <v>12566</v>
      </c>
    </row>
    <row r="183" spans="1:9" s="11" customFormat="1" ht="75">
      <c r="A183" s="4">
        <v>43557.3</v>
      </c>
      <c r="B183" s="5" t="s">
        <v>13144</v>
      </c>
      <c r="C183" s="6" t="s">
        <v>12574</v>
      </c>
      <c r="D183" s="7" t="s">
        <v>12575</v>
      </c>
      <c r="E183" s="8" t="s">
        <v>13120</v>
      </c>
      <c r="F183" s="4">
        <v>43459.973402777774</v>
      </c>
      <c r="G183" s="24" t="s">
        <v>2783</v>
      </c>
      <c r="H183" s="35" t="s">
        <v>198</v>
      </c>
      <c r="I183" s="10" t="s">
        <v>12576</v>
      </c>
    </row>
    <row r="184" spans="1:9" s="11" customFormat="1" ht="45">
      <c r="A184" s="12">
        <v>43580.635787037041</v>
      </c>
      <c r="B184" s="13" t="s">
        <v>13145</v>
      </c>
      <c r="C184" s="14" t="s">
        <v>196</v>
      </c>
      <c r="D184" s="15" t="s">
        <v>197</v>
      </c>
      <c r="E184" s="16" t="s">
        <v>13146</v>
      </c>
      <c r="F184" s="12">
        <v>41792.654953703706</v>
      </c>
      <c r="G184" s="24" t="s">
        <v>2783</v>
      </c>
      <c r="H184" s="35" t="s">
        <v>198</v>
      </c>
      <c r="I184" s="18" t="s">
        <v>199</v>
      </c>
    </row>
    <row r="185" spans="1:9" s="11" customFormat="1" ht="45">
      <c r="A185" s="12">
        <v>43572.244710648149</v>
      </c>
      <c r="B185" s="13" t="s">
        <v>13145</v>
      </c>
      <c r="C185" s="14" t="s">
        <v>196</v>
      </c>
      <c r="D185" s="15" t="s">
        <v>197</v>
      </c>
      <c r="E185" s="16" t="s">
        <v>13146</v>
      </c>
      <c r="F185" s="12">
        <v>41792.196620370371</v>
      </c>
      <c r="G185" s="24" t="s">
        <v>2783</v>
      </c>
      <c r="H185" s="35" t="s">
        <v>198</v>
      </c>
      <c r="I185" s="18" t="s">
        <v>199</v>
      </c>
    </row>
    <row r="186" spans="1:9" s="11" customFormat="1" ht="30">
      <c r="A186" s="12">
        <v>43578.203553240739</v>
      </c>
      <c r="B186" s="13" t="s">
        <v>13147</v>
      </c>
      <c r="C186" s="14" t="s">
        <v>1360</v>
      </c>
      <c r="D186" s="15" t="s">
        <v>1361</v>
      </c>
      <c r="E186" s="16" t="s">
        <v>13009</v>
      </c>
      <c r="F186" s="12">
        <v>40705.339780092589</v>
      </c>
      <c r="G186" s="17" t="s">
        <v>2783</v>
      </c>
      <c r="H186" s="35" t="s">
        <v>1362</v>
      </c>
      <c r="I186" s="18"/>
    </row>
    <row r="187" spans="1:9" s="11" customFormat="1" ht="60">
      <c r="A187" s="12">
        <v>43579.670439814814</v>
      </c>
      <c r="B187" s="13" t="s">
        <v>13148</v>
      </c>
      <c r="C187" s="14" t="s">
        <v>523</v>
      </c>
      <c r="D187" s="15" t="s">
        <v>301</v>
      </c>
      <c r="E187" s="16" t="s">
        <v>13009</v>
      </c>
      <c r="F187" s="12">
        <v>40278.845185185186</v>
      </c>
      <c r="G187" s="17" t="s">
        <v>2783</v>
      </c>
      <c r="H187" s="35" t="s">
        <v>524</v>
      </c>
      <c r="I187" s="18"/>
    </row>
    <row r="188" spans="1:9" s="11" customFormat="1" ht="30">
      <c r="A188" s="4">
        <v>43557.048402777778</v>
      </c>
      <c r="B188" s="5" t="s">
        <v>13149</v>
      </c>
      <c r="C188" s="6" t="s">
        <v>12663</v>
      </c>
      <c r="D188" s="7" t="s">
        <v>12664</v>
      </c>
      <c r="E188" s="8" t="s">
        <v>13032</v>
      </c>
      <c r="F188" s="4">
        <v>40909.961851851855</v>
      </c>
      <c r="G188" s="9" t="s">
        <v>2783</v>
      </c>
      <c r="H188" s="35" t="s">
        <v>12665</v>
      </c>
      <c r="I188" s="10" t="s">
        <v>12666</v>
      </c>
    </row>
    <row r="189" spans="1:9" s="11" customFormat="1" ht="75">
      <c r="A189" s="19">
        <v>43549.13680555555</v>
      </c>
      <c r="B189" s="20" t="s">
        <v>13150</v>
      </c>
      <c r="C189" s="21" t="s">
        <v>1450</v>
      </c>
      <c r="D189" s="22" t="s">
        <v>8150</v>
      </c>
      <c r="E189" s="23" t="s">
        <v>13034</v>
      </c>
      <c r="F189" s="19">
        <v>43311.216597222221</v>
      </c>
      <c r="G189" s="17" t="s">
        <v>2783</v>
      </c>
      <c r="H189" s="35" t="s">
        <v>1040</v>
      </c>
      <c r="I189" s="25" t="s">
        <v>1452</v>
      </c>
    </row>
    <row r="190" spans="1:9" s="11" customFormat="1" ht="105">
      <c r="A190" s="19">
        <v>43547.760428240741</v>
      </c>
      <c r="B190" s="20" t="s">
        <v>13151</v>
      </c>
      <c r="C190" s="21" t="s">
        <v>1038</v>
      </c>
      <c r="D190" s="22" t="s">
        <v>1039</v>
      </c>
      <c r="E190" s="23" t="s">
        <v>13034</v>
      </c>
      <c r="F190" s="19">
        <v>41776.087835648148</v>
      </c>
      <c r="G190" s="17" t="s">
        <v>2783</v>
      </c>
      <c r="H190" s="35" t="s">
        <v>1040</v>
      </c>
      <c r="I190" s="25" t="s">
        <v>1041</v>
      </c>
    </row>
    <row r="191" spans="1:9" s="11" customFormat="1" ht="75">
      <c r="A191" s="19">
        <v>43545.938206018516</v>
      </c>
      <c r="B191" s="20" t="s">
        <v>13150</v>
      </c>
      <c r="C191" s="21" t="s">
        <v>1450</v>
      </c>
      <c r="D191" s="22" t="s">
        <v>1451</v>
      </c>
      <c r="E191" s="23" t="s">
        <v>13034</v>
      </c>
      <c r="F191" s="19">
        <v>43311.216597222221</v>
      </c>
      <c r="G191" s="17" t="s">
        <v>2783</v>
      </c>
      <c r="H191" s="35" t="s">
        <v>1040</v>
      </c>
      <c r="I191" s="25" t="s">
        <v>1452</v>
      </c>
    </row>
    <row r="192" spans="1:9" s="11" customFormat="1" ht="75">
      <c r="A192" s="4">
        <v>43563.13680555555</v>
      </c>
      <c r="B192" s="5" t="s">
        <v>13150</v>
      </c>
      <c r="C192" s="6" t="s">
        <v>1450</v>
      </c>
      <c r="D192" s="7" t="s">
        <v>1451</v>
      </c>
      <c r="E192" s="8" t="s">
        <v>13034</v>
      </c>
      <c r="F192" s="4">
        <v>43311.216597222221</v>
      </c>
      <c r="G192" s="17" t="s">
        <v>2783</v>
      </c>
      <c r="H192" s="35" t="s">
        <v>1040</v>
      </c>
      <c r="I192" s="10" t="s">
        <v>1452</v>
      </c>
    </row>
    <row r="193" spans="1:9" s="11" customFormat="1" ht="45">
      <c r="A193" s="4">
        <v>43561.970069444447</v>
      </c>
      <c r="B193" s="5" t="s">
        <v>13152</v>
      </c>
      <c r="C193" s="6" t="s">
        <v>10790</v>
      </c>
      <c r="D193" s="7" t="s">
        <v>10791</v>
      </c>
      <c r="E193" s="8" t="s">
        <v>13120</v>
      </c>
      <c r="F193" s="4">
        <v>40282.031828703708</v>
      </c>
      <c r="G193" s="17" t="s">
        <v>2783</v>
      </c>
      <c r="H193" s="35" t="s">
        <v>1040</v>
      </c>
      <c r="I193" s="10" t="s">
        <v>10792</v>
      </c>
    </row>
    <row r="194" spans="1:9" s="11" customFormat="1" ht="75">
      <c r="A194" s="4">
        <v>43559.938194444447</v>
      </c>
      <c r="B194" s="5" t="s">
        <v>13150</v>
      </c>
      <c r="C194" s="6" t="s">
        <v>1450</v>
      </c>
      <c r="D194" s="7" t="s">
        <v>1451</v>
      </c>
      <c r="E194" s="8" t="s">
        <v>13034</v>
      </c>
      <c r="F194" s="4">
        <v>43311.216597222221</v>
      </c>
      <c r="G194" s="17" t="s">
        <v>2783</v>
      </c>
      <c r="H194" s="35" t="s">
        <v>1040</v>
      </c>
      <c r="I194" s="10" t="s">
        <v>1452</v>
      </c>
    </row>
    <row r="195" spans="1:9" s="11" customFormat="1" ht="105">
      <c r="A195" s="12">
        <v>43578.760451388887</v>
      </c>
      <c r="B195" s="13" t="s">
        <v>13151</v>
      </c>
      <c r="C195" s="14" t="s">
        <v>1038</v>
      </c>
      <c r="D195" s="15" t="s">
        <v>1039</v>
      </c>
      <c r="E195" s="16" t="s">
        <v>13034</v>
      </c>
      <c r="F195" s="12">
        <v>41776.087835648148</v>
      </c>
      <c r="G195" s="17" t="s">
        <v>2783</v>
      </c>
      <c r="H195" s="35" t="s">
        <v>1040</v>
      </c>
      <c r="I195" s="18" t="s">
        <v>1041</v>
      </c>
    </row>
    <row r="196" spans="1:9" s="11" customFormat="1" ht="75">
      <c r="A196" s="12">
        <v>43577.938206018516</v>
      </c>
      <c r="B196" s="13" t="s">
        <v>13150</v>
      </c>
      <c r="C196" s="14" t="s">
        <v>1450</v>
      </c>
      <c r="D196" s="15" t="s">
        <v>1451</v>
      </c>
      <c r="E196" s="16" t="s">
        <v>13034</v>
      </c>
      <c r="F196" s="12">
        <v>43311.216597222221</v>
      </c>
      <c r="G196" s="17" t="s">
        <v>2783</v>
      </c>
      <c r="H196" s="35" t="s">
        <v>1040</v>
      </c>
      <c r="I196" s="18" t="s">
        <v>1452</v>
      </c>
    </row>
    <row r="197" spans="1:9" s="11" customFormat="1" ht="105">
      <c r="A197" s="12">
        <v>43572.760439814811</v>
      </c>
      <c r="B197" s="13" t="s">
        <v>13151</v>
      </c>
      <c r="C197" s="14" t="s">
        <v>1038</v>
      </c>
      <c r="D197" s="15" t="s">
        <v>1039</v>
      </c>
      <c r="E197" s="16" t="s">
        <v>13034</v>
      </c>
      <c r="F197" s="12">
        <v>41776.087835648148</v>
      </c>
      <c r="G197" s="17" t="s">
        <v>2783</v>
      </c>
      <c r="H197" s="35" t="s">
        <v>1040</v>
      </c>
      <c r="I197" s="18" t="s">
        <v>1041</v>
      </c>
    </row>
    <row r="198" spans="1:9" s="11" customFormat="1" ht="75">
      <c r="A198" s="12">
        <v>43570.331250000003</v>
      </c>
      <c r="B198" s="13" t="s">
        <v>13150</v>
      </c>
      <c r="C198" s="14" t="s">
        <v>1450</v>
      </c>
      <c r="D198" s="15" t="s">
        <v>1451</v>
      </c>
      <c r="E198" s="16" t="s">
        <v>13034</v>
      </c>
      <c r="F198" s="12">
        <v>43311.216597222221</v>
      </c>
      <c r="G198" s="17" t="s">
        <v>2783</v>
      </c>
      <c r="H198" s="35" t="s">
        <v>1040</v>
      </c>
      <c r="I198" s="18" t="s">
        <v>1452</v>
      </c>
    </row>
    <row r="199" spans="1:9" s="11" customFormat="1" ht="75">
      <c r="A199" s="12">
        <v>43566.938194444447</v>
      </c>
      <c r="B199" s="13" t="s">
        <v>13150</v>
      </c>
      <c r="C199" s="14" t="s">
        <v>1450</v>
      </c>
      <c r="D199" s="15" t="s">
        <v>1451</v>
      </c>
      <c r="E199" s="16" t="s">
        <v>13034</v>
      </c>
      <c r="F199" s="12">
        <v>43311.216597222221</v>
      </c>
      <c r="G199" s="17" t="s">
        <v>2783</v>
      </c>
      <c r="H199" s="35" t="s">
        <v>1040</v>
      </c>
      <c r="I199" s="18" t="s">
        <v>1452</v>
      </c>
    </row>
    <row r="200" spans="1:9" s="11" customFormat="1" ht="105">
      <c r="A200" s="12">
        <v>43566.760451388887</v>
      </c>
      <c r="B200" s="13" t="s">
        <v>13151</v>
      </c>
      <c r="C200" s="14" t="s">
        <v>1038</v>
      </c>
      <c r="D200" s="15" t="s">
        <v>1039</v>
      </c>
      <c r="E200" s="16" t="s">
        <v>13034</v>
      </c>
      <c r="F200" s="12">
        <v>41776.087835648148</v>
      </c>
      <c r="G200" s="17" t="s">
        <v>2783</v>
      </c>
      <c r="H200" s="35" t="s">
        <v>1040</v>
      </c>
      <c r="I200" s="18" t="s">
        <v>1041</v>
      </c>
    </row>
    <row r="201" spans="1:9" s="11" customFormat="1" ht="75">
      <c r="A201" s="19">
        <v>43545.136840277773</v>
      </c>
      <c r="B201" s="20" t="s">
        <v>13153</v>
      </c>
      <c r="C201" s="21" t="s">
        <v>250</v>
      </c>
      <c r="D201" s="22" t="s">
        <v>251</v>
      </c>
      <c r="E201" s="23" t="s">
        <v>13034</v>
      </c>
      <c r="F201" s="19">
        <v>40142.030439814815</v>
      </c>
      <c r="G201" s="17" t="s">
        <v>2783</v>
      </c>
      <c r="H201" s="35" t="s">
        <v>252</v>
      </c>
      <c r="I201" s="25" t="s">
        <v>253</v>
      </c>
    </row>
    <row r="202" spans="1:9" s="11" customFormat="1" ht="75">
      <c r="A202" s="4">
        <v>43561.789606481485</v>
      </c>
      <c r="B202" s="5" t="s">
        <v>13153</v>
      </c>
      <c r="C202" s="6" t="s">
        <v>250</v>
      </c>
      <c r="D202" s="7" t="s">
        <v>251</v>
      </c>
      <c r="E202" s="8" t="s">
        <v>13034</v>
      </c>
      <c r="F202" s="4">
        <v>40142.030439814815</v>
      </c>
      <c r="G202" s="17" t="s">
        <v>2783</v>
      </c>
      <c r="H202" s="35" t="s">
        <v>252</v>
      </c>
      <c r="I202" s="10" t="s">
        <v>253</v>
      </c>
    </row>
    <row r="203" spans="1:9" s="11" customFormat="1" ht="75">
      <c r="A203" s="4">
        <v>43556.789606481485</v>
      </c>
      <c r="B203" s="5" t="s">
        <v>13153</v>
      </c>
      <c r="C203" s="6" t="s">
        <v>250</v>
      </c>
      <c r="D203" s="7" t="s">
        <v>251</v>
      </c>
      <c r="E203" s="8" t="s">
        <v>13034</v>
      </c>
      <c r="F203" s="4">
        <v>40142.030439814815</v>
      </c>
      <c r="G203" s="17" t="s">
        <v>2783</v>
      </c>
      <c r="H203" s="35" t="s">
        <v>252</v>
      </c>
      <c r="I203" s="10" t="s">
        <v>253</v>
      </c>
    </row>
    <row r="204" spans="1:9" s="11" customFormat="1" ht="75">
      <c r="A204" s="12">
        <v>43580.136828703704</v>
      </c>
      <c r="B204" s="13" t="s">
        <v>13153</v>
      </c>
      <c r="C204" s="14" t="s">
        <v>250</v>
      </c>
      <c r="D204" s="15" t="s">
        <v>251</v>
      </c>
      <c r="E204" s="16" t="s">
        <v>13034</v>
      </c>
      <c r="F204" s="12">
        <v>40142.030439814815</v>
      </c>
      <c r="G204" s="17" t="s">
        <v>2783</v>
      </c>
      <c r="H204" s="35" t="s">
        <v>252</v>
      </c>
      <c r="I204" s="18" t="s">
        <v>253</v>
      </c>
    </row>
    <row r="205" spans="1:9" s="11" customFormat="1" ht="90">
      <c r="A205" s="4">
        <v>43564.046087962968</v>
      </c>
      <c r="B205" s="5" t="s">
        <v>13154</v>
      </c>
      <c r="C205" s="6" t="s">
        <v>6803</v>
      </c>
      <c r="D205" s="7" t="s">
        <v>6804</v>
      </c>
      <c r="E205" s="8" t="s">
        <v>13013</v>
      </c>
      <c r="F205" s="4">
        <v>43165.201898148152</v>
      </c>
      <c r="G205" s="9" t="s">
        <v>2783</v>
      </c>
      <c r="H205" s="35" t="s">
        <v>3773</v>
      </c>
      <c r="I205" s="10" t="s">
        <v>6805</v>
      </c>
    </row>
    <row r="206" spans="1:9" s="11" customFormat="1" ht="105">
      <c r="A206" s="12">
        <v>43571.245925925927</v>
      </c>
      <c r="B206" s="13" t="s">
        <v>13155</v>
      </c>
      <c r="C206" s="14" t="s">
        <v>3771</v>
      </c>
      <c r="D206" s="15" t="s">
        <v>3772</v>
      </c>
      <c r="E206" s="16" t="s">
        <v>13006</v>
      </c>
      <c r="F206" s="12">
        <v>41413.959097222221</v>
      </c>
      <c r="G206" s="9" t="s">
        <v>2783</v>
      </c>
      <c r="H206" s="35" t="s">
        <v>3773</v>
      </c>
      <c r="I206" s="18" t="s">
        <v>3774</v>
      </c>
    </row>
    <row r="207" spans="1:9" s="11" customFormat="1" ht="105">
      <c r="A207" s="12">
        <v>43571.160844907412</v>
      </c>
      <c r="B207" s="13" t="s">
        <v>13155</v>
      </c>
      <c r="C207" s="14" t="s">
        <v>3771</v>
      </c>
      <c r="D207" s="15" t="s">
        <v>3828</v>
      </c>
      <c r="E207" s="16" t="s">
        <v>13006</v>
      </c>
      <c r="F207" s="12">
        <v>41413.959097222221</v>
      </c>
      <c r="G207" s="9" t="s">
        <v>2783</v>
      </c>
      <c r="H207" s="35" t="s">
        <v>3773</v>
      </c>
      <c r="I207" s="18" t="s">
        <v>3774</v>
      </c>
    </row>
    <row r="208" spans="1:9" s="11" customFormat="1" ht="105">
      <c r="A208" s="12">
        <v>43571.15688657407</v>
      </c>
      <c r="B208" s="13" t="s">
        <v>13155</v>
      </c>
      <c r="C208" s="14" t="s">
        <v>3771</v>
      </c>
      <c r="D208" s="15" t="s">
        <v>3829</v>
      </c>
      <c r="E208" s="16" t="s">
        <v>13006</v>
      </c>
      <c r="F208" s="12">
        <v>41413.959097222221</v>
      </c>
      <c r="G208" s="9" t="s">
        <v>2783</v>
      </c>
      <c r="H208" s="35" t="s">
        <v>3773</v>
      </c>
      <c r="I208" s="18" t="s">
        <v>3774</v>
      </c>
    </row>
    <row r="209" spans="1:9" s="11" customFormat="1" ht="45">
      <c r="A209" s="4">
        <v>43560.143912037034</v>
      </c>
      <c r="B209" s="5" t="s">
        <v>13156</v>
      </c>
      <c r="C209" s="6" t="s">
        <v>11594</v>
      </c>
      <c r="D209" s="7" t="s">
        <v>11595</v>
      </c>
      <c r="E209" s="8" t="s">
        <v>13013</v>
      </c>
      <c r="F209" s="4">
        <v>43557.897881944446</v>
      </c>
      <c r="G209" s="9" t="s">
        <v>2783</v>
      </c>
      <c r="H209" s="35" t="s">
        <v>11596</v>
      </c>
      <c r="I209" s="10" t="s">
        <v>11597</v>
      </c>
    </row>
    <row r="210" spans="1:9" s="11" customFormat="1" ht="75">
      <c r="A210" s="12">
        <v>43574.338472222225</v>
      </c>
      <c r="B210" s="13" t="s">
        <v>13157</v>
      </c>
      <c r="C210" s="14" t="s">
        <v>2589</v>
      </c>
      <c r="D210" s="15" t="s">
        <v>2590</v>
      </c>
      <c r="E210" s="16" t="s">
        <v>13013</v>
      </c>
      <c r="F210" s="12">
        <v>40209.940057870372</v>
      </c>
      <c r="G210" s="17" t="s">
        <v>2783</v>
      </c>
      <c r="H210" s="35" t="s">
        <v>2591</v>
      </c>
      <c r="I210" s="18" t="s">
        <v>2592</v>
      </c>
    </row>
    <row r="211" spans="1:9" s="11" customFormat="1" ht="75">
      <c r="A211" s="4">
        <v>43562.069768518515</v>
      </c>
      <c r="B211" s="5" t="s">
        <v>13158</v>
      </c>
      <c r="C211" s="6" t="s">
        <v>10757</v>
      </c>
      <c r="D211" s="7" t="s">
        <v>10758</v>
      </c>
      <c r="E211" s="8" t="s">
        <v>13013</v>
      </c>
      <c r="F211" s="4">
        <v>39867.290497685186</v>
      </c>
      <c r="G211" s="17" t="s">
        <v>2783</v>
      </c>
      <c r="H211" s="35" t="s">
        <v>3285</v>
      </c>
      <c r="I211" s="10" t="s">
        <v>10759</v>
      </c>
    </row>
    <row r="212" spans="1:9" s="11" customFormat="1" ht="30">
      <c r="A212" s="4">
        <v>43556.979259259257</v>
      </c>
      <c r="B212" s="5" t="s">
        <v>13159</v>
      </c>
      <c r="C212" s="6" t="s">
        <v>12689</v>
      </c>
      <c r="D212" s="7" t="s">
        <v>12690</v>
      </c>
      <c r="E212" s="8" t="s">
        <v>13114</v>
      </c>
      <c r="F212" s="4">
        <v>39362.370821759258</v>
      </c>
      <c r="G212" s="17" t="s">
        <v>2783</v>
      </c>
      <c r="H212" s="35" t="s">
        <v>3285</v>
      </c>
      <c r="I212" s="10" t="s">
        <v>12691</v>
      </c>
    </row>
    <row r="213" spans="1:9" s="11" customFormat="1" ht="120">
      <c r="A213" s="12">
        <v>43572.378750000003</v>
      </c>
      <c r="B213" s="13" t="s">
        <v>13160</v>
      </c>
      <c r="C213" s="14" t="s">
        <v>3283</v>
      </c>
      <c r="D213" s="15" t="s">
        <v>3284</v>
      </c>
      <c r="E213" s="16" t="s">
        <v>13009</v>
      </c>
      <c r="F213" s="12">
        <v>42492.08699074074</v>
      </c>
      <c r="G213" s="17" t="s">
        <v>2783</v>
      </c>
      <c r="H213" s="35" t="s">
        <v>3285</v>
      </c>
      <c r="I213" s="18" t="s">
        <v>3286</v>
      </c>
    </row>
    <row r="214" spans="1:9" s="11" customFormat="1" ht="120">
      <c r="A214" s="12">
        <v>43567.086793981478</v>
      </c>
      <c r="B214" s="13" t="s">
        <v>13161</v>
      </c>
      <c r="C214" s="14" t="s">
        <v>5247</v>
      </c>
      <c r="D214" s="15" t="s">
        <v>5248</v>
      </c>
      <c r="E214" s="16" t="s">
        <v>13009</v>
      </c>
      <c r="F214" s="12">
        <v>43332.961493055554</v>
      </c>
      <c r="G214" s="17" t="s">
        <v>2783</v>
      </c>
      <c r="H214" s="35" t="s">
        <v>3285</v>
      </c>
      <c r="I214" s="18" t="s">
        <v>5249</v>
      </c>
    </row>
    <row r="215" spans="1:9" s="11" customFormat="1">
      <c r="A215" s="12">
        <v>43573.893472222218</v>
      </c>
      <c r="B215" s="13" t="s">
        <v>13162</v>
      </c>
      <c r="C215" s="14" t="s">
        <v>2707</v>
      </c>
      <c r="D215" s="15" t="s">
        <v>12864</v>
      </c>
      <c r="E215" s="16" t="s">
        <v>13027</v>
      </c>
      <c r="F215" s="12">
        <v>40211.814884259264</v>
      </c>
      <c r="G215" s="17" t="s">
        <v>2783</v>
      </c>
      <c r="H215" s="35" t="s">
        <v>2708</v>
      </c>
      <c r="I215" s="18" t="s">
        <v>2709</v>
      </c>
    </row>
    <row r="216" spans="1:9" s="11" customFormat="1" ht="105">
      <c r="A216" s="19">
        <v>43544.755601851852</v>
      </c>
      <c r="B216" s="20" t="s">
        <v>13163</v>
      </c>
      <c r="C216" s="21" t="s">
        <v>1478</v>
      </c>
      <c r="D216" s="22" t="s">
        <v>12851</v>
      </c>
      <c r="E216" s="23" t="s">
        <v>13099</v>
      </c>
      <c r="F216" s="19">
        <v>39902.485185185185</v>
      </c>
      <c r="G216" s="17" t="s">
        <v>2783</v>
      </c>
      <c r="H216" s="35" t="s">
        <v>1479</v>
      </c>
      <c r="I216" s="25" t="s">
        <v>1480</v>
      </c>
    </row>
    <row r="217" spans="1:9" s="11" customFormat="1" ht="105">
      <c r="A217" s="12">
        <v>43577.84311342593</v>
      </c>
      <c r="B217" s="13" t="s">
        <v>13163</v>
      </c>
      <c r="C217" s="14" t="s">
        <v>1478</v>
      </c>
      <c r="D217" s="15" t="s">
        <v>12852</v>
      </c>
      <c r="E217" s="16" t="s">
        <v>13099</v>
      </c>
      <c r="F217" s="12">
        <v>39902.485185185185</v>
      </c>
      <c r="G217" s="17" t="s">
        <v>2783</v>
      </c>
      <c r="H217" s="35" t="s">
        <v>1479</v>
      </c>
      <c r="I217" s="18" t="s">
        <v>1480</v>
      </c>
    </row>
    <row r="218" spans="1:9" s="11" customFormat="1" ht="105">
      <c r="A218" s="4">
        <v>43556.818611111114</v>
      </c>
      <c r="B218" s="5" t="s">
        <v>13164</v>
      </c>
      <c r="C218" s="6" t="s">
        <v>12732</v>
      </c>
      <c r="D218" s="7" t="s">
        <v>12853</v>
      </c>
      <c r="E218" s="8" t="s">
        <v>13015</v>
      </c>
      <c r="F218" s="4">
        <v>40002.304375</v>
      </c>
      <c r="G218" s="17" t="s">
        <v>2783</v>
      </c>
      <c r="H218" s="35" t="s">
        <v>12733</v>
      </c>
      <c r="I218" s="10" t="s">
        <v>12734</v>
      </c>
    </row>
    <row r="219" spans="1:9" s="11" customFormat="1" ht="120">
      <c r="A219" s="4">
        <v>43561.535011574073</v>
      </c>
      <c r="B219" s="5" t="s">
        <v>13165</v>
      </c>
      <c r="C219" s="6" t="s">
        <v>10943</v>
      </c>
      <c r="D219" s="7" t="s">
        <v>10944</v>
      </c>
      <c r="E219" s="8" t="s">
        <v>13011</v>
      </c>
      <c r="F219" s="4">
        <v>40534.925740740742</v>
      </c>
      <c r="G219" s="17" t="s">
        <v>2783</v>
      </c>
      <c r="H219" s="35" t="s">
        <v>10945</v>
      </c>
      <c r="I219" s="10" t="s">
        <v>10946</v>
      </c>
    </row>
    <row r="220" spans="1:9" s="11" customFormat="1" ht="30">
      <c r="A220" s="12">
        <v>43575.340231481481</v>
      </c>
      <c r="B220" s="13" t="s">
        <v>13166</v>
      </c>
      <c r="C220" s="14" t="s">
        <v>2278</v>
      </c>
      <c r="D220" s="15" t="s">
        <v>2279</v>
      </c>
      <c r="E220" s="16" t="s">
        <v>13009</v>
      </c>
      <c r="F220" s="12">
        <v>42403.241273148145</v>
      </c>
      <c r="G220" s="17" t="s">
        <v>2783</v>
      </c>
      <c r="H220" s="35" t="s">
        <v>2280</v>
      </c>
      <c r="I220" s="18"/>
    </row>
    <row r="221" spans="1:9" s="11" customFormat="1" ht="60">
      <c r="A221" s="19">
        <v>43544.317835648151</v>
      </c>
      <c r="B221" s="20" t="s">
        <v>13167</v>
      </c>
      <c r="C221" s="21" t="s">
        <v>9532</v>
      </c>
      <c r="D221" s="22" t="s">
        <v>9533</v>
      </c>
      <c r="E221" s="23" t="s">
        <v>13032</v>
      </c>
      <c r="F221" s="19">
        <v>40342.179976851854</v>
      </c>
      <c r="G221" s="24" t="s">
        <v>2783</v>
      </c>
      <c r="H221" s="35" t="s">
        <v>9534</v>
      </c>
      <c r="I221" s="25" t="s">
        <v>9535</v>
      </c>
    </row>
    <row r="222" spans="1:9" s="11" customFormat="1" ht="30">
      <c r="A222" s="12">
        <v>43579.325185185182</v>
      </c>
      <c r="B222" s="13" t="s">
        <v>13168</v>
      </c>
      <c r="C222" s="14" t="s">
        <v>767</v>
      </c>
      <c r="D222" s="15" t="s">
        <v>768</v>
      </c>
      <c r="E222" s="16" t="s">
        <v>13013</v>
      </c>
      <c r="F222" s="12">
        <v>41969.908784722225</v>
      </c>
      <c r="G222" s="17" t="s">
        <v>2783</v>
      </c>
      <c r="H222" s="35" t="s">
        <v>769</v>
      </c>
      <c r="I222" s="18" t="s">
        <v>770</v>
      </c>
    </row>
    <row r="223" spans="1:9" s="11" customFormat="1" ht="30">
      <c r="A223" s="4">
        <v>43560.289675925931</v>
      </c>
      <c r="B223" s="5" t="s">
        <v>13169</v>
      </c>
      <c r="C223" s="6" t="s">
        <v>11499</v>
      </c>
      <c r="D223" s="7" t="s">
        <v>11500</v>
      </c>
      <c r="E223" s="8" t="s">
        <v>13032</v>
      </c>
      <c r="F223" s="4">
        <v>39921.024236111109</v>
      </c>
      <c r="G223" s="9" t="s">
        <v>2783</v>
      </c>
      <c r="H223" s="35" t="s">
        <v>11501</v>
      </c>
      <c r="I223" s="10" t="s">
        <v>11502</v>
      </c>
    </row>
    <row r="224" spans="1:9" s="11" customFormat="1" ht="60">
      <c r="A224" s="12">
        <v>43573.39680555556</v>
      </c>
      <c r="B224" s="13" t="s">
        <v>13170</v>
      </c>
      <c r="C224" s="14" t="s">
        <v>2894</v>
      </c>
      <c r="D224" s="15" t="s">
        <v>2895</v>
      </c>
      <c r="E224" s="16" t="s">
        <v>13011</v>
      </c>
      <c r="F224" s="12">
        <v>42924.09646990741</v>
      </c>
      <c r="G224" s="17" t="s">
        <v>2783</v>
      </c>
      <c r="H224" s="35" t="s">
        <v>2896</v>
      </c>
      <c r="I224" s="18" t="s">
        <v>2897</v>
      </c>
    </row>
    <row r="225" spans="1:9" s="11" customFormat="1" ht="90">
      <c r="A225" s="19">
        <v>43550.006377314814</v>
      </c>
      <c r="B225" s="20" t="s">
        <v>13171</v>
      </c>
      <c r="C225" s="21" t="s">
        <v>4359</v>
      </c>
      <c r="D225" s="22" t="s">
        <v>7864</v>
      </c>
      <c r="E225" s="23" t="s">
        <v>13015</v>
      </c>
      <c r="F225" s="19">
        <v>43541.952789351853</v>
      </c>
      <c r="G225" s="17" t="s">
        <v>2783</v>
      </c>
      <c r="H225" s="35" t="s">
        <v>1848</v>
      </c>
      <c r="I225" s="25" t="s">
        <v>4361</v>
      </c>
    </row>
    <row r="226" spans="1:9" s="11" customFormat="1" ht="90">
      <c r="A226" s="19">
        <v>43549.283831018518</v>
      </c>
      <c r="B226" s="20" t="s">
        <v>13171</v>
      </c>
      <c r="C226" s="21" t="s">
        <v>4359</v>
      </c>
      <c r="D226" s="22" t="s">
        <v>8110</v>
      </c>
      <c r="E226" s="23" t="s">
        <v>13009</v>
      </c>
      <c r="F226" s="19">
        <v>43541.952789351853</v>
      </c>
      <c r="G226" s="17" t="s">
        <v>2783</v>
      </c>
      <c r="H226" s="35" t="s">
        <v>1848</v>
      </c>
      <c r="I226" s="25" t="s">
        <v>4361</v>
      </c>
    </row>
    <row r="227" spans="1:9" s="11" customFormat="1" ht="90">
      <c r="A227" s="19">
        <v>43543.019293981481</v>
      </c>
      <c r="B227" s="20" t="s">
        <v>13171</v>
      </c>
      <c r="C227" s="21" t="s">
        <v>4359</v>
      </c>
      <c r="D227" s="22" t="s">
        <v>9961</v>
      </c>
      <c r="E227" s="23" t="s">
        <v>13009</v>
      </c>
      <c r="F227" s="19">
        <v>43541.952789351853</v>
      </c>
      <c r="G227" s="17" t="s">
        <v>2783</v>
      </c>
      <c r="H227" s="35" t="s">
        <v>1848</v>
      </c>
      <c r="I227" s="25" t="s">
        <v>4361</v>
      </c>
    </row>
    <row r="228" spans="1:9" s="11" customFormat="1" ht="75">
      <c r="A228" s="4">
        <v>43565.777465277773</v>
      </c>
      <c r="B228" s="5" t="s">
        <v>13172</v>
      </c>
      <c r="C228" s="6" t="s">
        <v>1846</v>
      </c>
      <c r="D228" s="7" t="s">
        <v>5910</v>
      </c>
      <c r="E228" s="8" t="s">
        <v>13013</v>
      </c>
      <c r="F228" s="4">
        <v>42130.79420138889</v>
      </c>
      <c r="G228" s="17" t="s">
        <v>2783</v>
      </c>
      <c r="H228" s="35" t="s">
        <v>1848</v>
      </c>
      <c r="I228" s="10"/>
    </row>
    <row r="229" spans="1:9" s="11" customFormat="1" ht="75">
      <c r="A229" s="4">
        <v>43560.794444444444</v>
      </c>
      <c r="B229" s="5" t="s">
        <v>13172</v>
      </c>
      <c r="C229" s="6" t="s">
        <v>1846</v>
      </c>
      <c r="D229" s="7" t="s">
        <v>11162</v>
      </c>
      <c r="E229" s="8" t="s">
        <v>13013</v>
      </c>
      <c r="F229" s="4">
        <v>42130.79420138889</v>
      </c>
      <c r="G229" s="17" t="s">
        <v>2783</v>
      </c>
      <c r="H229" s="35" t="s">
        <v>1848</v>
      </c>
      <c r="I229" s="10"/>
    </row>
    <row r="230" spans="1:9" s="11" customFormat="1" ht="75">
      <c r="A230" s="12">
        <v>43576.767453703702</v>
      </c>
      <c r="B230" s="13" t="s">
        <v>13172</v>
      </c>
      <c r="C230" s="14" t="s">
        <v>1846</v>
      </c>
      <c r="D230" s="15" t="s">
        <v>1847</v>
      </c>
      <c r="E230" s="16" t="s">
        <v>13013</v>
      </c>
      <c r="F230" s="12">
        <v>42130.79420138889</v>
      </c>
      <c r="G230" s="17" t="s">
        <v>2783</v>
      </c>
      <c r="H230" s="35" t="s">
        <v>1848</v>
      </c>
      <c r="I230" s="18"/>
    </row>
    <row r="231" spans="1:9" s="11" customFormat="1" ht="90">
      <c r="A231" s="12">
        <v>43570.034953703704</v>
      </c>
      <c r="B231" s="13" t="s">
        <v>13171</v>
      </c>
      <c r="C231" s="14" t="s">
        <v>4359</v>
      </c>
      <c r="D231" s="15" t="s">
        <v>4360</v>
      </c>
      <c r="E231" s="16" t="s">
        <v>13009</v>
      </c>
      <c r="F231" s="12">
        <v>43541.952789351853</v>
      </c>
      <c r="G231" s="17" t="s">
        <v>2783</v>
      </c>
      <c r="H231" s="35" t="s">
        <v>1848</v>
      </c>
      <c r="I231" s="18" t="s">
        <v>4361</v>
      </c>
    </row>
    <row r="232" spans="1:9" s="11" customFormat="1" ht="45">
      <c r="A232" s="12">
        <v>43578.384988425925</v>
      </c>
      <c r="B232" s="13" t="s">
        <v>13173</v>
      </c>
      <c r="C232" s="14" t="s">
        <v>1241</v>
      </c>
      <c r="D232" s="15" t="s">
        <v>996</v>
      </c>
      <c r="E232" s="16" t="s">
        <v>13009</v>
      </c>
      <c r="F232" s="12">
        <v>43339.416678240741</v>
      </c>
      <c r="G232" s="17" t="s">
        <v>2783</v>
      </c>
      <c r="H232" s="35" t="s">
        <v>1242</v>
      </c>
      <c r="I232" s="18"/>
    </row>
    <row r="233" spans="1:9" s="11" customFormat="1" ht="45">
      <c r="A233" s="12">
        <v>43578.445787037039</v>
      </c>
      <c r="B233" s="13" t="s">
        <v>13174</v>
      </c>
      <c r="C233" s="14" t="s">
        <v>1200</v>
      </c>
      <c r="D233" s="15" t="s">
        <v>996</v>
      </c>
      <c r="E233" s="16" t="s">
        <v>13009</v>
      </c>
      <c r="F233" s="12">
        <v>43533.425555555557</v>
      </c>
      <c r="G233" s="17" t="s">
        <v>2783</v>
      </c>
      <c r="H233" s="35" t="s">
        <v>1201</v>
      </c>
      <c r="I233" s="18"/>
    </row>
    <row r="234" spans="1:9" s="11" customFormat="1" ht="105">
      <c r="A234" s="4">
        <v>43564.584803240738</v>
      </c>
      <c r="B234" s="5" t="s">
        <v>13175</v>
      </c>
      <c r="C234" s="6" t="s">
        <v>6532</v>
      </c>
      <c r="D234" s="7" t="s">
        <v>6533</v>
      </c>
      <c r="E234" s="8" t="s">
        <v>13009</v>
      </c>
      <c r="F234" s="4">
        <v>43226.912662037037</v>
      </c>
      <c r="G234" s="17" t="s">
        <v>2783</v>
      </c>
      <c r="H234" s="35" t="s">
        <v>388</v>
      </c>
      <c r="I234" s="10" t="s">
        <v>6534</v>
      </c>
    </row>
    <row r="235" spans="1:9" s="11" customFormat="1" ht="45">
      <c r="A235" s="4">
        <v>43556.729039351849</v>
      </c>
      <c r="B235" s="5" t="s">
        <v>13176</v>
      </c>
      <c r="C235" s="6" t="s">
        <v>12756</v>
      </c>
      <c r="D235" s="7" t="s">
        <v>12757</v>
      </c>
      <c r="E235" s="8" t="s">
        <v>13013</v>
      </c>
      <c r="F235" s="4">
        <v>43464.387708333335</v>
      </c>
      <c r="G235" s="17" t="s">
        <v>2783</v>
      </c>
      <c r="H235" s="35" t="s">
        <v>388</v>
      </c>
      <c r="I235" s="10" t="s">
        <v>12758</v>
      </c>
    </row>
    <row r="236" spans="1:9" s="11" customFormat="1" ht="60">
      <c r="A236" s="12">
        <v>43579.933888888889</v>
      </c>
      <c r="B236" s="13" t="s">
        <v>13177</v>
      </c>
      <c r="C236" s="14" t="s">
        <v>387</v>
      </c>
      <c r="D236" s="15" t="s">
        <v>301</v>
      </c>
      <c r="E236" s="16" t="s">
        <v>13009</v>
      </c>
      <c r="F236" s="12">
        <v>43104.115358796298</v>
      </c>
      <c r="G236" s="17" t="s">
        <v>2783</v>
      </c>
      <c r="H236" s="35" t="s">
        <v>388</v>
      </c>
      <c r="I236" s="18"/>
    </row>
    <row r="237" spans="1:9" s="11" customFormat="1" ht="60">
      <c r="A237" s="12">
        <v>43579.920902777776</v>
      </c>
      <c r="B237" s="13" t="s">
        <v>13178</v>
      </c>
      <c r="C237" s="14" t="s">
        <v>398</v>
      </c>
      <c r="D237" s="15" t="s">
        <v>301</v>
      </c>
      <c r="E237" s="16" t="s">
        <v>13009</v>
      </c>
      <c r="F237" s="12">
        <v>43566.506597222222</v>
      </c>
      <c r="G237" s="17" t="s">
        <v>2783</v>
      </c>
      <c r="H237" s="35" t="s">
        <v>388</v>
      </c>
      <c r="I237" s="18" t="s">
        <v>399</v>
      </c>
    </row>
    <row r="238" spans="1:9" s="11" customFormat="1" ht="60">
      <c r="A238" s="12">
        <v>43579.461354166662</v>
      </c>
      <c r="B238" s="13" t="s">
        <v>13179</v>
      </c>
      <c r="C238" s="14" t="s">
        <v>641</v>
      </c>
      <c r="D238" s="15" t="s">
        <v>301</v>
      </c>
      <c r="E238" s="16" t="s">
        <v>13009</v>
      </c>
      <c r="F238" s="12">
        <v>43546.28496527778</v>
      </c>
      <c r="G238" s="17" t="s">
        <v>2783</v>
      </c>
      <c r="H238" s="35" t="s">
        <v>388</v>
      </c>
      <c r="I238" s="18"/>
    </row>
    <row r="239" spans="1:9" s="11" customFormat="1" ht="60">
      <c r="A239" s="12">
        <v>43579.460914351846</v>
      </c>
      <c r="B239" s="13" t="s">
        <v>13180</v>
      </c>
      <c r="C239" s="14" t="s">
        <v>642</v>
      </c>
      <c r="D239" s="15" t="s">
        <v>301</v>
      </c>
      <c r="E239" s="16" t="s">
        <v>13009</v>
      </c>
      <c r="F239" s="12">
        <v>43546.274062500001</v>
      </c>
      <c r="G239" s="17" t="s">
        <v>2783</v>
      </c>
      <c r="H239" s="35" t="s">
        <v>388</v>
      </c>
      <c r="I239" s="18"/>
    </row>
    <row r="240" spans="1:9" s="11" customFormat="1" ht="60">
      <c r="A240" s="12">
        <v>43579.460844907408</v>
      </c>
      <c r="B240" s="13" t="s">
        <v>13181</v>
      </c>
      <c r="C240" s="14" t="s">
        <v>643</v>
      </c>
      <c r="D240" s="15" t="s">
        <v>301</v>
      </c>
      <c r="E240" s="16" t="s">
        <v>13009</v>
      </c>
      <c r="F240" s="12">
        <v>43546.251041666663</v>
      </c>
      <c r="G240" s="17" t="s">
        <v>2783</v>
      </c>
      <c r="H240" s="35" t="s">
        <v>388</v>
      </c>
      <c r="I240" s="18"/>
    </row>
    <row r="241" spans="1:9" s="11" customFormat="1" ht="60">
      <c r="A241" s="12">
        <v>43579.460509259261</v>
      </c>
      <c r="B241" s="13" t="s">
        <v>13182</v>
      </c>
      <c r="C241" s="14" t="s">
        <v>644</v>
      </c>
      <c r="D241" s="15" t="s">
        <v>301</v>
      </c>
      <c r="E241" s="16" t="s">
        <v>13009</v>
      </c>
      <c r="F241" s="12">
        <v>43475.379629629635</v>
      </c>
      <c r="G241" s="17" t="s">
        <v>2783</v>
      </c>
      <c r="H241" s="35" t="s">
        <v>388</v>
      </c>
      <c r="I241" s="18"/>
    </row>
    <row r="242" spans="1:9" s="11" customFormat="1" ht="60">
      <c r="A242" s="12">
        <v>43579.460439814815</v>
      </c>
      <c r="B242" s="13" t="s">
        <v>13183</v>
      </c>
      <c r="C242" s="14" t="s">
        <v>645</v>
      </c>
      <c r="D242" s="15" t="s">
        <v>301</v>
      </c>
      <c r="E242" s="16" t="s">
        <v>13009</v>
      </c>
      <c r="F242" s="12">
        <v>43475.370347222226</v>
      </c>
      <c r="G242" s="17" t="s">
        <v>2783</v>
      </c>
      <c r="H242" s="35" t="s">
        <v>388</v>
      </c>
      <c r="I242" s="18"/>
    </row>
    <row r="243" spans="1:9" s="11" customFormat="1" ht="60">
      <c r="A243" s="12">
        <v>43579.457546296297</v>
      </c>
      <c r="B243" s="13" t="s">
        <v>13184</v>
      </c>
      <c r="C243" s="14" t="s">
        <v>657</v>
      </c>
      <c r="D243" s="15" t="s">
        <v>301</v>
      </c>
      <c r="E243" s="16" t="s">
        <v>13009</v>
      </c>
      <c r="F243" s="12">
        <v>43475.424421296295</v>
      </c>
      <c r="G243" s="17" t="s">
        <v>2783</v>
      </c>
      <c r="H243" s="35" t="s">
        <v>388</v>
      </c>
      <c r="I243" s="18"/>
    </row>
    <row r="244" spans="1:9" s="11" customFormat="1" ht="60">
      <c r="A244" s="12">
        <v>43579.216851851852</v>
      </c>
      <c r="B244" s="13" t="s">
        <v>13185</v>
      </c>
      <c r="C244" s="14" t="s">
        <v>848</v>
      </c>
      <c r="D244" s="15" t="s">
        <v>301</v>
      </c>
      <c r="E244" s="16" t="s">
        <v>13015</v>
      </c>
      <c r="F244" s="12">
        <v>43111.145960648151</v>
      </c>
      <c r="G244" s="17" t="s">
        <v>2783</v>
      </c>
      <c r="H244" s="35" t="s">
        <v>388</v>
      </c>
      <c r="I244" s="18" t="s">
        <v>849</v>
      </c>
    </row>
    <row r="245" spans="1:9" s="11" customFormat="1" ht="45">
      <c r="A245" s="12">
        <v>43578.448541666672</v>
      </c>
      <c r="B245" s="13" t="s">
        <v>13186</v>
      </c>
      <c r="C245" s="14" t="s">
        <v>1191</v>
      </c>
      <c r="D245" s="15" t="s">
        <v>996</v>
      </c>
      <c r="E245" s="16" t="s">
        <v>13009</v>
      </c>
      <c r="F245" s="12">
        <v>43544.183946759258</v>
      </c>
      <c r="G245" s="17" t="s">
        <v>2783</v>
      </c>
      <c r="H245" s="35" t="s">
        <v>388</v>
      </c>
      <c r="I245" s="18"/>
    </row>
    <row r="246" spans="1:9" s="11" customFormat="1" ht="45">
      <c r="A246" s="12">
        <v>43578.448287037041</v>
      </c>
      <c r="B246" s="13" t="s">
        <v>13187</v>
      </c>
      <c r="C246" s="14" t="s">
        <v>1192</v>
      </c>
      <c r="D246" s="15" t="s">
        <v>996</v>
      </c>
      <c r="E246" s="16" t="s">
        <v>13009</v>
      </c>
      <c r="F246" s="12">
        <v>43545.123969907407</v>
      </c>
      <c r="G246" s="17" t="s">
        <v>2783</v>
      </c>
      <c r="H246" s="35" t="s">
        <v>388</v>
      </c>
      <c r="I246" s="18"/>
    </row>
    <row r="247" spans="1:9" s="11" customFormat="1" ht="45">
      <c r="A247" s="12">
        <v>43578.447604166664</v>
      </c>
      <c r="B247" s="13" t="s">
        <v>13188</v>
      </c>
      <c r="C247" s="14" t="s">
        <v>1196</v>
      </c>
      <c r="D247" s="15" t="s">
        <v>996</v>
      </c>
      <c r="E247" s="16" t="s">
        <v>13009</v>
      </c>
      <c r="F247" s="12">
        <v>43532.052731481483</v>
      </c>
      <c r="G247" s="17" t="s">
        <v>2783</v>
      </c>
      <c r="H247" s="35" t="s">
        <v>388</v>
      </c>
      <c r="I247" s="18"/>
    </row>
    <row r="248" spans="1:9" s="11" customFormat="1" ht="45">
      <c r="A248" s="12">
        <v>43578.447430555556</v>
      </c>
      <c r="B248" s="13" t="s">
        <v>13189</v>
      </c>
      <c r="C248" s="14" t="s">
        <v>1197</v>
      </c>
      <c r="D248" s="15" t="s">
        <v>996</v>
      </c>
      <c r="E248" s="16" t="s">
        <v>13009</v>
      </c>
      <c r="F248" s="12">
        <v>43533.925486111111</v>
      </c>
      <c r="G248" s="17" t="s">
        <v>2783</v>
      </c>
      <c r="H248" s="35" t="s">
        <v>388</v>
      </c>
      <c r="I248" s="18"/>
    </row>
    <row r="249" spans="1:9" s="11" customFormat="1" ht="45">
      <c r="A249" s="12">
        <v>43578.446354166663</v>
      </c>
      <c r="B249" s="13" t="s">
        <v>13190</v>
      </c>
      <c r="C249" s="14" t="s">
        <v>1198</v>
      </c>
      <c r="D249" s="15" t="s">
        <v>996</v>
      </c>
      <c r="E249" s="16" t="s">
        <v>13009</v>
      </c>
      <c r="F249" s="12">
        <v>43533.432662037041</v>
      </c>
      <c r="G249" s="17" t="s">
        <v>2783</v>
      </c>
      <c r="H249" s="35" t="s">
        <v>388</v>
      </c>
      <c r="I249" s="18"/>
    </row>
    <row r="250" spans="1:9" s="11" customFormat="1" ht="45">
      <c r="A250" s="12">
        <v>43578.446168981478</v>
      </c>
      <c r="B250" s="13" t="s">
        <v>13191</v>
      </c>
      <c r="C250" s="14" t="s">
        <v>1199</v>
      </c>
      <c r="D250" s="15" t="s">
        <v>996</v>
      </c>
      <c r="E250" s="16" t="s">
        <v>13009</v>
      </c>
      <c r="F250" s="12">
        <v>43533.882430555561</v>
      </c>
      <c r="G250" s="17" t="s">
        <v>2783</v>
      </c>
      <c r="H250" s="35" t="s">
        <v>388</v>
      </c>
      <c r="I250" s="18"/>
    </row>
    <row r="251" spans="1:9" s="11" customFormat="1" ht="45">
      <c r="A251" s="12">
        <v>43578.386620370366</v>
      </c>
      <c r="B251" s="13" t="s">
        <v>13179</v>
      </c>
      <c r="C251" s="14" t="s">
        <v>641</v>
      </c>
      <c r="D251" s="15" t="s">
        <v>996</v>
      </c>
      <c r="E251" s="16" t="s">
        <v>13009</v>
      </c>
      <c r="F251" s="12">
        <v>43546.28496527778</v>
      </c>
      <c r="G251" s="17" t="s">
        <v>2783</v>
      </c>
      <c r="H251" s="35" t="s">
        <v>388</v>
      </c>
      <c r="I251" s="18"/>
    </row>
    <row r="252" spans="1:9" s="11" customFormat="1" ht="45">
      <c r="A252" s="12">
        <v>43578.385983796295</v>
      </c>
      <c r="B252" s="13" t="s">
        <v>13192</v>
      </c>
      <c r="C252" s="14" t="s">
        <v>1238</v>
      </c>
      <c r="D252" s="15" t="s">
        <v>996</v>
      </c>
      <c r="E252" s="16" t="s">
        <v>13009</v>
      </c>
      <c r="F252" s="12">
        <v>43475.345775462964</v>
      </c>
      <c r="G252" s="17" t="s">
        <v>2783</v>
      </c>
      <c r="H252" s="35" t="s">
        <v>388</v>
      </c>
      <c r="I252" s="18"/>
    </row>
    <row r="253" spans="1:9" s="11" customFormat="1" ht="45">
      <c r="A253" s="12">
        <v>43578.385914351849</v>
      </c>
      <c r="B253" s="13" t="s">
        <v>13193</v>
      </c>
      <c r="C253" s="14" t="s">
        <v>1239</v>
      </c>
      <c r="D253" s="15" t="s">
        <v>996</v>
      </c>
      <c r="E253" s="16" t="s">
        <v>13009</v>
      </c>
      <c r="F253" s="12">
        <v>43546.224444444444</v>
      </c>
      <c r="G253" s="17" t="s">
        <v>2783</v>
      </c>
      <c r="H253" s="35" t="s">
        <v>388</v>
      </c>
      <c r="I253" s="18"/>
    </row>
    <row r="254" spans="1:9" s="11" customFormat="1" ht="45">
      <c r="A254" s="12">
        <v>43578.384351851855</v>
      </c>
      <c r="B254" s="13" t="s">
        <v>13184</v>
      </c>
      <c r="C254" s="14" t="s">
        <v>657</v>
      </c>
      <c r="D254" s="15" t="s">
        <v>996</v>
      </c>
      <c r="E254" s="16" t="s">
        <v>13009</v>
      </c>
      <c r="F254" s="12">
        <v>43475.424421296295</v>
      </c>
      <c r="G254" s="17" t="s">
        <v>2783</v>
      </c>
      <c r="H254" s="35" t="s">
        <v>388</v>
      </c>
      <c r="I254" s="18"/>
    </row>
    <row r="255" spans="1:9" s="11" customFormat="1" ht="45">
      <c r="A255" s="12">
        <v>43578.377106481479</v>
      </c>
      <c r="B255" s="13" t="s">
        <v>13194</v>
      </c>
      <c r="C255" s="14" t="s">
        <v>1262</v>
      </c>
      <c r="D255" s="15" t="s">
        <v>996</v>
      </c>
      <c r="E255" s="16" t="s">
        <v>13009</v>
      </c>
      <c r="F255" s="12">
        <v>43371.199062500003</v>
      </c>
      <c r="G255" s="17" t="s">
        <v>2783</v>
      </c>
      <c r="H255" s="35" t="s">
        <v>388</v>
      </c>
      <c r="I255" s="18" t="s">
        <v>1263</v>
      </c>
    </row>
    <row r="256" spans="1:9" s="11" customFormat="1" ht="30">
      <c r="A256" s="12">
        <v>43575.339432870373</v>
      </c>
      <c r="B256" s="13" t="s">
        <v>13195</v>
      </c>
      <c r="C256" s="14" t="s">
        <v>2286</v>
      </c>
      <c r="D256" s="15" t="s">
        <v>2279</v>
      </c>
      <c r="E256" s="16" t="s">
        <v>13009</v>
      </c>
      <c r="F256" s="12">
        <v>43376.172685185185</v>
      </c>
      <c r="G256" s="17" t="s">
        <v>2783</v>
      </c>
      <c r="H256" s="35" t="s">
        <v>388</v>
      </c>
      <c r="I256" s="18" t="s">
        <v>2287</v>
      </c>
    </row>
    <row r="257" spans="1:9" s="11" customFormat="1" ht="30">
      <c r="A257" s="12">
        <v>43575.338831018518</v>
      </c>
      <c r="B257" s="13" t="s">
        <v>13178</v>
      </c>
      <c r="C257" s="14" t="s">
        <v>398</v>
      </c>
      <c r="D257" s="15" t="s">
        <v>2279</v>
      </c>
      <c r="E257" s="16" t="s">
        <v>13009</v>
      </c>
      <c r="F257" s="12">
        <v>43566.506597222222</v>
      </c>
      <c r="G257" s="17" t="s">
        <v>2783</v>
      </c>
      <c r="H257" s="35" t="s">
        <v>388</v>
      </c>
      <c r="I257" s="18" t="s">
        <v>399</v>
      </c>
    </row>
    <row r="258" spans="1:9" s="11" customFormat="1" ht="105">
      <c r="A258" s="12">
        <v>43580.009999999995</v>
      </c>
      <c r="B258" s="13" t="s">
        <v>13196</v>
      </c>
      <c r="C258" s="14" t="s">
        <v>336</v>
      </c>
      <c r="D258" s="15" t="s">
        <v>337</v>
      </c>
      <c r="E258" s="16" t="s">
        <v>13011</v>
      </c>
      <c r="F258" s="12">
        <v>39973.486087962963</v>
      </c>
      <c r="G258" s="17" t="s">
        <v>2783</v>
      </c>
      <c r="H258" s="35" t="s">
        <v>338</v>
      </c>
      <c r="I258" s="18" t="s">
        <v>339</v>
      </c>
    </row>
    <row r="259" spans="1:9" s="11" customFormat="1" ht="30">
      <c r="A259" s="19">
        <v>43551.203090277777</v>
      </c>
      <c r="B259" s="20" t="s">
        <v>13197</v>
      </c>
      <c r="C259" s="21" t="s">
        <v>7402</v>
      </c>
      <c r="D259" s="22" t="s">
        <v>7403</v>
      </c>
      <c r="E259" s="23" t="s">
        <v>13011</v>
      </c>
      <c r="F259" s="19">
        <v>40065.150289351848</v>
      </c>
      <c r="G259" s="17" t="s">
        <v>2783</v>
      </c>
      <c r="H259" s="35" t="s">
        <v>291</v>
      </c>
      <c r="I259" s="25" t="s">
        <v>7404</v>
      </c>
    </row>
    <row r="260" spans="1:9" s="11" customFormat="1" ht="30">
      <c r="A260" s="19">
        <v>43550.858310185184</v>
      </c>
      <c r="B260" s="20" t="s">
        <v>13197</v>
      </c>
      <c r="C260" s="21" t="s">
        <v>7402</v>
      </c>
      <c r="D260" s="22" t="s">
        <v>7486</v>
      </c>
      <c r="E260" s="23" t="s">
        <v>13015</v>
      </c>
      <c r="F260" s="19">
        <v>40065.150289351848</v>
      </c>
      <c r="G260" s="17" t="s">
        <v>2783</v>
      </c>
      <c r="H260" s="35" t="s">
        <v>291</v>
      </c>
      <c r="I260" s="25" t="s">
        <v>7404</v>
      </c>
    </row>
    <row r="261" spans="1:9" s="11" customFormat="1" ht="60">
      <c r="A261" s="4">
        <v>43565.023865740739</v>
      </c>
      <c r="B261" s="5" t="s">
        <v>13198</v>
      </c>
      <c r="C261" s="6" t="s">
        <v>289</v>
      </c>
      <c r="D261" s="7" t="s">
        <v>5211</v>
      </c>
      <c r="E261" s="8" t="s">
        <v>13013</v>
      </c>
      <c r="F261" s="4">
        <v>43250.433333333334</v>
      </c>
      <c r="G261" s="17" t="s">
        <v>2783</v>
      </c>
      <c r="H261" s="35" t="s">
        <v>291</v>
      </c>
      <c r="I261" s="10" t="s">
        <v>292</v>
      </c>
    </row>
    <row r="262" spans="1:9" s="11" customFormat="1" ht="75">
      <c r="A262" s="4">
        <v>43564.189386574071</v>
      </c>
      <c r="B262" s="5" t="s">
        <v>13198</v>
      </c>
      <c r="C262" s="6" t="s">
        <v>289</v>
      </c>
      <c r="D262" s="7" t="s">
        <v>6745</v>
      </c>
      <c r="E262" s="8" t="s">
        <v>13013</v>
      </c>
      <c r="F262" s="4">
        <v>43250.433333333334</v>
      </c>
      <c r="G262" s="17" t="s">
        <v>2783</v>
      </c>
      <c r="H262" s="35" t="s">
        <v>291</v>
      </c>
      <c r="I262" s="10" t="s">
        <v>292</v>
      </c>
    </row>
    <row r="263" spans="1:9" s="11" customFormat="1" ht="75">
      <c r="A263" s="4">
        <v>43563.179062499999</v>
      </c>
      <c r="B263" s="5" t="s">
        <v>13198</v>
      </c>
      <c r="C263" s="6" t="s">
        <v>289</v>
      </c>
      <c r="D263" s="7" t="s">
        <v>10442</v>
      </c>
      <c r="E263" s="8" t="s">
        <v>13013</v>
      </c>
      <c r="F263" s="4">
        <v>43250.433333333334</v>
      </c>
      <c r="G263" s="17" t="s">
        <v>2783</v>
      </c>
      <c r="H263" s="35" t="s">
        <v>291</v>
      </c>
      <c r="I263" s="10" t="s">
        <v>292</v>
      </c>
    </row>
    <row r="264" spans="1:9" s="11" customFormat="1" ht="60">
      <c r="A264" s="4">
        <v>43563.082592592589</v>
      </c>
      <c r="B264" s="5" t="s">
        <v>13198</v>
      </c>
      <c r="C264" s="6" t="s">
        <v>289</v>
      </c>
      <c r="D264" s="7" t="s">
        <v>10472</v>
      </c>
      <c r="E264" s="8" t="s">
        <v>13013</v>
      </c>
      <c r="F264" s="4">
        <v>43250.433333333334</v>
      </c>
      <c r="G264" s="17" t="s">
        <v>2783</v>
      </c>
      <c r="H264" s="35" t="s">
        <v>291</v>
      </c>
      <c r="I264" s="10" t="s">
        <v>292</v>
      </c>
    </row>
    <row r="265" spans="1:9" s="11" customFormat="1" ht="30">
      <c r="A265" s="4">
        <v>43562.04074074074</v>
      </c>
      <c r="B265" s="5" t="s">
        <v>13197</v>
      </c>
      <c r="C265" s="6" t="s">
        <v>7402</v>
      </c>
      <c r="D265" s="7" t="s">
        <v>10769</v>
      </c>
      <c r="E265" s="8" t="s">
        <v>13015</v>
      </c>
      <c r="F265" s="4">
        <v>40065.150289351848</v>
      </c>
      <c r="G265" s="17" t="s">
        <v>2783</v>
      </c>
      <c r="H265" s="35" t="s">
        <v>291</v>
      </c>
      <c r="I265" s="10" t="s">
        <v>7404</v>
      </c>
    </row>
    <row r="266" spans="1:9" s="11" customFormat="1" ht="45">
      <c r="A266" s="4">
        <v>43560.480405092589</v>
      </c>
      <c r="B266" s="5" t="s">
        <v>13199</v>
      </c>
      <c r="C266" s="6" t="s">
        <v>11341</v>
      </c>
      <c r="D266" s="7" t="s">
        <v>11342</v>
      </c>
      <c r="E266" s="8" t="s">
        <v>13006</v>
      </c>
      <c r="F266" s="4">
        <v>39967.97148148148</v>
      </c>
      <c r="G266" s="17" t="s">
        <v>2783</v>
      </c>
      <c r="H266" s="35" t="s">
        <v>291</v>
      </c>
      <c r="I266" s="10" t="s">
        <v>11343</v>
      </c>
    </row>
    <row r="267" spans="1:9" s="11" customFormat="1" ht="75">
      <c r="A267" s="12">
        <v>43580.089594907404</v>
      </c>
      <c r="B267" s="13" t="s">
        <v>13198</v>
      </c>
      <c r="C267" s="14" t="s">
        <v>289</v>
      </c>
      <c r="D267" s="15" t="s">
        <v>290</v>
      </c>
      <c r="E267" s="16" t="s">
        <v>13013</v>
      </c>
      <c r="F267" s="12">
        <v>43250.433333333334</v>
      </c>
      <c r="G267" s="17" t="s">
        <v>2783</v>
      </c>
      <c r="H267" s="35" t="s">
        <v>291</v>
      </c>
      <c r="I267" s="18" t="s">
        <v>292</v>
      </c>
    </row>
    <row r="268" spans="1:9" s="11" customFormat="1" ht="60">
      <c r="A268" s="12">
        <v>43579.04415509259</v>
      </c>
      <c r="B268" s="13" t="s">
        <v>13198</v>
      </c>
      <c r="C268" s="14" t="s">
        <v>289</v>
      </c>
      <c r="D268" s="15" t="s">
        <v>955</v>
      </c>
      <c r="E268" s="16" t="s">
        <v>13009</v>
      </c>
      <c r="F268" s="12">
        <v>43250.433333333334</v>
      </c>
      <c r="G268" s="17" t="s">
        <v>2783</v>
      </c>
      <c r="H268" s="35" t="s">
        <v>291</v>
      </c>
      <c r="I268" s="18" t="s">
        <v>292</v>
      </c>
    </row>
    <row r="269" spans="1:9" s="11" customFormat="1" ht="60">
      <c r="A269" s="12">
        <v>43578.021793981483</v>
      </c>
      <c r="B269" s="13" t="s">
        <v>13198</v>
      </c>
      <c r="C269" s="14" t="s">
        <v>289</v>
      </c>
      <c r="D269" s="15" t="s">
        <v>1421</v>
      </c>
      <c r="E269" s="16" t="s">
        <v>13009</v>
      </c>
      <c r="F269" s="12">
        <v>43250.433333333334</v>
      </c>
      <c r="G269" s="17" t="s">
        <v>2783</v>
      </c>
      <c r="H269" s="35" t="s">
        <v>291</v>
      </c>
      <c r="I269" s="18" t="s">
        <v>292</v>
      </c>
    </row>
    <row r="270" spans="1:9" s="11" customFormat="1" ht="75">
      <c r="A270" s="12">
        <v>43577.035960648151</v>
      </c>
      <c r="B270" s="13" t="s">
        <v>13198</v>
      </c>
      <c r="C270" s="14" t="s">
        <v>289</v>
      </c>
      <c r="D270" s="15" t="s">
        <v>1769</v>
      </c>
      <c r="E270" s="16" t="s">
        <v>13009</v>
      </c>
      <c r="F270" s="12">
        <v>43250.433333333334</v>
      </c>
      <c r="G270" s="17" t="s">
        <v>2783</v>
      </c>
      <c r="H270" s="35" t="s">
        <v>291</v>
      </c>
      <c r="I270" s="18" t="s">
        <v>292</v>
      </c>
    </row>
    <row r="271" spans="1:9" s="11" customFormat="1" ht="75">
      <c r="A271" s="12">
        <v>43575.094340277778</v>
      </c>
      <c r="B271" s="13" t="s">
        <v>13198</v>
      </c>
      <c r="C271" s="14" t="s">
        <v>289</v>
      </c>
      <c r="D271" s="15" t="s">
        <v>2364</v>
      </c>
      <c r="E271" s="16" t="s">
        <v>13013</v>
      </c>
      <c r="F271" s="12">
        <v>43250.433333333334</v>
      </c>
      <c r="G271" s="17" t="s">
        <v>2783</v>
      </c>
      <c r="H271" s="35" t="s">
        <v>291</v>
      </c>
      <c r="I271" s="18" t="s">
        <v>292</v>
      </c>
    </row>
    <row r="272" spans="1:9" s="11" customFormat="1" ht="75">
      <c r="A272" s="12">
        <v>43573.095821759256</v>
      </c>
      <c r="B272" s="13" t="s">
        <v>13198</v>
      </c>
      <c r="C272" s="14" t="s">
        <v>289</v>
      </c>
      <c r="D272" s="15" t="s">
        <v>3010</v>
      </c>
      <c r="E272" s="16" t="s">
        <v>13013</v>
      </c>
      <c r="F272" s="12">
        <v>43250.433333333334</v>
      </c>
      <c r="G272" s="17" t="s">
        <v>2783</v>
      </c>
      <c r="H272" s="35" t="s">
        <v>291</v>
      </c>
      <c r="I272" s="18" t="s">
        <v>292</v>
      </c>
    </row>
    <row r="273" spans="1:9" s="11" customFormat="1" ht="75">
      <c r="A273" s="12">
        <v>43572.038506944446</v>
      </c>
      <c r="B273" s="13" t="s">
        <v>13198</v>
      </c>
      <c r="C273" s="14" t="s">
        <v>289</v>
      </c>
      <c r="D273" s="15" t="s">
        <v>3457</v>
      </c>
      <c r="E273" s="16" t="s">
        <v>13013</v>
      </c>
      <c r="F273" s="12">
        <v>43250.433333333334</v>
      </c>
      <c r="G273" s="17" t="s">
        <v>2783</v>
      </c>
      <c r="H273" s="35" t="s">
        <v>291</v>
      </c>
      <c r="I273" s="18" t="s">
        <v>292</v>
      </c>
    </row>
    <row r="274" spans="1:9" s="11" customFormat="1" ht="75">
      <c r="A274" s="12">
        <v>43571.010601851856</v>
      </c>
      <c r="B274" s="13" t="s">
        <v>13198</v>
      </c>
      <c r="C274" s="14" t="s">
        <v>289</v>
      </c>
      <c r="D274" s="15" t="s">
        <v>3897</v>
      </c>
      <c r="E274" s="16" t="s">
        <v>13009</v>
      </c>
      <c r="F274" s="12">
        <v>43250.433333333334</v>
      </c>
      <c r="G274" s="17" t="s">
        <v>2783</v>
      </c>
      <c r="H274" s="35" t="s">
        <v>291</v>
      </c>
      <c r="I274" s="18" t="s">
        <v>292</v>
      </c>
    </row>
    <row r="275" spans="1:9" s="11" customFormat="1" ht="60">
      <c r="A275" s="12">
        <v>43568.185717592598</v>
      </c>
      <c r="B275" s="13" t="s">
        <v>13198</v>
      </c>
      <c r="C275" s="14" t="s">
        <v>289</v>
      </c>
      <c r="D275" s="15" t="s">
        <v>4854</v>
      </c>
      <c r="E275" s="16" t="s">
        <v>13013</v>
      </c>
      <c r="F275" s="12">
        <v>43250.433333333334</v>
      </c>
      <c r="G275" s="17" t="s">
        <v>2783</v>
      </c>
      <c r="H275" s="35" t="s">
        <v>291</v>
      </c>
      <c r="I275" s="18" t="s">
        <v>292</v>
      </c>
    </row>
    <row r="276" spans="1:9" s="11" customFormat="1" ht="60">
      <c r="A276" s="12">
        <v>43567.196689814809</v>
      </c>
      <c r="B276" s="13" t="s">
        <v>13198</v>
      </c>
      <c r="C276" s="14" t="s">
        <v>289</v>
      </c>
      <c r="D276" s="15" t="s">
        <v>5211</v>
      </c>
      <c r="E276" s="16" t="s">
        <v>13013</v>
      </c>
      <c r="F276" s="12">
        <v>43250.433333333334</v>
      </c>
      <c r="G276" s="17" t="s">
        <v>2783</v>
      </c>
      <c r="H276" s="35" t="s">
        <v>291</v>
      </c>
      <c r="I276" s="18" t="s">
        <v>292</v>
      </c>
    </row>
    <row r="277" spans="1:9" s="11" customFormat="1" ht="60">
      <c r="A277" s="12">
        <v>43566.093506944446</v>
      </c>
      <c r="B277" s="13" t="s">
        <v>13198</v>
      </c>
      <c r="C277" s="14" t="s">
        <v>289</v>
      </c>
      <c r="D277" s="15" t="s">
        <v>5803</v>
      </c>
      <c r="E277" s="16" t="s">
        <v>13013</v>
      </c>
      <c r="F277" s="12">
        <v>43250.433333333334</v>
      </c>
      <c r="G277" s="17" t="s">
        <v>2783</v>
      </c>
      <c r="H277" s="35" t="s">
        <v>291</v>
      </c>
      <c r="I277" s="18" t="s">
        <v>292</v>
      </c>
    </row>
    <row r="278" spans="1:9" s="11" customFormat="1" ht="90">
      <c r="A278" s="19">
        <v>43543.362893518519</v>
      </c>
      <c r="B278" s="20" t="s">
        <v>13200</v>
      </c>
      <c r="C278" s="21" t="s">
        <v>1354</v>
      </c>
      <c r="D278" s="22" t="s">
        <v>9848</v>
      </c>
      <c r="E278" s="23" t="s">
        <v>13201</v>
      </c>
      <c r="F278" s="19">
        <v>43014.028831018513</v>
      </c>
      <c r="G278" s="17" t="s">
        <v>2783</v>
      </c>
      <c r="H278" s="35" t="s">
        <v>141</v>
      </c>
      <c r="I278" s="25"/>
    </row>
    <row r="279" spans="1:9" s="11" customFormat="1" ht="60">
      <c r="A279" s="19">
        <v>43543.360243055555</v>
      </c>
      <c r="B279" s="20" t="s">
        <v>13200</v>
      </c>
      <c r="C279" s="21" t="s">
        <v>1354</v>
      </c>
      <c r="D279" s="22" t="s">
        <v>9849</v>
      </c>
      <c r="E279" s="23" t="s">
        <v>13032</v>
      </c>
      <c r="F279" s="19">
        <v>43014.028831018513</v>
      </c>
      <c r="G279" s="17" t="s">
        <v>2783</v>
      </c>
      <c r="H279" s="35" t="s">
        <v>141</v>
      </c>
      <c r="I279" s="25"/>
    </row>
    <row r="280" spans="1:9" s="11" customFormat="1" ht="45">
      <c r="A280" s="4">
        <v>43561.145960648151</v>
      </c>
      <c r="B280" s="5" t="s">
        <v>13202</v>
      </c>
      <c r="C280" s="6" t="s">
        <v>11051</v>
      </c>
      <c r="D280" s="7" t="s">
        <v>11052</v>
      </c>
      <c r="E280" s="8" t="s">
        <v>13034</v>
      </c>
      <c r="F280" s="4">
        <v>43357.130196759259</v>
      </c>
      <c r="G280" s="17" t="s">
        <v>2783</v>
      </c>
      <c r="H280" s="35" t="s">
        <v>141</v>
      </c>
      <c r="I280" s="10" t="s">
        <v>11053</v>
      </c>
    </row>
    <row r="281" spans="1:9" s="11" customFormat="1" ht="60">
      <c r="A281" s="4">
        <v>43560.146053240736</v>
      </c>
      <c r="B281" s="5" t="s">
        <v>13202</v>
      </c>
      <c r="C281" s="6" t="s">
        <v>11051</v>
      </c>
      <c r="D281" s="7" t="s">
        <v>11593</v>
      </c>
      <c r="E281" s="8" t="s">
        <v>13034</v>
      </c>
      <c r="F281" s="4">
        <v>43357.130196759259</v>
      </c>
      <c r="G281" s="17" t="s">
        <v>2783</v>
      </c>
      <c r="H281" s="35" t="s">
        <v>141</v>
      </c>
      <c r="I281" s="10" t="s">
        <v>11053</v>
      </c>
    </row>
    <row r="282" spans="1:9" s="11" customFormat="1" ht="90">
      <c r="A282" s="4">
        <v>43558.841689814813</v>
      </c>
      <c r="B282" s="5" t="s">
        <v>13203</v>
      </c>
      <c r="C282" s="6" t="s">
        <v>12023</v>
      </c>
      <c r="D282" s="7" t="s">
        <v>12024</v>
      </c>
      <c r="E282" s="8" t="s">
        <v>13011</v>
      </c>
      <c r="F282" s="4">
        <v>43543.164780092593</v>
      </c>
      <c r="G282" s="17" t="s">
        <v>2783</v>
      </c>
      <c r="H282" s="35" t="s">
        <v>141</v>
      </c>
      <c r="I282" s="10" t="s">
        <v>12025</v>
      </c>
    </row>
    <row r="283" spans="1:9" s="11" customFormat="1" ht="105">
      <c r="A283" s="12">
        <v>43580.685092592597</v>
      </c>
      <c r="B283" s="13" t="s">
        <v>13204</v>
      </c>
      <c r="C283" s="14" t="s">
        <v>139</v>
      </c>
      <c r="D283" s="15" t="s">
        <v>140</v>
      </c>
      <c r="E283" s="16" t="s">
        <v>13027</v>
      </c>
      <c r="F283" s="12">
        <v>42086.956747685181</v>
      </c>
      <c r="G283" s="17" t="s">
        <v>2783</v>
      </c>
      <c r="H283" s="35" t="s">
        <v>141</v>
      </c>
      <c r="I283" s="18" t="s">
        <v>142</v>
      </c>
    </row>
    <row r="284" spans="1:9" s="11" customFormat="1" ht="75">
      <c r="A284" s="12">
        <v>43578.227523148147</v>
      </c>
      <c r="B284" s="13" t="s">
        <v>13200</v>
      </c>
      <c r="C284" s="14" t="s">
        <v>1354</v>
      </c>
      <c r="D284" s="15" t="s">
        <v>1355</v>
      </c>
      <c r="E284" s="16" t="s">
        <v>13201</v>
      </c>
      <c r="F284" s="12">
        <v>43014.028831018513</v>
      </c>
      <c r="G284" s="17" t="s">
        <v>2783</v>
      </c>
      <c r="H284" s="35" t="s">
        <v>141</v>
      </c>
      <c r="I284" s="18"/>
    </row>
    <row r="285" spans="1:9" s="11" customFormat="1" ht="105">
      <c r="A285" s="12">
        <v>43574.275011574078</v>
      </c>
      <c r="B285" s="13" t="s">
        <v>13205</v>
      </c>
      <c r="C285" s="14" t="s">
        <v>2638</v>
      </c>
      <c r="D285" s="15" t="s">
        <v>405</v>
      </c>
      <c r="E285" s="16" t="s">
        <v>13034</v>
      </c>
      <c r="F285" s="12">
        <v>41693.368310185186</v>
      </c>
      <c r="G285" s="17" t="s">
        <v>2783</v>
      </c>
      <c r="H285" s="35" t="s">
        <v>141</v>
      </c>
      <c r="I285" s="18" t="s">
        <v>2639</v>
      </c>
    </row>
    <row r="286" spans="1:9" s="11" customFormat="1" ht="45">
      <c r="A286" s="12">
        <v>43566.56527777778</v>
      </c>
      <c r="B286" s="13" t="s">
        <v>13206</v>
      </c>
      <c r="C286" s="14" t="s">
        <v>5440</v>
      </c>
      <c r="D286" s="15" t="s">
        <v>405</v>
      </c>
      <c r="E286" s="16" t="s">
        <v>13034</v>
      </c>
      <c r="F286" s="12">
        <v>43483.278217592597</v>
      </c>
      <c r="G286" s="17" t="s">
        <v>2783</v>
      </c>
      <c r="H286" s="35" t="s">
        <v>141</v>
      </c>
      <c r="I286" s="18" t="s">
        <v>5441</v>
      </c>
    </row>
    <row r="287" spans="1:9" s="11" customFormat="1" ht="75">
      <c r="A287" s="19">
        <v>43549.892511574071</v>
      </c>
      <c r="B287" s="20" t="s">
        <v>13207</v>
      </c>
      <c r="C287" s="21" t="s">
        <v>2947</v>
      </c>
      <c r="D287" s="22" t="s">
        <v>7885</v>
      </c>
      <c r="E287" s="23" t="s">
        <v>13013</v>
      </c>
      <c r="F287" s="19">
        <v>43423.309895833328</v>
      </c>
      <c r="G287" s="24" t="s">
        <v>2783</v>
      </c>
      <c r="H287" s="35" t="s">
        <v>2949</v>
      </c>
      <c r="I287" s="25" t="s">
        <v>2950</v>
      </c>
    </row>
    <row r="288" spans="1:9" s="11" customFormat="1" ht="75">
      <c r="A288" s="12">
        <v>43573.274270833332</v>
      </c>
      <c r="B288" s="13" t="s">
        <v>13207</v>
      </c>
      <c r="C288" s="14" t="s">
        <v>2947</v>
      </c>
      <c r="D288" s="15" t="s">
        <v>2948</v>
      </c>
      <c r="E288" s="16" t="s">
        <v>13013</v>
      </c>
      <c r="F288" s="12">
        <v>43423.309895833328</v>
      </c>
      <c r="G288" s="24" t="s">
        <v>2783</v>
      </c>
      <c r="H288" s="35" t="s">
        <v>2949</v>
      </c>
      <c r="I288" s="18" t="s">
        <v>2950</v>
      </c>
    </row>
    <row r="289" spans="1:9" s="11" customFormat="1" ht="75">
      <c r="A289" s="12">
        <v>43571.287083333329</v>
      </c>
      <c r="B289" s="13" t="s">
        <v>13207</v>
      </c>
      <c r="C289" s="14" t="s">
        <v>2947</v>
      </c>
      <c r="D289" s="15" t="s">
        <v>3758</v>
      </c>
      <c r="E289" s="16" t="s">
        <v>13013</v>
      </c>
      <c r="F289" s="12">
        <v>43423.309895833328</v>
      </c>
      <c r="G289" s="24" t="s">
        <v>2783</v>
      </c>
      <c r="H289" s="35" t="s">
        <v>2949</v>
      </c>
      <c r="I289" s="18" t="s">
        <v>2950</v>
      </c>
    </row>
    <row r="290" spans="1:9" s="11" customFormat="1" ht="75">
      <c r="A290" s="12">
        <v>43566.967581018514</v>
      </c>
      <c r="B290" s="13" t="s">
        <v>13207</v>
      </c>
      <c r="C290" s="14" t="s">
        <v>2947</v>
      </c>
      <c r="D290" s="15" t="s">
        <v>5295</v>
      </c>
      <c r="E290" s="16" t="s">
        <v>13013</v>
      </c>
      <c r="F290" s="12">
        <v>43423.309895833328</v>
      </c>
      <c r="G290" s="24" t="s">
        <v>2783</v>
      </c>
      <c r="H290" s="35" t="s">
        <v>2949</v>
      </c>
      <c r="I290" s="18" t="s">
        <v>2950</v>
      </c>
    </row>
    <row r="291" spans="1:9" s="11" customFormat="1" ht="120">
      <c r="A291" s="19">
        <v>43545.570972222224</v>
      </c>
      <c r="B291" s="20" t="s">
        <v>13208</v>
      </c>
      <c r="C291" s="21" t="s">
        <v>9092</v>
      </c>
      <c r="D291" s="22" t="s">
        <v>9093</v>
      </c>
      <c r="E291" s="23" t="s">
        <v>13011</v>
      </c>
      <c r="F291" s="19">
        <v>43388.608599537038</v>
      </c>
      <c r="G291" s="24" t="s">
        <v>2783</v>
      </c>
      <c r="H291" s="35" t="s">
        <v>9094</v>
      </c>
      <c r="I291" s="25" t="s">
        <v>9095</v>
      </c>
    </row>
    <row r="292" spans="1:9" s="11" customFormat="1" ht="120">
      <c r="A292" s="19">
        <v>43545.570138888885</v>
      </c>
      <c r="B292" s="20" t="s">
        <v>13208</v>
      </c>
      <c r="C292" s="21" t="s">
        <v>9092</v>
      </c>
      <c r="D292" s="22" t="s">
        <v>9096</v>
      </c>
      <c r="E292" s="23" t="s">
        <v>13011</v>
      </c>
      <c r="F292" s="19">
        <v>43388.608599537038</v>
      </c>
      <c r="G292" s="24" t="s">
        <v>2783</v>
      </c>
      <c r="H292" s="35" t="s">
        <v>9094</v>
      </c>
      <c r="I292" s="25" t="s">
        <v>9095</v>
      </c>
    </row>
    <row r="293" spans="1:9" s="11" customFormat="1" ht="90">
      <c r="A293" s="4">
        <v>43561.463379629626</v>
      </c>
      <c r="B293" s="5" t="s">
        <v>13209</v>
      </c>
      <c r="C293" s="6" t="s">
        <v>4792</v>
      </c>
      <c r="D293" s="7" t="s">
        <v>10969</v>
      </c>
      <c r="E293" s="8" t="s">
        <v>13032</v>
      </c>
      <c r="F293" s="4">
        <v>40895.97592592593</v>
      </c>
      <c r="G293" s="17" t="s">
        <v>2783</v>
      </c>
      <c r="H293" s="35" t="s">
        <v>10970</v>
      </c>
      <c r="I293" s="10" t="s">
        <v>10971</v>
      </c>
    </row>
    <row r="294" spans="1:9" s="11" customFormat="1" ht="90">
      <c r="A294" s="4">
        <v>43561.441354166665</v>
      </c>
      <c r="B294" s="5" t="s">
        <v>13209</v>
      </c>
      <c r="C294" s="6" t="s">
        <v>4792</v>
      </c>
      <c r="D294" s="7" t="s">
        <v>10972</v>
      </c>
      <c r="E294" s="8" t="s">
        <v>13032</v>
      </c>
      <c r="F294" s="4">
        <v>40895.97592592593</v>
      </c>
      <c r="G294" s="17" t="s">
        <v>2783</v>
      </c>
      <c r="H294" s="35" t="s">
        <v>10970</v>
      </c>
      <c r="I294" s="10" t="s">
        <v>10971</v>
      </c>
    </row>
    <row r="295" spans="1:9" s="11" customFormat="1" ht="75">
      <c r="A295" s="12">
        <v>43568.402094907404</v>
      </c>
      <c r="B295" s="13" t="s">
        <v>13209</v>
      </c>
      <c r="C295" s="14" t="s">
        <v>4792</v>
      </c>
      <c r="D295" s="15" t="s">
        <v>4793</v>
      </c>
      <c r="E295" s="16" t="s">
        <v>13013</v>
      </c>
      <c r="F295" s="12">
        <v>40895.97592592593</v>
      </c>
      <c r="G295" s="17" t="s">
        <v>2783</v>
      </c>
      <c r="H295" s="35" t="s">
        <v>4794</v>
      </c>
      <c r="I295" s="18" t="s">
        <v>4795</v>
      </c>
    </row>
    <row r="296" spans="1:9" s="11" customFormat="1" ht="75">
      <c r="A296" s="12">
        <v>43568.263819444444</v>
      </c>
      <c r="B296" s="13" t="s">
        <v>13209</v>
      </c>
      <c r="C296" s="14" t="s">
        <v>4792</v>
      </c>
      <c r="D296" s="15" t="s">
        <v>4832</v>
      </c>
      <c r="E296" s="16" t="s">
        <v>13032</v>
      </c>
      <c r="F296" s="12">
        <v>40895.97592592593</v>
      </c>
      <c r="G296" s="17" t="s">
        <v>2783</v>
      </c>
      <c r="H296" s="35" t="s">
        <v>4794</v>
      </c>
      <c r="I296" s="18" t="s">
        <v>4795</v>
      </c>
    </row>
    <row r="297" spans="1:9" s="11" customFormat="1" ht="105">
      <c r="A297" s="12">
        <v>43577.789444444439</v>
      </c>
      <c r="B297" s="13" t="s">
        <v>13210</v>
      </c>
      <c r="C297" s="14" t="s">
        <v>1497</v>
      </c>
      <c r="D297" s="15" t="s">
        <v>1498</v>
      </c>
      <c r="E297" s="16" t="s">
        <v>13009</v>
      </c>
      <c r="F297" s="12">
        <v>40058.976122685184</v>
      </c>
      <c r="G297" s="17" t="s">
        <v>2783</v>
      </c>
      <c r="H297" s="35" t="s">
        <v>1499</v>
      </c>
      <c r="I297" s="18" t="s">
        <v>1500</v>
      </c>
    </row>
    <row r="298" spans="1:9" s="11" customFormat="1" ht="60">
      <c r="A298" s="19">
        <v>43551.129525462966</v>
      </c>
      <c r="B298" s="20" t="s">
        <v>13211</v>
      </c>
      <c r="C298" s="21" t="s">
        <v>7428</v>
      </c>
      <c r="D298" s="22" t="s">
        <v>7429</v>
      </c>
      <c r="E298" s="23" t="s">
        <v>13009</v>
      </c>
      <c r="F298" s="19">
        <v>42548.045173611114</v>
      </c>
      <c r="G298" s="24" t="s">
        <v>2783</v>
      </c>
      <c r="H298" s="35" t="s">
        <v>7430</v>
      </c>
      <c r="I298" s="25" t="s">
        <v>7431</v>
      </c>
    </row>
    <row r="299" spans="1:9" s="11" customFormat="1" ht="45">
      <c r="A299" s="12">
        <v>43570.929166666669</v>
      </c>
      <c r="B299" s="13" t="s">
        <v>13212</v>
      </c>
      <c r="C299" s="14" t="s">
        <v>3932</v>
      </c>
      <c r="D299" s="15" t="s">
        <v>405</v>
      </c>
      <c r="E299" s="16" t="s">
        <v>13034</v>
      </c>
      <c r="F299" s="12">
        <v>39982.764537037037</v>
      </c>
      <c r="G299" s="24" t="s">
        <v>2783</v>
      </c>
      <c r="H299" s="35" t="s">
        <v>3933</v>
      </c>
      <c r="I299" s="18" t="s">
        <v>3934</v>
      </c>
    </row>
    <row r="300" spans="1:9" s="11" customFormat="1" ht="105">
      <c r="A300" s="4">
        <v>43559.608657407407</v>
      </c>
      <c r="B300" s="5" t="s">
        <v>13213</v>
      </c>
      <c r="C300" s="6" t="s">
        <v>11736</v>
      </c>
      <c r="D300" s="7" t="s">
        <v>11737</v>
      </c>
      <c r="E300" s="8" t="s">
        <v>13009</v>
      </c>
      <c r="F300" s="4">
        <v>43051.004131944443</v>
      </c>
      <c r="G300" s="9" t="s">
        <v>2783</v>
      </c>
      <c r="H300" s="35" t="s">
        <v>11738</v>
      </c>
      <c r="I300" s="10" t="s">
        <v>11739</v>
      </c>
    </row>
    <row r="301" spans="1:9" s="11" customFormat="1" ht="60">
      <c r="A301" s="12">
        <v>43578.018657407403</v>
      </c>
      <c r="B301" s="13" t="s">
        <v>13214</v>
      </c>
      <c r="C301" s="14" t="s">
        <v>1422</v>
      </c>
      <c r="D301" s="15" t="s">
        <v>1423</v>
      </c>
      <c r="E301" s="16" t="s">
        <v>13009</v>
      </c>
      <c r="F301" s="12">
        <v>43567.837164351848</v>
      </c>
      <c r="G301" s="17" t="s">
        <v>2783</v>
      </c>
      <c r="H301" s="35" t="s">
        <v>1424</v>
      </c>
      <c r="I301" s="18" t="s">
        <v>1425</v>
      </c>
    </row>
    <row r="302" spans="1:9" s="11" customFormat="1" ht="60">
      <c r="A302" s="12">
        <v>43577.022268518514</v>
      </c>
      <c r="B302" s="13" t="s">
        <v>13214</v>
      </c>
      <c r="C302" s="14" t="s">
        <v>1422</v>
      </c>
      <c r="D302" s="15" t="s">
        <v>1782</v>
      </c>
      <c r="E302" s="16" t="s">
        <v>13009</v>
      </c>
      <c r="F302" s="12">
        <v>43567.837164351848</v>
      </c>
      <c r="G302" s="17" t="s">
        <v>2783</v>
      </c>
      <c r="H302" s="35" t="s">
        <v>1424</v>
      </c>
      <c r="I302" s="18" t="s">
        <v>1425</v>
      </c>
    </row>
    <row r="303" spans="1:9" s="11" customFormat="1" ht="60">
      <c r="A303" s="12">
        <v>43574.129409722227</v>
      </c>
      <c r="B303" s="13" t="s">
        <v>13214</v>
      </c>
      <c r="C303" s="14" t="s">
        <v>1422</v>
      </c>
      <c r="D303" s="15" t="s">
        <v>2672</v>
      </c>
      <c r="E303" s="16" t="s">
        <v>13009</v>
      </c>
      <c r="F303" s="12">
        <v>43567.837164351848</v>
      </c>
      <c r="G303" s="17" t="s">
        <v>2783</v>
      </c>
      <c r="H303" s="35" t="s">
        <v>1424</v>
      </c>
      <c r="I303" s="18" t="s">
        <v>1425</v>
      </c>
    </row>
    <row r="304" spans="1:9" s="11" customFormat="1" ht="60">
      <c r="A304" s="12">
        <v>43572.127708333333</v>
      </c>
      <c r="B304" s="13" t="s">
        <v>13214</v>
      </c>
      <c r="C304" s="14" t="s">
        <v>1422</v>
      </c>
      <c r="D304" s="15" t="s">
        <v>3416</v>
      </c>
      <c r="E304" s="16" t="s">
        <v>13009</v>
      </c>
      <c r="F304" s="12">
        <v>43567.837164351848</v>
      </c>
      <c r="G304" s="17" t="s">
        <v>2783</v>
      </c>
      <c r="H304" s="35" t="s">
        <v>1424</v>
      </c>
      <c r="I304" s="18" t="s">
        <v>1425</v>
      </c>
    </row>
    <row r="305" spans="1:9" s="11" customFormat="1" ht="60">
      <c r="A305" s="19">
        <v>43549.777858796297</v>
      </c>
      <c r="B305" s="20" t="s">
        <v>13215</v>
      </c>
      <c r="C305" s="21" t="s">
        <v>7930</v>
      </c>
      <c r="D305" s="22" t="s">
        <v>7931</v>
      </c>
      <c r="E305" s="23" t="s">
        <v>13018</v>
      </c>
      <c r="F305" s="19">
        <v>42557.840324074074</v>
      </c>
      <c r="G305" s="17" t="s">
        <v>2783</v>
      </c>
      <c r="H305" s="35" t="s">
        <v>3408</v>
      </c>
      <c r="I305" s="25" t="s">
        <v>7932</v>
      </c>
    </row>
    <row r="306" spans="1:9" s="11" customFormat="1" ht="105">
      <c r="A306" s="19">
        <v>43548.85365740741</v>
      </c>
      <c r="B306" s="20" t="s">
        <v>13216</v>
      </c>
      <c r="C306" s="21" t="s">
        <v>3406</v>
      </c>
      <c r="D306" s="22" t="s">
        <v>8210</v>
      </c>
      <c r="E306" s="23" t="s">
        <v>13009</v>
      </c>
      <c r="F306" s="19">
        <v>42675.12572916667</v>
      </c>
      <c r="G306" s="17" t="s">
        <v>2783</v>
      </c>
      <c r="H306" s="35" t="s">
        <v>3408</v>
      </c>
      <c r="I306" s="25" t="s">
        <v>3409</v>
      </c>
    </row>
    <row r="307" spans="1:9" s="11" customFormat="1" ht="90">
      <c r="A307" s="19">
        <v>43546.333726851852</v>
      </c>
      <c r="B307" s="20" t="s">
        <v>13217</v>
      </c>
      <c r="C307" s="21" t="s">
        <v>8908</v>
      </c>
      <c r="D307" s="22" t="s">
        <v>8909</v>
      </c>
      <c r="E307" s="23" t="s">
        <v>13018</v>
      </c>
      <c r="F307" s="19">
        <v>42330.096134259264</v>
      </c>
      <c r="G307" s="17" t="s">
        <v>2783</v>
      </c>
      <c r="H307" s="35" t="s">
        <v>3408</v>
      </c>
      <c r="I307" s="25" t="s">
        <v>8910</v>
      </c>
    </row>
    <row r="308" spans="1:9" s="11" customFormat="1" ht="105">
      <c r="A308" s="19">
        <v>43545.072094907402</v>
      </c>
      <c r="B308" s="20" t="s">
        <v>13216</v>
      </c>
      <c r="C308" s="21" t="s">
        <v>3406</v>
      </c>
      <c r="D308" s="22" t="s">
        <v>9285</v>
      </c>
      <c r="E308" s="23" t="s">
        <v>13009</v>
      </c>
      <c r="F308" s="19">
        <v>42675.12572916667</v>
      </c>
      <c r="G308" s="17" t="s">
        <v>2783</v>
      </c>
      <c r="H308" s="35" t="s">
        <v>3408</v>
      </c>
      <c r="I308" s="25" t="s">
        <v>3409</v>
      </c>
    </row>
    <row r="309" spans="1:9" s="11" customFormat="1" ht="75">
      <c r="A309" s="19">
        <v>43544.021053240736</v>
      </c>
      <c r="B309" s="20" t="s">
        <v>13218</v>
      </c>
      <c r="C309" s="21" t="s">
        <v>9635</v>
      </c>
      <c r="D309" s="22" t="s">
        <v>9636</v>
      </c>
      <c r="E309" s="23" t="s">
        <v>13034</v>
      </c>
      <c r="F309" s="19">
        <v>39792.896574074075</v>
      </c>
      <c r="G309" s="17" t="s">
        <v>2783</v>
      </c>
      <c r="H309" s="35" t="s">
        <v>3408</v>
      </c>
      <c r="I309" s="25" t="s">
        <v>9637</v>
      </c>
    </row>
    <row r="310" spans="1:9" s="11" customFormat="1" ht="105">
      <c r="A310" s="4">
        <v>43565.786689814813</v>
      </c>
      <c r="B310" s="5" t="s">
        <v>13216</v>
      </c>
      <c r="C310" s="6" t="s">
        <v>3406</v>
      </c>
      <c r="D310" s="7" t="s">
        <v>5898</v>
      </c>
      <c r="E310" s="8" t="s">
        <v>13009</v>
      </c>
      <c r="F310" s="4">
        <v>42675.12572916667</v>
      </c>
      <c r="G310" s="17" t="s">
        <v>2783</v>
      </c>
      <c r="H310" s="35" t="s">
        <v>3408</v>
      </c>
      <c r="I310" s="10" t="s">
        <v>3409</v>
      </c>
    </row>
    <row r="311" spans="1:9" s="11" customFormat="1" ht="105">
      <c r="A311" s="4">
        <v>43565.287800925929</v>
      </c>
      <c r="B311" s="5" t="s">
        <v>13216</v>
      </c>
      <c r="C311" s="6" t="s">
        <v>3406</v>
      </c>
      <c r="D311" s="7" t="s">
        <v>6197</v>
      </c>
      <c r="E311" s="8" t="s">
        <v>13009</v>
      </c>
      <c r="F311" s="4">
        <v>42675.12572916667</v>
      </c>
      <c r="G311" s="17" t="s">
        <v>2783</v>
      </c>
      <c r="H311" s="35" t="s">
        <v>3408</v>
      </c>
      <c r="I311" s="10" t="s">
        <v>3409</v>
      </c>
    </row>
    <row r="312" spans="1:9" s="11" customFormat="1" ht="120">
      <c r="A312" s="4">
        <v>43565.187928240739</v>
      </c>
      <c r="B312" s="5" t="s">
        <v>13219</v>
      </c>
      <c r="C312" s="6" t="s">
        <v>6244</v>
      </c>
      <c r="D312" s="7" t="s">
        <v>6245</v>
      </c>
      <c r="E312" s="8" t="s">
        <v>13032</v>
      </c>
      <c r="F312" s="4">
        <v>39896.942245370374</v>
      </c>
      <c r="G312" s="17" t="s">
        <v>2783</v>
      </c>
      <c r="H312" s="35" t="s">
        <v>3408</v>
      </c>
      <c r="I312" s="10" t="s">
        <v>6246</v>
      </c>
    </row>
    <row r="313" spans="1:9" s="11" customFormat="1" ht="60">
      <c r="A313" s="4">
        <v>43565.029652777783</v>
      </c>
      <c r="B313" s="5" t="s">
        <v>13220</v>
      </c>
      <c r="C313" s="6" t="s">
        <v>6338</v>
      </c>
      <c r="D313" s="7" t="s">
        <v>6339</v>
      </c>
      <c r="E313" s="8" t="s">
        <v>13027</v>
      </c>
      <c r="F313" s="4">
        <v>40106.974652777775</v>
      </c>
      <c r="G313" s="17" t="s">
        <v>2783</v>
      </c>
      <c r="H313" s="35" t="s">
        <v>3408</v>
      </c>
      <c r="I313" s="10" t="s">
        <v>6340</v>
      </c>
    </row>
    <row r="314" spans="1:9" s="11" customFormat="1" ht="105">
      <c r="A314" s="4">
        <v>43564.037615740745</v>
      </c>
      <c r="B314" s="5" t="s">
        <v>13216</v>
      </c>
      <c r="C314" s="6" t="s">
        <v>3406</v>
      </c>
      <c r="D314" s="7" t="s">
        <v>6814</v>
      </c>
      <c r="E314" s="8" t="s">
        <v>13009</v>
      </c>
      <c r="F314" s="4">
        <v>42675.12572916667</v>
      </c>
      <c r="G314" s="17" t="s">
        <v>2783</v>
      </c>
      <c r="H314" s="35" t="s">
        <v>3408</v>
      </c>
      <c r="I314" s="10" t="s">
        <v>3409</v>
      </c>
    </row>
    <row r="315" spans="1:9" s="11" customFormat="1" ht="105">
      <c r="A315" s="4">
        <v>43563.173530092594</v>
      </c>
      <c r="B315" s="5" t="s">
        <v>13216</v>
      </c>
      <c r="C315" s="6" t="s">
        <v>3406</v>
      </c>
      <c r="D315" s="7" t="s">
        <v>10447</v>
      </c>
      <c r="E315" s="8" t="s">
        <v>13009</v>
      </c>
      <c r="F315" s="4">
        <v>42675.12572916667</v>
      </c>
      <c r="G315" s="17" t="s">
        <v>2783</v>
      </c>
      <c r="H315" s="35" t="s">
        <v>3408</v>
      </c>
      <c r="I315" s="10" t="s">
        <v>3409</v>
      </c>
    </row>
    <row r="316" spans="1:9" s="11" customFormat="1" ht="105">
      <c r="A316" s="4">
        <v>43561.237986111111</v>
      </c>
      <c r="B316" s="5" t="s">
        <v>13216</v>
      </c>
      <c r="C316" s="6" t="s">
        <v>3406</v>
      </c>
      <c r="D316" s="7" t="s">
        <v>11019</v>
      </c>
      <c r="E316" s="8" t="s">
        <v>13009</v>
      </c>
      <c r="F316" s="4">
        <v>42675.12572916667</v>
      </c>
      <c r="G316" s="17" t="s">
        <v>2783</v>
      </c>
      <c r="H316" s="35" t="s">
        <v>3408</v>
      </c>
      <c r="I316" s="10" t="s">
        <v>3409</v>
      </c>
    </row>
    <row r="317" spans="1:9" s="11" customFormat="1" ht="60">
      <c r="A317" s="4">
        <v>43558.666944444441</v>
      </c>
      <c r="B317" s="5" t="s">
        <v>13221</v>
      </c>
      <c r="C317" s="6" t="s">
        <v>12081</v>
      </c>
      <c r="D317" s="7" t="s">
        <v>12082</v>
      </c>
      <c r="E317" s="8" t="s">
        <v>13034</v>
      </c>
      <c r="F317" s="4">
        <v>39884.077662037038</v>
      </c>
      <c r="G317" s="17" t="s">
        <v>2783</v>
      </c>
      <c r="H317" s="35" t="s">
        <v>3408</v>
      </c>
      <c r="I317" s="10" t="s">
        <v>12083</v>
      </c>
    </row>
    <row r="318" spans="1:9" s="11" customFormat="1" ht="105">
      <c r="A318" s="12">
        <v>43572.144027777773</v>
      </c>
      <c r="B318" s="13" t="s">
        <v>13216</v>
      </c>
      <c r="C318" s="14" t="s">
        <v>3406</v>
      </c>
      <c r="D318" s="15" t="s">
        <v>3407</v>
      </c>
      <c r="E318" s="16" t="s">
        <v>13009</v>
      </c>
      <c r="F318" s="12">
        <v>42675.12572916667</v>
      </c>
      <c r="G318" s="17" t="s">
        <v>2783</v>
      </c>
      <c r="H318" s="35" t="s">
        <v>3408</v>
      </c>
      <c r="I318" s="18" t="s">
        <v>3409</v>
      </c>
    </row>
    <row r="319" spans="1:9" s="11" customFormat="1" ht="75">
      <c r="A319" s="12">
        <v>43569.802233796298</v>
      </c>
      <c r="B319" s="13" t="s">
        <v>13222</v>
      </c>
      <c r="C319" s="14" t="s">
        <v>4403</v>
      </c>
      <c r="D319" s="15" t="s">
        <v>4404</v>
      </c>
      <c r="E319" s="16" t="s">
        <v>13009</v>
      </c>
      <c r="F319" s="12">
        <v>40030.264618055553</v>
      </c>
      <c r="G319" s="17" t="s">
        <v>2783</v>
      </c>
      <c r="H319" s="35" t="s">
        <v>3408</v>
      </c>
      <c r="I319" s="18" t="s">
        <v>4405</v>
      </c>
    </row>
    <row r="320" spans="1:9" s="11" customFormat="1" ht="105">
      <c r="A320" s="4">
        <v>43557.637546296297</v>
      </c>
      <c r="B320" s="5" t="s">
        <v>13223</v>
      </c>
      <c r="C320" s="6" t="s">
        <v>12430</v>
      </c>
      <c r="D320" s="7" t="s">
        <v>12431</v>
      </c>
      <c r="E320" s="8" t="s">
        <v>13101</v>
      </c>
      <c r="F320" s="4">
        <v>42380.260497685187</v>
      </c>
      <c r="G320" s="9" t="s">
        <v>2783</v>
      </c>
      <c r="H320" s="35" t="s">
        <v>12432</v>
      </c>
      <c r="I320" s="10" t="s">
        <v>12433</v>
      </c>
    </row>
    <row r="321" spans="1:9" s="11" customFormat="1">
      <c r="A321" s="4">
        <v>43557.354421296295</v>
      </c>
      <c r="B321" s="5" t="s">
        <v>13224</v>
      </c>
      <c r="C321" s="6" t="s">
        <v>12545</v>
      </c>
      <c r="D321" s="7" t="s">
        <v>12546</v>
      </c>
      <c r="E321" s="8" t="s">
        <v>13018</v>
      </c>
      <c r="F321" s="4">
        <v>40253.426550925928</v>
      </c>
      <c r="G321" s="9" t="s">
        <v>2783</v>
      </c>
      <c r="H321" s="35" t="s">
        <v>12432</v>
      </c>
      <c r="I321" s="10" t="s">
        <v>12547</v>
      </c>
    </row>
    <row r="322" spans="1:9" s="11" customFormat="1" ht="120">
      <c r="A322" s="12">
        <v>43574.91541666667</v>
      </c>
      <c r="B322" s="13" t="s">
        <v>13225</v>
      </c>
      <c r="C322" s="14" t="s">
        <v>2403</v>
      </c>
      <c r="D322" s="15" t="s">
        <v>12910</v>
      </c>
      <c r="E322" s="16" t="s">
        <v>13013</v>
      </c>
      <c r="F322" s="12">
        <v>42911.151979166665</v>
      </c>
      <c r="G322" s="17" t="s">
        <v>2783</v>
      </c>
      <c r="H322" s="35" t="s">
        <v>2404</v>
      </c>
      <c r="I322" s="18" t="s">
        <v>2405</v>
      </c>
    </row>
    <row r="323" spans="1:9" s="11" customFormat="1" ht="75">
      <c r="A323" s="19">
        <v>43544.257685185185</v>
      </c>
      <c r="B323" s="20" t="s">
        <v>13226</v>
      </c>
      <c r="C323" s="21" t="s">
        <v>9564</v>
      </c>
      <c r="D323" s="22" t="s">
        <v>12821</v>
      </c>
      <c r="E323" s="23" t="s">
        <v>13009</v>
      </c>
      <c r="F323" s="19">
        <v>42844.164652777778</v>
      </c>
      <c r="G323" s="17" t="s">
        <v>2783</v>
      </c>
      <c r="H323" s="35" t="s">
        <v>9565</v>
      </c>
      <c r="I323" s="25" t="s">
        <v>9566</v>
      </c>
    </row>
    <row r="324" spans="1:9" s="11" customFormat="1" ht="105">
      <c r="A324" s="4">
        <v>43556.939166666663</v>
      </c>
      <c r="B324" s="5" t="s">
        <v>13227</v>
      </c>
      <c r="C324" s="6" t="s">
        <v>12700</v>
      </c>
      <c r="D324" s="7" t="s">
        <v>12824</v>
      </c>
      <c r="E324" s="8" t="s">
        <v>13009</v>
      </c>
      <c r="F324" s="4">
        <v>40550.096122685187</v>
      </c>
      <c r="G324" s="17" t="s">
        <v>2783</v>
      </c>
      <c r="H324" s="35" t="s">
        <v>12701</v>
      </c>
      <c r="I324" s="10" t="s">
        <v>12702</v>
      </c>
    </row>
    <row r="325" spans="1:9" s="11" customFormat="1" ht="60">
      <c r="A325" s="19">
        <v>43550.02615740741</v>
      </c>
      <c r="B325" s="20" t="s">
        <v>13228</v>
      </c>
      <c r="C325" s="21" t="s">
        <v>7856</v>
      </c>
      <c r="D325" s="22" t="s">
        <v>7857</v>
      </c>
      <c r="E325" s="23" t="s">
        <v>13013</v>
      </c>
      <c r="F325" s="19">
        <v>39937.084016203706</v>
      </c>
      <c r="G325" s="17" t="s">
        <v>2783</v>
      </c>
      <c r="H325" s="35" t="s">
        <v>1012</v>
      </c>
      <c r="I325" s="25" t="s">
        <v>7858</v>
      </c>
    </row>
    <row r="326" spans="1:9" s="11" customFormat="1" ht="120">
      <c r="A326" s="19">
        <v>43547.645868055552</v>
      </c>
      <c r="B326" s="20" t="s">
        <v>13229</v>
      </c>
      <c r="C326" s="21" t="s">
        <v>2152</v>
      </c>
      <c r="D326" s="22" t="s">
        <v>8490</v>
      </c>
      <c r="E326" s="23" t="s">
        <v>13230</v>
      </c>
      <c r="F326" s="19">
        <v>41877.588703703703</v>
      </c>
      <c r="G326" s="17" t="s">
        <v>2783</v>
      </c>
      <c r="H326" s="35" t="s">
        <v>1012</v>
      </c>
      <c r="I326" s="25" t="s">
        <v>2154</v>
      </c>
    </row>
    <row r="327" spans="1:9" s="11" customFormat="1" ht="120">
      <c r="A327" s="19">
        <v>43547.185266203705</v>
      </c>
      <c r="B327" s="20" t="s">
        <v>13231</v>
      </c>
      <c r="C327" s="21" t="s">
        <v>8642</v>
      </c>
      <c r="D327" s="22" t="s">
        <v>8643</v>
      </c>
      <c r="E327" s="23" t="s">
        <v>13027</v>
      </c>
      <c r="F327" s="19">
        <v>39873.333113425928</v>
      </c>
      <c r="G327" s="17" t="s">
        <v>2783</v>
      </c>
      <c r="H327" s="35" t="s">
        <v>1012</v>
      </c>
      <c r="I327" s="25" t="s">
        <v>8644</v>
      </c>
    </row>
    <row r="328" spans="1:9" s="11" customFormat="1" ht="120">
      <c r="A328" s="19">
        <v>43547.184733796297</v>
      </c>
      <c r="B328" s="20" t="s">
        <v>13231</v>
      </c>
      <c r="C328" s="21" t="s">
        <v>8642</v>
      </c>
      <c r="D328" s="22" t="s">
        <v>8645</v>
      </c>
      <c r="E328" s="23" t="s">
        <v>13034</v>
      </c>
      <c r="F328" s="19">
        <v>39873.333113425928</v>
      </c>
      <c r="G328" s="17" t="s">
        <v>2783</v>
      </c>
      <c r="H328" s="35" t="s">
        <v>1012</v>
      </c>
      <c r="I328" s="25" t="s">
        <v>8644</v>
      </c>
    </row>
    <row r="329" spans="1:9" s="11" customFormat="1" ht="90">
      <c r="A329" s="19">
        <v>43545.815393518518</v>
      </c>
      <c r="B329" s="20" t="s">
        <v>13232</v>
      </c>
      <c r="C329" s="21" t="s">
        <v>9042</v>
      </c>
      <c r="D329" s="22" t="s">
        <v>9043</v>
      </c>
      <c r="E329" s="23" t="s">
        <v>13013</v>
      </c>
      <c r="F329" s="19">
        <v>39778.660138888888</v>
      </c>
      <c r="G329" s="17" t="s">
        <v>2783</v>
      </c>
      <c r="H329" s="35" t="s">
        <v>1012</v>
      </c>
      <c r="I329" s="25" t="s">
        <v>9044</v>
      </c>
    </row>
    <row r="330" spans="1:9" s="11" customFormat="1" ht="105">
      <c r="A330" s="19">
        <v>43543.22384259259</v>
      </c>
      <c r="B330" s="20" t="s">
        <v>13233</v>
      </c>
      <c r="C330" s="21" t="s">
        <v>9892</v>
      </c>
      <c r="D330" s="22" t="s">
        <v>9893</v>
      </c>
      <c r="E330" s="23" t="s">
        <v>13120</v>
      </c>
      <c r="F330" s="19">
        <v>40849.573796296296</v>
      </c>
      <c r="G330" s="17" t="s">
        <v>2783</v>
      </c>
      <c r="H330" s="35" t="s">
        <v>1012</v>
      </c>
      <c r="I330" s="25" t="s">
        <v>9894</v>
      </c>
    </row>
    <row r="331" spans="1:9" s="11" customFormat="1" ht="120">
      <c r="A331" s="19">
        <v>43542.980243055557</v>
      </c>
      <c r="B331" s="20" t="s">
        <v>13234</v>
      </c>
      <c r="C331" s="21" t="s">
        <v>9970</v>
      </c>
      <c r="D331" s="22" t="s">
        <v>9971</v>
      </c>
      <c r="E331" s="23" t="s">
        <v>13009</v>
      </c>
      <c r="F331" s="19">
        <v>41783.193726851852</v>
      </c>
      <c r="G331" s="17" t="s">
        <v>2783</v>
      </c>
      <c r="H331" s="35" t="s">
        <v>1012</v>
      </c>
      <c r="I331" s="25" t="s">
        <v>9972</v>
      </c>
    </row>
    <row r="332" spans="1:9" s="11" customFormat="1" ht="90">
      <c r="A332" s="4">
        <v>43565.33766203704</v>
      </c>
      <c r="B332" s="5" t="s">
        <v>13235</v>
      </c>
      <c r="C332" s="6" t="s">
        <v>6162</v>
      </c>
      <c r="D332" s="7" t="s">
        <v>6163</v>
      </c>
      <c r="E332" s="8" t="s">
        <v>13013</v>
      </c>
      <c r="F332" s="4">
        <v>40053.18309027778</v>
      </c>
      <c r="G332" s="17" t="s">
        <v>2783</v>
      </c>
      <c r="H332" s="35" t="s">
        <v>1012</v>
      </c>
      <c r="I332" s="10" t="s">
        <v>6164</v>
      </c>
    </row>
    <row r="333" spans="1:9" s="11" customFormat="1" ht="105">
      <c r="A333" s="4">
        <v>43561.875231481477</v>
      </c>
      <c r="B333" s="5" t="s">
        <v>13236</v>
      </c>
      <c r="C333" s="6" t="s">
        <v>10810</v>
      </c>
      <c r="D333" s="7" t="s">
        <v>10811</v>
      </c>
      <c r="E333" s="8" t="s">
        <v>13034</v>
      </c>
      <c r="F333" s="4">
        <v>40162.393854166665</v>
      </c>
      <c r="G333" s="17" t="s">
        <v>2783</v>
      </c>
      <c r="H333" s="35" t="s">
        <v>1012</v>
      </c>
      <c r="I333" s="10" t="s">
        <v>10812</v>
      </c>
    </row>
    <row r="334" spans="1:9" s="11" customFormat="1" ht="120">
      <c r="A334" s="4">
        <v>43561.645868055552</v>
      </c>
      <c r="B334" s="5" t="s">
        <v>13229</v>
      </c>
      <c r="C334" s="6" t="s">
        <v>2152</v>
      </c>
      <c r="D334" s="7" t="s">
        <v>10884</v>
      </c>
      <c r="E334" s="8" t="s">
        <v>13230</v>
      </c>
      <c r="F334" s="4">
        <v>41877.588703703703</v>
      </c>
      <c r="G334" s="17" t="s">
        <v>2783</v>
      </c>
      <c r="H334" s="35" t="s">
        <v>1012</v>
      </c>
      <c r="I334" s="10" t="s">
        <v>2154</v>
      </c>
    </row>
    <row r="335" spans="1:9" s="11" customFormat="1" ht="105">
      <c r="A335" s="4">
        <v>43560.543229166666</v>
      </c>
      <c r="B335" s="5" t="s">
        <v>13237</v>
      </c>
      <c r="C335" s="6" t="s">
        <v>11297</v>
      </c>
      <c r="D335" s="7" t="s">
        <v>11298</v>
      </c>
      <c r="E335" s="8" t="s">
        <v>13011</v>
      </c>
      <c r="F335" s="4">
        <v>39646.10319444444</v>
      </c>
      <c r="G335" s="17" t="s">
        <v>2783</v>
      </c>
      <c r="H335" s="35" t="s">
        <v>1012</v>
      </c>
      <c r="I335" s="10" t="s">
        <v>11299</v>
      </c>
    </row>
    <row r="336" spans="1:9" s="11" customFormat="1" ht="90">
      <c r="A336" s="4">
        <v>43560.463321759264</v>
      </c>
      <c r="B336" s="5" t="s">
        <v>13238</v>
      </c>
      <c r="C336" s="6" t="s">
        <v>11355</v>
      </c>
      <c r="D336" s="7" t="s">
        <v>11356</v>
      </c>
      <c r="E336" s="8" t="s">
        <v>13009</v>
      </c>
      <c r="F336" s="4">
        <v>42632.45</v>
      </c>
      <c r="G336" s="17" t="s">
        <v>2783</v>
      </c>
      <c r="H336" s="35" t="s">
        <v>1012</v>
      </c>
      <c r="I336" s="10" t="s">
        <v>11357</v>
      </c>
    </row>
    <row r="337" spans="1:9" s="11" customFormat="1" ht="105">
      <c r="A337" s="4">
        <v>43560.376435185186</v>
      </c>
      <c r="B337" s="5" t="s">
        <v>13236</v>
      </c>
      <c r="C337" s="6" t="s">
        <v>10810</v>
      </c>
      <c r="D337" s="7" t="s">
        <v>11410</v>
      </c>
      <c r="E337" s="8" t="s">
        <v>13034</v>
      </c>
      <c r="F337" s="4">
        <v>40162.393854166665</v>
      </c>
      <c r="G337" s="17" t="s">
        <v>2783</v>
      </c>
      <c r="H337" s="35" t="s">
        <v>1012</v>
      </c>
      <c r="I337" s="10" t="s">
        <v>10812</v>
      </c>
    </row>
    <row r="338" spans="1:9" s="11" customFormat="1" ht="90">
      <c r="A338" s="4">
        <v>43559.890150462961</v>
      </c>
      <c r="B338" s="5" t="s">
        <v>13239</v>
      </c>
      <c r="C338" s="6" t="s">
        <v>11664</v>
      </c>
      <c r="D338" s="7" t="s">
        <v>11665</v>
      </c>
      <c r="E338" s="8" t="s">
        <v>13009</v>
      </c>
      <c r="F338" s="4">
        <v>42407.157800925925</v>
      </c>
      <c r="G338" s="17" t="s">
        <v>2783</v>
      </c>
      <c r="H338" s="35" t="s">
        <v>1012</v>
      </c>
      <c r="I338" s="10" t="s">
        <v>11666</v>
      </c>
    </row>
    <row r="339" spans="1:9" s="11" customFormat="1" ht="105">
      <c r="A339" s="4">
        <v>43558.266921296294</v>
      </c>
      <c r="B339" s="5" t="s">
        <v>13240</v>
      </c>
      <c r="C339" s="6" t="s">
        <v>12254</v>
      </c>
      <c r="D339" s="7" t="s">
        <v>12255</v>
      </c>
      <c r="E339" s="8" t="s">
        <v>13009</v>
      </c>
      <c r="F339" s="4">
        <v>43554.040312500001</v>
      </c>
      <c r="G339" s="17" t="s">
        <v>2783</v>
      </c>
      <c r="H339" s="35" t="s">
        <v>1012</v>
      </c>
      <c r="I339" s="10" t="s">
        <v>12256</v>
      </c>
    </row>
    <row r="340" spans="1:9" s="11" customFormat="1" ht="45">
      <c r="A340" s="12">
        <v>43578.854166666672</v>
      </c>
      <c r="B340" s="13" t="s">
        <v>13241</v>
      </c>
      <c r="C340" s="14" t="s">
        <v>1010</v>
      </c>
      <c r="D340" s="15" t="s">
        <v>1011</v>
      </c>
      <c r="E340" s="16" t="s">
        <v>13120</v>
      </c>
      <c r="F340" s="12">
        <v>41975.061921296292</v>
      </c>
      <c r="G340" s="17" t="s">
        <v>2783</v>
      </c>
      <c r="H340" s="35" t="s">
        <v>1012</v>
      </c>
      <c r="I340" s="18" t="s">
        <v>1013</v>
      </c>
    </row>
    <row r="341" spans="1:9" s="11" customFormat="1" ht="45">
      <c r="A341" s="12">
        <v>43578.409733796296</v>
      </c>
      <c r="B341" s="13" t="s">
        <v>13242</v>
      </c>
      <c r="C341" s="14" t="s">
        <v>1220</v>
      </c>
      <c r="D341" s="15" t="s">
        <v>1221</v>
      </c>
      <c r="E341" s="16" t="s">
        <v>13013</v>
      </c>
      <c r="F341" s="12">
        <v>39958.379745370374</v>
      </c>
      <c r="G341" s="17" t="s">
        <v>2783</v>
      </c>
      <c r="H341" s="35" t="s">
        <v>1012</v>
      </c>
      <c r="I341" s="18"/>
    </row>
    <row r="342" spans="1:9" s="11" customFormat="1" ht="120">
      <c r="A342" s="12">
        <v>43577.955567129626</v>
      </c>
      <c r="B342" s="13" t="s">
        <v>13243</v>
      </c>
      <c r="C342" s="14" t="s">
        <v>1442</v>
      </c>
      <c r="D342" s="15" t="s">
        <v>1443</v>
      </c>
      <c r="E342" s="16" t="s">
        <v>13120</v>
      </c>
      <c r="F342" s="12">
        <v>42647.069710648153</v>
      </c>
      <c r="G342" s="17" t="s">
        <v>2783</v>
      </c>
      <c r="H342" s="35" t="s">
        <v>1012</v>
      </c>
      <c r="I342" s="18" t="s">
        <v>1444</v>
      </c>
    </row>
    <row r="343" spans="1:9" s="11" customFormat="1" ht="120">
      <c r="A343" s="12">
        <v>43575.645868055552</v>
      </c>
      <c r="B343" s="13" t="s">
        <v>13229</v>
      </c>
      <c r="C343" s="14" t="s">
        <v>2152</v>
      </c>
      <c r="D343" s="15" t="s">
        <v>2153</v>
      </c>
      <c r="E343" s="16" t="s">
        <v>13230</v>
      </c>
      <c r="F343" s="12">
        <v>41877.588703703703</v>
      </c>
      <c r="G343" s="17" t="s">
        <v>2783</v>
      </c>
      <c r="H343" s="35" t="s">
        <v>1012</v>
      </c>
      <c r="I343" s="18" t="s">
        <v>2154</v>
      </c>
    </row>
    <row r="344" spans="1:9" s="11" customFormat="1" ht="45">
      <c r="A344" s="12">
        <v>43575.397453703699</v>
      </c>
      <c r="B344" s="13" t="s">
        <v>13242</v>
      </c>
      <c r="C344" s="14" t="s">
        <v>1220</v>
      </c>
      <c r="D344" s="15" t="s">
        <v>2240</v>
      </c>
      <c r="E344" s="16" t="s">
        <v>13013</v>
      </c>
      <c r="F344" s="12">
        <v>39958.379745370374</v>
      </c>
      <c r="G344" s="17" t="s">
        <v>2783</v>
      </c>
      <c r="H344" s="35" t="s">
        <v>1012</v>
      </c>
      <c r="I344" s="18"/>
    </row>
    <row r="345" spans="1:9" s="11" customFormat="1" ht="120">
      <c r="A345" s="12">
        <v>43568.645868055552</v>
      </c>
      <c r="B345" s="13" t="s">
        <v>13229</v>
      </c>
      <c r="C345" s="14" t="s">
        <v>2152</v>
      </c>
      <c r="D345" s="15" t="s">
        <v>4680</v>
      </c>
      <c r="E345" s="16" t="s">
        <v>13230</v>
      </c>
      <c r="F345" s="12">
        <v>41877.588703703703</v>
      </c>
      <c r="G345" s="17" t="s">
        <v>2783</v>
      </c>
      <c r="H345" s="35" t="s">
        <v>1012</v>
      </c>
      <c r="I345" s="18" t="s">
        <v>2154</v>
      </c>
    </row>
    <row r="346" spans="1:9" s="11" customFormat="1" ht="45">
      <c r="A346" s="12">
        <v>43568.468124999999</v>
      </c>
      <c r="B346" s="13" t="s">
        <v>13242</v>
      </c>
      <c r="C346" s="14" t="s">
        <v>1220</v>
      </c>
      <c r="D346" s="15" t="s">
        <v>4752</v>
      </c>
      <c r="E346" s="16" t="s">
        <v>13013</v>
      </c>
      <c r="F346" s="12">
        <v>39958.379745370374</v>
      </c>
      <c r="G346" s="17" t="s">
        <v>2783</v>
      </c>
      <c r="H346" s="35" t="s">
        <v>1012</v>
      </c>
      <c r="I346" s="18"/>
    </row>
    <row r="347" spans="1:9" s="11" customFormat="1" ht="105">
      <c r="A347" s="12">
        <v>43568.109293981484</v>
      </c>
      <c r="B347" s="13" t="s">
        <v>13244</v>
      </c>
      <c r="C347" s="14" t="s">
        <v>4867</v>
      </c>
      <c r="D347" s="15" t="s">
        <v>4868</v>
      </c>
      <c r="E347" s="16" t="s">
        <v>13011</v>
      </c>
      <c r="F347" s="12">
        <v>39950.962407407409</v>
      </c>
      <c r="G347" s="17" t="s">
        <v>2783</v>
      </c>
      <c r="H347" s="35" t="s">
        <v>1012</v>
      </c>
      <c r="I347" s="18" t="s">
        <v>4869</v>
      </c>
    </row>
    <row r="348" spans="1:9" s="11" customFormat="1" ht="45">
      <c r="A348" s="12">
        <v>43567.110775462963</v>
      </c>
      <c r="B348" s="13" t="s">
        <v>13242</v>
      </c>
      <c r="C348" s="14" t="s">
        <v>1220</v>
      </c>
      <c r="D348" s="15" t="s">
        <v>5234</v>
      </c>
      <c r="E348" s="16" t="s">
        <v>13013</v>
      </c>
      <c r="F348" s="12">
        <v>39958.379745370374</v>
      </c>
      <c r="G348" s="17" t="s">
        <v>2783</v>
      </c>
      <c r="H348" s="35" t="s">
        <v>1012</v>
      </c>
      <c r="I348" s="18"/>
    </row>
    <row r="349" spans="1:9" s="11" customFormat="1" ht="75">
      <c r="A349" s="12">
        <v>43567.000416666662</v>
      </c>
      <c r="B349" s="13" t="s">
        <v>13245</v>
      </c>
      <c r="C349" s="14" t="s">
        <v>5279</v>
      </c>
      <c r="D349" s="15" t="s">
        <v>5280</v>
      </c>
      <c r="E349" s="16" t="s">
        <v>13011</v>
      </c>
      <c r="F349" s="12">
        <v>43096.008530092593</v>
      </c>
      <c r="G349" s="17" t="s">
        <v>2783</v>
      </c>
      <c r="H349" s="35" t="s">
        <v>1012</v>
      </c>
      <c r="I349" s="18" t="s">
        <v>5281</v>
      </c>
    </row>
    <row r="350" spans="1:9" s="11" customFormat="1" ht="45">
      <c r="A350" s="12">
        <v>43574.282650462963</v>
      </c>
      <c r="B350" s="13" t="s">
        <v>13246</v>
      </c>
      <c r="C350" s="14" t="s">
        <v>2623</v>
      </c>
      <c r="D350" s="15" t="s">
        <v>2624</v>
      </c>
      <c r="E350" s="16" t="s">
        <v>13034</v>
      </c>
      <c r="F350" s="12">
        <v>40082.186956018515</v>
      </c>
      <c r="G350" s="17" t="s">
        <v>2783</v>
      </c>
      <c r="H350" s="35" t="s">
        <v>2625</v>
      </c>
      <c r="I350" s="18" t="s">
        <v>2626</v>
      </c>
    </row>
    <row r="351" spans="1:9" s="11" customFormat="1" ht="45">
      <c r="A351" s="12">
        <v>43572.490300925929</v>
      </c>
      <c r="B351" s="13" t="s">
        <v>13246</v>
      </c>
      <c r="C351" s="14" t="s">
        <v>2623</v>
      </c>
      <c r="D351" s="15" t="s">
        <v>2624</v>
      </c>
      <c r="E351" s="16" t="s">
        <v>13034</v>
      </c>
      <c r="F351" s="12">
        <v>40082.186956018515</v>
      </c>
      <c r="G351" s="17" t="s">
        <v>2783</v>
      </c>
      <c r="H351" s="35" t="s">
        <v>2625</v>
      </c>
      <c r="I351" s="18" t="s">
        <v>2626</v>
      </c>
    </row>
    <row r="352" spans="1:9" s="11" customFormat="1" ht="45">
      <c r="A352" s="12">
        <v>43572.282048611116</v>
      </c>
      <c r="B352" s="13" t="s">
        <v>13246</v>
      </c>
      <c r="C352" s="14" t="s">
        <v>2623</v>
      </c>
      <c r="D352" s="15" t="s">
        <v>2624</v>
      </c>
      <c r="E352" s="16" t="s">
        <v>13034</v>
      </c>
      <c r="F352" s="12">
        <v>40082.186956018515</v>
      </c>
      <c r="G352" s="17" t="s">
        <v>2783</v>
      </c>
      <c r="H352" s="35" t="s">
        <v>2625</v>
      </c>
      <c r="I352" s="18" t="s">
        <v>2626</v>
      </c>
    </row>
    <row r="353" spans="1:9" s="11" customFormat="1" ht="90">
      <c r="A353" s="19">
        <v>43547.062592592592</v>
      </c>
      <c r="B353" s="20" t="s">
        <v>13247</v>
      </c>
      <c r="C353" s="21" t="s">
        <v>8660</v>
      </c>
      <c r="D353" s="22" t="s">
        <v>8661</v>
      </c>
      <c r="E353" s="23" t="s">
        <v>13034</v>
      </c>
      <c r="F353" s="19">
        <v>41346.350949074076</v>
      </c>
      <c r="G353" s="24" t="s">
        <v>2783</v>
      </c>
      <c r="H353" s="35" t="s">
        <v>8662</v>
      </c>
      <c r="I353" s="25" t="s">
        <v>8663</v>
      </c>
    </row>
    <row r="354" spans="1:9" s="11" customFormat="1" ht="90">
      <c r="A354" s="19">
        <v>43544.370856481481</v>
      </c>
      <c r="B354" s="20" t="s">
        <v>13248</v>
      </c>
      <c r="C354" s="21" t="s">
        <v>9490</v>
      </c>
      <c r="D354" s="22" t="s">
        <v>9491</v>
      </c>
      <c r="E354" s="23" t="s">
        <v>13009</v>
      </c>
      <c r="F354" s="19">
        <v>39979.350185185183</v>
      </c>
      <c r="G354" s="24" t="s">
        <v>2783</v>
      </c>
      <c r="H354" s="35" t="s">
        <v>9492</v>
      </c>
      <c r="I354" s="25" t="s">
        <v>9493</v>
      </c>
    </row>
    <row r="355" spans="1:9" s="11" customFormat="1" ht="105">
      <c r="A355" s="19">
        <v>43550.243472222224</v>
      </c>
      <c r="B355" s="20" t="s">
        <v>13249</v>
      </c>
      <c r="C355" s="21" t="s">
        <v>7771</v>
      </c>
      <c r="D355" s="22" t="s">
        <v>7772</v>
      </c>
      <c r="E355" s="23" t="s">
        <v>13013</v>
      </c>
      <c r="F355" s="19">
        <v>41157.124166666668</v>
      </c>
      <c r="G355" s="24" t="s">
        <v>2783</v>
      </c>
      <c r="H355" s="35" t="s">
        <v>7773</v>
      </c>
      <c r="I355" s="25" t="s">
        <v>7774</v>
      </c>
    </row>
    <row r="356" spans="1:9" s="11" customFormat="1" ht="105">
      <c r="A356" s="12">
        <v>43574.797835648147</v>
      </c>
      <c r="B356" s="13" t="s">
        <v>13250</v>
      </c>
      <c r="C356" s="14" t="s">
        <v>2438</v>
      </c>
      <c r="D356" s="15" t="s">
        <v>2439</v>
      </c>
      <c r="E356" s="16" t="s">
        <v>13009</v>
      </c>
      <c r="F356" s="12">
        <v>42837.15792824074</v>
      </c>
      <c r="G356" s="17" t="s">
        <v>2783</v>
      </c>
      <c r="H356" s="35" t="s">
        <v>2440</v>
      </c>
      <c r="I356" s="18" t="s">
        <v>2441</v>
      </c>
    </row>
    <row r="357" spans="1:9" s="11" customFormat="1" ht="45">
      <c r="A357" s="12">
        <v>43570.896562499998</v>
      </c>
      <c r="B357" s="13" t="s">
        <v>13251</v>
      </c>
      <c r="C357" s="14" t="s">
        <v>3948</v>
      </c>
      <c r="D357" s="15" t="s">
        <v>3949</v>
      </c>
      <c r="E357" s="16" t="s">
        <v>13032</v>
      </c>
      <c r="F357" s="12">
        <v>39828.956053240741</v>
      </c>
      <c r="G357" s="17" t="s">
        <v>2783</v>
      </c>
      <c r="H357" s="35" t="s">
        <v>2440</v>
      </c>
      <c r="I357" s="18" t="s">
        <v>3950</v>
      </c>
    </row>
    <row r="358" spans="1:9" s="11" customFormat="1" ht="45">
      <c r="A358" s="12">
        <v>43570.140543981484</v>
      </c>
      <c r="B358" s="13" t="s">
        <v>13251</v>
      </c>
      <c r="C358" s="14" t="s">
        <v>3948</v>
      </c>
      <c r="D358" s="15" t="s">
        <v>4320</v>
      </c>
      <c r="E358" s="16" t="s">
        <v>13032</v>
      </c>
      <c r="F358" s="12">
        <v>39828.956053240741</v>
      </c>
      <c r="G358" s="17" t="s">
        <v>2783</v>
      </c>
      <c r="H358" s="35" t="s">
        <v>2440</v>
      </c>
      <c r="I358" s="18" t="s">
        <v>3950</v>
      </c>
    </row>
    <row r="359" spans="1:9" s="11" customFormat="1" ht="60">
      <c r="A359" s="4">
        <v>43564.923587962963</v>
      </c>
      <c r="B359" s="5" t="s">
        <v>13252</v>
      </c>
      <c r="C359" s="6" t="s">
        <v>6379</v>
      </c>
      <c r="D359" s="7" t="s">
        <v>6380</v>
      </c>
      <c r="E359" s="8" t="s">
        <v>13013</v>
      </c>
      <c r="F359" s="4">
        <v>40339.771562499998</v>
      </c>
      <c r="G359" s="17" t="s">
        <v>2783</v>
      </c>
      <c r="H359" s="35" t="s">
        <v>346</v>
      </c>
      <c r="I359" s="10" t="s">
        <v>10190</v>
      </c>
    </row>
    <row r="360" spans="1:9" s="11" customFormat="1">
      <c r="A360" s="4">
        <v>43564.910937499997</v>
      </c>
      <c r="B360" s="5" t="s">
        <v>13253</v>
      </c>
      <c r="C360" s="6" t="s">
        <v>344</v>
      </c>
      <c r="D360" s="7" t="s">
        <v>6386</v>
      </c>
      <c r="E360" s="8" t="s">
        <v>13011</v>
      </c>
      <c r="F360" s="4">
        <v>39836.400578703702</v>
      </c>
      <c r="G360" s="17" t="s">
        <v>2783</v>
      </c>
      <c r="H360" s="35" t="s">
        <v>346</v>
      </c>
      <c r="I360" s="10" t="s">
        <v>347</v>
      </c>
    </row>
    <row r="361" spans="1:9" s="11" customFormat="1" ht="60">
      <c r="A361" s="4">
        <v>43564.67900462963</v>
      </c>
      <c r="B361" s="5" t="s">
        <v>13254</v>
      </c>
      <c r="C361" s="6" t="s">
        <v>6454</v>
      </c>
      <c r="D361" s="7" t="s">
        <v>6455</v>
      </c>
      <c r="E361" s="8" t="s">
        <v>13013</v>
      </c>
      <c r="F361" s="4">
        <v>40289.544791666667</v>
      </c>
      <c r="G361" s="17" t="s">
        <v>2783</v>
      </c>
      <c r="H361" s="35" t="s">
        <v>346</v>
      </c>
      <c r="I361" s="10" t="s">
        <v>6456</v>
      </c>
    </row>
    <row r="362" spans="1:9" s="11" customFormat="1" ht="90">
      <c r="A362" s="4">
        <v>43561.988379629634</v>
      </c>
      <c r="B362" s="5" t="s">
        <v>13255</v>
      </c>
      <c r="C362" s="6" t="s">
        <v>10783</v>
      </c>
      <c r="D362" s="7" t="s">
        <v>10784</v>
      </c>
      <c r="E362" s="8" t="s">
        <v>13120</v>
      </c>
      <c r="F362" s="4">
        <v>39838.262106481481</v>
      </c>
      <c r="G362" s="17" t="s">
        <v>2783</v>
      </c>
      <c r="H362" s="35" t="s">
        <v>346</v>
      </c>
      <c r="I362" s="10" t="s">
        <v>10785</v>
      </c>
    </row>
    <row r="363" spans="1:9" s="11" customFormat="1">
      <c r="A363" s="12">
        <v>43580.007951388892</v>
      </c>
      <c r="B363" s="13" t="s">
        <v>13253</v>
      </c>
      <c r="C363" s="14" t="s">
        <v>344</v>
      </c>
      <c r="D363" s="15" t="s">
        <v>345</v>
      </c>
      <c r="E363" s="16" t="s">
        <v>13011</v>
      </c>
      <c r="F363" s="12">
        <v>39836.400578703702</v>
      </c>
      <c r="G363" s="17" t="s">
        <v>2783</v>
      </c>
      <c r="H363" s="35" t="s">
        <v>346</v>
      </c>
      <c r="I363" s="18" t="s">
        <v>347</v>
      </c>
    </row>
    <row r="364" spans="1:9" s="11" customFormat="1" ht="75">
      <c r="A364" s="12">
        <v>43569.835046296299</v>
      </c>
      <c r="B364" s="13" t="s">
        <v>13256</v>
      </c>
      <c r="C364" s="14" t="s">
        <v>4389</v>
      </c>
      <c r="D364" s="15" t="s">
        <v>4390</v>
      </c>
      <c r="E364" s="16" t="s">
        <v>13011</v>
      </c>
      <c r="F364" s="12">
        <v>43091.337106481486</v>
      </c>
      <c r="G364" s="17" t="s">
        <v>2783</v>
      </c>
      <c r="H364" s="35" t="s">
        <v>346</v>
      </c>
      <c r="I364" s="18" t="s">
        <v>4391</v>
      </c>
    </row>
    <row r="365" spans="1:9" s="11" customFormat="1" ht="135">
      <c r="A365" s="12">
        <v>43567.087824074071</v>
      </c>
      <c r="B365" s="13" t="s">
        <v>13257</v>
      </c>
      <c r="C365" s="14" t="s">
        <v>5244</v>
      </c>
      <c r="D365" s="15" t="s">
        <v>5245</v>
      </c>
      <c r="E365" s="16" t="s">
        <v>13009</v>
      </c>
      <c r="F365" s="12">
        <v>40384.503171296295</v>
      </c>
      <c r="G365" s="17" t="s">
        <v>2783</v>
      </c>
      <c r="H365" s="35" t="s">
        <v>346</v>
      </c>
      <c r="I365" s="18" t="s">
        <v>5246</v>
      </c>
    </row>
    <row r="366" spans="1:9" s="11" customFormat="1" ht="60">
      <c r="A366" s="12">
        <v>43564.923587962963</v>
      </c>
      <c r="B366" s="13" t="s">
        <v>13252</v>
      </c>
      <c r="C366" s="14" t="s">
        <v>6379</v>
      </c>
      <c r="D366" s="15" t="s">
        <v>6380</v>
      </c>
      <c r="E366" s="16" t="s">
        <v>13013</v>
      </c>
      <c r="F366" s="12">
        <v>40339.771562499998</v>
      </c>
      <c r="G366" s="17" t="s">
        <v>2783</v>
      </c>
      <c r="H366" s="35" t="s">
        <v>346</v>
      </c>
      <c r="I366" s="18" t="s">
        <v>6381</v>
      </c>
    </row>
    <row r="367" spans="1:9" s="11" customFormat="1" ht="75">
      <c r="A367" s="4">
        <v>43564.560266203705</v>
      </c>
      <c r="B367" s="5" t="s">
        <v>13258</v>
      </c>
      <c r="C367" s="6" t="s">
        <v>6550</v>
      </c>
      <c r="D367" s="7" t="s">
        <v>6551</v>
      </c>
      <c r="E367" s="8" t="s">
        <v>13013</v>
      </c>
      <c r="F367" s="4">
        <v>40002.693182870367</v>
      </c>
      <c r="G367" s="17" t="s">
        <v>2783</v>
      </c>
      <c r="H367" s="35" t="s">
        <v>6552</v>
      </c>
      <c r="I367" s="10" t="s">
        <v>10211</v>
      </c>
    </row>
    <row r="368" spans="1:9" s="11" customFormat="1" ht="75">
      <c r="A368" s="12">
        <v>43564.560266203705</v>
      </c>
      <c r="B368" s="13" t="s">
        <v>13258</v>
      </c>
      <c r="C368" s="14" t="s">
        <v>6550</v>
      </c>
      <c r="D368" s="15" t="s">
        <v>6551</v>
      </c>
      <c r="E368" s="16" t="s">
        <v>13013</v>
      </c>
      <c r="F368" s="12">
        <v>40002.693182870367</v>
      </c>
      <c r="G368" s="17" t="s">
        <v>2783</v>
      </c>
      <c r="H368" s="35" t="s">
        <v>6552</v>
      </c>
      <c r="I368" s="18" t="s">
        <v>6553</v>
      </c>
    </row>
    <row r="369" spans="1:9" s="11" customFormat="1" ht="60">
      <c r="A369" s="4">
        <v>43565.380243055552</v>
      </c>
      <c r="B369" s="5" t="s">
        <v>13259</v>
      </c>
      <c r="C369" s="6" t="s">
        <v>6129</v>
      </c>
      <c r="D369" s="7" t="s">
        <v>6130</v>
      </c>
      <c r="E369" s="8" t="s">
        <v>13034</v>
      </c>
      <c r="F369" s="4">
        <v>41332.44667824074</v>
      </c>
      <c r="G369" s="17" t="s">
        <v>2783</v>
      </c>
      <c r="H369" s="35" t="s">
        <v>6131</v>
      </c>
      <c r="I369" s="10" t="s">
        <v>6132</v>
      </c>
    </row>
    <row r="370" spans="1:9" s="11" customFormat="1" ht="75">
      <c r="A370" s="4">
        <v>43565.588240740741</v>
      </c>
      <c r="B370" s="5" t="s">
        <v>13260</v>
      </c>
      <c r="C370" s="6" t="s">
        <v>6013</v>
      </c>
      <c r="D370" s="7" t="s">
        <v>6014</v>
      </c>
      <c r="E370" s="8" t="s">
        <v>13009</v>
      </c>
      <c r="F370" s="4">
        <v>40548.751400462963</v>
      </c>
      <c r="G370" s="17" t="s">
        <v>2783</v>
      </c>
      <c r="H370" s="35" t="s">
        <v>6015</v>
      </c>
      <c r="I370" s="10" t="s">
        <v>6016</v>
      </c>
    </row>
    <row r="371" spans="1:9" s="11" customFormat="1" ht="60">
      <c r="A371" s="12">
        <v>43568.53019675926</v>
      </c>
      <c r="B371" s="13" t="s">
        <v>13261</v>
      </c>
      <c r="C371" s="14" t="s">
        <v>4716</v>
      </c>
      <c r="D371" s="15" t="s">
        <v>4717</v>
      </c>
      <c r="E371" s="16" t="s">
        <v>13032</v>
      </c>
      <c r="F371" s="12">
        <v>40027.126585648148</v>
      </c>
      <c r="G371" s="17" t="s">
        <v>2783</v>
      </c>
      <c r="H371" s="35" t="s">
        <v>4718</v>
      </c>
      <c r="I371" s="18" t="s">
        <v>4719</v>
      </c>
    </row>
    <row r="372" spans="1:9" s="11" customFormat="1" ht="60">
      <c r="A372" s="12">
        <v>43571.323645833334</v>
      </c>
      <c r="B372" s="13" t="s">
        <v>13262</v>
      </c>
      <c r="C372" s="14" t="s">
        <v>3732</v>
      </c>
      <c r="D372" s="15" t="s">
        <v>3733</v>
      </c>
      <c r="E372" s="16" t="s">
        <v>13013</v>
      </c>
      <c r="F372" s="12">
        <v>41421.217546296299</v>
      </c>
      <c r="G372" s="17" t="s">
        <v>2783</v>
      </c>
      <c r="H372" s="35" t="s">
        <v>3734</v>
      </c>
      <c r="I372" s="18"/>
    </row>
    <row r="373" spans="1:9" s="11" customFormat="1" ht="45">
      <c r="A373" s="19">
        <v>43551.850486111114</v>
      </c>
      <c r="B373" s="20" t="s">
        <v>13263</v>
      </c>
      <c r="C373" s="21" t="s">
        <v>186</v>
      </c>
      <c r="D373" s="22" t="s">
        <v>1021</v>
      </c>
      <c r="E373" s="23" t="s">
        <v>13264</v>
      </c>
      <c r="F373" s="19">
        <v>42110.127291666664</v>
      </c>
      <c r="G373" s="17" t="s">
        <v>2783</v>
      </c>
      <c r="H373" s="35" t="s">
        <v>188</v>
      </c>
      <c r="I373" s="25" t="s">
        <v>189</v>
      </c>
    </row>
    <row r="374" spans="1:9" s="11" customFormat="1" ht="45">
      <c r="A374" s="19">
        <v>43551.767152777778</v>
      </c>
      <c r="B374" s="20" t="s">
        <v>13263</v>
      </c>
      <c r="C374" s="21" t="s">
        <v>186</v>
      </c>
      <c r="D374" s="22" t="s">
        <v>7003</v>
      </c>
      <c r="E374" s="23" t="s">
        <v>13264</v>
      </c>
      <c r="F374" s="19">
        <v>42110.127291666664</v>
      </c>
      <c r="G374" s="17" t="s">
        <v>2783</v>
      </c>
      <c r="H374" s="35" t="s">
        <v>188</v>
      </c>
      <c r="I374" s="25" t="s">
        <v>189</v>
      </c>
    </row>
    <row r="375" spans="1:9" s="11" customFormat="1" ht="45">
      <c r="A375" s="19">
        <v>43551.267141203702</v>
      </c>
      <c r="B375" s="20" t="s">
        <v>13263</v>
      </c>
      <c r="C375" s="21" t="s">
        <v>186</v>
      </c>
      <c r="D375" s="22" t="s">
        <v>2951</v>
      </c>
      <c r="E375" s="23" t="s">
        <v>13264</v>
      </c>
      <c r="F375" s="19">
        <v>42110.127291666664</v>
      </c>
      <c r="G375" s="17" t="s">
        <v>2783</v>
      </c>
      <c r="H375" s="35" t="s">
        <v>188</v>
      </c>
      <c r="I375" s="25" t="s">
        <v>189</v>
      </c>
    </row>
    <row r="376" spans="1:9" s="11" customFormat="1" ht="45">
      <c r="A376" s="19">
        <v>43551.183819444443</v>
      </c>
      <c r="B376" s="20" t="s">
        <v>13263</v>
      </c>
      <c r="C376" s="21" t="s">
        <v>186</v>
      </c>
      <c r="D376" s="22" t="s">
        <v>876</v>
      </c>
      <c r="E376" s="23" t="s">
        <v>13264</v>
      </c>
      <c r="F376" s="19">
        <v>42110.127291666664</v>
      </c>
      <c r="G376" s="17" t="s">
        <v>2783</v>
      </c>
      <c r="H376" s="35" t="s">
        <v>188</v>
      </c>
      <c r="I376" s="25" t="s">
        <v>189</v>
      </c>
    </row>
    <row r="377" spans="1:9" s="11" customFormat="1" ht="45">
      <c r="A377" s="19">
        <v>43551.017141203702</v>
      </c>
      <c r="B377" s="20" t="s">
        <v>13263</v>
      </c>
      <c r="C377" s="21" t="s">
        <v>186</v>
      </c>
      <c r="D377" s="22" t="s">
        <v>1723</v>
      </c>
      <c r="E377" s="23" t="s">
        <v>13264</v>
      </c>
      <c r="F377" s="19">
        <v>42110.127291666664</v>
      </c>
      <c r="G377" s="17" t="s">
        <v>2783</v>
      </c>
      <c r="H377" s="35" t="s">
        <v>188</v>
      </c>
      <c r="I377" s="25" t="s">
        <v>189</v>
      </c>
    </row>
    <row r="378" spans="1:9" s="11" customFormat="1" ht="45">
      <c r="A378" s="19">
        <v>43550.933807870373</v>
      </c>
      <c r="B378" s="20" t="s">
        <v>13263</v>
      </c>
      <c r="C378" s="21" t="s">
        <v>186</v>
      </c>
      <c r="D378" s="22" t="s">
        <v>4580</v>
      </c>
      <c r="E378" s="23" t="s">
        <v>13264</v>
      </c>
      <c r="F378" s="19">
        <v>42110.127291666664</v>
      </c>
      <c r="G378" s="17" t="s">
        <v>2783</v>
      </c>
      <c r="H378" s="35" t="s">
        <v>188</v>
      </c>
      <c r="I378" s="25" t="s">
        <v>189</v>
      </c>
    </row>
    <row r="379" spans="1:9" s="11" customFormat="1" ht="45">
      <c r="A379" s="19">
        <v>43550.850486111114</v>
      </c>
      <c r="B379" s="20" t="s">
        <v>13263</v>
      </c>
      <c r="C379" s="21" t="s">
        <v>186</v>
      </c>
      <c r="D379" s="22" t="s">
        <v>3958</v>
      </c>
      <c r="E379" s="23" t="s">
        <v>13264</v>
      </c>
      <c r="F379" s="19">
        <v>42110.127291666664</v>
      </c>
      <c r="G379" s="17" t="s">
        <v>2783</v>
      </c>
      <c r="H379" s="35" t="s">
        <v>188</v>
      </c>
      <c r="I379" s="25" t="s">
        <v>189</v>
      </c>
    </row>
    <row r="380" spans="1:9" s="11" customFormat="1" ht="45">
      <c r="A380" s="19">
        <v>43550.767141203702</v>
      </c>
      <c r="B380" s="20" t="s">
        <v>13263</v>
      </c>
      <c r="C380" s="21" t="s">
        <v>186</v>
      </c>
      <c r="D380" s="22" t="s">
        <v>1477</v>
      </c>
      <c r="E380" s="23" t="s">
        <v>13264</v>
      </c>
      <c r="F380" s="19">
        <v>42110.127291666664</v>
      </c>
      <c r="G380" s="17" t="s">
        <v>2783</v>
      </c>
      <c r="H380" s="35" t="s">
        <v>188</v>
      </c>
      <c r="I380" s="25" t="s">
        <v>189</v>
      </c>
    </row>
    <row r="381" spans="1:9" s="11" customFormat="1" ht="45">
      <c r="A381" s="19">
        <v>43550.683807870373</v>
      </c>
      <c r="B381" s="20" t="s">
        <v>13263</v>
      </c>
      <c r="C381" s="21" t="s">
        <v>186</v>
      </c>
      <c r="D381" s="22" t="s">
        <v>4824</v>
      </c>
      <c r="E381" s="23" t="s">
        <v>13264</v>
      </c>
      <c r="F381" s="19">
        <v>42110.127291666664</v>
      </c>
      <c r="G381" s="17" t="s">
        <v>2783</v>
      </c>
      <c r="H381" s="35" t="s">
        <v>188</v>
      </c>
      <c r="I381" s="25" t="s">
        <v>189</v>
      </c>
    </row>
    <row r="382" spans="1:9" s="11" customFormat="1" ht="45">
      <c r="A382" s="19">
        <v>43550.267152777778</v>
      </c>
      <c r="B382" s="20" t="s">
        <v>13263</v>
      </c>
      <c r="C382" s="21" t="s">
        <v>186</v>
      </c>
      <c r="D382" s="22" t="s">
        <v>389</v>
      </c>
      <c r="E382" s="23" t="s">
        <v>13264</v>
      </c>
      <c r="F382" s="19">
        <v>42110.127291666664</v>
      </c>
      <c r="G382" s="17" t="s">
        <v>2783</v>
      </c>
      <c r="H382" s="35" t="s">
        <v>188</v>
      </c>
      <c r="I382" s="25" t="s">
        <v>189</v>
      </c>
    </row>
    <row r="383" spans="1:9" s="11" customFormat="1" ht="45">
      <c r="A383" s="19">
        <v>43550.183807870373</v>
      </c>
      <c r="B383" s="20" t="s">
        <v>13263</v>
      </c>
      <c r="C383" s="21" t="s">
        <v>186</v>
      </c>
      <c r="D383" s="22" t="s">
        <v>4436</v>
      </c>
      <c r="E383" s="23" t="s">
        <v>13264</v>
      </c>
      <c r="F383" s="19">
        <v>42110.127291666664</v>
      </c>
      <c r="G383" s="17" t="s">
        <v>2783</v>
      </c>
      <c r="H383" s="35" t="s">
        <v>188</v>
      </c>
      <c r="I383" s="25" t="s">
        <v>189</v>
      </c>
    </row>
    <row r="384" spans="1:9" s="11" customFormat="1" ht="45">
      <c r="A384" s="19">
        <v>43550.100486111114</v>
      </c>
      <c r="B384" s="20" t="s">
        <v>13263</v>
      </c>
      <c r="C384" s="21" t="s">
        <v>186</v>
      </c>
      <c r="D384" s="22" t="s">
        <v>7837</v>
      </c>
      <c r="E384" s="23" t="s">
        <v>13264</v>
      </c>
      <c r="F384" s="19">
        <v>42110.127291666664</v>
      </c>
      <c r="G384" s="17" t="s">
        <v>2783</v>
      </c>
      <c r="H384" s="35" t="s">
        <v>188</v>
      </c>
      <c r="I384" s="25" t="s">
        <v>189</v>
      </c>
    </row>
    <row r="385" spans="1:9" s="11" customFormat="1" ht="45">
      <c r="A385" s="19">
        <v>43550.017141203702</v>
      </c>
      <c r="B385" s="20" t="s">
        <v>13263</v>
      </c>
      <c r="C385" s="21" t="s">
        <v>186</v>
      </c>
      <c r="D385" s="22" t="s">
        <v>1426</v>
      </c>
      <c r="E385" s="23" t="s">
        <v>13264</v>
      </c>
      <c r="F385" s="19">
        <v>42110.127291666664</v>
      </c>
      <c r="G385" s="17" t="s">
        <v>2783</v>
      </c>
      <c r="H385" s="35" t="s">
        <v>188</v>
      </c>
      <c r="I385" s="25" t="s">
        <v>189</v>
      </c>
    </row>
    <row r="386" spans="1:9" s="11" customFormat="1" ht="45">
      <c r="A386" s="19">
        <v>43549.933807870373</v>
      </c>
      <c r="B386" s="20" t="s">
        <v>13263</v>
      </c>
      <c r="C386" s="21" t="s">
        <v>186</v>
      </c>
      <c r="D386" s="22" t="s">
        <v>2124</v>
      </c>
      <c r="E386" s="23" t="s">
        <v>13264</v>
      </c>
      <c r="F386" s="19">
        <v>42110.127291666664</v>
      </c>
      <c r="G386" s="17" t="s">
        <v>2783</v>
      </c>
      <c r="H386" s="35" t="s">
        <v>188</v>
      </c>
      <c r="I386" s="25" t="s">
        <v>189</v>
      </c>
    </row>
    <row r="387" spans="1:9" s="11" customFormat="1" ht="45">
      <c r="A387" s="19">
        <v>43549.850486111114</v>
      </c>
      <c r="B387" s="20" t="s">
        <v>13263</v>
      </c>
      <c r="C387" s="21" t="s">
        <v>186</v>
      </c>
      <c r="D387" s="22" t="s">
        <v>1504</v>
      </c>
      <c r="E387" s="23" t="s">
        <v>13264</v>
      </c>
      <c r="F387" s="19">
        <v>42110.127291666664</v>
      </c>
      <c r="G387" s="17" t="s">
        <v>2783</v>
      </c>
      <c r="H387" s="35" t="s">
        <v>188</v>
      </c>
      <c r="I387" s="25" t="s">
        <v>189</v>
      </c>
    </row>
    <row r="388" spans="1:9" s="11" customFormat="1" ht="45">
      <c r="A388" s="19">
        <v>43549.767141203702</v>
      </c>
      <c r="B388" s="20" t="s">
        <v>13263</v>
      </c>
      <c r="C388" s="21" t="s">
        <v>186</v>
      </c>
      <c r="D388" s="22" t="s">
        <v>459</v>
      </c>
      <c r="E388" s="23" t="s">
        <v>13264</v>
      </c>
      <c r="F388" s="19">
        <v>42110.127291666664</v>
      </c>
      <c r="G388" s="17" t="s">
        <v>2783</v>
      </c>
      <c r="H388" s="35" t="s">
        <v>188</v>
      </c>
      <c r="I388" s="25" t="s">
        <v>189</v>
      </c>
    </row>
    <row r="389" spans="1:9" s="11" customFormat="1" ht="45">
      <c r="A389" s="19">
        <v>43549.183819444443</v>
      </c>
      <c r="B389" s="20" t="s">
        <v>13263</v>
      </c>
      <c r="C389" s="21" t="s">
        <v>186</v>
      </c>
      <c r="D389" s="22" t="s">
        <v>8138</v>
      </c>
      <c r="E389" s="23" t="s">
        <v>13264</v>
      </c>
      <c r="F389" s="19">
        <v>42110.127291666664</v>
      </c>
      <c r="G389" s="17" t="s">
        <v>2783</v>
      </c>
      <c r="H389" s="35" t="s">
        <v>188</v>
      </c>
      <c r="I389" s="25" t="s">
        <v>189</v>
      </c>
    </row>
    <row r="390" spans="1:9" s="11" customFormat="1" ht="45">
      <c r="A390" s="19">
        <v>43549.100474537037</v>
      </c>
      <c r="B390" s="20" t="s">
        <v>13263</v>
      </c>
      <c r="C390" s="21" t="s">
        <v>186</v>
      </c>
      <c r="D390" s="22" t="s">
        <v>3850</v>
      </c>
      <c r="E390" s="23" t="s">
        <v>13264</v>
      </c>
      <c r="F390" s="19">
        <v>42110.127291666664</v>
      </c>
      <c r="G390" s="17" t="s">
        <v>2783</v>
      </c>
      <c r="H390" s="35" t="s">
        <v>188</v>
      </c>
      <c r="I390" s="25" t="s">
        <v>189</v>
      </c>
    </row>
    <row r="391" spans="1:9" s="11" customFormat="1" ht="45">
      <c r="A391" s="19">
        <v>43549.017141203702</v>
      </c>
      <c r="B391" s="20" t="s">
        <v>13263</v>
      </c>
      <c r="C391" s="21" t="s">
        <v>186</v>
      </c>
      <c r="D391" s="22" t="s">
        <v>3984</v>
      </c>
      <c r="E391" s="23" t="s">
        <v>13264</v>
      </c>
      <c r="F391" s="19">
        <v>42110.127291666664</v>
      </c>
      <c r="G391" s="17" t="s">
        <v>2783</v>
      </c>
      <c r="H391" s="35" t="s">
        <v>188</v>
      </c>
      <c r="I391" s="25" t="s">
        <v>189</v>
      </c>
    </row>
    <row r="392" spans="1:9" s="11" customFormat="1" ht="45">
      <c r="A392" s="19">
        <v>43548.850474537037</v>
      </c>
      <c r="B392" s="20" t="s">
        <v>13263</v>
      </c>
      <c r="C392" s="21" t="s">
        <v>186</v>
      </c>
      <c r="D392" s="22" t="s">
        <v>4824</v>
      </c>
      <c r="E392" s="23" t="s">
        <v>13264</v>
      </c>
      <c r="F392" s="19">
        <v>42110.127291666664</v>
      </c>
      <c r="G392" s="17" t="s">
        <v>2783</v>
      </c>
      <c r="H392" s="35" t="s">
        <v>188</v>
      </c>
      <c r="I392" s="25" t="s">
        <v>189</v>
      </c>
    </row>
    <row r="393" spans="1:9" s="11" customFormat="1" ht="45">
      <c r="A393" s="19">
        <v>43548.767141203702</v>
      </c>
      <c r="B393" s="20" t="s">
        <v>13263</v>
      </c>
      <c r="C393" s="21" t="s">
        <v>186</v>
      </c>
      <c r="D393" s="22" t="s">
        <v>1504</v>
      </c>
      <c r="E393" s="23" t="s">
        <v>13264</v>
      </c>
      <c r="F393" s="19">
        <v>42110.127291666664</v>
      </c>
      <c r="G393" s="17" t="s">
        <v>2783</v>
      </c>
      <c r="H393" s="35" t="s">
        <v>188</v>
      </c>
      <c r="I393" s="25" t="s">
        <v>189</v>
      </c>
    </row>
    <row r="394" spans="1:9" s="11" customFormat="1" ht="45">
      <c r="A394" s="19">
        <v>43548.683819444443</v>
      </c>
      <c r="B394" s="20" t="s">
        <v>13263</v>
      </c>
      <c r="C394" s="21" t="s">
        <v>186</v>
      </c>
      <c r="D394" s="22" t="s">
        <v>1375</v>
      </c>
      <c r="E394" s="23" t="s">
        <v>13264</v>
      </c>
      <c r="F394" s="19">
        <v>42110.127291666664</v>
      </c>
      <c r="G394" s="17" t="s">
        <v>2783</v>
      </c>
      <c r="H394" s="35" t="s">
        <v>188</v>
      </c>
      <c r="I394" s="25" t="s">
        <v>189</v>
      </c>
    </row>
    <row r="395" spans="1:9" s="11" customFormat="1" ht="45">
      <c r="A395" s="19">
        <v>43548.267141203702</v>
      </c>
      <c r="B395" s="20" t="s">
        <v>13263</v>
      </c>
      <c r="C395" s="21" t="s">
        <v>186</v>
      </c>
      <c r="D395" s="22" t="s">
        <v>8357</v>
      </c>
      <c r="E395" s="23" t="s">
        <v>13264</v>
      </c>
      <c r="F395" s="19">
        <v>42110.127291666664</v>
      </c>
      <c r="G395" s="17" t="s">
        <v>2783</v>
      </c>
      <c r="H395" s="35" t="s">
        <v>188</v>
      </c>
      <c r="I395" s="25" t="s">
        <v>189</v>
      </c>
    </row>
    <row r="396" spans="1:9" s="11" customFormat="1" ht="45">
      <c r="A396" s="19">
        <v>43548.183819444443</v>
      </c>
      <c r="B396" s="20" t="s">
        <v>13263</v>
      </c>
      <c r="C396" s="21" t="s">
        <v>186</v>
      </c>
      <c r="D396" s="22" t="s">
        <v>3984</v>
      </c>
      <c r="E396" s="23" t="s">
        <v>13264</v>
      </c>
      <c r="F396" s="19">
        <v>42110.127291666664</v>
      </c>
      <c r="G396" s="17" t="s">
        <v>2783</v>
      </c>
      <c r="H396" s="35" t="s">
        <v>188</v>
      </c>
      <c r="I396" s="25" t="s">
        <v>189</v>
      </c>
    </row>
    <row r="397" spans="1:9" s="11" customFormat="1" ht="45">
      <c r="A397" s="19">
        <v>43548.100474537037</v>
      </c>
      <c r="B397" s="20" t="s">
        <v>13263</v>
      </c>
      <c r="C397" s="21" t="s">
        <v>186</v>
      </c>
      <c r="D397" s="22" t="s">
        <v>3125</v>
      </c>
      <c r="E397" s="23" t="s">
        <v>13264</v>
      </c>
      <c r="F397" s="19">
        <v>42110.127291666664</v>
      </c>
      <c r="G397" s="17" t="s">
        <v>2783</v>
      </c>
      <c r="H397" s="35" t="s">
        <v>188</v>
      </c>
      <c r="I397" s="25" t="s">
        <v>189</v>
      </c>
    </row>
    <row r="398" spans="1:9" s="11" customFormat="1" ht="45">
      <c r="A398" s="19">
        <v>43548.017152777778</v>
      </c>
      <c r="B398" s="20" t="s">
        <v>13263</v>
      </c>
      <c r="C398" s="21" t="s">
        <v>186</v>
      </c>
      <c r="D398" s="22" t="s">
        <v>3958</v>
      </c>
      <c r="E398" s="23" t="s">
        <v>13264</v>
      </c>
      <c r="F398" s="19">
        <v>42110.127291666664</v>
      </c>
      <c r="G398" s="17" t="s">
        <v>2783</v>
      </c>
      <c r="H398" s="35" t="s">
        <v>188</v>
      </c>
      <c r="I398" s="25" t="s">
        <v>189</v>
      </c>
    </row>
    <row r="399" spans="1:9" s="11" customFormat="1" ht="45">
      <c r="A399" s="19">
        <v>43547.933819444443</v>
      </c>
      <c r="B399" s="20" t="s">
        <v>13263</v>
      </c>
      <c r="C399" s="21" t="s">
        <v>186</v>
      </c>
      <c r="D399" s="22" t="s">
        <v>1723</v>
      </c>
      <c r="E399" s="23" t="s">
        <v>13264</v>
      </c>
      <c r="F399" s="19">
        <v>42110.127291666664</v>
      </c>
      <c r="G399" s="17" t="s">
        <v>2783</v>
      </c>
      <c r="H399" s="35" t="s">
        <v>188</v>
      </c>
      <c r="I399" s="25" t="s">
        <v>189</v>
      </c>
    </row>
    <row r="400" spans="1:9" s="11" customFormat="1" ht="45">
      <c r="A400" s="19">
        <v>43547.850486111114</v>
      </c>
      <c r="B400" s="20" t="s">
        <v>13263</v>
      </c>
      <c r="C400" s="21" t="s">
        <v>186</v>
      </c>
      <c r="D400" s="22" t="s">
        <v>876</v>
      </c>
      <c r="E400" s="23" t="s">
        <v>13264</v>
      </c>
      <c r="F400" s="19">
        <v>42110.127291666664</v>
      </c>
      <c r="G400" s="17" t="s">
        <v>2783</v>
      </c>
      <c r="H400" s="35" t="s">
        <v>188</v>
      </c>
      <c r="I400" s="25" t="s">
        <v>189</v>
      </c>
    </row>
    <row r="401" spans="1:9" s="11" customFormat="1" ht="45">
      <c r="A401" s="19">
        <v>43547.683807870373</v>
      </c>
      <c r="B401" s="20" t="s">
        <v>13263</v>
      </c>
      <c r="C401" s="21" t="s">
        <v>186</v>
      </c>
      <c r="D401" s="22" t="s">
        <v>1863</v>
      </c>
      <c r="E401" s="23" t="s">
        <v>13264</v>
      </c>
      <c r="F401" s="19">
        <v>42110.127291666664</v>
      </c>
      <c r="G401" s="17" t="s">
        <v>2783</v>
      </c>
      <c r="H401" s="35" t="s">
        <v>188</v>
      </c>
      <c r="I401" s="25" t="s">
        <v>189</v>
      </c>
    </row>
    <row r="402" spans="1:9" s="11" customFormat="1" ht="45">
      <c r="A402" s="19">
        <v>43547.267152777778</v>
      </c>
      <c r="B402" s="20" t="s">
        <v>13263</v>
      </c>
      <c r="C402" s="21" t="s">
        <v>186</v>
      </c>
      <c r="D402" s="22" t="s">
        <v>3958</v>
      </c>
      <c r="E402" s="23" t="s">
        <v>13264</v>
      </c>
      <c r="F402" s="19">
        <v>42110.127291666664</v>
      </c>
      <c r="G402" s="17" t="s">
        <v>2783</v>
      </c>
      <c r="H402" s="35" t="s">
        <v>188</v>
      </c>
      <c r="I402" s="25" t="s">
        <v>189</v>
      </c>
    </row>
    <row r="403" spans="1:9" s="11" customFormat="1" ht="45">
      <c r="A403" s="19">
        <v>43547.183819444443</v>
      </c>
      <c r="B403" s="20" t="s">
        <v>13263</v>
      </c>
      <c r="C403" s="21" t="s">
        <v>186</v>
      </c>
      <c r="D403" s="22" t="s">
        <v>3984</v>
      </c>
      <c r="E403" s="23" t="s">
        <v>13264</v>
      </c>
      <c r="F403" s="19">
        <v>42110.127291666664</v>
      </c>
      <c r="G403" s="17" t="s">
        <v>2783</v>
      </c>
      <c r="H403" s="35" t="s">
        <v>188</v>
      </c>
      <c r="I403" s="25" t="s">
        <v>189</v>
      </c>
    </row>
    <row r="404" spans="1:9" s="11" customFormat="1" ht="45">
      <c r="A404" s="19">
        <v>43547.017152777778</v>
      </c>
      <c r="B404" s="20" t="s">
        <v>13263</v>
      </c>
      <c r="C404" s="21" t="s">
        <v>186</v>
      </c>
      <c r="D404" s="22" t="s">
        <v>4936</v>
      </c>
      <c r="E404" s="23" t="s">
        <v>13264</v>
      </c>
      <c r="F404" s="19">
        <v>42110.127291666664</v>
      </c>
      <c r="G404" s="17" t="s">
        <v>2783</v>
      </c>
      <c r="H404" s="35" t="s">
        <v>188</v>
      </c>
      <c r="I404" s="25" t="s">
        <v>189</v>
      </c>
    </row>
    <row r="405" spans="1:9" s="11" customFormat="1" ht="45">
      <c r="A405" s="19">
        <v>43546.933819444443</v>
      </c>
      <c r="B405" s="20" t="s">
        <v>13263</v>
      </c>
      <c r="C405" s="21" t="s">
        <v>186</v>
      </c>
      <c r="D405" s="22" t="s">
        <v>2420</v>
      </c>
      <c r="E405" s="23" t="s">
        <v>13264</v>
      </c>
      <c r="F405" s="19">
        <v>42110.127291666664</v>
      </c>
      <c r="G405" s="17" t="s">
        <v>2783</v>
      </c>
      <c r="H405" s="35" t="s">
        <v>188</v>
      </c>
      <c r="I405" s="25" t="s">
        <v>189</v>
      </c>
    </row>
    <row r="406" spans="1:9" s="11" customFormat="1" ht="45">
      <c r="A406" s="19">
        <v>43546.767152777778</v>
      </c>
      <c r="B406" s="20" t="s">
        <v>13263</v>
      </c>
      <c r="C406" s="21" t="s">
        <v>186</v>
      </c>
      <c r="D406" s="22" t="s">
        <v>5187</v>
      </c>
      <c r="E406" s="23" t="s">
        <v>13264</v>
      </c>
      <c r="F406" s="19">
        <v>42110.127291666664</v>
      </c>
      <c r="G406" s="17" t="s">
        <v>2783</v>
      </c>
      <c r="H406" s="35" t="s">
        <v>188</v>
      </c>
      <c r="I406" s="25" t="s">
        <v>189</v>
      </c>
    </row>
    <row r="407" spans="1:9" s="11" customFormat="1" ht="45">
      <c r="A407" s="19">
        <v>43546.683819444443</v>
      </c>
      <c r="B407" s="20" t="s">
        <v>13263</v>
      </c>
      <c r="C407" s="21" t="s">
        <v>186</v>
      </c>
      <c r="D407" s="22" t="s">
        <v>1021</v>
      </c>
      <c r="E407" s="23" t="s">
        <v>13264</v>
      </c>
      <c r="F407" s="19">
        <v>42110.127291666664</v>
      </c>
      <c r="G407" s="17" t="s">
        <v>2783</v>
      </c>
      <c r="H407" s="35" t="s">
        <v>188</v>
      </c>
      <c r="I407" s="25" t="s">
        <v>189</v>
      </c>
    </row>
    <row r="408" spans="1:9" s="11" customFormat="1" ht="45">
      <c r="A408" s="19">
        <v>43546.267141203702</v>
      </c>
      <c r="B408" s="20" t="s">
        <v>13263</v>
      </c>
      <c r="C408" s="21" t="s">
        <v>186</v>
      </c>
      <c r="D408" s="22" t="s">
        <v>4436</v>
      </c>
      <c r="E408" s="23" t="s">
        <v>13264</v>
      </c>
      <c r="F408" s="19">
        <v>42110.127291666664</v>
      </c>
      <c r="G408" s="17" t="s">
        <v>2783</v>
      </c>
      <c r="H408" s="35" t="s">
        <v>188</v>
      </c>
      <c r="I408" s="25" t="s">
        <v>189</v>
      </c>
    </row>
    <row r="409" spans="1:9" s="11" customFormat="1" ht="45">
      <c r="A409" s="19">
        <v>43546.100486111114</v>
      </c>
      <c r="B409" s="20" t="s">
        <v>13263</v>
      </c>
      <c r="C409" s="21" t="s">
        <v>186</v>
      </c>
      <c r="D409" s="22" t="s">
        <v>2363</v>
      </c>
      <c r="E409" s="23" t="s">
        <v>13264</v>
      </c>
      <c r="F409" s="19">
        <v>42110.127291666664</v>
      </c>
      <c r="G409" s="17" t="s">
        <v>2783</v>
      </c>
      <c r="H409" s="35" t="s">
        <v>188</v>
      </c>
      <c r="I409" s="25" t="s">
        <v>189</v>
      </c>
    </row>
    <row r="410" spans="1:9" s="11" customFormat="1" ht="45">
      <c r="A410" s="19">
        <v>43545.933807870373</v>
      </c>
      <c r="B410" s="20" t="s">
        <v>13263</v>
      </c>
      <c r="C410" s="21" t="s">
        <v>186</v>
      </c>
      <c r="D410" s="22" t="s">
        <v>8997</v>
      </c>
      <c r="E410" s="23" t="s">
        <v>13264</v>
      </c>
      <c r="F410" s="19">
        <v>42110.127291666664</v>
      </c>
      <c r="G410" s="17" t="s">
        <v>2783</v>
      </c>
      <c r="H410" s="35" t="s">
        <v>188</v>
      </c>
      <c r="I410" s="25" t="s">
        <v>189</v>
      </c>
    </row>
    <row r="411" spans="1:9" s="11" customFormat="1" ht="45">
      <c r="A411" s="19">
        <v>43545.767141203702</v>
      </c>
      <c r="B411" s="20" t="s">
        <v>13263</v>
      </c>
      <c r="C411" s="21" t="s">
        <v>186</v>
      </c>
      <c r="D411" s="22" t="s">
        <v>3464</v>
      </c>
      <c r="E411" s="23" t="s">
        <v>13264</v>
      </c>
      <c r="F411" s="19">
        <v>42110.127291666664</v>
      </c>
      <c r="G411" s="17" t="s">
        <v>2783</v>
      </c>
      <c r="H411" s="35" t="s">
        <v>188</v>
      </c>
      <c r="I411" s="25" t="s">
        <v>189</v>
      </c>
    </row>
    <row r="412" spans="1:9" s="11" customFormat="1" ht="45">
      <c r="A412" s="19">
        <v>43545.267141203702</v>
      </c>
      <c r="B412" s="20" t="s">
        <v>13263</v>
      </c>
      <c r="C412" s="21" t="s">
        <v>186</v>
      </c>
      <c r="D412" s="22" t="s">
        <v>4333</v>
      </c>
      <c r="E412" s="23" t="s">
        <v>13264</v>
      </c>
      <c r="F412" s="19">
        <v>42110.127291666664</v>
      </c>
      <c r="G412" s="17" t="s">
        <v>2783</v>
      </c>
      <c r="H412" s="35" t="s">
        <v>188</v>
      </c>
      <c r="I412" s="25" t="s">
        <v>189</v>
      </c>
    </row>
    <row r="413" spans="1:9" s="11" customFormat="1" ht="45">
      <c r="A413" s="19">
        <v>43545.183819444443</v>
      </c>
      <c r="B413" s="20" t="s">
        <v>13263</v>
      </c>
      <c r="C413" s="21" t="s">
        <v>186</v>
      </c>
      <c r="D413" s="22" t="s">
        <v>4936</v>
      </c>
      <c r="E413" s="23" t="s">
        <v>13264</v>
      </c>
      <c r="F413" s="19">
        <v>42110.127291666664</v>
      </c>
      <c r="G413" s="17" t="s">
        <v>2783</v>
      </c>
      <c r="H413" s="35" t="s">
        <v>188</v>
      </c>
      <c r="I413" s="25" t="s">
        <v>189</v>
      </c>
    </row>
    <row r="414" spans="1:9" s="11" customFormat="1" ht="45">
      <c r="A414" s="19">
        <v>43544.850474537037</v>
      </c>
      <c r="B414" s="20" t="s">
        <v>13263</v>
      </c>
      <c r="C414" s="21" t="s">
        <v>186</v>
      </c>
      <c r="D414" s="22" t="s">
        <v>3850</v>
      </c>
      <c r="E414" s="23" t="s">
        <v>13264</v>
      </c>
      <c r="F414" s="19">
        <v>42110.127291666664</v>
      </c>
      <c r="G414" s="17" t="s">
        <v>2783</v>
      </c>
      <c r="H414" s="35" t="s">
        <v>188</v>
      </c>
      <c r="I414" s="25" t="s">
        <v>189</v>
      </c>
    </row>
    <row r="415" spans="1:9" s="11" customFormat="1" ht="45">
      <c r="A415" s="19">
        <v>43544.767141203702</v>
      </c>
      <c r="B415" s="20" t="s">
        <v>13263</v>
      </c>
      <c r="C415" s="21" t="s">
        <v>186</v>
      </c>
      <c r="D415" s="22" t="s">
        <v>6398</v>
      </c>
      <c r="E415" s="23" t="s">
        <v>13264</v>
      </c>
      <c r="F415" s="19">
        <v>42110.127291666664</v>
      </c>
      <c r="G415" s="17" t="s">
        <v>2783</v>
      </c>
      <c r="H415" s="35" t="s">
        <v>188</v>
      </c>
      <c r="I415" s="25" t="s">
        <v>189</v>
      </c>
    </row>
    <row r="416" spans="1:9" s="11" customFormat="1" ht="45">
      <c r="A416" s="19">
        <v>43544.683807870373</v>
      </c>
      <c r="B416" s="20" t="s">
        <v>13263</v>
      </c>
      <c r="C416" s="21" t="s">
        <v>186</v>
      </c>
      <c r="D416" s="22" t="s">
        <v>2124</v>
      </c>
      <c r="E416" s="23" t="s">
        <v>13264</v>
      </c>
      <c r="F416" s="19">
        <v>42110.127291666664</v>
      </c>
      <c r="G416" s="17" t="s">
        <v>2783</v>
      </c>
      <c r="H416" s="35" t="s">
        <v>188</v>
      </c>
      <c r="I416" s="25" t="s">
        <v>189</v>
      </c>
    </row>
    <row r="417" spans="1:9" s="11" customFormat="1" ht="45">
      <c r="A417" s="19">
        <v>43544.267141203702</v>
      </c>
      <c r="B417" s="20" t="s">
        <v>13263</v>
      </c>
      <c r="C417" s="21" t="s">
        <v>186</v>
      </c>
      <c r="D417" s="22" t="s">
        <v>9562</v>
      </c>
      <c r="E417" s="23" t="s">
        <v>13264</v>
      </c>
      <c r="F417" s="19">
        <v>42110.127291666664</v>
      </c>
      <c r="G417" s="17" t="s">
        <v>2783</v>
      </c>
      <c r="H417" s="35" t="s">
        <v>188</v>
      </c>
      <c r="I417" s="25" t="s">
        <v>189</v>
      </c>
    </row>
    <row r="418" spans="1:9" s="11" customFormat="1" ht="45">
      <c r="A418" s="19">
        <v>43544.183819444443</v>
      </c>
      <c r="B418" s="20" t="s">
        <v>13263</v>
      </c>
      <c r="C418" s="21" t="s">
        <v>186</v>
      </c>
      <c r="D418" s="22" t="s">
        <v>4333</v>
      </c>
      <c r="E418" s="23" t="s">
        <v>13264</v>
      </c>
      <c r="F418" s="19">
        <v>42110.127291666664</v>
      </c>
      <c r="G418" s="17" t="s">
        <v>2783</v>
      </c>
      <c r="H418" s="35" t="s">
        <v>188</v>
      </c>
      <c r="I418" s="25" t="s">
        <v>189</v>
      </c>
    </row>
    <row r="419" spans="1:9" s="11" customFormat="1" ht="45">
      <c r="A419" s="19">
        <v>43544.100474537037</v>
      </c>
      <c r="B419" s="20" t="s">
        <v>13263</v>
      </c>
      <c r="C419" s="21" t="s">
        <v>186</v>
      </c>
      <c r="D419" s="22" t="s">
        <v>4566</v>
      </c>
      <c r="E419" s="23" t="s">
        <v>13264</v>
      </c>
      <c r="F419" s="19">
        <v>42110.127291666664</v>
      </c>
      <c r="G419" s="17" t="s">
        <v>2783</v>
      </c>
      <c r="H419" s="35" t="s">
        <v>188</v>
      </c>
      <c r="I419" s="25" t="s">
        <v>189</v>
      </c>
    </row>
    <row r="420" spans="1:9" s="11" customFormat="1" ht="45">
      <c r="A420" s="19">
        <v>43543.933819444443</v>
      </c>
      <c r="B420" s="20" t="s">
        <v>13263</v>
      </c>
      <c r="C420" s="21" t="s">
        <v>186</v>
      </c>
      <c r="D420" s="22" t="s">
        <v>8138</v>
      </c>
      <c r="E420" s="23" t="s">
        <v>13264</v>
      </c>
      <c r="F420" s="19">
        <v>42110.127291666664</v>
      </c>
      <c r="G420" s="17" t="s">
        <v>2783</v>
      </c>
      <c r="H420" s="35" t="s">
        <v>188</v>
      </c>
      <c r="I420" s="25" t="s">
        <v>189</v>
      </c>
    </row>
    <row r="421" spans="1:9" s="11" customFormat="1" ht="45">
      <c r="A421" s="19">
        <v>43543.767141203702</v>
      </c>
      <c r="B421" s="20" t="s">
        <v>13263</v>
      </c>
      <c r="C421" s="21" t="s">
        <v>186</v>
      </c>
      <c r="D421" s="22" t="s">
        <v>2420</v>
      </c>
      <c r="E421" s="23" t="s">
        <v>13264</v>
      </c>
      <c r="F421" s="19">
        <v>42110.127291666664</v>
      </c>
      <c r="G421" s="17" t="s">
        <v>2783</v>
      </c>
      <c r="H421" s="35" t="s">
        <v>188</v>
      </c>
      <c r="I421" s="25" t="s">
        <v>189</v>
      </c>
    </row>
    <row r="422" spans="1:9" s="11" customFormat="1" ht="45">
      <c r="A422" s="19">
        <v>43543.683819444443</v>
      </c>
      <c r="B422" s="20" t="s">
        <v>13263</v>
      </c>
      <c r="C422" s="21" t="s">
        <v>186</v>
      </c>
      <c r="D422" s="22" t="s">
        <v>4824</v>
      </c>
      <c r="E422" s="23" t="s">
        <v>13264</v>
      </c>
      <c r="F422" s="19">
        <v>42110.127291666664</v>
      </c>
      <c r="G422" s="17" t="s">
        <v>2783</v>
      </c>
      <c r="H422" s="35" t="s">
        <v>188</v>
      </c>
      <c r="I422" s="25" t="s">
        <v>189</v>
      </c>
    </row>
    <row r="423" spans="1:9" s="11" customFormat="1" ht="45">
      <c r="A423" s="19">
        <v>43543.267141203702</v>
      </c>
      <c r="B423" s="20" t="s">
        <v>13263</v>
      </c>
      <c r="C423" s="21" t="s">
        <v>186</v>
      </c>
      <c r="D423" s="22" t="s">
        <v>3850</v>
      </c>
      <c r="E423" s="23" t="s">
        <v>13264</v>
      </c>
      <c r="F423" s="19">
        <v>42110.127291666664</v>
      </c>
      <c r="G423" s="17" t="s">
        <v>2783</v>
      </c>
      <c r="H423" s="35" t="s">
        <v>188</v>
      </c>
      <c r="I423" s="25" t="s">
        <v>189</v>
      </c>
    </row>
    <row r="424" spans="1:9" s="11" customFormat="1" ht="45">
      <c r="A424" s="19">
        <v>43543.183807870373</v>
      </c>
      <c r="B424" s="20" t="s">
        <v>13263</v>
      </c>
      <c r="C424" s="21" t="s">
        <v>186</v>
      </c>
      <c r="D424" s="22" t="s">
        <v>1504</v>
      </c>
      <c r="E424" s="23" t="s">
        <v>13264</v>
      </c>
      <c r="F424" s="19">
        <v>42110.127291666664</v>
      </c>
      <c r="G424" s="17" t="s">
        <v>2783</v>
      </c>
      <c r="H424" s="35" t="s">
        <v>188</v>
      </c>
      <c r="I424" s="25" t="s">
        <v>189</v>
      </c>
    </row>
    <row r="425" spans="1:9" s="11" customFormat="1" ht="45">
      <c r="A425" s="19">
        <v>43543.100474537037</v>
      </c>
      <c r="B425" s="20" t="s">
        <v>13263</v>
      </c>
      <c r="C425" s="21" t="s">
        <v>186</v>
      </c>
      <c r="D425" s="22" t="s">
        <v>5187</v>
      </c>
      <c r="E425" s="23" t="s">
        <v>13264</v>
      </c>
      <c r="F425" s="19">
        <v>42110.127291666664</v>
      </c>
      <c r="G425" s="17" t="s">
        <v>2783</v>
      </c>
      <c r="H425" s="35" t="s">
        <v>188</v>
      </c>
      <c r="I425" s="25" t="s">
        <v>189</v>
      </c>
    </row>
    <row r="426" spans="1:9" s="11" customFormat="1" ht="45">
      <c r="A426" s="19">
        <v>43543.017141203702</v>
      </c>
      <c r="B426" s="20" t="s">
        <v>13263</v>
      </c>
      <c r="C426" s="21" t="s">
        <v>186</v>
      </c>
      <c r="D426" s="22" t="s">
        <v>2951</v>
      </c>
      <c r="E426" s="23" t="s">
        <v>13264</v>
      </c>
      <c r="F426" s="19">
        <v>42110.127291666664</v>
      </c>
      <c r="G426" s="17" t="s">
        <v>2783</v>
      </c>
      <c r="H426" s="35" t="s">
        <v>188</v>
      </c>
      <c r="I426" s="25" t="s">
        <v>189</v>
      </c>
    </row>
    <row r="427" spans="1:9" s="11" customFormat="1" ht="45">
      <c r="A427" s="19">
        <v>43542.933819444443</v>
      </c>
      <c r="B427" s="20" t="s">
        <v>13263</v>
      </c>
      <c r="C427" s="21" t="s">
        <v>186</v>
      </c>
      <c r="D427" s="22" t="s">
        <v>329</v>
      </c>
      <c r="E427" s="23" t="s">
        <v>13264</v>
      </c>
      <c r="F427" s="19">
        <v>42110.127291666664</v>
      </c>
      <c r="G427" s="17" t="s">
        <v>2783</v>
      </c>
      <c r="H427" s="35" t="s">
        <v>188</v>
      </c>
      <c r="I427" s="25" t="s">
        <v>189</v>
      </c>
    </row>
    <row r="428" spans="1:9" s="11" customFormat="1" ht="45">
      <c r="A428" s="19">
        <v>43542.850474537037</v>
      </c>
      <c r="B428" s="20" t="s">
        <v>13263</v>
      </c>
      <c r="C428" s="21" t="s">
        <v>186</v>
      </c>
      <c r="D428" s="22" t="s">
        <v>6398</v>
      </c>
      <c r="E428" s="23" t="s">
        <v>13264</v>
      </c>
      <c r="F428" s="19">
        <v>42110.127291666664</v>
      </c>
      <c r="G428" s="17" t="s">
        <v>2783</v>
      </c>
      <c r="H428" s="35" t="s">
        <v>188</v>
      </c>
      <c r="I428" s="25" t="s">
        <v>189</v>
      </c>
    </row>
    <row r="429" spans="1:9" s="11" customFormat="1" ht="45">
      <c r="A429" s="19">
        <v>43542.767141203702</v>
      </c>
      <c r="B429" s="20" t="s">
        <v>13263</v>
      </c>
      <c r="C429" s="21" t="s">
        <v>186</v>
      </c>
      <c r="D429" s="22" t="s">
        <v>4580</v>
      </c>
      <c r="E429" s="23" t="s">
        <v>13264</v>
      </c>
      <c r="F429" s="19">
        <v>42110.127291666664</v>
      </c>
      <c r="G429" s="17" t="s">
        <v>2783</v>
      </c>
      <c r="H429" s="35" t="s">
        <v>188</v>
      </c>
      <c r="I429" s="25" t="s">
        <v>189</v>
      </c>
    </row>
    <row r="430" spans="1:9" s="11" customFormat="1" ht="45">
      <c r="A430" s="19">
        <v>43542.683807870373</v>
      </c>
      <c r="B430" s="20" t="s">
        <v>13263</v>
      </c>
      <c r="C430" s="21" t="s">
        <v>186</v>
      </c>
      <c r="D430" s="22" t="s">
        <v>1335</v>
      </c>
      <c r="E430" s="23" t="s">
        <v>13264</v>
      </c>
      <c r="F430" s="19">
        <v>42110.127291666664</v>
      </c>
      <c r="G430" s="17" t="s">
        <v>2783</v>
      </c>
      <c r="H430" s="35" t="s">
        <v>188</v>
      </c>
      <c r="I430" s="25" t="s">
        <v>189</v>
      </c>
    </row>
    <row r="431" spans="1:9" s="11" customFormat="1" ht="45">
      <c r="A431" s="4">
        <v>43565.767152777778</v>
      </c>
      <c r="B431" s="5" t="s">
        <v>13263</v>
      </c>
      <c r="C431" s="6" t="s">
        <v>186</v>
      </c>
      <c r="D431" s="7" t="s">
        <v>4436</v>
      </c>
      <c r="E431" s="8" t="s">
        <v>13264</v>
      </c>
      <c r="F431" s="4">
        <v>42110.127291666664</v>
      </c>
      <c r="G431" s="17" t="s">
        <v>2783</v>
      </c>
      <c r="H431" s="35" t="s">
        <v>188</v>
      </c>
      <c r="I431" s="10" t="s">
        <v>189</v>
      </c>
    </row>
    <row r="432" spans="1:9" s="11" customFormat="1" ht="45">
      <c r="A432" s="4">
        <v>43565.683807870373</v>
      </c>
      <c r="B432" s="5" t="s">
        <v>13263</v>
      </c>
      <c r="C432" s="6" t="s">
        <v>186</v>
      </c>
      <c r="D432" s="7" t="s">
        <v>3958</v>
      </c>
      <c r="E432" s="8" t="s">
        <v>13264</v>
      </c>
      <c r="F432" s="4">
        <v>42110.127291666664</v>
      </c>
      <c r="G432" s="17" t="s">
        <v>2783</v>
      </c>
      <c r="H432" s="35" t="s">
        <v>188</v>
      </c>
      <c r="I432" s="10" t="s">
        <v>189</v>
      </c>
    </row>
    <row r="433" spans="1:9" s="11" customFormat="1" ht="45">
      <c r="A433" s="4">
        <v>43565.267141203702</v>
      </c>
      <c r="B433" s="5" t="s">
        <v>13263</v>
      </c>
      <c r="C433" s="6" t="s">
        <v>186</v>
      </c>
      <c r="D433" s="7" t="s">
        <v>1375</v>
      </c>
      <c r="E433" s="8" t="s">
        <v>13264</v>
      </c>
      <c r="F433" s="4">
        <v>42110.127291666664</v>
      </c>
      <c r="G433" s="17" t="s">
        <v>2783</v>
      </c>
      <c r="H433" s="35" t="s">
        <v>188</v>
      </c>
      <c r="I433" s="10" t="s">
        <v>189</v>
      </c>
    </row>
    <row r="434" spans="1:9" s="11" customFormat="1" ht="45">
      <c r="A434" s="4">
        <v>43565.183807870373</v>
      </c>
      <c r="B434" s="5" t="s">
        <v>13263</v>
      </c>
      <c r="C434" s="6" t="s">
        <v>186</v>
      </c>
      <c r="D434" s="7" t="s">
        <v>1477</v>
      </c>
      <c r="E434" s="8" t="s">
        <v>13264</v>
      </c>
      <c r="F434" s="4">
        <v>42110.127291666664</v>
      </c>
      <c r="G434" s="17" t="s">
        <v>2783</v>
      </c>
      <c r="H434" s="35" t="s">
        <v>188</v>
      </c>
      <c r="I434" s="10" t="s">
        <v>189</v>
      </c>
    </row>
    <row r="435" spans="1:9" s="11" customFormat="1" ht="45">
      <c r="A435" s="4">
        <v>43565.100474537037</v>
      </c>
      <c r="B435" s="5" t="s">
        <v>13263</v>
      </c>
      <c r="C435" s="6" t="s">
        <v>186</v>
      </c>
      <c r="D435" s="7" t="s">
        <v>5187</v>
      </c>
      <c r="E435" s="8" t="s">
        <v>13264</v>
      </c>
      <c r="F435" s="4">
        <v>42110.127291666664</v>
      </c>
      <c r="G435" s="17" t="s">
        <v>2783</v>
      </c>
      <c r="H435" s="35" t="s">
        <v>188</v>
      </c>
      <c r="I435" s="10" t="s">
        <v>189</v>
      </c>
    </row>
    <row r="436" spans="1:9" s="11" customFormat="1" ht="45">
      <c r="A436" s="4">
        <v>43565.017141203702</v>
      </c>
      <c r="B436" s="5" t="s">
        <v>13263</v>
      </c>
      <c r="C436" s="6" t="s">
        <v>186</v>
      </c>
      <c r="D436" s="7" t="s">
        <v>3125</v>
      </c>
      <c r="E436" s="8" t="s">
        <v>13264</v>
      </c>
      <c r="F436" s="4">
        <v>42110.127291666664</v>
      </c>
      <c r="G436" s="17" t="s">
        <v>2783</v>
      </c>
      <c r="H436" s="35" t="s">
        <v>188</v>
      </c>
      <c r="I436" s="10" t="s">
        <v>189</v>
      </c>
    </row>
    <row r="437" spans="1:9" s="11" customFormat="1" ht="45">
      <c r="A437" s="4">
        <v>43564.850486111114</v>
      </c>
      <c r="B437" s="5" t="s">
        <v>13263</v>
      </c>
      <c r="C437" s="6" t="s">
        <v>186</v>
      </c>
      <c r="D437" s="7" t="s">
        <v>6398</v>
      </c>
      <c r="E437" s="8" t="s">
        <v>13264</v>
      </c>
      <c r="F437" s="4">
        <v>42110.127291666664</v>
      </c>
      <c r="G437" s="17" t="s">
        <v>2783</v>
      </c>
      <c r="H437" s="35" t="s">
        <v>188</v>
      </c>
      <c r="I437" s="10" t="s">
        <v>189</v>
      </c>
    </row>
    <row r="438" spans="1:9" s="11" customFormat="1" ht="45">
      <c r="A438" s="4">
        <v>43564.767141203702</v>
      </c>
      <c r="B438" s="5" t="s">
        <v>13263</v>
      </c>
      <c r="C438" s="6" t="s">
        <v>186</v>
      </c>
      <c r="D438" s="7" t="s">
        <v>1021</v>
      </c>
      <c r="E438" s="8" t="s">
        <v>13264</v>
      </c>
      <c r="F438" s="4">
        <v>42110.127291666664</v>
      </c>
      <c r="G438" s="17" t="s">
        <v>2783</v>
      </c>
      <c r="H438" s="35" t="s">
        <v>188</v>
      </c>
      <c r="I438" s="10" t="s">
        <v>189</v>
      </c>
    </row>
    <row r="439" spans="1:9" s="11" customFormat="1" ht="45">
      <c r="A439" s="4">
        <v>43564.683807870373</v>
      </c>
      <c r="B439" s="5" t="s">
        <v>13263</v>
      </c>
      <c r="C439" s="6" t="s">
        <v>186</v>
      </c>
      <c r="D439" s="7" t="s">
        <v>5877</v>
      </c>
      <c r="E439" s="8" t="s">
        <v>13264</v>
      </c>
      <c r="F439" s="4">
        <v>42110.127291666664</v>
      </c>
      <c r="G439" s="17" t="s">
        <v>2783</v>
      </c>
      <c r="H439" s="35" t="s">
        <v>188</v>
      </c>
      <c r="I439" s="10" t="s">
        <v>189</v>
      </c>
    </row>
    <row r="440" spans="1:9" s="11" customFormat="1" ht="45">
      <c r="A440" s="4">
        <v>43564.267152777778</v>
      </c>
      <c r="B440" s="5" t="s">
        <v>13263</v>
      </c>
      <c r="C440" s="6" t="s">
        <v>186</v>
      </c>
      <c r="D440" s="7" t="s">
        <v>1375</v>
      </c>
      <c r="E440" s="8" t="s">
        <v>13264</v>
      </c>
      <c r="F440" s="4">
        <v>42110.127291666664</v>
      </c>
      <c r="G440" s="17" t="s">
        <v>2783</v>
      </c>
      <c r="H440" s="35" t="s">
        <v>188</v>
      </c>
      <c r="I440" s="10" t="s">
        <v>189</v>
      </c>
    </row>
    <row r="441" spans="1:9" s="11" customFormat="1" ht="45">
      <c r="A441" s="4">
        <v>43564.183819444443</v>
      </c>
      <c r="B441" s="5" t="s">
        <v>13263</v>
      </c>
      <c r="C441" s="6" t="s">
        <v>186</v>
      </c>
      <c r="D441" s="7" t="s">
        <v>389</v>
      </c>
      <c r="E441" s="8" t="s">
        <v>13264</v>
      </c>
      <c r="F441" s="4">
        <v>42110.127291666664</v>
      </c>
      <c r="G441" s="17" t="s">
        <v>2783</v>
      </c>
      <c r="H441" s="35" t="s">
        <v>188</v>
      </c>
      <c r="I441" s="10" t="s">
        <v>189</v>
      </c>
    </row>
    <row r="442" spans="1:9" s="11" customFormat="1" ht="45">
      <c r="A442" s="4">
        <v>43564.100486111114</v>
      </c>
      <c r="B442" s="5" t="s">
        <v>13263</v>
      </c>
      <c r="C442" s="6" t="s">
        <v>186</v>
      </c>
      <c r="D442" s="7" t="s">
        <v>6785</v>
      </c>
      <c r="E442" s="8" t="s">
        <v>13264</v>
      </c>
      <c r="F442" s="4">
        <v>42110.127291666664</v>
      </c>
      <c r="G442" s="17" t="s">
        <v>2783</v>
      </c>
      <c r="H442" s="35" t="s">
        <v>188</v>
      </c>
      <c r="I442" s="10" t="s">
        <v>189</v>
      </c>
    </row>
    <row r="443" spans="1:9" s="11" customFormat="1" ht="45">
      <c r="A443" s="4">
        <v>43564.017141203702</v>
      </c>
      <c r="B443" s="5" t="s">
        <v>13263</v>
      </c>
      <c r="C443" s="6" t="s">
        <v>186</v>
      </c>
      <c r="D443" s="7" t="s">
        <v>1723</v>
      </c>
      <c r="E443" s="8" t="s">
        <v>13264</v>
      </c>
      <c r="F443" s="4">
        <v>42110.127291666664</v>
      </c>
      <c r="G443" s="17" t="s">
        <v>2783</v>
      </c>
      <c r="H443" s="35" t="s">
        <v>188</v>
      </c>
      <c r="I443" s="10" t="s">
        <v>189</v>
      </c>
    </row>
    <row r="444" spans="1:9" s="11" customFormat="1" ht="45">
      <c r="A444" s="4">
        <v>43563.850486111114</v>
      </c>
      <c r="B444" s="5" t="s">
        <v>13263</v>
      </c>
      <c r="C444" s="6" t="s">
        <v>186</v>
      </c>
      <c r="D444" s="7" t="s">
        <v>1504</v>
      </c>
      <c r="E444" s="8" t="s">
        <v>13264</v>
      </c>
      <c r="F444" s="4">
        <v>42110.127291666664</v>
      </c>
      <c r="G444" s="17" t="s">
        <v>2783</v>
      </c>
      <c r="H444" s="35" t="s">
        <v>188</v>
      </c>
      <c r="I444" s="10" t="s">
        <v>189</v>
      </c>
    </row>
    <row r="445" spans="1:9" s="11" customFormat="1" ht="45">
      <c r="A445" s="4">
        <v>43563.683807870373</v>
      </c>
      <c r="B445" s="5" t="s">
        <v>13263</v>
      </c>
      <c r="C445" s="6" t="s">
        <v>186</v>
      </c>
      <c r="D445" s="7" t="s">
        <v>2951</v>
      </c>
      <c r="E445" s="8" t="s">
        <v>13264</v>
      </c>
      <c r="F445" s="4">
        <v>42110.127291666664</v>
      </c>
      <c r="G445" s="17" t="s">
        <v>2783</v>
      </c>
      <c r="H445" s="35" t="s">
        <v>188</v>
      </c>
      <c r="I445" s="10" t="s">
        <v>189</v>
      </c>
    </row>
    <row r="446" spans="1:9" s="11" customFormat="1" ht="45">
      <c r="A446" s="4">
        <v>43563.183807870373</v>
      </c>
      <c r="B446" s="5" t="s">
        <v>13263</v>
      </c>
      <c r="C446" s="6" t="s">
        <v>186</v>
      </c>
      <c r="D446" s="7" t="s">
        <v>187</v>
      </c>
      <c r="E446" s="8" t="s">
        <v>13264</v>
      </c>
      <c r="F446" s="4">
        <v>42110.127291666664</v>
      </c>
      <c r="G446" s="17" t="s">
        <v>2783</v>
      </c>
      <c r="H446" s="35" t="s">
        <v>188</v>
      </c>
      <c r="I446" s="10" t="s">
        <v>189</v>
      </c>
    </row>
    <row r="447" spans="1:9" s="11" customFormat="1" ht="45">
      <c r="A447" s="4">
        <v>43563.100474537037</v>
      </c>
      <c r="B447" s="5" t="s">
        <v>13263</v>
      </c>
      <c r="C447" s="6" t="s">
        <v>186</v>
      </c>
      <c r="D447" s="7" t="s">
        <v>1335</v>
      </c>
      <c r="E447" s="8" t="s">
        <v>13264</v>
      </c>
      <c r="F447" s="4">
        <v>42110.127291666664</v>
      </c>
      <c r="G447" s="17" t="s">
        <v>2783</v>
      </c>
      <c r="H447" s="35" t="s">
        <v>188</v>
      </c>
      <c r="I447" s="10" t="s">
        <v>189</v>
      </c>
    </row>
    <row r="448" spans="1:9" s="11" customFormat="1" ht="45">
      <c r="A448" s="4">
        <v>43563.017152777778</v>
      </c>
      <c r="B448" s="5" t="s">
        <v>13263</v>
      </c>
      <c r="C448" s="6" t="s">
        <v>186</v>
      </c>
      <c r="D448" s="7" t="s">
        <v>4824</v>
      </c>
      <c r="E448" s="8" t="s">
        <v>13264</v>
      </c>
      <c r="F448" s="4">
        <v>42110.127291666664</v>
      </c>
      <c r="G448" s="17" t="s">
        <v>2783</v>
      </c>
      <c r="H448" s="35" t="s">
        <v>188</v>
      </c>
      <c r="I448" s="10" t="s">
        <v>189</v>
      </c>
    </row>
    <row r="449" spans="1:9" s="11" customFormat="1" ht="45">
      <c r="A449" s="4">
        <v>43562.933819444443</v>
      </c>
      <c r="B449" s="5" t="s">
        <v>13263</v>
      </c>
      <c r="C449" s="6" t="s">
        <v>186</v>
      </c>
      <c r="D449" s="7" t="s">
        <v>1504</v>
      </c>
      <c r="E449" s="8" t="s">
        <v>13264</v>
      </c>
      <c r="F449" s="4">
        <v>42110.127291666664</v>
      </c>
      <c r="G449" s="17" t="s">
        <v>2783</v>
      </c>
      <c r="H449" s="35" t="s">
        <v>188</v>
      </c>
      <c r="I449" s="10" t="s">
        <v>189</v>
      </c>
    </row>
    <row r="450" spans="1:9" s="11" customFormat="1" ht="45">
      <c r="A450" s="4">
        <v>43562.850486111114</v>
      </c>
      <c r="B450" s="5" t="s">
        <v>13263</v>
      </c>
      <c r="C450" s="6" t="s">
        <v>186</v>
      </c>
      <c r="D450" s="7" t="s">
        <v>3850</v>
      </c>
      <c r="E450" s="8" t="s">
        <v>13264</v>
      </c>
      <c r="F450" s="4">
        <v>42110.127291666664</v>
      </c>
      <c r="G450" s="17" t="s">
        <v>2783</v>
      </c>
      <c r="H450" s="35" t="s">
        <v>188</v>
      </c>
      <c r="I450" s="10" t="s">
        <v>189</v>
      </c>
    </row>
    <row r="451" spans="1:9" s="11" customFormat="1" ht="45">
      <c r="A451" s="4">
        <v>43562.683807870373</v>
      </c>
      <c r="B451" s="5" t="s">
        <v>13263</v>
      </c>
      <c r="C451" s="6" t="s">
        <v>186</v>
      </c>
      <c r="D451" s="7" t="s">
        <v>5877</v>
      </c>
      <c r="E451" s="8" t="s">
        <v>13264</v>
      </c>
      <c r="F451" s="4">
        <v>42110.127291666664</v>
      </c>
      <c r="G451" s="17" t="s">
        <v>2783</v>
      </c>
      <c r="H451" s="35" t="s">
        <v>188</v>
      </c>
      <c r="I451" s="10" t="s">
        <v>189</v>
      </c>
    </row>
    <row r="452" spans="1:9" s="11" customFormat="1" ht="45">
      <c r="A452" s="4">
        <v>43562.267141203702</v>
      </c>
      <c r="B452" s="5" t="s">
        <v>13263</v>
      </c>
      <c r="C452" s="6" t="s">
        <v>186</v>
      </c>
      <c r="D452" s="7" t="s">
        <v>1723</v>
      </c>
      <c r="E452" s="8" t="s">
        <v>13264</v>
      </c>
      <c r="F452" s="4">
        <v>42110.127291666664</v>
      </c>
      <c r="G452" s="17" t="s">
        <v>2783</v>
      </c>
      <c r="H452" s="35" t="s">
        <v>188</v>
      </c>
      <c r="I452" s="10" t="s">
        <v>189</v>
      </c>
    </row>
    <row r="453" spans="1:9" s="11" customFormat="1" ht="45">
      <c r="A453" s="4">
        <v>43562.100474537037</v>
      </c>
      <c r="B453" s="5" t="s">
        <v>13263</v>
      </c>
      <c r="C453" s="6" t="s">
        <v>186</v>
      </c>
      <c r="D453" s="7" t="s">
        <v>10752</v>
      </c>
      <c r="E453" s="8" t="s">
        <v>13264</v>
      </c>
      <c r="F453" s="4">
        <v>42110.127291666664</v>
      </c>
      <c r="G453" s="17" t="s">
        <v>2783</v>
      </c>
      <c r="H453" s="35" t="s">
        <v>188</v>
      </c>
      <c r="I453" s="10" t="s">
        <v>189</v>
      </c>
    </row>
    <row r="454" spans="1:9" s="11" customFormat="1" ht="45">
      <c r="A454" s="4">
        <v>43562.017152777778</v>
      </c>
      <c r="B454" s="5" t="s">
        <v>13263</v>
      </c>
      <c r="C454" s="6" t="s">
        <v>186</v>
      </c>
      <c r="D454" s="7" t="s">
        <v>1504</v>
      </c>
      <c r="E454" s="8" t="s">
        <v>13264</v>
      </c>
      <c r="F454" s="4">
        <v>42110.127291666664</v>
      </c>
      <c r="G454" s="17" t="s">
        <v>2783</v>
      </c>
      <c r="H454" s="35" t="s">
        <v>188</v>
      </c>
      <c r="I454" s="10" t="s">
        <v>189</v>
      </c>
    </row>
    <row r="455" spans="1:9" s="11" customFormat="1" ht="45">
      <c r="A455" s="4">
        <v>43561.933807870373</v>
      </c>
      <c r="B455" s="5" t="s">
        <v>13263</v>
      </c>
      <c r="C455" s="6" t="s">
        <v>186</v>
      </c>
      <c r="D455" s="7" t="s">
        <v>2349</v>
      </c>
      <c r="E455" s="8" t="s">
        <v>13264</v>
      </c>
      <c r="F455" s="4">
        <v>42110.127291666664</v>
      </c>
      <c r="G455" s="17" t="s">
        <v>2783</v>
      </c>
      <c r="H455" s="35" t="s">
        <v>188</v>
      </c>
      <c r="I455" s="10" t="s">
        <v>189</v>
      </c>
    </row>
    <row r="456" spans="1:9" s="11" customFormat="1" ht="45">
      <c r="A456" s="4">
        <v>43561.850474537037</v>
      </c>
      <c r="B456" s="5" t="s">
        <v>13263</v>
      </c>
      <c r="C456" s="6" t="s">
        <v>186</v>
      </c>
      <c r="D456" s="7" t="s">
        <v>2951</v>
      </c>
      <c r="E456" s="8" t="s">
        <v>13264</v>
      </c>
      <c r="F456" s="4">
        <v>42110.127291666664</v>
      </c>
      <c r="G456" s="17" t="s">
        <v>2783</v>
      </c>
      <c r="H456" s="35" t="s">
        <v>188</v>
      </c>
      <c r="I456" s="10" t="s">
        <v>189</v>
      </c>
    </row>
    <row r="457" spans="1:9" s="11" customFormat="1" ht="45">
      <c r="A457" s="4">
        <v>43561.767141203702</v>
      </c>
      <c r="B457" s="5" t="s">
        <v>13263</v>
      </c>
      <c r="C457" s="6" t="s">
        <v>186</v>
      </c>
      <c r="D457" s="7" t="s">
        <v>3958</v>
      </c>
      <c r="E457" s="8" t="s">
        <v>13264</v>
      </c>
      <c r="F457" s="4">
        <v>42110.127291666664</v>
      </c>
      <c r="G457" s="17" t="s">
        <v>2783</v>
      </c>
      <c r="H457" s="35" t="s">
        <v>188</v>
      </c>
      <c r="I457" s="10" t="s">
        <v>189</v>
      </c>
    </row>
    <row r="458" spans="1:9" s="11" customFormat="1" ht="45">
      <c r="A458" s="4">
        <v>43561.183807870373</v>
      </c>
      <c r="B458" s="5" t="s">
        <v>13263</v>
      </c>
      <c r="C458" s="6" t="s">
        <v>186</v>
      </c>
      <c r="D458" s="7" t="s">
        <v>3125</v>
      </c>
      <c r="E458" s="8" t="s">
        <v>13264</v>
      </c>
      <c r="F458" s="4">
        <v>42110.127291666664</v>
      </c>
      <c r="G458" s="17" t="s">
        <v>2783</v>
      </c>
      <c r="H458" s="35" t="s">
        <v>188</v>
      </c>
      <c r="I458" s="10" t="s">
        <v>189</v>
      </c>
    </row>
    <row r="459" spans="1:9" s="11" customFormat="1" ht="45">
      <c r="A459" s="4">
        <v>43561.017141203702</v>
      </c>
      <c r="B459" s="5" t="s">
        <v>13263</v>
      </c>
      <c r="C459" s="6" t="s">
        <v>186</v>
      </c>
      <c r="D459" s="7" t="s">
        <v>10752</v>
      </c>
      <c r="E459" s="8" t="s">
        <v>13264</v>
      </c>
      <c r="F459" s="4">
        <v>42110.127291666664</v>
      </c>
      <c r="G459" s="17" t="s">
        <v>2783</v>
      </c>
      <c r="H459" s="35" t="s">
        <v>188</v>
      </c>
      <c r="I459" s="10" t="s">
        <v>189</v>
      </c>
    </row>
    <row r="460" spans="1:9" s="11" customFormat="1" ht="45">
      <c r="A460" s="4">
        <v>43560.933807870373</v>
      </c>
      <c r="B460" s="5" t="s">
        <v>13263</v>
      </c>
      <c r="C460" s="6" t="s">
        <v>186</v>
      </c>
      <c r="D460" s="7" t="s">
        <v>1335</v>
      </c>
      <c r="E460" s="8" t="s">
        <v>13264</v>
      </c>
      <c r="F460" s="4">
        <v>42110.127291666664</v>
      </c>
      <c r="G460" s="17" t="s">
        <v>2783</v>
      </c>
      <c r="H460" s="35" t="s">
        <v>188</v>
      </c>
      <c r="I460" s="10" t="s">
        <v>189</v>
      </c>
    </row>
    <row r="461" spans="1:9" s="11" customFormat="1" ht="45">
      <c r="A461" s="4">
        <v>43560.850486111114</v>
      </c>
      <c r="B461" s="5" t="s">
        <v>13263</v>
      </c>
      <c r="C461" s="6" t="s">
        <v>186</v>
      </c>
      <c r="D461" s="7" t="s">
        <v>459</v>
      </c>
      <c r="E461" s="8" t="s">
        <v>13264</v>
      </c>
      <c r="F461" s="4">
        <v>42110.127291666664</v>
      </c>
      <c r="G461" s="17" t="s">
        <v>2783</v>
      </c>
      <c r="H461" s="35" t="s">
        <v>188</v>
      </c>
      <c r="I461" s="10" t="s">
        <v>189</v>
      </c>
    </row>
    <row r="462" spans="1:9" s="11" customFormat="1" ht="45">
      <c r="A462" s="4">
        <v>43560.683819444443</v>
      </c>
      <c r="B462" s="5" t="s">
        <v>13263</v>
      </c>
      <c r="C462" s="6" t="s">
        <v>186</v>
      </c>
      <c r="D462" s="7" t="s">
        <v>4333</v>
      </c>
      <c r="E462" s="8" t="s">
        <v>13264</v>
      </c>
      <c r="F462" s="4">
        <v>42110.127291666664</v>
      </c>
      <c r="G462" s="17" t="s">
        <v>2783</v>
      </c>
      <c r="H462" s="35" t="s">
        <v>188</v>
      </c>
      <c r="I462" s="10" t="s">
        <v>189</v>
      </c>
    </row>
    <row r="463" spans="1:9" s="11" customFormat="1" ht="45">
      <c r="A463" s="4">
        <v>43560.267141203702</v>
      </c>
      <c r="B463" s="5" t="s">
        <v>13263</v>
      </c>
      <c r="C463" s="6" t="s">
        <v>186</v>
      </c>
      <c r="D463" s="7" t="s">
        <v>6785</v>
      </c>
      <c r="E463" s="8" t="s">
        <v>13264</v>
      </c>
      <c r="F463" s="4">
        <v>42110.127291666664</v>
      </c>
      <c r="G463" s="17" t="s">
        <v>2783</v>
      </c>
      <c r="H463" s="35" t="s">
        <v>188</v>
      </c>
      <c r="I463" s="10" t="s">
        <v>189</v>
      </c>
    </row>
    <row r="464" spans="1:9" s="11" customFormat="1" ht="45">
      <c r="A464" s="4">
        <v>43559.933807870373</v>
      </c>
      <c r="B464" s="5" t="s">
        <v>13263</v>
      </c>
      <c r="C464" s="6" t="s">
        <v>186</v>
      </c>
      <c r="D464" s="7" t="s">
        <v>1477</v>
      </c>
      <c r="E464" s="8" t="s">
        <v>13264</v>
      </c>
      <c r="F464" s="4">
        <v>42110.127291666664</v>
      </c>
      <c r="G464" s="17" t="s">
        <v>2783</v>
      </c>
      <c r="H464" s="35" t="s">
        <v>188</v>
      </c>
      <c r="I464" s="10" t="s">
        <v>189</v>
      </c>
    </row>
    <row r="465" spans="1:9" s="11" customFormat="1" ht="105">
      <c r="A465" s="4">
        <v>43559.885104166664</v>
      </c>
      <c r="B465" s="5" t="s">
        <v>13265</v>
      </c>
      <c r="C465" s="6" t="s">
        <v>11667</v>
      </c>
      <c r="D465" s="7" t="s">
        <v>11668</v>
      </c>
      <c r="E465" s="8" t="s">
        <v>13011</v>
      </c>
      <c r="F465" s="4">
        <v>40421.187418981484</v>
      </c>
      <c r="G465" s="17" t="s">
        <v>2783</v>
      </c>
      <c r="H465" s="35" t="s">
        <v>188</v>
      </c>
      <c r="I465" s="10" t="s">
        <v>11669</v>
      </c>
    </row>
    <row r="466" spans="1:9" s="11" customFormat="1" ht="45">
      <c r="A466" s="4">
        <v>43559.850474537037</v>
      </c>
      <c r="B466" s="5" t="s">
        <v>13263</v>
      </c>
      <c r="C466" s="6" t="s">
        <v>186</v>
      </c>
      <c r="D466" s="7" t="s">
        <v>7837</v>
      </c>
      <c r="E466" s="8" t="s">
        <v>13264</v>
      </c>
      <c r="F466" s="4">
        <v>42110.127291666664</v>
      </c>
      <c r="G466" s="17" t="s">
        <v>2783</v>
      </c>
      <c r="H466" s="35" t="s">
        <v>188</v>
      </c>
      <c r="I466" s="10" t="s">
        <v>189</v>
      </c>
    </row>
    <row r="467" spans="1:9" s="11" customFormat="1" ht="45">
      <c r="A467" s="4">
        <v>43559.767141203702</v>
      </c>
      <c r="B467" s="5" t="s">
        <v>13263</v>
      </c>
      <c r="C467" s="6" t="s">
        <v>186</v>
      </c>
      <c r="D467" s="7" t="s">
        <v>7003</v>
      </c>
      <c r="E467" s="8" t="s">
        <v>13264</v>
      </c>
      <c r="F467" s="4">
        <v>42110.127291666664</v>
      </c>
      <c r="G467" s="17" t="s">
        <v>2783</v>
      </c>
      <c r="H467" s="35" t="s">
        <v>188</v>
      </c>
      <c r="I467" s="10" t="s">
        <v>189</v>
      </c>
    </row>
    <row r="468" spans="1:9" s="11" customFormat="1" ht="45">
      <c r="A468" s="4">
        <v>43559.267141203702</v>
      </c>
      <c r="B468" s="5" t="s">
        <v>13263</v>
      </c>
      <c r="C468" s="6" t="s">
        <v>186</v>
      </c>
      <c r="D468" s="7" t="s">
        <v>187</v>
      </c>
      <c r="E468" s="8" t="s">
        <v>13264</v>
      </c>
      <c r="F468" s="4">
        <v>42110.127291666664</v>
      </c>
      <c r="G468" s="17" t="s">
        <v>2783</v>
      </c>
      <c r="H468" s="35" t="s">
        <v>188</v>
      </c>
      <c r="I468" s="10" t="s">
        <v>189</v>
      </c>
    </row>
    <row r="469" spans="1:9" s="11" customFormat="1" ht="45">
      <c r="A469" s="4">
        <v>43559.017152777778</v>
      </c>
      <c r="B469" s="5" t="s">
        <v>13263</v>
      </c>
      <c r="C469" s="6" t="s">
        <v>186</v>
      </c>
      <c r="D469" s="7" t="s">
        <v>4566</v>
      </c>
      <c r="E469" s="8" t="s">
        <v>13264</v>
      </c>
      <c r="F469" s="4">
        <v>42110.127291666664</v>
      </c>
      <c r="G469" s="17" t="s">
        <v>2783</v>
      </c>
      <c r="H469" s="35" t="s">
        <v>188</v>
      </c>
      <c r="I469" s="10" t="s">
        <v>189</v>
      </c>
    </row>
    <row r="470" spans="1:9" s="11" customFormat="1" ht="45">
      <c r="A470" s="4">
        <v>43558.933807870373</v>
      </c>
      <c r="B470" s="5" t="s">
        <v>13263</v>
      </c>
      <c r="C470" s="6" t="s">
        <v>186</v>
      </c>
      <c r="D470" s="7" t="s">
        <v>3958</v>
      </c>
      <c r="E470" s="8" t="s">
        <v>13264</v>
      </c>
      <c r="F470" s="4">
        <v>42110.127291666664</v>
      </c>
      <c r="G470" s="17" t="s">
        <v>2783</v>
      </c>
      <c r="H470" s="35" t="s">
        <v>188</v>
      </c>
      <c r="I470" s="10" t="s">
        <v>189</v>
      </c>
    </row>
    <row r="471" spans="1:9" s="11" customFormat="1" ht="45">
      <c r="A471" s="4">
        <v>43558.683819444443</v>
      </c>
      <c r="B471" s="5" t="s">
        <v>13263</v>
      </c>
      <c r="C471" s="6" t="s">
        <v>186</v>
      </c>
      <c r="D471" s="7" t="s">
        <v>2017</v>
      </c>
      <c r="E471" s="8" t="s">
        <v>13264</v>
      </c>
      <c r="F471" s="4">
        <v>42110.127291666664</v>
      </c>
      <c r="G471" s="17" t="s">
        <v>2783</v>
      </c>
      <c r="H471" s="35" t="s">
        <v>188</v>
      </c>
      <c r="I471" s="10" t="s">
        <v>189</v>
      </c>
    </row>
    <row r="472" spans="1:9" s="11" customFormat="1" ht="45">
      <c r="A472" s="4">
        <v>43558.267141203702</v>
      </c>
      <c r="B472" s="5" t="s">
        <v>13263</v>
      </c>
      <c r="C472" s="6" t="s">
        <v>186</v>
      </c>
      <c r="D472" s="7" t="s">
        <v>12253</v>
      </c>
      <c r="E472" s="8" t="s">
        <v>13264</v>
      </c>
      <c r="F472" s="4">
        <v>42110.127291666664</v>
      </c>
      <c r="G472" s="17" t="s">
        <v>2783</v>
      </c>
      <c r="H472" s="35" t="s">
        <v>188</v>
      </c>
      <c r="I472" s="10" t="s">
        <v>189</v>
      </c>
    </row>
    <row r="473" spans="1:9" s="11" customFormat="1" ht="45">
      <c r="A473" s="4">
        <v>43558.183807870373</v>
      </c>
      <c r="B473" s="5" t="s">
        <v>13263</v>
      </c>
      <c r="C473" s="6" t="s">
        <v>186</v>
      </c>
      <c r="D473" s="7" t="s">
        <v>12299</v>
      </c>
      <c r="E473" s="8" t="s">
        <v>13264</v>
      </c>
      <c r="F473" s="4">
        <v>42110.127291666664</v>
      </c>
      <c r="G473" s="17" t="s">
        <v>2783</v>
      </c>
      <c r="H473" s="35" t="s">
        <v>188</v>
      </c>
      <c r="I473" s="10" t="s">
        <v>189</v>
      </c>
    </row>
    <row r="474" spans="1:9" s="11" customFormat="1" ht="45">
      <c r="A474" s="4">
        <v>43558.100474537037</v>
      </c>
      <c r="B474" s="5" t="s">
        <v>13263</v>
      </c>
      <c r="C474" s="6" t="s">
        <v>186</v>
      </c>
      <c r="D474" s="7" t="s">
        <v>10752</v>
      </c>
      <c r="E474" s="8" t="s">
        <v>13264</v>
      </c>
      <c r="F474" s="4">
        <v>42110.127291666664</v>
      </c>
      <c r="G474" s="17" t="s">
        <v>2783</v>
      </c>
      <c r="H474" s="35" t="s">
        <v>188</v>
      </c>
      <c r="I474" s="10" t="s">
        <v>189</v>
      </c>
    </row>
    <row r="475" spans="1:9" s="11" customFormat="1" ht="45">
      <c r="A475" s="4">
        <v>43557.683807870373</v>
      </c>
      <c r="B475" s="5" t="s">
        <v>13263</v>
      </c>
      <c r="C475" s="6" t="s">
        <v>186</v>
      </c>
      <c r="D475" s="7" t="s">
        <v>1689</v>
      </c>
      <c r="E475" s="8" t="s">
        <v>13264</v>
      </c>
      <c r="F475" s="4">
        <v>42110.127291666664</v>
      </c>
      <c r="G475" s="17" t="s">
        <v>2783</v>
      </c>
      <c r="H475" s="35" t="s">
        <v>188</v>
      </c>
      <c r="I475" s="10" t="s">
        <v>189</v>
      </c>
    </row>
    <row r="476" spans="1:9" s="11" customFormat="1" ht="45">
      <c r="A476" s="4">
        <v>43557.100486111114</v>
      </c>
      <c r="B476" s="5" t="s">
        <v>13263</v>
      </c>
      <c r="C476" s="6" t="s">
        <v>186</v>
      </c>
      <c r="D476" s="7" t="s">
        <v>2107</v>
      </c>
      <c r="E476" s="8" t="s">
        <v>13264</v>
      </c>
      <c r="F476" s="4">
        <v>42110.127291666664</v>
      </c>
      <c r="G476" s="17" t="s">
        <v>2783</v>
      </c>
      <c r="H476" s="35" t="s">
        <v>188</v>
      </c>
      <c r="I476" s="10" t="s">
        <v>189</v>
      </c>
    </row>
    <row r="477" spans="1:9" s="11" customFormat="1" ht="45">
      <c r="A477" s="4">
        <v>43557.017152777778</v>
      </c>
      <c r="B477" s="5" t="s">
        <v>13263</v>
      </c>
      <c r="C477" s="6" t="s">
        <v>186</v>
      </c>
      <c r="D477" s="7" t="s">
        <v>1375</v>
      </c>
      <c r="E477" s="8" t="s">
        <v>13264</v>
      </c>
      <c r="F477" s="4">
        <v>42110.127291666664</v>
      </c>
      <c r="G477" s="17" t="s">
        <v>2783</v>
      </c>
      <c r="H477" s="35" t="s">
        <v>188</v>
      </c>
      <c r="I477" s="10" t="s">
        <v>189</v>
      </c>
    </row>
    <row r="478" spans="1:9" s="11" customFormat="1" ht="45">
      <c r="A478" s="4">
        <v>43556.767141203702</v>
      </c>
      <c r="B478" s="5" t="s">
        <v>13263</v>
      </c>
      <c r="C478" s="6" t="s">
        <v>186</v>
      </c>
      <c r="D478" s="7" t="s">
        <v>12751</v>
      </c>
      <c r="E478" s="8" t="s">
        <v>13264</v>
      </c>
      <c r="F478" s="4">
        <v>42110.127291666664</v>
      </c>
      <c r="G478" s="17" t="s">
        <v>2783</v>
      </c>
      <c r="H478" s="35" t="s">
        <v>188</v>
      </c>
      <c r="I478" s="10" t="s">
        <v>189</v>
      </c>
    </row>
    <row r="479" spans="1:9" s="11" customFormat="1" ht="45">
      <c r="A479" s="12">
        <v>43580.642141203702</v>
      </c>
      <c r="B479" s="13" t="s">
        <v>13263</v>
      </c>
      <c r="C479" s="14" t="s">
        <v>186</v>
      </c>
      <c r="D479" s="15" t="s">
        <v>187</v>
      </c>
      <c r="E479" s="16" t="s">
        <v>13264</v>
      </c>
      <c r="F479" s="12">
        <v>42110.585625</v>
      </c>
      <c r="G479" s="17" t="s">
        <v>2783</v>
      </c>
      <c r="H479" s="35" t="s">
        <v>188</v>
      </c>
      <c r="I479" s="18" t="s">
        <v>189</v>
      </c>
    </row>
    <row r="480" spans="1:9" s="11" customFormat="1" ht="45">
      <c r="A480" s="12">
        <v>43580.017141203702</v>
      </c>
      <c r="B480" s="13" t="s">
        <v>13263</v>
      </c>
      <c r="C480" s="14" t="s">
        <v>186</v>
      </c>
      <c r="D480" s="15" t="s">
        <v>329</v>
      </c>
      <c r="E480" s="16" t="s">
        <v>13264</v>
      </c>
      <c r="F480" s="12">
        <v>42110.127291666664</v>
      </c>
      <c r="G480" s="17" t="s">
        <v>2783</v>
      </c>
      <c r="H480" s="35" t="s">
        <v>188</v>
      </c>
      <c r="I480" s="18" t="s">
        <v>189</v>
      </c>
    </row>
    <row r="481" spans="1:9" s="11" customFormat="1" ht="45">
      <c r="A481" s="12">
        <v>43579.933819444443</v>
      </c>
      <c r="B481" s="13" t="s">
        <v>13263</v>
      </c>
      <c r="C481" s="14" t="s">
        <v>186</v>
      </c>
      <c r="D481" s="15" t="s">
        <v>389</v>
      </c>
      <c r="E481" s="16" t="s">
        <v>13264</v>
      </c>
      <c r="F481" s="12">
        <v>42110.127291666664</v>
      </c>
      <c r="G481" s="17" t="s">
        <v>2783</v>
      </c>
      <c r="H481" s="35" t="s">
        <v>188</v>
      </c>
      <c r="I481" s="18" t="s">
        <v>189</v>
      </c>
    </row>
    <row r="482" spans="1:9" s="11" customFormat="1" ht="45">
      <c r="A482" s="12">
        <v>43579.850474537037</v>
      </c>
      <c r="B482" s="13" t="s">
        <v>13263</v>
      </c>
      <c r="C482" s="14" t="s">
        <v>186</v>
      </c>
      <c r="D482" s="15" t="s">
        <v>434</v>
      </c>
      <c r="E482" s="16" t="s">
        <v>13264</v>
      </c>
      <c r="F482" s="12">
        <v>42110.127291666664</v>
      </c>
      <c r="G482" s="17" t="s">
        <v>2783</v>
      </c>
      <c r="H482" s="35" t="s">
        <v>188</v>
      </c>
      <c r="I482" s="18" t="s">
        <v>189</v>
      </c>
    </row>
    <row r="483" spans="1:9" s="11" customFormat="1" ht="45">
      <c r="A483" s="12">
        <v>43579.767141203702</v>
      </c>
      <c r="B483" s="13" t="s">
        <v>13263</v>
      </c>
      <c r="C483" s="14" t="s">
        <v>186</v>
      </c>
      <c r="D483" s="15" t="s">
        <v>459</v>
      </c>
      <c r="E483" s="16" t="s">
        <v>13264</v>
      </c>
      <c r="F483" s="12">
        <v>42110.127291666664</v>
      </c>
      <c r="G483" s="17" t="s">
        <v>2783</v>
      </c>
      <c r="H483" s="35" t="s">
        <v>188</v>
      </c>
      <c r="I483" s="18" t="s">
        <v>189</v>
      </c>
    </row>
    <row r="484" spans="1:9" s="11" customFormat="1" ht="45">
      <c r="A484" s="12">
        <v>43579.267141203702</v>
      </c>
      <c r="B484" s="13" t="s">
        <v>13263</v>
      </c>
      <c r="C484" s="14" t="s">
        <v>186</v>
      </c>
      <c r="D484" s="15" t="s">
        <v>187</v>
      </c>
      <c r="E484" s="16" t="s">
        <v>13264</v>
      </c>
      <c r="F484" s="12">
        <v>42110.127291666664</v>
      </c>
      <c r="G484" s="17" t="s">
        <v>2783</v>
      </c>
      <c r="H484" s="35" t="s">
        <v>188</v>
      </c>
      <c r="I484" s="18" t="s">
        <v>189</v>
      </c>
    </row>
    <row r="485" spans="1:9" s="11" customFormat="1" ht="45">
      <c r="A485" s="12">
        <v>43579.183819444443</v>
      </c>
      <c r="B485" s="13" t="s">
        <v>13263</v>
      </c>
      <c r="C485" s="14" t="s">
        <v>186</v>
      </c>
      <c r="D485" s="15" t="s">
        <v>876</v>
      </c>
      <c r="E485" s="16" t="s">
        <v>13264</v>
      </c>
      <c r="F485" s="12">
        <v>42110.127291666664</v>
      </c>
      <c r="G485" s="17" t="s">
        <v>2783</v>
      </c>
      <c r="H485" s="35" t="s">
        <v>188</v>
      </c>
      <c r="I485" s="18" t="s">
        <v>189</v>
      </c>
    </row>
    <row r="486" spans="1:9" s="11" customFormat="1" ht="45">
      <c r="A486" s="12">
        <v>43579.017141203702</v>
      </c>
      <c r="B486" s="13" t="s">
        <v>13263</v>
      </c>
      <c r="C486" s="14" t="s">
        <v>186</v>
      </c>
      <c r="D486" s="15" t="s">
        <v>964</v>
      </c>
      <c r="E486" s="16" t="s">
        <v>13264</v>
      </c>
      <c r="F486" s="12">
        <v>42110.127291666664</v>
      </c>
      <c r="G486" s="17" t="s">
        <v>2783</v>
      </c>
      <c r="H486" s="35" t="s">
        <v>188</v>
      </c>
      <c r="I486" s="18" t="s">
        <v>189</v>
      </c>
    </row>
    <row r="487" spans="1:9" s="11" customFormat="1" ht="45">
      <c r="A487" s="12">
        <v>43578.850474537037</v>
      </c>
      <c r="B487" s="13" t="s">
        <v>13263</v>
      </c>
      <c r="C487" s="14" t="s">
        <v>186</v>
      </c>
      <c r="D487" s="15" t="s">
        <v>1021</v>
      </c>
      <c r="E487" s="16" t="s">
        <v>13264</v>
      </c>
      <c r="F487" s="12">
        <v>42110.127291666664</v>
      </c>
      <c r="G487" s="17" t="s">
        <v>2783</v>
      </c>
      <c r="H487" s="35" t="s">
        <v>188</v>
      </c>
      <c r="I487" s="18" t="s">
        <v>189</v>
      </c>
    </row>
    <row r="488" spans="1:9" s="11" customFormat="1" ht="45">
      <c r="A488" s="12">
        <v>43578.267141203702</v>
      </c>
      <c r="B488" s="13" t="s">
        <v>13263</v>
      </c>
      <c r="C488" s="14" t="s">
        <v>186</v>
      </c>
      <c r="D488" s="15" t="s">
        <v>1335</v>
      </c>
      <c r="E488" s="16" t="s">
        <v>13264</v>
      </c>
      <c r="F488" s="12">
        <v>42110.127291666664</v>
      </c>
      <c r="G488" s="17" t="s">
        <v>2783</v>
      </c>
      <c r="H488" s="35" t="s">
        <v>188</v>
      </c>
      <c r="I488" s="18" t="s">
        <v>189</v>
      </c>
    </row>
    <row r="489" spans="1:9" s="11" customFormat="1" ht="45">
      <c r="A489" s="12">
        <v>43578.183819444443</v>
      </c>
      <c r="B489" s="13" t="s">
        <v>13263</v>
      </c>
      <c r="C489" s="14" t="s">
        <v>186</v>
      </c>
      <c r="D489" s="15" t="s">
        <v>1375</v>
      </c>
      <c r="E489" s="16" t="s">
        <v>13264</v>
      </c>
      <c r="F489" s="12">
        <v>42110.127291666664</v>
      </c>
      <c r="G489" s="17" t="s">
        <v>2783</v>
      </c>
      <c r="H489" s="35" t="s">
        <v>188</v>
      </c>
      <c r="I489" s="18" t="s">
        <v>189</v>
      </c>
    </row>
    <row r="490" spans="1:9" s="11" customFormat="1" ht="45">
      <c r="A490" s="12">
        <v>43578.017141203702</v>
      </c>
      <c r="B490" s="13" t="s">
        <v>13263</v>
      </c>
      <c r="C490" s="14" t="s">
        <v>186</v>
      </c>
      <c r="D490" s="15" t="s">
        <v>1426</v>
      </c>
      <c r="E490" s="16" t="s">
        <v>13264</v>
      </c>
      <c r="F490" s="12">
        <v>42110.127291666664</v>
      </c>
      <c r="G490" s="17" t="s">
        <v>2783</v>
      </c>
      <c r="H490" s="35" t="s">
        <v>188</v>
      </c>
      <c r="I490" s="18" t="s">
        <v>189</v>
      </c>
    </row>
    <row r="491" spans="1:9" s="11" customFormat="1" ht="45">
      <c r="A491" s="12">
        <v>43577.933819444443</v>
      </c>
      <c r="B491" s="13" t="s">
        <v>13263</v>
      </c>
      <c r="C491" s="14" t="s">
        <v>186</v>
      </c>
      <c r="D491" s="15" t="s">
        <v>389</v>
      </c>
      <c r="E491" s="16" t="s">
        <v>13264</v>
      </c>
      <c r="F491" s="12">
        <v>42110.127291666664</v>
      </c>
      <c r="G491" s="17" t="s">
        <v>2783</v>
      </c>
      <c r="H491" s="35" t="s">
        <v>188</v>
      </c>
      <c r="I491" s="18" t="s">
        <v>189</v>
      </c>
    </row>
    <row r="492" spans="1:9" s="11" customFormat="1" ht="45">
      <c r="A492" s="12">
        <v>43577.850486111114</v>
      </c>
      <c r="B492" s="13" t="s">
        <v>13263</v>
      </c>
      <c r="C492" s="14" t="s">
        <v>186</v>
      </c>
      <c r="D492" s="15" t="s">
        <v>1477</v>
      </c>
      <c r="E492" s="16" t="s">
        <v>13264</v>
      </c>
      <c r="F492" s="12">
        <v>42110.127291666664</v>
      </c>
      <c r="G492" s="17" t="s">
        <v>2783</v>
      </c>
      <c r="H492" s="35" t="s">
        <v>188</v>
      </c>
      <c r="I492" s="18" t="s">
        <v>189</v>
      </c>
    </row>
    <row r="493" spans="1:9" s="11" customFormat="1" ht="45">
      <c r="A493" s="12">
        <v>43577.767141203702</v>
      </c>
      <c r="B493" s="13" t="s">
        <v>13263</v>
      </c>
      <c r="C493" s="14" t="s">
        <v>186</v>
      </c>
      <c r="D493" s="15" t="s">
        <v>1504</v>
      </c>
      <c r="E493" s="16" t="s">
        <v>13264</v>
      </c>
      <c r="F493" s="12">
        <v>42110.127291666664</v>
      </c>
      <c r="G493" s="17" t="s">
        <v>2783</v>
      </c>
      <c r="H493" s="35" t="s">
        <v>188</v>
      </c>
      <c r="I493" s="18" t="s">
        <v>189</v>
      </c>
    </row>
    <row r="494" spans="1:9" s="11" customFormat="1" ht="45">
      <c r="A494" s="12">
        <v>43577.683807870373</v>
      </c>
      <c r="B494" s="13" t="s">
        <v>13263</v>
      </c>
      <c r="C494" s="14" t="s">
        <v>186</v>
      </c>
      <c r="D494" s="15" t="s">
        <v>329</v>
      </c>
      <c r="E494" s="16" t="s">
        <v>13264</v>
      </c>
      <c r="F494" s="12">
        <v>42110.127291666664</v>
      </c>
      <c r="G494" s="17" t="s">
        <v>2783</v>
      </c>
      <c r="H494" s="35" t="s">
        <v>188</v>
      </c>
      <c r="I494" s="18" t="s">
        <v>189</v>
      </c>
    </row>
    <row r="495" spans="1:9" s="11" customFormat="1" ht="45">
      <c r="A495" s="12">
        <v>43577.267152777778</v>
      </c>
      <c r="B495" s="13" t="s">
        <v>13263</v>
      </c>
      <c r="C495" s="14" t="s">
        <v>186</v>
      </c>
      <c r="D495" s="15" t="s">
        <v>1689</v>
      </c>
      <c r="E495" s="16" t="s">
        <v>13264</v>
      </c>
      <c r="F495" s="12">
        <v>42110.127291666664</v>
      </c>
      <c r="G495" s="17" t="s">
        <v>2783</v>
      </c>
      <c r="H495" s="35" t="s">
        <v>188</v>
      </c>
      <c r="I495" s="18" t="s">
        <v>189</v>
      </c>
    </row>
    <row r="496" spans="1:9" s="11" customFormat="1" ht="45">
      <c r="A496" s="12">
        <v>43577.183807870373</v>
      </c>
      <c r="B496" s="13" t="s">
        <v>13263</v>
      </c>
      <c r="C496" s="14" t="s">
        <v>186</v>
      </c>
      <c r="D496" s="15" t="s">
        <v>1723</v>
      </c>
      <c r="E496" s="16" t="s">
        <v>13264</v>
      </c>
      <c r="F496" s="12">
        <v>42110.127291666664</v>
      </c>
      <c r="G496" s="17" t="s">
        <v>2783</v>
      </c>
      <c r="H496" s="35" t="s">
        <v>188</v>
      </c>
      <c r="I496" s="18" t="s">
        <v>189</v>
      </c>
    </row>
    <row r="497" spans="1:9" s="11" customFormat="1" ht="45">
      <c r="A497" s="12">
        <v>43576.933807870373</v>
      </c>
      <c r="B497" s="13" t="s">
        <v>13263</v>
      </c>
      <c r="C497" s="14" t="s">
        <v>186</v>
      </c>
      <c r="D497" s="15" t="s">
        <v>876</v>
      </c>
      <c r="E497" s="16" t="s">
        <v>13264</v>
      </c>
      <c r="F497" s="12">
        <v>42110.127291666664</v>
      </c>
      <c r="G497" s="17" t="s">
        <v>2783</v>
      </c>
      <c r="H497" s="35" t="s">
        <v>188</v>
      </c>
      <c r="I497" s="18" t="s">
        <v>189</v>
      </c>
    </row>
    <row r="498" spans="1:9" s="11" customFormat="1" ht="45">
      <c r="A498" s="12">
        <v>43576.850474537037</v>
      </c>
      <c r="B498" s="13" t="s">
        <v>13263</v>
      </c>
      <c r="C498" s="14" t="s">
        <v>186</v>
      </c>
      <c r="D498" s="15" t="s">
        <v>1426</v>
      </c>
      <c r="E498" s="16" t="s">
        <v>13264</v>
      </c>
      <c r="F498" s="12">
        <v>42110.127291666664</v>
      </c>
      <c r="G498" s="17" t="s">
        <v>2783</v>
      </c>
      <c r="H498" s="35" t="s">
        <v>188</v>
      </c>
      <c r="I498" s="18" t="s">
        <v>189</v>
      </c>
    </row>
    <row r="499" spans="1:9" s="11" customFormat="1" ht="45">
      <c r="A499" s="12">
        <v>43576.683807870373</v>
      </c>
      <c r="B499" s="13" t="s">
        <v>13263</v>
      </c>
      <c r="C499" s="14" t="s">
        <v>186</v>
      </c>
      <c r="D499" s="15" t="s">
        <v>1863</v>
      </c>
      <c r="E499" s="16" t="s">
        <v>13264</v>
      </c>
      <c r="F499" s="12">
        <v>42110.127291666664</v>
      </c>
      <c r="G499" s="17" t="s">
        <v>2783</v>
      </c>
      <c r="H499" s="35" t="s">
        <v>188</v>
      </c>
      <c r="I499" s="18" t="s">
        <v>189</v>
      </c>
    </row>
    <row r="500" spans="1:9" s="11" customFormat="1" ht="45">
      <c r="A500" s="12">
        <v>43576.267141203702</v>
      </c>
      <c r="B500" s="13" t="s">
        <v>13263</v>
      </c>
      <c r="C500" s="14" t="s">
        <v>186</v>
      </c>
      <c r="D500" s="15" t="s">
        <v>2017</v>
      </c>
      <c r="E500" s="16" t="s">
        <v>13264</v>
      </c>
      <c r="F500" s="12">
        <v>42110.127291666664</v>
      </c>
      <c r="G500" s="17" t="s">
        <v>2783</v>
      </c>
      <c r="H500" s="35" t="s">
        <v>188</v>
      </c>
      <c r="I500" s="18" t="s">
        <v>189</v>
      </c>
    </row>
    <row r="501" spans="1:9" s="11" customFormat="1" ht="45">
      <c r="A501" s="12">
        <v>43576.100474537037</v>
      </c>
      <c r="B501" s="13" t="s">
        <v>13263</v>
      </c>
      <c r="C501" s="14" t="s">
        <v>186</v>
      </c>
      <c r="D501" s="15" t="s">
        <v>2048</v>
      </c>
      <c r="E501" s="16" t="s">
        <v>13264</v>
      </c>
      <c r="F501" s="12">
        <v>42110.127291666664</v>
      </c>
      <c r="G501" s="17" t="s">
        <v>2783</v>
      </c>
      <c r="H501" s="35" t="s">
        <v>188</v>
      </c>
      <c r="I501" s="18" t="s">
        <v>189</v>
      </c>
    </row>
    <row r="502" spans="1:9" s="11" customFormat="1" ht="45">
      <c r="A502" s="12">
        <v>43576.017152777778</v>
      </c>
      <c r="B502" s="13" t="s">
        <v>13263</v>
      </c>
      <c r="C502" s="14" t="s">
        <v>186</v>
      </c>
      <c r="D502" s="15" t="s">
        <v>1335</v>
      </c>
      <c r="E502" s="16" t="s">
        <v>13264</v>
      </c>
      <c r="F502" s="12">
        <v>42110.127291666664</v>
      </c>
      <c r="G502" s="17" t="s">
        <v>2783</v>
      </c>
      <c r="H502" s="35" t="s">
        <v>188</v>
      </c>
      <c r="I502" s="18" t="s">
        <v>189</v>
      </c>
    </row>
    <row r="503" spans="1:9" s="11" customFormat="1" ht="45">
      <c r="A503" s="12">
        <v>43575.850474537037</v>
      </c>
      <c r="B503" s="13" t="s">
        <v>13263</v>
      </c>
      <c r="C503" s="14" t="s">
        <v>186</v>
      </c>
      <c r="D503" s="15" t="s">
        <v>2107</v>
      </c>
      <c r="E503" s="16" t="s">
        <v>13264</v>
      </c>
      <c r="F503" s="12">
        <v>42110.127291666664</v>
      </c>
      <c r="G503" s="17" t="s">
        <v>2783</v>
      </c>
      <c r="H503" s="35" t="s">
        <v>188</v>
      </c>
      <c r="I503" s="18" t="s">
        <v>189</v>
      </c>
    </row>
    <row r="504" spans="1:9" s="11" customFormat="1" ht="45">
      <c r="A504" s="12">
        <v>43575.767152777778</v>
      </c>
      <c r="B504" s="13" t="s">
        <v>13263</v>
      </c>
      <c r="C504" s="14" t="s">
        <v>186</v>
      </c>
      <c r="D504" s="15" t="s">
        <v>2124</v>
      </c>
      <c r="E504" s="16" t="s">
        <v>13264</v>
      </c>
      <c r="F504" s="12">
        <v>42110.127291666664</v>
      </c>
      <c r="G504" s="17" t="s">
        <v>2783</v>
      </c>
      <c r="H504" s="35" t="s">
        <v>188</v>
      </c>
      <c r="I504" s="18" t="s">
        <v>189</v>
      </c>
    </row>
    <row r="505" spans="1:9" s="11" customFormat="1" ht="45">
      <c r="A505" s="12">
        <v>43575.683807870373</v>
      </c>
      <c r="B505" s="13" t="s">
        <v>13263</v>
      </c>
      <c r="C505" s="14" t="s">
        <v>186</v>
      </c>
      <c r="D505" s="15" t="s">
        <v>1426</v>
      </c>
      <c r="E505" s="16" t="s">
        <v>13264</v>
      </c>
      <c r="F505" s="12">
        <v>42110.127291666664</v>
      </c>
      <c r="G505" s="17" t="s">
        <v>2783</v>
      </c>
      <c r="H505" s="35" t="s">
        <v>188</v>
      </c>
      <c r="I505" s="18" t="s">
        <v>189</v>
      </c>
    </row>
    <row r="506" spans="1:9" s="11" customFormat="1" ht="45">
      <c r="A506" s="12">
        <v>43575.267141203702</v>
      </c>
      <c r="B506" s="13" t="s">
        <v>13263</v>
      </c>
      <c r="C506" s="14" t="s">
        <v>186</v>
      </c>
      <c r="D506" s="15" t="s">
        <v>2322</v>
      </c>
      <c r="E506" s="16" t="s">
        <v>13264</v>
      </c>
      <c r="F506" s="12">
        <v>42110.127291666664</v>
      </c>
      <c r="G506" s="17" t="s">
        <v>2783</v>
      </c>
      <c r="H506" s="35" t="s">
        <v>188</v>
      </c>
      <c r="I506" s="18" t="s">
        <v>189</v>
      </c>
    </row>
    <row r="507" spans="1:9" s="11" customFormat="1" ht="45">
      <c r="A507" s="12">
        <v>43575.183807870373</v>
      </c>
      <c r="B507" s="13" t="s">
        <v>13263</v>
      </c>
      <c r="C507" s="14" t="s">
        <v>186</v>
      </c>
      <c r="D507" s="15" t="s">
        <v>2349</v>
      </c>
      <c r="E507" s="16" t="s">
        <v>13264</v>
      </c>
      <c r="F507" s="12">
        <v>42110.127291666664</v>
      </c>
      <c r="G507" s="17" t="s">
        <v>2783</v>
      </c>
      <c r="H507" s="35" t="s">
        <v>188</v>
      </c>
      <c r="I507" s="18" t="s">
        <v>189</v>
      </c>
    </row>
    <row r="508" spans="1:9" s="11" customFormat="1" ht="45">
      <c r="A508" s="12">
        <v>43575.100486111114</v>
      </c>
      <c r="B508" s="13" t="s">
        <v>13263</v>
      </c>
      <c r="C508" s="14" t="s">
        <v>186</v>
      </c>
      <c r="D508" s="15" t="s">
        <v>2363</v>
      </c>
      <c r="E508" s="16" t="s">
        <v>13264</v>
      </c>
      <c r="F508" s="12">
        <v>42110.127291666664</v>
      </c>
      <c r="G508" s="17" t="s">
        <v>2783</v>
      </c>
      <c r="H508" s="35" t="s">
        <v>188</v>
      </c>
      <c r="I508" s="18" t="s">
        <v>189</v>
      </c>
    </row>
    <row r="509" spans="1:9" s="11" customFormat="1" ht="45">
      <c r="A509" s="12">
        <v>43575.017152777778</v>
      </c>
      <c r="B509" s="13" t="s">
        <v>13263</v>
      </c>
      <c r="C509" s="14" t="s">
        <v>186</v>
      </c>
      <c r="D509" s="15" t="s">
        <v>2017</v>
      </c>
      <c r="E509" s="16" t="s">
        <v>13264</v>
      </c>
      <c r="F509" s="12">
        <v>42110.127291666664</v>
      </c>
      <c r="G509" s="17" t="s">
        <v>2783</v>
      </c>
      <c r="H509" s="35" t="s">
        <v>188</v>
      </c>
      <c r="I509" s="18" t="s">
        <v>189</v>
      </c>
    </row>
    <row r="510" spans="1:9" s="11" customFormat="1" ht="45">
      <c r="A510" s="12">
        <v>43574.850486111114</v>
      </c>
      <c r="B510" s="13" t="s">
        <v>13263</v>
      </c>
      <c r="C510" s="14" t="s">
        <v>186</v>
      </c>
      <c r="D510" s="15" t="s">
        <v>2420</v>
      </c>
      <c r="E510" s="16" t="s">
        <v>13264</v>
      </c>
      <c r="F510" s="12">
        <v>42110.127291666664</v>
      </c>
      <c r="G510" s="17" t="s">
        <v>2783</v>
      </c>
      <c r="H510" s="35" t="s">
        <v>188</v>
      </c>
      <c r="I510" s="18" t="s">
        <v>189</v>
      </c>
    </row>
    <row r="511" spans="1:9" s="11" customFormat="1" ht="45">
      <c r="A511" s="12">
        <v>43574.183819444443</v>
      </c>
      <c r="B511" s="13" t="s">
        <v>13263</v>
      </c>
      <c r="C511" s="14" t="s">
        <v>186</v>
      </c>
      <c r="D511" s="15" t="s">
        <v>876</v>
      </c>
      <c r="E511" s="16" t="s">
        <v>13264</v>
      </c>
      <c r="F511" s="12">
        <v>42110.127291666664</v>
      </c>
      <c r="G511" s="17" t="s">
        <v>2783</v>
      </c>
      <c r="H511" s="35" t="s">
        <v>188</v>
      </c>
      <c r="I511" s="18" t="s">
        <v>189</v>
      </c>
    </row>
    <row r="512" spans="1:9" s="11" customFormat="1" ht="45">
      <c r="A512" s="12">
        <v>43574.100474537037</v>
      </c>
      <c r="B512" s="13" t="s">
        <v>13263</v>
      </c>
      <c r="C512" s="14" t="s">
        <v>186</v>
      </c>
      <c r="D512" s="15" t="s">
        <v>2017</v>
      </c>
      <c r="E512" s="16" t="s">
        <v>13264</v>
      </c>
      <c r="F512" s="12">
        <v>42110.127291666664</v>
      </c>
      <c r="G512" s="17" t="s">
        <v>2783</v>
      </c>
      <c r="H512" s="35" t="s">
        <v>188</v>
      </c>
      <c r="I512" s="18" t="s">
        <v>189</v>
      </c>
    </row>
    <row r="513" spans="1:9" s="11" customFormat="1" ht="45">
      <c r="A513" s="12">
        <v>43574.017141203702</v>
      </c>
      <c r="B513" s="13" t="s">
        <v>13263</v>
      </c>
      <c r="C513" s="14" t="s">
        <v>186</v>
      </c>
      <c r="D513" s="15" t="s">
        <v>329</v>
      </c>
      <c r="E513" s="16" t="s">
        <v>13264</v>
      </c>
      <c r="F513" s="12">
        <v>42110.127291666664</v>
      </c>
      <c r="G513" s="17" t="s">
        <v>2783</v>
      </c>
      <c r="H513" s="35" t="s">
        <v>188</v>
      </c>
      <c r="I513" s="18" t="s">
        <v>189</v>
      </c>
    </row>
    <row r="514" spans="1:9" s="11" customFormat="1" ht="45">
      <c r="A514" s="12">
        <v>43573.933807870373</v>
      </c>
      <c r="B514" s="13" t="s">
        <v>13263</v>
      </c>
      <c r="C514" s="14" t="s">
        <v>186</v>
      </c>
      <c r="D514" s="15" t="s">
        <v>1375</v>
      </c>
      <c r="E514" s="16" t="s">
        <v>13264</v>
      </c>
      <c r="F514" s="12">
        <v>42110.127291666664</v>
      </c>
      <c r="G514" s="17" t="s">
        <v>2783</v>
      </c>
      <c r="H514" s="35" t="s">
        <v>188</v>
      </c>
      <c r="I514" s="18" t="s">
        <v>189</v>
      </c>
    </row>
    <row r="515" spans="1:9" s="11" customFormat="1" ht="45">
      <c r="A515" s="12">
        <v>43573.267141203702</v>
      </c>
      <c r="B515" s="13" t="s">
        <v>13263</v>
      </c>
      <c r="C515" s="14" t="s">
        <v>186</v>
      </c>
      <c r="D515" s="15" t="s">
        <v>2951</v>
      </c>
      <c r="E515" s="16" t="s">
        <v>13264</v>
      </c>
      <c r="F515" s="12">
        <v>42110.127291666664</v>
      </c>
      <c r="G515" s="17" t="s">
        <v>2783</v>
      </c>
      <c r="H515" s="35" t="s">
        <v>188</v>
      </c>
      <c r="I515" s="18" t="s">
        <v>189</v>
      </c>
    </row>
    <row r="516" spans="1:9" s="11" customFormat="1" ht="45">
      <c r="A516" s="12">
        <v>43573.183807870373</v>
      </c>
      <c r="B516" s="13" t="s">
        <v>13263</v>
      </c>
      <c r="C516" s="14" t="s">
        <v>186</v>
      </c>
      <c r="D516" s="15" t="s">
        <v>1426</v>
      </c>
      <c r="E516" s="16" t="s">
        <v>13264</v>
      </c>
      <c r="F516" s="12">
        <v>42110.127291666664</v>
      </c>
      <c r="G516" s="17" t="s">
        <v>2783</v>
      </c>
      <c r="H516" s="35" t="s">
        <v>188</v>
      </c>
      <c r="I516" s="18" t="s">
        <v>189</v>
      </c>
    </row>
    <row r="517" spans="1:9" s="11" customFormat="1" ht="45">
      <c r="A517" s="12">
        <v>43572.683807870373</v>
      </c>
      <c r="B517" s="13" t="s">
        <v>13263</v>
      </c>
      <c r="C517" s="14" t="s">
        <v>186</v>
      </c>
      <c r="D517" s="15" t="s">
        <v>3125</v>
      </c>
      <c r="E517" s="16" t="s">
        <v>13264</v>
      </c>
      <c r="F517" s="12">
        <v>42110.127291666664</v>
      </c>
      <c r="G517" s="17" t="s">
        <v>2783</v>
      </c>
      <c r="H517" s="35" t="s">
        <v>188</v>
      </c>
      <c r="I517" s="18" t="s">
        <v>189</v>
      </c>
    </row>
    <row r="518" spans="1:9" s="11" customFormat="1" ht="45">
      <c r="A518" s="12">
        <v>43572.267141203702</v>
      </c>
      <c r="B518" s="13" t="s">
        <v>13263</v>
      </c>
      <c r="C518" s="14" t="s">
        <v>186</v>
      </c>
      <c r="D518" s="15" t="s">
        <v>964</v>
      </c>
      <c r="E518" s="16" t="s">
        <v>13264</v>
      </c>
      <c r="F518" s="12">
        <v>42110.127291666664</v>
      </c>
      <c r="G518" s="17" t="s">
        <v>2783</v>
      </c>
      <c r="H518" s="35" t="s">
        <v>188</v>
      </c>
      <c r="I518" s="18" t="s">
        <v>189</v>
      </c>
    </row>
    <row r="519" spans="1:9" s="11" customFormat="1" ht="45">
      <c r="A519" s="12">
        <v>43572.183807870373</v>
      </c>
      <c r="B519" s="13" t="s">
        <v>13263</v>
      </c>
      <c r="C519" s="14" t="s">
        <v>186</v>
      </c>
      <c r="D519" s="15" t="s">
        <v>2107</v>
      </c>
      <c r="E519" s="16" t="s">
        <v>13264</v>
      </c>
      <c r="F519" s="12">
        <v>42110.127291666664</v>
      </c>
      <c r="G519" s="17" t="s">
        <v>2783</v>
      </c>
      <c r="H519" s="35" t="s">
        <v>188</v>
      </c>
      <c r="I519" s="18" t="s">
        <v>189</v>
      </c>
    </row>
    <row r="520" spans="1:9" s="11" customFormat="1" ht="45">
      <c r="A520" s="12">
        <v>43572.100474537037</v>
      </c>
      <c r="B520" s="13" t="s">
        <v>13263</v>
      </c>
      <c r="C520" s="14" t="s">
        <v>186</v>
      </c>
      <c r="D520" s="15" t="s">
        <v>389</v>
      </c>
      <c r="E520" s="16" t="s">
        <v>13264</v>
      </c>
      <c r="F520" s="12">
        <v>42110.127291666664</v>
      </c>
      <c r="G520" s="17" t="s">
        <v>2783</v>
      </c>
      <c r="H520" s="35" t="s">
        <v>188</v>
      </c>
      <c r="I520" s="18" t="s">
        <v>189</v>
      </c>
    </row>
    <row r="521" spans="1:9" s="11" customFormat="1" ht="45">
      <c r="A521" s="12">
        <v>43572.017141203702</v>
      </c>
      <c r="B521" s="13" t="s">
        <v>13263</v>
      </c>
      <c r="C521" s="14" t="s">
        <v>186</v>
      </c>
      <c r="D521" s="15" t="s">
        <v>3464</v>
      </c>
      <c r="E521" s="16" t="s">
        <v>13264</v>
      </c>
      <c r="F521" s="12">
        <v>42110.127291666664</v>
      </c>
      <c r="G521" s="17" t="s">
        <v>2783</v>
      </c>
      <c r="H521" s="35" t="s">
        <v>188</v>
      </c>
      <c r="I521" s="18" t="s">
        <v>189</v>
      </c>
    </row>
    <row r="522" spans="1:9" s="11" customFormat="1" ht="45">
      <c r="A522" s="12">
        <v>43571.850474537037</v>
      </c>
      <c r="B522" s="13" t="s">
        <v>13263</v>
      </c>
      <c r="C522" s="14" t="s">
        <v>186</v>
      </c>
      <c r="D522" s="15" t="s">
        <v>2363</v>
      </c>
      <c r="E522" s="16" t="s">
        <v>13264</v>
      </c>
      <c r="F522" s="12">
        <v>42110.127291666664</v>
      </c>
      <c r="G522" s="17" t="s">
        <v>2783</v>
      </c>
      <c r="H522" s="35" t="s">
        <v>188</v>
      </c>
      <c r="I522" s="18" t="s">
        <v>189</v>
      </c>
    </row>
    <row r="523" spans="1:9" s="11" customFormat="1" ht="45">
      <c r="A523" s="12">
        <v>43571.767141203702</v>
      </c>
      <c r="B523" s="13" t="s">
        <v>13263</v>
      </c>
      <c r="C523" s="14" t="s">
        <v>186</v>
      </c>
      <c r="D523" s="15" t="s">
        <v>2048</v>
      </c>
      <c r="E523" s="16" t="s">
        <v>13264</v>
      </c>
      <c r="F523" s="12">
        <v>42110.127291666664</v>
      </c>
      <c r="G523" s="17" t="s">
        <v>2783</v>
      </c>
      <c r="H523" s="35" t="s">
        <v>188</v>
      </c>
      <c r="I523" s="18" t="s">
        <v>189</v>
      </c>
    </row>
    <row r="524" spans="1:9" s="11" customFormat="1" ht="45">
      <c r="A524" s="12">
        <v>43571.683807870373</v>
      </c>
      <c r="B524" s="13" t="s">
        <v>13263</v>
      </c>
      <c r="C524" s="14" t="s">
        <v>186</v>
      </c>
      <c r="D524" s="15" t="s">
        <v>2420</v>
      </c>
      <c r="E524" s="16" t="s">
        <v>13264</v>
      </c>
      <c r="F524" s="12">
        <v>42110.127291666664</v>
      </c>
      <c r="G524" s="17" t="s">
        <v>2783</v>
      </c>
      <c r="H524" s="35" t="s">
        <v>188</v>
      </c>
      <c r="I524" s="18" t="s">
        <v>189</v>
      </c>
    </row>
    <row r="525" spans="1:9" s="11" customFormat="1" ht="45">
      <c r="A525" s="12">
        <v>43571.183819444443</v>
      </c>
      <c r="B525" s="13" t="s">
        <v>13263</v>
      </c>
      <c r="C525" s="14" t="s">
        <v>186</v>
      </c>
      <c r="D525" s="15" t="s">
        <v>1375</v>
      </c>
      <c r="E525" s="16" t="s">
        <v>13264</v>
      </c>
      <c r="F525" s="12">
        <v>42110.127291666664</v>
      </c>
      <c r="G525" s="17" t="s">
        <v>2783</v>
      </c>
      <c r="H525" s="35" t="s">
        <v>188</v>
      </c>
      <c r="I525" s="18" t="s">
        <v>189</v>
      </c>
    </row>
    <row r="526" spans="1:9" s="11" customFormat="1" ht="45">
      <c r="A526" s="12">
        <v>43571.100474537037</v>
      </c>
      <c r="B526" s="13" t="s">
        <v>13263</v>
      </c>
      <c r="C526" s="14" t="s">
        <v>186</v>
      </c>
      <c r="D526" s="15" t="s">
        <v>3850</v>
      </c>
      <c r="E526" s="16" t="s">
        <v>13264</v>
      </c>
      <c r="F526" s="12">
        <v>42110.127291666664</v>
      </c>
      <c r="G526" s="17" t="s">
        <v>2783</v>
      </c>
      <c r="H526" s="35" t="s">
        <v>188</v>
      </c>
      <c r="I526" s="18" t="s">
        <v>189</v>
      </c>
    </row>
    <row r="527" spans="1:9" s="11" customFormat="1" ht="45">
      <c r="A527" s="12">
        <v>43570.850474537037</v>
      </c>
      <c r="B527" s="13" t="s">
        <v>13263</v>
      </c>
      <c r="C527" s="14" t="s">
        <v>186</v>
      </c>
      <c r="D527" s="15" t="s">
        <v>3958</v>
      </c>
      <c r="E527" s="16" t="s">
        <v>13264</v>
      </c>
      <c r="F527" s="12">
        <v>42110.127291666664</v>
      </c>
      <c r="G527" s="17" t="s">
        <v>2783</v>
      </c>
      <c r="H527" s="35" t="s">
        <v>188</v>
      </c>
      <c r="I527" s="18" t="s">
        <v>189</v>
      </c>
    </row>
    <row r="528" spans="1:9" s="11" customFormat="1" ht="45">
      <c r="A528" s="12">
        <v>43570.767152777778</v>
      </c>
      <c r="B528" s="13" t="s">
        <v>13263</v>
      </c>
      <c r="C528" s="14" t="s">
        <v>186</v>
      </c>
      <c r="D528" s="15" t="s">
        <v>3984</v>
      </c>
      <c r="E528" s="16" t="s">
        <v>13264</v>
      </c>
      <c r="F528" s="12">
        <v>42110.127291666664</v>
      </c>
      <c r="G528" s="17" t="s">
        <v>2783</v>
      </c>
      <c r="H528" s="35" t="s">
        <v>188</v>
      </c>
      <c r="I528" s="18" t="s">
        <v>189</v>
      </c>
    </row>
    <row r="529" spans="1:9" s="11" customFormat="1" ht="45">
      <c r="A529" s="12">
        <v>43570.267152777778</v>
      </c>
      <c r="B529" s="13" t="s">
        <v>13263</v>
      </c>
      <c r="C529" s="14" t="s">
        <v>186</v>
      </c>
      <c r="D529" s="15" t="s">
        <v>2420</v>
      </c>
      <c r="E529" s="16" t="s">
        <v>13264</v>
      </c>
      <c r="F529" s="12">
        <v>42110.127291666664</v>
      </c>
      <c r="G529" s="17" t="s">
        <v>2783</v>
      </c>
      <c r="H529" s="35" t="s">
        <v>188</v>
      </c>
      <c r="I529" s="18" t="s">
        <v>189</v>
      </c>
    </row>
    <row r="530" spans="1:9" s="11" customFormat="1" ht="45">
      <c r="A530" s="12">
        <v>43570.100474537037</v>
      </c>
      <c r="B530" s="13" t="s">
        <v>13263</v>
      </c>
      <c r="C530" s="14" t="s">
        <v>186</v>
      </c>
      <c r="D530" s="15" t="s">
        <v>4333</v>
      </c>
      <c r="E530" s="16" t="s">
        <v>13264</v>
      </c>
      <c r="F530" s="12">
        <v>42110.127291666664</v>
      </c>
      <c r="G530" s="17" t="s">
        <v>2783</v>
      </c>
      <c r="H530" s="35" t="s">
        <v>188</v>
      </c>
      <c r="I530" s="18" t="s">
        <v>189</v>
      </c>
    </row>
    <row r="531" spans="1:9" s="11" customFormat="1" ht="45">
      <c r="A531" s="12">
        <v>43570.017141203702</v>
      </c>
      <c r="B531" s="13" t="s">
        <v>13263</v>
      </c>
      <c r="C531" s="14" t="s">
        <v>186</v>
      </c>
      <c r="D531" s="15" t="s">
        <v>1863</v>
      </c>
      <c r="E531" s="16" t="s">
        <v>13264</v>
      </c>
      <c r="F531" s="12">
        <v>42110.127291666664</v>
      </c>
      <c r="G531" s="17" t="s">
        <v>2783</v>
      </c>
      <c r="H531" s="35" t="s">
        <v>188</v>
      </c>
      <c r="I531" s="18" t="s">
        <v>189</v>
      </c>
    </row>
    <row r="532" spans="1:9" s="11" customFormat="1" ht="45">
      <c r="A532" s="12">
        <v>43569.767141203702</v>
      </c>
      <c r="B532" s="13" t="s">
        <v>13263</v>
      </c>
      <c r="C532" s="14" t="s">
        <v>186</v>
      </c>
      <c r="D532" s="15" t="s">
        <v>1723</v>
      </c>
      <c r="E532" s="16" t="s">
        <v>13264</v>
      </c>
      <c r="F532" s="12">
        <v>42110.127291666664</v>
      </c>
      <c r="G532" s="17" t="s">
        <v>2783</v>
      </c>
      <c r="H532" s="35" t="s">
        <v>188</v>
      </c>
      <c r="I532" s="18" t="s">
        <v>189</v>
      </c>
    </row>
    <row r="533" spans="1:9" s="11" customFormat="1" ht="45">
      <c r="A533" s="12">
        <v>43569.683807870373</v>
      </c>
      <c r="B533" s="13" t="s">
        <v>13263</v>
      </c>
      <c r="C533" s="14" t="s">
        <v>186</v>
      </c>
      <c r="D533" s="15" t="s">
        <v>4436</v>
      </c>
      <c r="E533" s="16" t="s">
        <v>13264</v>
      </c>
      <c r="F533" s="12">
        <v>42110.127291666664</v>
      </c>
      <c r="G533" s="17" t="s">
        <v>2783</v>
      </c>
      <c r="H533" s="35" t="s">
        <v>188</v>
      </c>
      <c r="I533" s="18" t="s">
        <v>189</v>
      </c>
    </row>
    <row r="534" spans="1:9" s="11" customFormat="1" ht="45">
      <c r="A534" s="12">
        <v>43569.267141203702</v>
      </c>
      <c r="B534" s="13" t="s">
        <v>13263</v>
      </c>
      <c r="C534" s="14" t="s">
        <v>186</v>
      </c>
      <c r="D534" s="15" t="s">
        <v>4566</v>
      </c>
      <c r="E534" s="16" t="s">
        <v>13264</v>
      </c>
      <c r="F534" s="12">
        <v>42110.127291666664</v>
      </c>
      <c r="G534" s="17" t="s">
        <v>2783</v>
      </c>
      <c r="H534" s="35" t="s">
        <v>188</v>
      </c>
      <c r="I534" s="18" t="s">
        <v>189</v>
      </c>
    </row>
    <row r="535" spans="1:9" s="11" customFormat="1" ht="45">
      <c r="A535" s="12">
        <v>43569.183807870373</v>
      </c>
      <c r="B535" s="13" t="s">
        <v>13263</v>
      </c>
      <c r="C535" s="14" t="s">
        <v>186</v>
      </c>
      <c r="D535" s="15" t="s">
        <v>4580</v>
      </c>
      <c r="E535" s="16" t="s">
        <v>13264</v>
      </c>
      <c r="F535" s="12">
        <v>42110.127291666664</v>
      </c>
      <c r="G535" s="17" t="s">
        <v>2783</v>
      </c>
      <c r="H535" s="35" t="s">
        <v>188</v>
      </c>
      <c r="I535" s="18" t="s">
        <v>189</v>
      </c>
    </row>
    <row r="536" spans="1:9" s="11" customFormat="1" ht="45">
      <c r="A536" s="12">
        <v>43569.100474537037</v>
      </c>
      <c r="B536" s="13" t="s">
        <v>13263</v>
      </c>
      <c r="C536" s="14" t="s">
        <v>186</v>
      </c>
      <c r="D536" s="15" t="s">
        <v>1426</v>
      </c>
      <c r="E536" s="16" t="s">
        <v>13264</v>
      </c>
      <c r="F536" s="12">
        <v>42110.127291666664</v>
      </c>
      <c r="G536" s="17" t="s">
        <v>2783</v>
      </c>
      <c r="H536" s="35" t="s">
        <v>188</v>
      </c>
      <c r="I536" s="18" t="s">
        <v>189</v>
      </c>
    </row>
    <row r="537" spans="1:9" s="11" customFormat="1" ht="45">
      <c r="A537" s="12">
        <v>43568.933819444443</v>
      </c>
      <c r="B537" s="13" t="s">
        <v>13263</v>
      </c>
      <c r="C537" s="14" t="s">
        <v>186</v>
      </c>
      <c r="D537" s="15" t="s">
        <v>187</v>
      </c>
      <c r="E537" s="16" t="s">
        <v>13264</v>
      </c>
      <c r="F537" s="12">
        <v>42110.127291666664</v>
      </c>
      <c r="G537" s="17" t="s">
        <v>2783</v>
      </c>
      <c r="H537" s="35" t="s">
        <v>188</v>
      </c>
      <c r="I537" s="18" t="s">
        <v>189</v>
      </c>
    </row>
    <row r="538" spans="1:9" s="11" customFormat="1" ht="45">
      <c r="A538" s="12">
        <v>43568.850486111114</v>
      </c>
      <c r="B538" s="13" t="s">
        <v>13263</v>
      </c>
      <c r="C538" s="14" t="s">
        <v>186</v>
      </c>
      <c r="D538" s="15" t="s">
        <v>4566</v>
      </c>
      <c r="E538" s="16" t="s">
        <v>13264</v>
      </c>
      <c r="F538" s="12">
        <v>42110.127291666664</v>
      </c>
      <c r="G538" s="17" t="s">
        <v>2783</v>
      </c>
      <c r="H538" s="35" t="s">
        <v>188</v>
      </c>
      <c r="I538" s="18" t="s">
        <v>189</v>
      </c>
    </row>
    <row r="539" spans="1:9" s="11" customFormat="1" ht="45">
      <c r="A539" s="12">
        <v>43568.683807870373</v>
      </c>
      <c r="B539" s="13" t="s">
        <v>13263</v>
      </c>
      <c r="C539" s="14" t="s">
        <v>186</v>
      </c>
      <c r="D539" s="15" t="s">
        <v>2017</v>
      </c>
      <c r="E539" s="16" t="s">
        <v>13264</v>
      </c>
      <c r="F539" s="12">
        <v>42110.127291666664</v>
      </c>
      <c r="G539" s="17" t="s">
        <v>2783</v>
      </c>
      <c r="H539" s="35" t="s">
        <v>188</v>
      </c>
      <c r="I539" s="18" t="s">
        <v>189</v>
      </c>
    </row>
    <row r="540" spans="1:9" s="11" customFormat="1" ht="45">
      <c r="A540" s="12">
        <v>43568.267152777778</v>
      </c>
      <c r="B540" s="13" t="s">
        <v>13263</v>
      </c>
      <c r="C540" s="14" t="s">
        <v>186</v>
      </c>
      <c r="D540" s="15" t="s">
        <v>4824</v>
      </c>
      <c r="E540" s="16" t="s">
        <v>13264</v>
      </c>
      <c r="F540" s="12">
        <v>42110.127291666664</v>
      </c>
      <c r="G540" s="17" t="s">
        <v>2783</v>
      </c>
      <c r="H540" s="35" t="s">
        <v>188</v>
      </c>
      <c r="I540" s="18" t="s">
        <v>189</v>
      </c>
    </row>
    <row r="541" spans="1:9" s="11" customFormat="1" ht="45">
      <c r="A541" s="12">
        <v>43568.100486111114</v>
      </c>
      <c r="B541" s="13" t="s">
        <v>13263</v>
      </c>
      <c r="C541" s="14" t="s">
        <v>186</v>
      </c>
      <c r="D541" s="15" t="s">
        <v>3850</v>
      </c>
      <c r="E541" s="16" t="s">
        <v>13264</v>
      </c>
      <c r="F541" s="12">
        <v>42110.127291666664</v>
      </c>
      <c r="G541" s="17" t="s">
        <v>2783</v>
      </c>
      <c r="H541" s="35" t="s">
        <v>188</v>
      </c>
      <c r="I541" s="18" t="s">
        <v>189</v>
      </c>
    </row>
    <row r="542" spans="1:9" s="11" customFormat="1" ht="45">
      <c r="A542" s="12">
        <v>43567.933807870373</v>
      </c>
      <c r="B542" s="13" t="s">
        <v>13263</v>
      </c>
      <c r="C542" s="14" t="s">
        <v>186</v>
      </c>
      <c r="D542" s="15" t="s">
        <v>329</v>
      </c>
      <c r="E542" s="16" t="s">
        <v>13264</v>
      </c>
      <c r="F542" s="12">
        <v>42110.127291666664</v>
      </c>
      <c r="G542" s="17" t="s">
        <v>2783</v>
      </c>
      <c r="H542" s="35" t="s">
        <v>188</v>
      </c>
      <c r="I542" s="18" t="s">
        <v>189</v>
      </c>
    </row>
    <row r="543" spans="1:9" s="11" customFormat="1" ht="45">
      <c r="A543" s="12">
        <v>43567.850474537037</v>
      </c>
      <c r="B543" s="13" t="s">
        <v>13263</v>
      </c>
      <c r="C543" s="14" t="s">
        <v>186</v>
      </c>
      <c r="D543" s="15" t="s">
        <v>4936</v>
      </c>
      <c r="E543" s="16" t="s">
        <v>13264</v>
      </c>
      <c r="F543" s="12">
        <v>42110.127291666664</v>
      </c>
      <c r="G543" s="17" t="s">
        <v>2783</v>
      </c>
      <c r="H543" s="35" t="s">
        <v>188</v>
      </c>
      <c r="I543" s="18" t="s">
        <v>189</v>
      </c>
    </row>
    <row r="544" spans="1:9" s="11" customFormat="1" ht="45">
      <c r="A544" s="12">
        <v>43567.767141203702</v>
      </c>
      <c r="B544" s="13" t="s">
        <v>13263</v>
      </c>
      <c r="C544" s="14" t="s">
        <v>186</v>
      </c>
      <c r="D544" s="15" t="s">
        <v>4824</v>
      </c>
      <c r="E544" s="16" t="s">
        <v>13264</v>
      </c>
      <c r="F544" s="12">
        <v>42110.127291666664</v>
      </c>
      <c r="G544" s="17" t="s">
        <v>2783</v>
      </c>
      <c r="H544" s="35" t="s">
        <v>188</v>
      </c>
      <c r="I544" s="18" t="s">
        <v>189</v>
      </c>
    </row>
    <row r="545" spans="1:9" s="11" customFormat="1" ht="45">
      <c r="A545" s="12">
        <v>43567.683807870373</v>
      </c>
      <c r="B545" s="13" t="s">
        <v>13263</v>
      </c>
      <c r="C545" s="14" t="s">
        <v>186</v>
      </c>
      <c r="D545" s="15" t="s">
        <v>5005</v>
      </c>
      <c r="E545" s="16" t="s">
        <v>13264</v>
      </c>
      <c r="F545" s="12">
        <v>42110.127291666664</v>
      </c>
      <c r="G545" s="17" t="s">
        <v>2783</v>
      </c>
      <c r="H545" s="35" t="s">
        <v>188</v>
      </c>
      <c r="I545" s="18" t="s">
        <v>189</v>
      </c>
    </row>
    <row r="546" spans="1:9" s="11" customFormat="1" ht="45">
      <c r="A546" s="12">
        <v>43567.267152777778</v>
      </c>
      <c r="B546" s="13" t="s">
        <v>13263</v>
      </c>
      <c r="C546" s="14" t="s">
        <v>186</v>
      </c>
      <c r="D546" s="15" t="s">
        <v>5187</v>
      </c>
      <c r="E546" s="16" t="s">
        <v>13264</v>
      </c>
      <c r="F546" s="12">
        <v>42110.127291666664</v>
      </c>
      <c r="G546" s="17" t="s">
        <v>2783</v>
      </c>
      <c r="H546" s="35" t="s">
        <v>188</v>
      </c>
      <c r="I546" s="18" t="s">
        <v>189</v>
      </c>
    </row>
    <row r="547" spans="1:9" s="11" customFormat="1" ht="45">
      <c r="A547" s="12">
        <v>43567.017141203702</v>
      </c>
      <c r="B547" s="13" t="s">
        <v>13263</v>
      </c>
      <c r="C547" s="14" t="s">
        <v>186</v>
      </c>
      <c r="D547" s="15" t="s">
        <v>2951</v>
      </c>
      <c r="E547" s="16" t="s">
        <v>13264</v>
      </c>
      <c r="F547" s="12">
        <v>42110.127291666664</v>
      </c>
      <c r="G547" s="17" t="s">
        <v>2783</v>
      </c>
      <c r="H547" s="35" t="s">
        <v>188</v>
      </c>
      <c r="I547" s="18" t="s">
        <v>189</v>
      </c>
    </row>
    <row r="548" spans="1:9" s="11" customFormat="1" ht="45">
      <c r="A548" s="12">
        <v>43566.933807870373</v>
      </c>
      <c r="B548" s="13" t="s">
        <v>13263</v>
      </c>
      <c r="C548" s="14" t="s">
        <v>186</v>
      </c>
      <c r="D548" s="15" t="s">
        <v>2322</v>
      </c>
      <c r="E548" s="16" t="s">
        <v>13264</v>
      </c>
      <c r="F548" s="12">
        <v>42110.127291666664</v>
      </c>
      <c r="G548" s="17" t="s">
        <v>2783</v>
      </c>
      <c r="H548" s="35" t="s">
        <v>188</v>
      </c>
      <c r="I548" s="18" t="s">
        <v>189</v>
      </c>
    </row>
    <row r="549" spans="1:9" s="11" customFormat="1" ht="45">
      <c r="A549" s="12">
        <v>43566.850474537037</v>
      </c>
      <c r="B549" s="13" t="s">
        <v>13263</v>
      </c>
      <c r="C549" s="14" t="s">
        <v>186</v>
      </c>
      <c r="D549" s="15" t="s">
        <v>1021</v>
      </c>
      <c r="E549" s="16" t="s">
        <v>13264</v>
      </c>
      <c r="F549" s="12">
        <v>42110.127291666664</v>
      </c>
      <c r="G549" s="17" t="s">
        <v>2783</v>
      </c>
      <c r="H549" s="35" t="s">
        <v>188</v>
      </c>
      <c r="I549" s="18" t="s">
        <v>189</v>
      </c>
    </row>
    <row r="550" spans="1:9" s="11" customFormat="1" ht="45">
      <c r="A550" s="12">
        <v>43566.767141203702</v>
      </c>
      <c r="B550" s="13" t="s">
        <v>13263</v>
      </c>
      <c r="C550" s="14" t="s">
        <v>186</v>
      </c>
      <c r="D550" s="15" t="s">
        <v>187</v>
      </c>
      <c r="E550" s="16" t="s">
        <v>13264</v>
      </c>
      <c r="F550" s="12">
        <v>42110.127291666664</v>
      </c>
      <c r="G550" s="17" t="s">
        <v>2783</v>
      </c>
      <c r="H550" s="35" t="s">
        <v>188</v>
      </c>
      <c r="I550" s="18" t="s">
        <v>189</v>
      </c>
    </row>
    <row r="551" spans="1:9" s="11" customFormat="1" ht="45">
      <c r="A551" s="12">
        <v>43566.683807870373</v>
      </c>
      <c r="B551" s="13" t="s">
        <v>13263</v>
      </c>
      <c r="C551" s="14" t="s">
        <v>186</v>
      </c>
      <c r="D551" s="15" t="s">
        <v>1375</v>
      </c>
      <c r="E551" s="16" t="s">
        <v>13264</v>
      </c>
      <c r="F551" s="12">
        <v>42110.127291666664</v>
      </c>
      <c r="G551" s="17" t="s">
        <v>2783</v>
      </c>
      <c r="H551" s="35" t="s">
        <v>188</v>
      </c>
      <c r="I551" s="18" t="s">
        <v>189</v>
      </c>
    </row>
    <row r="552" spans="1:9" s="11" customFormat="1" ht="45">
      <c r="A552" s="12">
        <v>43566.267141203702</v>
      </c>
      <c r="B552" s="13" t="s">
        <v>13263</v>
      </c>
      <c r="C552" s="14" t="s">
        <v>186</v>
      </c>
      <c r="D552" s="15" t="s">
        <v>2017</v>
      </c>
      <c r="E552" s="16" t="s">
        <v>13264</v>
      </c>
      <c r="F552" s="12">
        <v>42110.127291666664</v>
      </c>
      <c r="G552" s="17" t="s">
        <v>2783</v>
      </c>
      <c r="H552" s="35" t="s">
        <v>188</v>
      </c>
      <c r="I552" s="18" t="s">
        <v>189</v>
      </c>
    </row>
    <row r="553" spans="1:9" s="11" customFormat="1" ht="45">
      <c r="A553" s="12">
        <v>43566.100474537037</v>
      </c>
      <c r="B553" s="13" t="s">
        <v>13263</v>
      </c>
      <c r="C553" s="14" t="s">
        <v>186</v>
      </c>
      <c r="D553" s="15" t="s">
        <v>2420</v>
      </c>
      <c r="E553" s="16" t="s">
        <v>13264</v>
      </c>
      <c r="F553" s="12">
        <v>42110.127291666664</v>
      </c>
      <c r="G553" s="17" t="s">
        <v>2783</v>
      </c>
      <c r="H553" s="35" t="s">
        <v>188</v>
      </c>
      <c r="I553" s="18" t="s">
        <v>189</v>
      </c>
    </row>
    <row r="554" spans="1:9" s="11" customFormat="1" ht="45">
      <c r="A554" s="12">
        <v>43565.933819444443</v>
      </c>
      <c r="B554" s="13" t="s">
        <v>13263</v>
      </c>
      <c r="C554" s="14" t="s">
        <v>186</v>
      </c>
      <c r="D554" s="15" t="s">
        <v>1863</v>
      </c>
      <c r="E554" s="16" t="s">
        <v>13264</v>
      </c>
      <c r="F554" s="12">
        <v>42110.127291666664</v>
      </c>
      <c r="G554" s="17" t="s">
        <v>2783</v>
      </c>
      <c r="H554" s="35" t="s">
        <v>188</v>
      </c>
      <c r="I554" s="18" t="s">
        <v>189</v>
      </c>
    </row>
    <row r="555" spans="1:9" s="11" customFormat="1" ht="45">
      <c r="A555" s="12">
        <v>43565.850486111114</v>
      </c>
      <c r="B555" s="13" t="s">
        <v>13263</v>
      </c>
      <c r="C555" s="14" t="s">
        <v>186</v>
      </c>
      <c r="D555" s="15" t="s">
        <v>5877</v>
      </c>
      <c r="E555" s="16" t="s">
        <v>13264</v>
      </c>
      <c r="F555" s="12">
        <v>42110.127291666664</v>
      </c>
      <c r="G555" s="17" t="s">
        <v>2783</v>
      </c>
      <c r="H555" s="35" t="s">
        <v>188</v>
      </c>
      <c r="I555" s="18" t="s">
        <v>189</v>
      </c>
    </row>
    <row r="556" spans="1:9" s="11" customFormat="1" ht="60">
      <c r="A556" s="4">
        <v>43565.208414351851</v>
      </c>
      <c r="B556" s="5" t="s">
        <v>13266</v>
      </c>
      <c r="C556" s="6" t="s">
        <v>6232</v>
      </c>
      <c r="D556" s="7" t="s">
        <v>6233</v>
      </c>
      <c r="E556" s="8" t="s">
        <v>13009</v>
      </c>
      <c r="F556" s="4">
        <v>42662.405810185184</v>
      </c>
      <c r="G556" s="17" t="s">
        <v>2783</v>
      </c>
      <c r="H556" s="35" t="s">
        <v>6234</v>
      </c>
      <c r="I556" s="10" t="s">
        <v>6235</v>
      </c>
    </row>
    <row r="557" spans="1:9" s="11" customFormat="1" ht="105">
      <c r="A557" s="4">
        <v>43564.73841435185</v>
      </c>
      <c r="B557" s="5" t="s">
        <v>13267</v>
      </c>
      <c r="C557" s="6" t="s">
        <v>6437</v>
      </c>
      <c r="D557" s="7" t="s">
        <v>6438</v>
      </c>
      <c r="E557" s="8" t="s">
        <v>13013</v>
      </c>
      <c r="F557" s="4">
        <v>41154.937604166669</v>
      </c>
      <c r="G557" s="17" t="s">
        <v>2783</v>
      </c>
      <c r="H557" s="35" t="s">
        <v>6234</v>
      </c>
      <c r="I557" s="10" t="s">
        <v>6439</v>
      </c>
    </row>
    <row r="558" spans="1:9" s="11" customFormat="1" ht="105">
      <c r="A558" s="4">
        <v>43564.620937500003</v>
      </c>
      <c r="B558" s="5" t="s">
        <v>13268</v>
      </c>
      <c r="C558" s="6" t="s">
        <v>6496</v>
      </c>
      <c r="D558" s="7" t="s">
        <v>6497</v>
      </c>
      <c r="E558" s="8" t="s">
        <v>13011</v>
      </c>
      <c r="F558" s="4">
        <v>41177.486840277779</v>
      </c>
      <c r="G558" s="17" t="s">
        <v>2783</v>
      </c>
      <c r="H558" s="35" t="s">
        <v>6234</v>
      </c>
      <c r="I558" s="10" t="s">
        <v>6498</v>
      </c>
    </row>
    <row r="559" spans="1:9" s="11" customFormat="1" ht="105">
      <c r="A559" s="4">
        <v>43565.234583333338</v>
      </c>
      <c r="B559" s="5" t="s">
        <v>13269</v>
      </c>
      <c r="C559" s="6" t="s">
        <v>6216</v>
      </c>
      <c r="D559" s="7" t="s">
        <v>6217</v>
      </c>
      <c r="E559" s="8" t="s">
        <v>13009</v>
      </c>
      <c r="F559" s="4">
        <v>40240.25105324074</v>
      </c>
      <c r="G559" s="17" t="s">
        <v>2783</v>
      </c>
      <c r="H559" s="35" t="s">
        <v>6218</v>
      </c>
      <c r="I559" s="10" t="s">
        <v>6219</v>
      </c>
    </row>
    <row r="560" spans="1:9" s="11" customFormat="1" ht="105">
      <c r="A560" s="4">
        <v>43564.818518518514</v>
      </c>
      <c r="B560" s="5" t="s">
        <v>13270</v>
      </c>
      <c r="C560" s="6" t="s">
        <v>6402</v>
      </c>
      <c r="D560" s="7" t="s">
        <v>6403</v>
      </c>
      <c r="E560" s="8" t="s">
        <v>13011</v>
      </c>
      <c r="F560" s="4">
        <v>39937.108564814815</v>
      </c>
      <c r="G560" s="17" t="s">
        <v>2783</v>
      </c>
      <c r="H560" s="35" t="s">
        <v>6218</v>
      </c>
      <c r="I560" s="10" t="s">
        <v>6404</v>
      </c>
    </row>
    <row r="561" spans="1:9" s="11" customFormat="1" ht="105">
      <c r="A561" s="4">
        <v>43564.612326388888</v>
      </c>
      <c r="B561" s="5" t="s">
        <v>13269</v>
      </c>
      <c r="C561" s="6" t="s">
        <v>6216</v>
      </c>
      <c r="D561" s="7" t="s">
        <v>6508</v>
      </c>
      <c r="E561" s="8" t="s">
        <v>13013</v>
      </c>
      <c r="F561" s="4">
        <v>40240.25105324074</v>
      </c>
      <c r="G561" s="17" t="s">
        <v>2783</v>
      </c>
      <c r="H561" s="35" t="s">
        <v>6218</v>
      </c>
      <c r="I561" s="10" t="s">
        <v>6219</v>
      </c>
    </row>
    <row r="562" spans="1:9" s="11" customFormat="1" ht="30">
      <c r="A562" s="19">
        <v>43545.215486111112</v>
      </c>
      <c r="B562" s="20" t="s">
        <v>13271</v>
      </c>
      <c r="C562" s="21" t="s">
        <v>9244</v>
      </c>
      <c r="D562" s="22" t="s">
        <v>9245</v>
      </c>
      <c r="E562" s="23" t="s">
        <v>13272</v>
      </c>
      <c r="F562" s="19">
        <v>40663.815370370372</v>
      </c>
      <c r="G562" s="24" t="s">
        <v>2783</v>
      </c>
      <c r="H562" s="35" t="s">
        <v>9246</v>
      </c>
      <c r="I562" s="25" t="s">
        <v>9247</v>
      </c>
    </row>
    <row r="563" spans="1:9" s="11" customFormat="1" ht="105">
      <c r="A563" s="12">
        <v>43566.151354166665</v>
      </c>
      <c r="B563" s="13" t="s">
        <v>13273</v>
      </c>
      <c r="C563" s="14" t="s">
        <v>5759</v>
      </c>
      <c r="D563" s="15" t="s">
        <v>5760</v>
      </c>
      <c r="E563" s="16" t="s">
        <v>13274</v>
      </c>
      <c r="F563" s="12">
        <v>43459.984699074077</v>
      </c>
      <c r="G563" s="24" t="s">
        <v>2783</v>
      </c>
      <c r="H563" s="35" t="s">
        <v>5761</v>
      </c>
      <c r="I563" s="18" t="s">
        <v>5762</v>
      </c>
    </row>
    <row r="564" spans="1:9" s="11" customFormat="1" ht="105">
      <c r="A564" s="19">
        <v>43545.525474537033</v>
      </c>
      <c r="B564" s="20" t="s">
        <v>13275</v>
      </c>
      <c r="C564" s="21" t="s">
        <v>9107</v>
      </c>
      <c r="D564" s="22" t="s">
        <v>9108</v>
      </c>
      <c r="E564" s="23" t="s">
        <v>13009</v>
      </c>
      <c r="F564" s="19">
        <v>41409.358148148152</v>
      </c>
      <c r="G564" s="24" t="s">
        <v>2783</v>
      </c>
      <c r="H564" s="35" t="s">
        <v>9109</v>
      </c>
      <c r="I564" s="25" t="s">
        <v>9110</v>
      </c>
    </row>
    <row r="565" spans="1:9" s="11" customFormat="1" ht="90">
      <c r="A565" s="4">
        <v>43565.192835648151</v>
      </c>
      <c r="B565" s="5" t="s">
        <v>13276</v>
      </c>
      <c r="C565" s="6" t="s">
        <v>6240</v>
      </c>
      <c r="D565" s="7" t="s">
        <v>6241</v>
      </c>
      <c r="E565" s="8" t="s">
        <v>13015</v>
      </c>
      <c r="F565" s="4">
        <v>40512.861990740741</v>
      </c>
      <c r="G565" s="17" t="s">
        <v>2783</v>
      </c>
      <c r="H565" s="35" t="s">
        <v>6242</v>
      </c>
      <c r="I565" s="10" t="s">
        <v>6243</v>
      </c>
    </row>
    <row r="566" spans="1:9" s="11" customFormat="1" ht="120">
      <c r="A566" s="19">
        <v>43551.845266203702</v>
      </c>
      <c r="B566" s="20" t="s">
        <v>13277</v>
      </c>
      <c r="C566" s="21" t="s">
        <v>6980</v>
      </c>
      <c r="D566" s="22" t="s">
        <v>6981</v>
      </c>
      <c r="E566" s="23" t="s">
        <v>13009</v>
      </c>
      <c r="F566" s="19">
        <v>40354.966296296298</v>
      </c>
      <c r="G566" s="24" t="s">
        <v>2783</v>
      </c>
      <c r="H566" s="35" t="s">
        <v>6982</v>
      </c>
      <c r="I566" s="25" t="s">
        <v>6983</v>
      </c>
    </row>
    <row r="567" spans="1:9" s="11" customFormat="1" ht="45">
      <c r="A567" s="4">
        <v>43556.890879629631</v>
      </c>
      <c r="B567" s="5" t="s">
        <v>13278</v>
      </c>
      <c r="C567" s="6" t="s">
        <v>12709</v>
      </c>
      <c r="D567" s="7" t="s">
        <v>12710</v>
      </c>
      <c r="E567" s="8" t="s">
        <v>13120</v>
      </c>
      <c r="F567" s="4">
        <v>39878.260520833333</v>
      </c>
      <c r="G567" s="9" t="s">
        <v>2783</v>
      </c>
      <c r="H567" s="35" t="s">
        <v>12711</v>
      </c>
      <c r="I567" s="10" t="s">
        <v>12712</v>
      </c>
    </row>
    <row r="568" spans="1:9" s="11" customFormat="1" ht="45">
      <c r="A568" s="19">
        <v>43544.404166666667</v>
      </c>
      <c r="B568" s="20" t="s">
        <v>13279</v>
      </c>
      <c r="C568" s="21" t="s">
        <v>9484</v>
      </c>
      <c r="D568" s="22" t="s">
        <v>9485</v>
      </c>
      <c r="E568" s="23" t="s">
        <v>13280</v>
      </c>
      <c r="F568" s="19">
        <v>40919.134201388893</v>
      </c>
      <c r="G568" s="24" t="s">
        <v>2783</v>
      </c>
      <c r="H568" s="35" t="s">
        <v>9486</v>
      </c>
      <c r="I568" s="25" t="s">
        <v>9487</v>
      </c>
    </row>
    <row r="569" spans="1:9" s="11" customFormat="1" ht="60">
      <c r="A569" s="19">
        <v>43548.932604166665</v>
      </c>
      <c r="B569" s="20" t="s">
        <v>13281</v>
      </c>
      <c r="C569" s="20" t="s">
        <v>3054</v>
      </c>
      <c r="D569" s="22" t="s">
        <v>8197</v>
      </c>
      <c r="E569" s="23" t="s">
        <v>13282</v>
      </c>
      <c r="F569" s="19">
        <v>41774.048993055556</v>
      </c>
      <c r="G569" s="17" t="s">
        <v>2783</v>
      </c>
      <c r="H569" s="35" t="s">
        <v>3056</v>
      </c>
      <c r="I569" s="25" t="s">
        <v>3057</v>
      </c>
    </row>
    <row r="570" spans="1:9" s="11" customFormat="1" ht="60">
      <c r="A570" s="19">
        <v>43548.166458333333</v>
      </c>
      <c r="B570" s="20" t="s">
        <v>13281</v>
      </c>
      <c r="C570" s="20" t="s">
        <v>3054</v>
      </c>
      <c r="D570" s="22" t="s">
        <v>8392</v>
      </c>
      <c r="E570" s="23" t="s">
        <v>13282</v>
      </c>
      <c r="F570" s="19">
        <v>41774.048993055556</v>
      </c>
      <c r="G570" s="17" t="s">
        <v>2783</v>
      </c>
      <c r="H570" s="35" t="s">
        <v>3056</v>
      </c>
      <c r="I570" s="25" t="s">
        <v>3057</v>
      </c>
    </row>
    <row r="571" spans="1:9" s="11" customFormat="1" ht="60">
      <c r="A571" s="19">
        <v>43547.908263888894</v>
      </c>
      <c r="B571" s="20" t="s">
        <v>13281</v>
      </c>
      <c r="C571" s="20" t="s">
        <v>3054</v>
      </c>
      <c r="D571" s="22" t="s">
        <v>8445</v>
      </c>
      <c r="E571" s="23" t="s">
        <v>13282</v>
      </c>
      <c r="F571" s="19">
        <v>41774.048993055556</v>
      </c>
      <c r="G571" s="17" t="s">
        <v>2783</v>
      </c>
      <c r="H571" s="35" t="s">
        <v>3056</v>
      </c>
      <c r="I571" s="25" t="s">
        <v>3057</v>
      </c>
    </row>
    <row r="572" spans="1:9" s="11" customFormat="1" ht="60">
      <c r="A572" s="12">
        <v>43572.92052083333</v>
      </c>
      <c r="B572" s="13" t="s">
        <v>13281</v>
      </c>
      <c r="C572" s="13" t="s">
        <v>3054</v>
      </c>
      <c r="D572" s="15" t="s">
        <v>3055</v>
      </c>
      <c r="E572" s="16" t="s">
        <v>13282</v>
      </c>
      <c r="F572" s="12">
        <v>41774.048993055556</v>
      </c>
      <c r="G572" s="17" t="s">
        <v>2783</v>
      </c>
      <c r="H572" s="35" t="s">
        <v>3056</v>
      </c>
      <c r="I572" s="18" t="s">
        <v>3057</v>
      </c>
    </row>
    <row r="573" spans="1:9" s="11" customFormat="1" ht="60">
      <c r="A573" s="4">
        <v>43564.884999999995</v>
      </c>
      <c r="B573" s="5" t="s">
        <v>13283</v>
      </c>
      <c r="C573" s="6" t="s">
        <v>10191</v>
      </c>
      <c r="D573" s="7" t="s">
        <v>10192</v>
      </c>
      <c r="E573" s="8" t="s">
        <v>13120</v>
      </c>
      <c r="F573" s="4">
        <v>43142.980439814812</v>
      </c>
      <c r="G573" s="17" t="s">
        <v>2783</v>
      </c>
      <c r="H573" s="35" t="s">
        <v>10193</v>
      </c>
      <c r="I573" s="10" t="s">
        <v>10194</v>
      </c>
    </row>
    <row r="574" spans="1:9" s="11" customFormat="1" ht="45">
      <c r="A574" s="4">
        <v>43560.293807870374</v>
      </c>
      <c r="B574" s="5" t="s">
        <v>13284</v>
      </c>
      <c r="C574" s="6" t="s">
        <v>11489</v>
      </c>
      <c r="D574" s="7" t="s">
        <v>11490</v>
      </c>
      <c r="E574" s="8" t="s">
        <v>13011</v>
      </c>
      <c r="F574" s="4">
        <v>40390.469594907408</v>
      </c>
      <c r="G574" s="17" t="s">
        <v>2783</v>
      </c>
      <c r="H574" s="35" t="s">
        <v>11491</v>
      </c>
      <c r="I574" s="10" t="s">
        <v>11492</v>
      </c>
    </row>
    <row r="575" spans="1:9" s="11" customFormat="1" ht="105">
      <c r="A575" s="19">
        <v>43549.431932870371</v>
      </c>
      <c r="B575" s="20" t="s">
        <v>13285</v>
      </c>
      <c r="C575" s="21" t="s">
        <v>8039</v>
      </c>
      <c r="D575" s="22" t="s">
        <v>8040</v>
      </c>
      <c r="E575" s="23" t="s">
        <v>13027</v>
      </c>
      <c r="F575" s="19">
        <v>42661.275914351849</v>
      </c>
      <c r="G575" s="17" t="s">
        <v>2783</v>
      </c>
      <c r="H575" s="35" t="s">
        <v>8041</v>
      </c>
      <c r="I575" s="25" t="s">
        <v>8042</v>
      </c>
    </row>
    <row r="576" spans="1:9" s="11" customFormat="1" ht="60">
      <c r="A576" s="19">
        <v>43545.202696759261</v>
      </c>
      <c r="B576" s="20" t="s">
        <v>13286</v>
      </c>
      <c r="C576" s="21" t="s">
        <v>3006</v>
      </c>
      <c r="D576" s="22" t="s">
        <v>9256</v>
      </c>
      <c r="E576" s="23" t="s">
        <v>13032</v>
      </c>
      <c r="F576" s="19">
        <v>40500.655127314814</v>
      </c>
      <c r="G576" s="17" t="s">
        <v>2783</v>
      </c>
      <c r="H576" s="35" t="s">
        <v>3008</v>
      </c>
      <c r="I576" s="25" t="s">
        <v>3009</v>
      </c>
    </row>
    <row r="577" spans="1:9" s="11" customFormat="1" ht="60">
      <c r="A577" s="4">
        <v>43562.173935185187</v>
      </c>
      <c r="B577" s="5" t="s">
        <v>13286</v>
      </c>
      <c r="C577" s="6" t="s">
        <v>3006</v>
      </c>
      <c r="D577" s="7" t="s">
        <v>10736</v>
      </c>
      <c r="E577" s="8" t="s">
        <v>13032</v>
      </c>
      <c r="F577" s="4">
        <v>40500.655127314814</v>
      </c>
      <c r="G577" s="17" t="s">
        <v>2783</v>
      </c>
      <c r="H577" s="35" t="s">
        <v>3008</v>
      </c>
      <c r="I577" s="10" t="s">
        <v>3009</v>
      </c>
    </row>
    <row r="578" spans="1:9" s="11" customFormat="1" ht="45">
      <c r="A578" s="4">
        <v>43560.133923611109</v>
      </c>
      <c r="B578" s="5" t="s">
        <v>13286</v>
      </c>
      <c r="C578" s="6" t="s">
        <v>3006</v>
      </c>
      <c r="D578" s="7" t="s">
        <v>11603</v>
      </c>
      <c r="E578" s="8" t="s">
        <v>13032</v>
      </c>
      <c r="F578" s="4">
        <v>40500.655127314814</v>
      </c>
      <c r="G578" s="17" t="s">
        <v>2783</v>
      </c>
      <c r="H578" s="35" t="s">
        <v>3008</v>
      </c>
      <c r="I578" s="10" t="s">
        <v>3009</v>
      </c>
    </row>
    <row r="579" spans="1:9" s="11" customFormat="1" ht="45">
      <c r="A579" s="12">
        <v>43573.102893518517</v>
      </c>
      <c r="B579" s="13" t="s">
        <v>13286</v>
      </c>
      <c r="C579" s="14" t="s">
        <v>3006</v>
      </c>
      <c r="D579" s="15" t="s">
        <v>3007</v>
      </c>
      <c r="E579" s="16" t="s">
        <v>13032</v>
      </c>
      <c r="F579" s="12">
        <v>40500.655127314814</v>
      </c>
      <c r="G579" s="17" t="s">
        <v>2783</v>
      </c>
      <c r="H579" s="35" t="s">
        <v>3008</v>
      </c>
      <c r="I579" s="18" t="s">
        <v>3009</v>
      </c>
    </row>
    <row r="580" spans="1:9" s="11" customFormat="1" ht="45">
      <c r="A580" s="12">
        <v>43573.102164351847</v>
      </c>
      <c r="B580" s="13" t="s">
        <v>13286</v>
      </c>
      <c r="C580" s="14" t="s">
        <v>3006</v>
      </c>
      <c r="D580" s="15" t="s">
        <v>3007</v>
      </c>
      <c r="E580" s="16" t="s">
        <v>13032</v>
      </c>
      <c r="F580" s="12">
        <v>40500.655127314814</v>
      </c>
      <c r="G580" s="17" t="s">
        <v>2783</v>
      </c>
      <c r="H580" s="35" t="s">
        <v>3008</v>
      </c>
      <c r="I580" s="18" t="s">
        <v>3009</v>
      </c>
    </row>
    <row r="581" spans="1:9" s="11" customFormat="1" ht="60">
      <c r="A581" s="12">
        <v>43566.960057870368</v>
      </c>
      <c r="B581" s="13" t="s">
        <v>13286</v>
      </c>
      <c r="C581" s="14" t="s">
        <v>3006</v>
      </c>
      <c r="D581" s="15" t="s">
        <v>5296</v>
      </c>
      <c r="E581" s="16" t="s">
        <v>13032</v>
      </c>
      <c r="F581" s="12">
        <v>40500.655127314814</v>
      </c>
      <c r="G581" s="17" t="s">
        <v>2783</v>
      </c>
      <c r="H581" s="35" t="s">
        <v>3008</v>
      </c>
      <c r="I581" s="18" t="s">
        <v>3009</v>
      </c>
    </row>
    <row r="582" spans="1:9" s="11" customFormat="1" ht="90">
      <c r="A582" s="4">
        <v>43564.965277777781</v>
      </c>
      <c r="B582" s="5" t="s">
        <v>13287</v>
      </c>
      <c r="C582" s="6" t="s">
        <v>6363</v>
      </c>
      <c r="D582" s="7" t="s">
        <v>6364</v>
      </c>
      <c r="E582" s="8" t="s">
        <v>13120</v>
      </c>
      <c r="F582" s="4">
        <v>43321.276932870373</v>
      </c>
      <c r="G582" s="17" t="s">
        <v>2783</v>
      </c>
      <c r="H582" s="35" t="s">
        <v>6365</v>
      </c>
      <c r="I582" s="10" t="s">
        <v>6366</v>
      </c>
    </row>
    <row r="583" spans="1:9" s="11" customFormat="1" ht="105">
      <c r="A583" s="12">
        <v>43578.128310185188</v>
      </c>
      <c r="B583" s="13" t="s">
        <v>13288</v>
      </c>
      <c r="C583" s="14" t="s">
        <v>1385</v>
      </c>
      <c r="D583" s="15" t="s">
        <v>1386</v>
      </c>
      <c r="E583" s="16" t="s">
        <v>13032</v>
      </c>
      <c r="F583" s="12">
        <v>40589.21366898148</v>
      </c>
      <c r="G583" s="17" t="s">
        <v>2783</v>
      </c>
      <c r="H583" s="35" t="s">
        <v>1387</v>
      </c>
      <c r="I583" s="18" t="s">
        <v>1388</v>
      </c>
    </row>
    <row r="584" spans="1:9" s="11" customFormat="1" ht="105">
      <c r="A584" s="12">
        <v>43578.115532407406</v>
      </c>
      <c r="B584" s="13" t="s">
        <v>13288</v>
      </c>
      <c r="C584" s="14" t="s">
        <v>1385</v>
      </c>
      <c r="D584" s="15" t="s">
        <v>1395</v>
      </c>
      <c r="E584" s="16" t="s">
        <v>13032</v>
      </c>
      <c r="F584" s="12">
        <v>40589.21366898148</v>
      </c>
      <c r="G584" s="17" t="s">
        <v>2783</v>
      </c>
      <c r="H584" s="35" t="s">
        <v>1387</v>
      </c>
      <c r="I584" s="18" t="s">
        <v>1388</v>
      </c>
    </row>
    <row r="585" spans="1:9" s="11" customFormat="1" ht="75">
      <c r="A585" s="19">
        <v>43547.009571759263</v>
      </c>
      <c r="B585" s="20" t="s">
        <v>13289</v>
      </c>
      <c r="C585" s="21" t="s">
        <v>8680</v>
      </c>
      <c r="D585" s="28" t="s">
        <v>8681</v>
      </c>
      <c r="E585" s="23" t="s">
        <v>13290</v>
      </c>
      <c r="F585" s="19">
        <v>42565.758854166663</v>
      </c>
      <c r="G585" s="24" t="s">
        <v>2783</v>
      </c>
      <c r="H585" s="35" t="s">
        <v>8682</v>
      </c>
      <c r="I585" s="25" t="s">
        <v>8683</v>
      </c>
    </row>
    <row r="586" spans="1:9" s="11" customFormat="1" ht="135">
      <c r="A586" s="12">
        <v>43574.854305555556</v>
      </c>
      <c r="B586" s="13" t="s">
        <v>13291</v>
      </c>
      <c r="C586" s="14" t="s">
        <v>2413</v>
      </c>
      <c r="D586" s="15" t="s">
        <v>2414</v>
      </c>
      <c r="E586" s="16" t="s">
        <v>13018</v>
      </c>
      <c r="F586" s="12">
        <v>40644.862638888888</v>
      </c>
      <c r="G586" s="17" t="s">
        <v>2783</v>
      </c>
      <c r="H586" s="35" t="s">
        <v>2415</v>
      </c>
      <c r="I586" s="18" t="s">
        <v>2416</v>
      </c>
    </row>
    <row r="587" spans="1:9" s="11" customFormat="1" ht="135">
      <c r="A587" s="12">
        <v>43574.854270833333</v>
      </c>
      <c r="B587" s="13" t="s">
        <v>13292</v>
      </c>
      <c r="C587" s="14" t="s">
        <v>2417</v>
      </c>
      <c r="D587" s="15" t="s">
        <v>2414</v>
      </c>
      <c r="E587" s="16" t="s">
        <v>13018</v>
      </c>
      <c r="F587" s="12">
        <v>39918.999803240738</v>
      </c>
      <c r="G587" s="17" t="s">
        <v>2783</v>
      </c>
      <c r="H587" s="35" t="s">
        <v>2418</v>
      </c>
      <c r="I587" s="18" t="s">
        <v>2419</v>
      </c>
    </row>
    <row r="588" spans="1:9" s="11" customFormat="1" ht="105">
      <c r="A588" s="19">
        <v>43550.163576388892</v>
      </c>
      <c r="B588" s="20" t="s">
        <v>13293</v>
      </c>
      <c r="C588" s="21" t="s">
        <v>7803</v>
      </c>
      <c r="D588" s="22" t="s">
        <v>7804</v>
      </c>
      <c r="E588" s="23" t="s">
        <v>13032</v>
      </c>
      <c r="F588" s="19">
        <v>39870.07980324074</v>
      </c>
      <c r="G588" s="17" t="s">
        <v>2783</v>
      </c>
      <c r="H588" s="35" t="s">
        <v>233</v>
      </c>
      <c r="I588" s="25" t="s">
        <v>7805</v>
      </c>
    </row>
    <row r="589" spans="1:9" s="11" customFormat="1" ht="75">
      <c r="A589" s="19">
        <v>43542.929594907408</v>
      </c>
      <c r="B589" s="20" t="s">
        <v>13294</v>
      </c>
      <c r="C589" s="21" t="s">
        <v>9990</v>
      </c>
      <c r="D589" s="22" t="s">
        <v>9991</v>
      </c>
      <c r="E589" s="23" t="s">
        <v>13120</v>
      </c>
      <c r="F589" s="19">
        <v>40003.086122685185</v>
      </c>
      <c r="G589" s="17" t="s">
        <v>2783</v>
      </c>
      <c r="H589" s="35" t="s">
        <v>233</v>
      </c>
      <c r="I589" s="25" t="s">
        <v>9992</v>
      </c>
    </row>
    <row r="590" spans="1:9" s="11" customFormat="1" ht="75">
      <c r="A590" s="19">
        <v>43542.756944444445</v>
      </c>
      <c r="B590" s="20" t="s">
        <v>13294</v>
      </c>
      <c r="C590" s="21" t="s">
        <v>9990</v>
      </c>
      <c r="D590" s="22" t="s">
        <v>10024</v>
      </c>
      <c r="E590" s="23" t="s">
        <v>13120</v>
      </c>
      <c r="F590" s="19">
        <v>40003.086122685185</v>
      </c>
      <c r="G590" s="17" t="s">
        <v>2783</v>
      </c>
      <c r="H590" s="35" t="s">
        <v>233</v>
      </c>
      <c r="I590" s="25" t="s">
        <v>9992</v>
      </c>
    </row>
    <row r="591" spans="1:9" s="11" customFormat="1" ht="75">
      <c r="A591" s="4">
        <v>43556.8125</v>
      </c>
      <c r="B591" s="5" t="s">
        <v>13294</v>
      </c>
      <c r="C591" s="6" t="s">
        <v>9990</v>
      </c>
      <c r="D591" s="7" t="s">
        <v>12735</v>
      </c>
      <c r="E591" s="8" t="s">
        <v>13120</v>
      </c>
      <c r="F591" s="4">
        <v>40003.086122685185</v>
      </c>
      <c r="G591" s="17" t="s">
        <v>2783</v>
      </c>
      <c r="H591" s="35" t="s">
        <v>233</v>
      </c>
      <c r="I591" s="10" t="s">
        <v>9992</v>
      </c>
    </row>
    <row r="592" spans="1:9" s="11" customFormat="1" ht="90">
      <c r="A592" s="12">
        <v>43580.143854166672</v>
      </c>
      <c r="B592" s="13" t="s">
        <v>13295</v>
      </c>
      <c r="C592" s="14" t="s">
        <v>231</v>
      </c>
      <c r="D592" s="15" t="s">
        <v>232</v>
      </c>
      <c r="E592" s="16" t="s">
        <v>13009</v>
      </c>
      <c r="F592" s="12">
        <v>42117.278379629628</v>
      </c>
      <c r="G592" s="17" t="s">
        <v>2783</v>
      </c>
      <c r="H592" s="35" t="s">
        <v>233</v>
      </c>
      <c r="I592" s="18" t="s">
        <v>234</v>
      </c>
    </row>
    <row r="593" spans="1:9" s="11" customFormat="1" ht="60">
      <c r="A593" s="19">
        <v>43551.295648148152</v>
      </c>
      <c r="B593" s="20" t="s">
        <v>13296</v>
      </c>
      <c r="C593" s="21" t="s">
        <v>7338</v>
      </c>
      <c r="D593" s="22" t="s">
        <v>7339</v>
      </c>
      <c r="E593" s="23" t="s">
        <v>13032</v>
      </c>
      <c r="F593" s="19">
        <v>39984.320925925924</v>
      </c>
      <c r="G593" s="24" t="s">
        <v>2783</v>
      </c>
      <c r="H593" s="35" t="s">
        <v>7340</v>
      </c>
      <c r="I593" s="25" t="s">
        <v>7341</v>
      </c>
    </row>
    <row r="594" spans="1:9" s="11" customFormat="1" ht="30">
      <c r="A594" s="4">
        <v>43558.844409722224</v>
      </c>
      <c r="B594" s="5" t="s">
        <v>13297</v>
      </c>
      <c r="C594" s="6" t="s">
        <v>12019</v>
      </c>
      <c r="D594" s="7" t="s">
        <v>12020</v>
      </c>
      <c r="E594" s="8" t="s">
        <v>13013</v>
      </c>
      <c r="F594" s="4">
        <v>39402.962962962964</v>
      </c>
      <c r="G594" s="9" t="s">
        <v>2783</v>
      </c>
      <c r="H594" s="35" t="s">
        <v>12021</v>
      </c>
      <c r="I594" s="10" t="s">
        <v>12022</v>
      </c>
    </row>
    <row r="595" spans="1:9" s="11" customFormat="1" ht="75">
      <c r="A595" s="4">
        <v>43560.414398148147</v>
      </c>
      <c r="B595" s="5" t="s">
        <v>13298</v>
      </c>
      <c r="C595" s="6" t="s">
        <v>11397</v>
      </c>
      <c r="D595" s="7" t="s">
        <v>11398</v>
      </c>
      <c r="E595" s="8" t="s">
        <v>13013</v>
      </c>
      <c r="F595" s="4">
        <v>43522.168842592597</v>
      </c>
      <c r="G595" s="9" t="s">
        <v>2783</v>
      </c>
      <c r="H595" s="35" t="s">
        <v>11399</v>
      </c>
      <c r="I595" s="10" t="s">
        <v>11400</v>
      </c>
    </row>
    <row r="596" spans="1:9" s="11" customFormat="1" ht="120">
      <c r="A596" s="19">
        <v>43543.366018518514</v>
      </c>
      <c r="B596" s="20" t="s">
        <v>13299</v>
      </c>
      <c r="C596" s="21" t="s">
        <v>9844</v>
      </c>
      <c r="D596" s="22" t="s">
        <v>9845</v>
      </c>
      <c r="E596" s="23" t="s">
        <v>13013</v>
      </c>
      <c r="F596" s="19">
        <v>42242.446597222224</v>
      </c>
      <c r="G596" s="9" t="s">
        <v>2783</v>
      </c>
      <c r="H596" s="35" t="s">
        <v>9846</v>
      </c>
      <c r="I596" s="25" t="s">
        <v>9847</v>
      </c>
    </row>
    <row r="597" spans="1:9" s="11" customFormat="1" ht="120">
      <c r="A597" s="4">
        <v>43560.430173611108</v>
      </c>
      <c r="B597" s="5" t="s">
        <v>13299</v>
      </c>
      <c r="C597" s="6" t="s">
        <v>9844</v>
      </c>
      <c r="D597" s="7" t="s">
        <v>11380</v>
      </c>
      <c r="E597" s="8" t="s">
        <v>13013</v>
      </c>
      <c r="F597" s="4">
        <v>42242.446597222224</v>
      </c>
      <c r="G597" s="9" t="s">
        <v>2783</v>
      </c>
      <c r="H597" s="35" t="s">
        <v>9846</v>
      </c>
      <c r="I597" s="10" t="s">
        <v>9847</v>
      </c>
    </row>
    <row r="598" spans="1:9" s="11" customFormat="1" ht="60">
      <c r="A598" s="4">
        <v>43565.433275462958</v>
      </c>
      <c r="B598" s="5" t="s">
        <v>13300</v>
      </c>
      <c r="C598" s="6" t="s">
        <v>510</v>
      </c>
      <c r="D598" s="7" t="s">
        <v>6095</v>
      </c>
      <c r="E598" s="8" t="s">
        <v>13009</v>
      </c>
      <c r="F598" s="4">
        <v>40115.224664351852</v>
      </c>
      <c r="G598" s="24" t="s">
        <v>2783</v>
      </c>
      <c r="H598" s="35" t="s">
        <v>512</v>
      </c>
      <c r="I598" s="10" t="s">
        <v>513</v>
      </c>
    </row>
    <row r="599" spans="1:9" s="11" customFormat="1" ht="75">
      <c r="A599" s="4">
        <v>43565.007476851853</v>
      </c>
      <c r="B599" s="5" t="s">
        <v>13301</v>
      </c>
      <c r="C599" s="6" t="s">
        <v>6342</v>
      </c>
      <c r="D599" s="7" t="s">
        <v>6343</v>
      </c>
      <c r="E599" s="8" t="s">
        <v>13009</v>
      </c>
      <c r="F599" s="4">
        <v>41269.91684027778</v>
      </c>
      <c r="G599" s="24" t="s">
        <v>2783</v>
      </c>
      <c r="H599" s="35" t="s">
        <v>512</v>
      </c>
      <c r="I599" s="10" t="s">
        <v>6344</v>
      </c>
    </row>
    <row r="600" spans="1:9" s="11" customFormat="1" ht="60">
      <c r="A600" s="4">
        <v>43562.290462962963</v>
      </c>
      <c r="B600" s="5" t="s">
        <v>13300</v>
      </c>
      <c r="C600" s="6" t="s">
        <v>510</v>
      </c>
      <c r="D600" s="7" t="s">
        <v>10711</v>
      </c>
      <c r="E600" s="8" t="s">
        <v>13009</v>
      </c>
      <c r="F600" s="4">
        <v>40115.224664351852</v>
      </c>
      <c r="G600" s="24" t="s">
        <v>2783</v>
      </c>
      <c r="H600" s="35" t="s">
        <v>512</v>
      </c>
      <c r="I600" s="10" t="s">
        <v>513</v>
      </c>
    </row>
    <row r="601" spans="1:9" s="11" customFormat="1" ht="60">
      <c r="A601" s="4">
        <v>43561.604409722218</v>
      </c>
      <c r="B601" s="5" t="s">
        <v>13300</v>
      </c>
      <c r="C601" s="6" t="s">
        <v>510</v>
      </c>
      <c r="D601" s="7" t="s">
        <v>10908</v>
      </c>
      <c r="E601" s="8" t="s">
        <v>13009</v>
      </c>
      <c r="F601" s="4">
        <v>40115.224664351852</v>
      </c>
      <c r="G601" s="24" t="s">
        <v>2783</v>
      </c>
      <c r="H601" s="35" t="s">
        <v>512</v>
      </c>
      <c r="I601" s="10" t="s">
        <v>513</v>
      </c>
    </row>
    <row r="602" spans="1:9" s="11" customFormat="1" ht="30">
      <c r="A602" s="4">
        <v>43557.359201388885</v>
      </c>
      <c r="B602" s="5" t="s">
        <v>13302</v>
      </c>
      <c r="C602" s="6" t="s">
        <v>12542</v>
      </c>
      <c r="D602" s="7" t="s">
        <v>12543</v>
      </c>
      <c r="E602" s="8" t="s">
        <v>13009</v>
      </c>
      <c r="F602" s="4">
        <v>40080.484571759262</v>
      </c>
      <c r="G602" s="24" t="s">
        <v>2783</v>
      </c>
      <c r="H602" s="35" t="s">
        <v>512</v>
      </c>
      <c r="I602" s="10" t="s">
        <v>12544</v>
      </c>
    </row>
    <row r="603" spans="1:9" s="11" customFormat="1" ht="75">
      <c r="A603" s="12">
        <v>43579.686712962968</v>
      </c>
      <c r="B603" s="13" t="s">
        <v>13300</v>
      </c>
      <c r="C603" s="14" t="s">
        <v>510</v>
      </c>
      <c r="D603" s="15" t="s">
        <v>511</v>
      </c>
      <c r="E603" s="16" t="s">
        <v>13009</v>
      </c>
      <c r="F603" s="12">
        <v>40115.224664351852</v>
      </c>
      <c r="G603" s="24" t="s">
        <v>2783</v>
      </c>
      <c r="H603" s="35" t="s">
        <v>512</v>
      </c>
      <c r="I603" s="18" t="s">
        <v>513</v>
      </c>
    </row>
    <row r="604" spans="1:9" s="11" customFormat="1" ht="60">
      <c r="A604" s="12">
        <v>43579.660081018519</v>
      </c>
      <c r="B604" s="13" t="s">
        <v>13300</v>
      </c>
      <c r="C604" s="14" t="s">
        <v>510</v>
      </c>
      <c r="D604" s="15" t="s">
        <v>525</v>
      </c>
      <c r="E604" s="16" t="s">
        <v>13009</v>
      </c>
      <c r="F604" s="12">
        <v>40115.224664351852</v>
      </c>
      <c r="G604" s="24" t="s">
        <v>2783</v>
      </c>
      <c r="H604" s="35" t="s">
        <v>512</v>
      </c>
      <c r="I604" s="18" t="s">
        <v>513</v>
      </c>
    </row>
    <row r="605" spans="1:9" s="11" customFormat="1" ht="75">
      <c r="A605" s="12">
        <v>43578.037974537037</v>
      </c>
      <c r="B605" s="13" t="s">
        <v>13303</v>
      </c>
      <c r="C605" s="14" t="s">
        <v>1414</v>
      </c>
      <c r="D605" s="15" t="s">
        <v>1415</v>
      </c>
      <c r="E605" s="16" t="s">
        <v>13013</v>
      </c>
      <c r="F605" s="12">
        <v>41710.311400462961</v>
      </c>
      <c r="G605" s="24" t="s">
        <v>2783</v>
      </c>
      <c r="H605" s="35" t="s">
        <v>512</v>
      </c>
      <c r="I605" s="18" t="s">
        <v>1416</v>
      </c>
    </row>
    <row r="606" spans="1:9" s="11" customFormat="1" ht="60">
      <c r="A606" s="12">
        <v>43575.512673611112</v>
      </c>
      <c r="B606" s="13" t="s">
        <v>13300</v>
      </c>
      <c r="C606" s="14" t="s">
        <v>510</v>
      </c>
      <c r="D606" s="15" t="s">
        <v>2182</v>
      </c>
      <c r="E606" s="16" t="s">
        <v>13009</v>
      </c>
      <c r="F606" s="12">
        <v>40115.224664351852</v>
      </c>
      <c r="G606" s="24" t="s">
        <v>2783</v>
      </c>
      <c r="H606" s="35" t="s">
        <v>512</v>
      </c>
      <c r="I606" s="18" t="s">
        <v>513</v>
      </c>
    </row>
    <row r="607" spans="1:9" s="11" customFormat="1" ht="75">
      <c r="A607" s="19">
        <v>43550.877662037034</v>
      </c>
      <c r="B607" s="20" t="s">
        <v>13304</v>
      </c>
      <c r="C607" s="21" t="s">
        <v>7478</v>
      </c>
      <c r="D607" s="22" t="s">
        <v>7479</v>
      </c>
      <c r="E607" s="23" t="s">
        <v>13011</v>
      </c>
      <c r="F607" s="19">
        <v>40067.071956018517</v>
      </c>
      <c r="G607" s="24" t="s">
        <v>2783</v>
      </c>
      <c r="H607" s="35" t="s">
        <v>7480</v>
      </c>
      <c r="I607" s="25" t="s">
        <v>7481</v>
      </c>
    </row>
    <row r="608" spans="1:9" s="11" customFormat="1" ht="120">
      <c r="A608" s="19">
        <v>43549.238333333335</v>
      </c>
      <c r="B608" s="20" t="s">
        <v>13305</v>
      </c>
      <c r="C608" s="21" t="s">
        <v>8120</v>
      </c>
      <c r="D608" s="22" t="s">
        <v>8121</v>
      </c>
      <c r="E608" s="23" t="s">
        <v>13009</v>
      </c>
      <c r="F608" s="19">
        <v>42373.080601851849</v>
      </c>
      <c r="G608" s="24" t="s">
        <v>2783</v>
      </c>
      <c r="H608" s="35" t="s">
        <v>7480</v>
      </c>
      <c r="I608" s="25" t="s">
        <v>8122</v>
      </c>
    </row>
    <row r="609" spans="1:9" s="11" customFormat="1" ht="120">
      <c r="A609" s="19">
        <v>43543.708483796298</v>
      </c>
      <c r="B609" s="20" t="s">
        <v>13306</v>
      </c>
      <c r="C609" s="21" t="s">
        <v>850</v>
      </c>
      <c r="D609" s="22" t="s">
        <v>9694</v>
      </c>
      <c r="E609" s="23" t="s">
        <v>13034</v>
      </c>
      <c r="F609" s="19">
        <v>40546.12300925926</v>
      </c>
      <c r="G609" s="17" t="s">
        <v>2783</v>
      </c>
      <c r="H609" s="35" t="s">
        <v>852</v>
      </c>
      <c r="I609" s="25" t="s">
        <v>853</v>
      </c>
    </row>
    <row r="610" spans="1:9" s="11" customFormat="1" ht="120">
      <c r="A610" s="19">
        <v>43542.967175925922</v>
      </c>
      <c r="B610" s="20" t="s">
        <v>13306</v>
      </c>
      <c r="C610" s="21" t="s">
        <v>850</v>
      </c>
      <c r="D610" s="22" t="s">
        <v>9694</v>
      </c>
      <c r="E610" s="23" t="s">
        <v>13034</v>
      </c>
      <c r="F610" s="19">
        <v>40546.12300925926</v>
      </c>
      <c r="G610" s="17" t="s">
        <v>2783</v>
      </c>
      <c r="H610" s="35" t="s">
        <v>852</v>
      </c>
      <c r="I610" s="25" t="s">
        <v>853</v>
      </c>
    </row>
    <row r="611" spans="1:9" s="11" customFormat="1" ht="120">
      <c r="A611" s="4">
        <v>43556.894652777773</v>
      </c>
      <c r="B611" s="5" t="s">
        <v>13306</v>
      </c>
      <c r="C611" s="6" t="s">
        <v>850</v>
      </c>
      <c r="D611" s="7" t="s">
        <v>12708</v>
      </c>
      <c r="E611" s="8" t="s">
        <v>13034</v>
      </c>
      <c r="F611" s="4">
        <v>40546.12300925926</v>
      </c>
      <c r="G611" s="17" t="s">
        <v>2783</v>
      </c>
      <c r="H611" s="35" t="s">
        <v>852</v>
      </c>
      <c r="I611" s="10" t="s">
        <v>853</v>
      </c>
    </row>
    <row r="612" spans="1:9" s="11" customFormat="1" ht="120">
      <c r="A612" s="12">
        <v>43579.208518518513</v>
      </c>
      <c r="B612" s="13" t="s">
        <v>13306</v>
      </c>
      <c r="C612" s="14" t="s">
        <v>850</v>
      </c>
      <c r="D612" s="15" t="s">
        <v>851</v>
      </c>
      <c r="E612" s="16" t="s">
        <v>13034</v>
      </c>
      <c r="F612" s="12">
        <v>40546.12300925926</v>
      </c>
      <c r="G612" s="17" t="s">
        <v>2783</v>
      </c>
      <c r="H612" s="35" t="s">
        <v>852</v>
      </c>
      <c r="I612" s="18" t="s">
        <v>853</v>
      </c>
    </row>
    <row r="613" spans="1:9" s="11" customFormat="1" ht="120">
      <c r="A613" s="12">
        <v>43572.019386574073</v>
      </c>
      <c r="B613" s="13" t="s">
        <v>13306</v>
      </c>
      <c r="C613" s="14" t="s">
        <v>850</v>
      </c>
      <c r="D613" s="15" t="s">
        <v>3463</v>
      </c>
      <c r="E613" s="16" t="s">
        <v>13034</v>
      </c>
      <c r="F613" s="12">
        <v>40546.12300925926</v>
      </c>
      <c r="G613" s="17" t="s">
        <v>2783</v>
      </c>
      <c r="H613" s="35" t="s">
        <v>852</v>
      </c>
      <c r="I613" s="18" t="s">
        <v>853</v>
      </c>
    </row>
    <row r="614" spans="1:9" s="11" customFormat="1" ht="105">
      <c r="A614" s="19">
        <v>43542.811909722222</v>
      </c>
      <c r="B614" s="20" t="s">
        <v>13307</v>
      </c>
      <c r="C614" s="21" t="s">
        <v>10011</v>
      </c>
      <c r="D614" s="22" t="s">
        <v>10012</v>
      </c>
      <c r="E614" s="23" t="s">
        <v>13009</v>
      </c>
      <c r="F614" s="19">
        <v>43510.981458333335</v>
      </c>
      <c r="G614" s="24" t="s">
        <v>2783</v>
      </c>
      <c r="H614" s="35" t="s">
        <v>10013</v>
      </c>
      <c r="I614" s="25" t="s">
        <v>10014</v>
      </c>
    </row>
    <row r="615" spans="1:9" s="11" customFormat="1" ht="75">
      <c r="A615" s="19">
        <v>43544.229421296295</v>
      </c>
      <c r="B615" s="20" t="s">
        <v>13308</v>
      </c>
      <c r="C615" s="21" t="s">
        <v>9569</v>
      </c>
      <c r="D615" s="22" t="s">
        <v>9570</v>
      </c>
      <c r="E615" s="23" t="s">
        <v>13034</v>
      </c>
      <c r="F615" s="19">
        <v>42611.473969907413</v>
      </c>
      <c r="G615" s="24" t="s">
        <v>2783</v>
      </c>
      <c r="H615" s="35" t="s">
        <v>9571</v>
      </c>
      <c r="I615" s="25" t="s">
        <v>9572</v>
      </c>
    </row>
    <row r="616" spans="1:9" s="11" customFormat="1" ht="45">
      <c r="A616" s="19">
        <v>43542.96466435185</v>
      </c>
      <c r="B616" s="20" t="s">
        <v>13309</v>
      </c>
      <c r="C616" s="21" t="s">
        <v>2365</v>
      </c>
      <c r="D616" s="22" t="s">
        <v>9980</v>
      </c>
      <c r="E616" s="23" t="s">
        <v>13009</v>
      </c>
      <c r="F616" s="19">
        <v>40306.265104166669</v>
      </c>
      <c r="G616" s="17" t="s">
        <v>2783</v>
      </c>
      <c r="H616" s="35" t="s">
        <v>2099</v>
      </c>
      <c r="I616" s="25" t="s">
        <v>2367</v>
      </c>
    </row>
    <row r="617" spans="1:9" s="11" customFormat="1" ht="75">
      <c r="A617" s="4">
        <v>43561.925578703704</v>
      </c>
      <c r="B617" s="5" t="s">
        <v>13310</v>
      </c>
      <c r="C617" s="6" t="s">
        <v>10794</v>
      </c>
      <c r="D617" s="7" t="s">
        <v>10795</v>
      </c>
      <c r="E617" s="8" t="s">
        <v>13013</v>
      </c>
      <c r="F617" s="4">
        <v>41877.17496527778</v>
      </c>
      <c r="G617" s="17" t="s">
        <v>2783</v>
      </c>
      <c r="H617" s="35" t="s">
        <v>2099</v>
      </c>
      <c r="I617" s="10" t="s">
        <v>10796</v>
      </c>
    </row>
    <row r="618" spans="1:9" s="11" customFormat="1" ht="60">
      <c r="A618" s="12">
        <v>43575.932858796295</v>
      </c>
      <c r="B618" s="13" t="s">
        <v>13311</v>
      </c>
      <c r="C618" s="14" t="s">
        <v>2097</v>
      </c>
      <c r="D618" s="15" t="s">
        <v>2098</v>
      </c>
      <c r="E618" s="16" t="s">
        <v>13009</v>
      </c>
      <c r="F618" s="12">
        <v>39747.152337962965</v>
      </c>
      <c r="G618" s="17" t="s">
        <v>2783</v>
      </c>
      <c r="H618" s="35" t="s">
        <v>2099</v>
      </c>
      <c r="I618" s="18" t="s">
        <v>2100</v>
      </c>
    </row>
    <row r="619" spans="1:9" s="11" customFormat="1" ht="45">
      <c r="A619" s="12">
        <v>43575.092141203699</v>
      </c>
      <c r="B619" s="13" t="s">
        <v>13309</v>
      </c>
      <c r="C619" s="14" t="s">
        <v>2365</v>
      </c>
      <c r="D619" s="15" t="s">
        <v>2366</v>
      </c>
      <c r="E619" s="16" t="s">
        <v>13009</v>
      </c>
      <c r="F619" s="12">
        <v>40306.265104166669</v>
      </c>
      <c r="G619" s="17" t="s">
        <v>2783</v>
      </c>
      <c r="H619" s="35" t="s">
        <v>2099</v>
      </c>
      <c r="I619" s="18" t="s">
        <v>2367</v>
      </c>
    </row>
    <row r="620" spans="1:9" s="11" customFormat="1" ht="75">
      <c r="A620" s="12">
        <v>43567.838703703703</v>
      </c>
      <c r="B620" s="13" t="s">
        <v>13312</v>
      </c>
      <c r="C620" s="14" t="s">
        <v>4940</v>
      </c>
      <c r="D620" s="15" t="s">
        <v>4941</v>
      </c>
      <c r="E620" s="16" t="s">
        <v>13011</v>
      </c>
      <c r="F620" s="12">
        <v>39711.096689814818</v>
      </c>
      <c r="G620" s="17" t="s">
        <v>2783</v>
      </c>
      <c r="H620" s="35" t="s">
        <v>2099</v>
      </c>
      <c r="I620" s="18" t="s">
        <v>4942</v>
      </c>
    </row>
    <row r="621" spans="1:9" s="11" customFormat="1" ht="30">
      <c r="A621" s="12">
        <v>43567.370405092588</v>
      </c>
      <c r="B621" s="13" t="s">
        <v>13311</v>
      </c>
      <c r="C621" s="14" t="s">
        <v>2097</v>
      </c>
      <c r="D621" s="15" t="s">
        <v>5135</v>
      </c>
      <c r="E621" s="16" t="s">
        <v>13009</v>
      </c>
      <c r="F621" s="12">
        <v>39747.152337962965</v>
      </c>
      <c r="G621" s="17" t="s">
        <v>2783</v>
      </c>
      <c r="H621" s="35" t="s">
        <v>2099</v>
      </c>
      <c r="I621" s="18" t="s">
        <v>2100</v>
      </c>
    </row>
    <row r="622" spans="1:9" s="11" customFormat="1" ht="60">
      <c r="A622" s="19">
        <v>43547.708090277782</v>
      </c>
      <c r="B622" s="20" t="s">
        <v>13313</v>
      </c>
      <c r="C622" s="21" t="s">
        <v>653</v>
      </c>
      <c r="D622" s="22" t="s">
        <v>8481</v>
      </c>
      <c r="E622" s="23" t="s">
        <v>13314</v>
      </c>
      <c r="F622" s="19">
        <v>40108.288819444446</v>
      </c>
      <c r="G622" s="17" t="s">
        <v>2783</v>
      </c>
      <c r="H622" s="35" t="s">
        <v>655</v>
      </c>
      <c r="I622" s="25" t="s">
        <v>656</v>
      </c>
    </row>
    <row r="623" spans="1:9" s="11" customFormat="1" ht="60">
      <c r="A623" s="19">
        <v>43546.374791666662</v>
      </c>
      <c r="B623" s="20" t="s">
        <v>13313</v>
      </c>
      <c r="C623" s="21" t="s">
        <v>653</v>
      </c>
      <c r="D623" s="22" t="s">
        <v>8882</v>
      </c>
      <c r="E623" s="23" t="s">
        <v>13314</v>
      </c>
      <c r="F623" s="19">
        <v>40108.288819444446</v>
      </c>
      <c r="G623" s="17" t="s">
        <v>2783</v>
      </c>
      <c r="H623" s="35" t="s">
        <v>655</v>
      </c>
      <c r="I623" s="25" t="s">
        <v>656</v>
      </c>
    </row>
    <row r="624" spans="1:9" s="11" customFormat="1" ht="60">
      <c r="A624" s="19">
        <v>43545.166469907403</v>
      </c>
      <c r="B624" s="20" t="s">
        <v>13313</v>
      </c>
      <c r="C624" s="21" t="s">
        <v>653</v>
      </c>
      <c r="D624" s="22" t="s">
        <v>9271</v>
      </c>
      <c r="E624" s="23" t="s">
        <v>13314</v>
      </c>
      <c r="F624" s="19">
        <v>40108.288819444446</v>
      </c>
      <c r="G624" s="17" t="s">
        <v>2783</v>
      </c>
      <c r="H624" s="35" t="s">
        <v>655</v>
      </c>
      <c r="I624" s="25" t="s">
        <v>656</v>
      </c>
    </row>
    <row r="625" spans="1:9" s="11" customFormat="1" ht="60">
      <c r="A625" s="4">
        <v>43561.353912037041</v>
      </c>
      <c r="B625" s="5" t="s">
        <v>13313</v>
      </c>
      <c r="C625" s="6" t="s">
        <v>653</v>
      </c>
      <c r="D625" s="7" t="s">
        <v>4810</v>
      </c>
      <c r="E625" s="8" t="s">
        <v>13314</v>
      </c>
      <c r="F625" s="4">
        <v>40108.288819444446</v>
      </c>
      <c r="G625" s="17" t="s">
        <v>2783</v>
      </c>
      <c r="H625" s="35" t="s">
        <v>655</v>
      </c>
      <c r="I625" s="10" t="s">
        <v>656</v>
      </c>
    </row>
    <row r="626" spans="1:9" s="11" customFormat="1" ht="60">
      <c r="A626" s="12">
        <v>43579.458032407405</v>
      </c>
      <c r="B626" s="13" t="s">
        <v>13313</v>
      </c>
      <c r="C626" s="14" t="s">
        <v>653</v>
      </c>
      <c r="D626" s="15" t="s">
        <v>654</v>
      </c>
      <c r="E626" s="16" t="s">
        <v>13314</v>
      </c>
      <c r="F626" s="12">
        <v>40108.288819444446</v>
      </c>
      <c r="G626" s="17" t="s">
        <v>2783</v>
      </c>
      <c r="H626" s="35" t="s">
        <v>655</v>
      </c>
      <c r="I626" s="18" t="s">
        <v>656</v>
      </c>
    </row>
    <row r="627" spans="1:9" s="11" customFormat="1" ht="60">
      <c r="A627" s="12">
        <v>43568.333032407405</v>
      </c>
      <c r="B627" s="13" t="s">
        <v>13313</v>
      </c>
      <c r="C627" s="14" t="s">
        <v>653</v>
      </c>
      <c r="D627" s="15" t="s">
        <v>4810</v>
      </c>
      <c r="E627" s="16" t="s">
        <v>13314</v>
      </c>
      <c r="F627" s="12">
        <v>40108.288819444446</v>
      </c>
      <c r="G627" s="17" t="s">
        <v>2783</v>
      </c>
      <c r="H627" s="35" t="s">
        <v>655</v>
      </c>
      <c r="I627" s="18" t="s">
        <v>656</v>
      </c>
    </row>
    <row r="628" spans="1:9" s="11" customFormat="1" ht="105">
      <c r="A628" s="19">
        <v>43543.492384259254</v>
      </c>
      <c r="B628" s="20" t="s">
        <v>13315</v>
      </c>
      <c r="C628" s="21" t="s">
        <v>9778</v>
      </c>
      <c r="D628" s="22" t="s">
        <v>9779</v>
      </c>
      <c r="E628" s="23" t="s">
        <v>13013</v>
      </c>
      <c r="F628" s="19">
        <v>41695.425358796296</v>
      </c>
      <c r="G628" s="17" t="s">
        <v>2783</v>
      </c>
      <c r="H628" s="35" t="s">
        <v>2978</v>
      </c>
      <c r="I628" s="25" t="s">
        <v>9780</v>
      </c>
    </row>
    <row r="629" spans="1:9" s="11" customFormat="1" ht="105">
      <c r="A629" s="19">
        <v>43543.044907407406</v>
      </c>
      <c r="B629" s="20" t="s">
        <v>13316</v>
      </c>
      <c r="C629" s="21" t="s">
        <v>9955</v>
      </c>
      <c r="D629" s="22" t="s">
        <v>9956</v>
      </c>
      <c r="E629" s="23" t="s">
        <v>13013</v>
      </c>
      <c r="F629" s="19">
        <v>39960.981956018521</v>
      </c>
      <c r="G629" s="17" t="s">
        <v>2783</v>
      </c>
      <c r="H629" s="35" t="s">
        <v>2978</v>
      </c>
      <c r="I629" s="25" t="s">
        <v>9957</v>
      </c>
    </row>
    <row r="630" spans="1:9" s="11" customFormat="1" ht="90">
      <c r="A630" s="4">
        <v>43556.966249999998</v>
      </c>
      <c r="B630" s="5" t="s">
        <v>13317</v>
      </c>
      <c r="C630" s="6" t="s">
        <v>3825</v>
      </c>
      <c r="D630" s="7" t="s">
        <v>12694</v>
      </c>
      <c r="E630" s="8" t="s">
        <v>13015</v>
      </c>
      <c r="F630" s="4">
        <v>42735.085856481484</v>
      </c>
      <c r="G630" s="17" t="s">
        <v>2783</v>
      </c>
      <c r="H630" s="35" t="s">
        <v>2978</v>
      </c>
      <c r="I630" s="10" t="s">
        <v>3827</v>
      </c>
    </row>
    <row r="631" spans="1:9" s="11" customFormat="1" ht="135">
      <c r="A631" s="4">
        <v>43556.843136574069</v>
      </c>
      <c r="B631" s="5" t="s">
        <v>13318</v>
      </c>
      <c r="C631" s="6" t="s">
        <v>12723</v>
      </c>
      <c r="D631" s="7" t="s">
        <v>12724</v>
      </c>
      <c r="E631" s="8" t="s">
        <v>13011</v>
      </c>
      <c r="F631" s="4">
        <v>42387.352708333332</v>
      </c>
      <c r="G631" s="17" t="s">
        <v>2783</v>
      </c>
      <c r="H631" s="35" t="s">
        <v>2978</v>
      </c>
      <c r="I631" s="10" t="s">
        <v>12725</v>
      </c>
    </row>
    <row r="632" spans="1:9" s="11" customFormat="1" ht="45">
      <c r="A632" s="12">
        <v>43573.209131944444</v>
      </c>
      <c r="B632" s="13" t="s">
        <v>13319</v>
      </c>
      <c r="C632" s="14" t="s">
        <v>2976</v>
      </c>
      <c r="D632" s="15" t="s">
        <v>2977</v>
      </c>
      <c r="E632" s="16" t="s">
        <v>13011</v>
      </c>
      <c r="F632" s="12">
        <v>41440.749305555553</v>
      </c>
      <c r="G632" s="17" t="s">
        <v>2783</v>
      </c>
      <c r="H632" s="35" t="s">
        <v>2978</v>
      </c>
      <c r="I632" s="18" t="s">
        <v>2979</v>
      </c>
    </row>
    <row r="633" spans="1:9" s="11" customFormat="1" ht="90">
      <c r="A633" s="12">
        <v>43571.166412037041</v>
      </c>
      <c r="B633" s="13" t="s">
        <v>13317</v>
      </c>
      <c r="C633" s="14" t="s">
        <v>3825</v>
      </c>
      <c r="D633" s="15" t="s">
        <v>3826</v>
      </c>
      <c r="E633" s="16" t="s">
        <v>13015</v>
      </c>
      <c r="F633" s="12">
        <v>42735.085856481484</v>
      </c>
      <c r="G633" s="17" t="s">
        <v>2783</v>
      </c>
      <c r="H633" s="35" t="s">
        <v>2978</v>
      </c>
      <c r="I633" s="18" t="s">
        <v>3827</v>
      </c>
    </row>
    <row r="634" spans="1:9" s="11" customFormat="1">
      <c r="A634" s="19">
        <v>43551.569131944445</v>
      </c>
      <c r="B634" s="20" t="s">
        <v>13320</v>
      </c>
      <c r="C634" s="21" t="s">
        <v>7118</v>
      </c>
      <c r="D634" s="22" t="s">
        <v>7119</v>
      </c>
      <c r="E634" s="23" t="s">
        <v>13013</v>
      </c>
      <c r="F634" s="19">
        <v>41057.141504629632</v>
      </c>
      <c r="G634" s="24" t="s">
        <v>2783</v>
      </c>
      <c r="H634" s="35" t="s">
        <v>7120</v>
      </c>
      <c r="I634" s="25"/>
    </row>
    <row r="635" spans="1:9" s="11" customFormat="1" ht="90">
      <c r="A635" s="19">
        <v>43547.277858796297</v>
      </c>
      <c r="B635" s="20" t="s">
        <v>13321</v>
      </c>
      <c r="C635" s="21" t="s">
        <v>8599</v>
      </c>
      <c r="D635" s="22" t="s">
        <v>8600</v>
      </c>
      <c r="E635" s="23" t="s">
        <v>13009</v>
      </c>
      <c r="F635" s="19">
        <v>42792.545324074075</v>
      </c>
      <c r="G635" s="24" t="s">
        <v>2783</v>
      </c>
      <c r="H635" s="35" t="s">
        <v>7120</v>
      </c>
      <c r="I635" s="25" t="s">
        <v>8601</v>
      </c>
    </row>
    <row r="636" spans="1:9" s="11" customFormat="1" ht="90">
      <c r="A636" s="19">
        <v>43545.937627314815</v>
      </c>
      <c r="B636" s="20" t="s">
        <v>13321</v>
      </c>
      <c r="C636" s="21" t="s">
        <v>8599</v>
      </c>
      <c r="D636" s="22" t="s">
        <v>8995</v>
      </c>
      <c r="E636" s="23" t="s">
        <v>13034</v>
      </c>
      <c r="F636" s="19">
        <v>42792.545324074075</v>
      </c>
      <c r="G636" s="24" t="s">
        <v>2783</v>
      </c>
      <c r="H636" s="35" t="s">
        <v>7120</v>
      </c>
      <c r="I636" s="25" t="s">
        <v>8601</v>
      </c>
    </row>
    <row r="637" spans="1:9" s="11" customFormat="1" ht="30">
      <c r="A637" s="12">
        <v>43576.125138888892</v>
      </c>
      <c r="B637" s="13" t="s">
        <v>13322</v>
      </c>
      <c r="C637" s="14" t="s">
        <v>2044</v>
      </c>
      <c r="D637" s="15" t="s">
        <v>2045</v>
      </c>
      <c r="E637" s="16" t="s">
        <v>13018</v>
      </c>
      <c r="F637" s="12">
        <v>40702.006238425922</v>
      </c>
      <c r="G637" s="17" t="s">
        <v>2783</v>
      </c>
      <c r="H637" s="35" t="s">
        <v>2046</v>
      </c>
      <c r="I637" s="18" t="s">
        <v>2047</v>
      </c>
    </row>
    <row r="638" spans="1:9" s="11" customFormat="1" ht="60">
      <c r="A638" s="19">
        <v>43551.663344907407</v>
      </c>
      <c r="B638" s="20" t="s">
        <v>13323</v>
      </c>
      <c r="C638" s="21" t="s">
        <v>560</v>
      </c>
      <c r="D638" s="22" t="s">
        <v>7069</v>
      </c>
      <c r="E638" s="23" t="s">
        <v>13011</v>
      </c>
      <c r="F638" s="19">
        <v>43323.071516203709</v>
      </c>
      <c r="G638" s="17" t="s">
        <v>2783</v>
      </c>
      <c r="H638" s="35" t="s">
        <v>562</v>
      </c>
      <c r="I638" s="25"/>
    </row>
    <row r="639" spans="1:9" s="11" customFormat="1" ht="45">
      <c r="A639" s="19">
        <v>43551.662650462968</v>
      </c>
      <c r="B639" s="20" t="s">
        <v>13323</v>
      </c>
      <c r="C639" s="21" t="s">
        <v>560</v>
      </c>
      <c r="D639" s="22" t="s">
        <v>7070</v>
      </c>
      <c r="E639" s="23" t="s">
        <v>13011</v>
      </c>
      <c r="F639" s="19">
        <v>43323.071516203709</v>
      </c>
      <c r="G639" s="17" t="s">
        <v>2783</v>
      </c>
      <c r="H639" s="35" t="s">
        <v>562</v>
      </c>
      <c r="I639" s="25"/>
    </row>
    <row r="640" spans="1:9" s="11" customFormat="1" ht="45">
      <c r="A640" s="19">
        <v>43551.661354166667</v>
      </c>
      <c r="B640" s="20" t="s">
        <v>13323</v>
      </c>
      <c r="C640" s="21" t="s">
        <v>560</v>
      </c>
      <c r="D640" s="22" t="s">
        <v>7071</v>
      </c>
      <c r="E640" s="23" t="s">
        <v>13011</v>
      </c>
      <c r="F640" s="19">
        <v>43323.071516203709</v>
      </c>
      <c r="G640" s="17" t="s">
        <v>2783</v>
      </c>
      <c r="H640" s="35" t="s">
        <v>562</v>
      </c>
      <c r="I640" s="25"/>
    </row>
    <row r="641" spans="1:9" s="11" customFormat="1" ht="45">
      <c r="A641" s="19">
        <v>43551.659363425926</v>
      </c>
      <c r="B641" s="20" t="s">
        <v>13323</v>
      </c>
      <c r="C641" s="21" t="s">
        <v>560</v>
      </c>
      <c r="D641" s="22" t="s">
        <v>7072</v>
      </c>
      <c r="E641" s="23" t="s">
        <v>13011</v>
      </c>
      <c r="F641" s="19">
        <v>43323.071516203709</v>
      </c>
      <c r="G641" s="17" t="s">
        <v>2783</v>
      </c>
      <c r="H641" s="35" t="s">
        <v>562</v>
      </c>
      <c r="I641" s="25"/>
    </row>
    <row r="642" spans="1:9" s="11" customFormat="1" ht="60">
      <c r="A642" s="19">
        <v>43551.658819444448</v>
      </c>
      <c r="B642" s="20" t="s">
        <v>13323</v>
      </c>
      <c r="C642" s="21" t="s">
        <v>560</v>
      </c>
      <c r="D642" s="22" t="s">
        <v>7073</v>
      </c>
      <c r="E642" s="23" t="s">
        <v>13011</v>
      </c>
      <c r="F642" s="19">
        <v>43323.071516203709</v>
      </c>
      <c r="G642" s="17" t="s">
        <v>2783</v>
      </c>
      <c r="H642" s="35" t="s">
        <v>562</v>
      </c>
      <c r="I642" s="25"/>
    </row>
    <row r="643" spans="1:9" s="11" customFormat="1" ht="75">
      <c r="A643" s="19">
        <v>43551.658055555556</v>
      </c>
      <c r="B643" s="20" t="s">
        <v>13323</v>
      </c>
      <c r="C643" s="21" t="s">
        <v>560</v>
      </c>
      <c r="D643" s="22" t="s">
        <v>7074</v>
      </c>
      <c r="E643" s="23" t="s">
        <v>13011</v>
      </c>
      <c r="F643" s="19">
        <v>43323.071516203709</v>
      </c>
      <c r="G643" s="17" t="s">
        <v>2783</v>
      </c>
      <c r="H643" s="35" t="s">
        <v>562</v>
      </c>
      <c r="I643" s="25"/>
    </row>
    <row r="644" spans="1:9" s="11" customFormat="1" ht="30">
      <c r="A644" s="19">
        <v>43551.261655092589</v>
      </c>
      <c r="B644" s="20" t="s">
        <v>13323</v>
      </c>
      <c r="C644" s="21" t="s">
        <v>560</v>
      </c>
      <c r="D644" s="22" t="s">
        <v>7372</v>
      </c>
      <c r="E644" s="23" t="s">
        <v>13011</v>
      </c>
      <c r="F644" s="19">
        <v>43323.071516203709</v>
      </c>
      <c r="G644" s="17" t="s">
        <v>2783</v>
      </c>
      <c r="H644" s="35" t="s">
        <v>562</v>
      </c>
      <c r="I644" s="25"/>
    </row>
    <row r="645" spans="1:9" s="11" customFormat="1" ht="30">
      <c r="A645" s="4">
        <v>43565.641851851848</v>
      </c>
      <c r="B645" s="5" t="s">
        <v>13323</v>
      </c>
      <c r="C645" s="6" t="s">
        <v>560</v>
      </c>
      <c r="D645" s="7" t="s">
        <v>10170</v>
      </c>
      <c r="E645" s="8" t="s">
        <v>13011</v>
      </c>
      <c r="F645" s="4">
        <v>43323.071516203709</v>
      </c>
      <c r="G645" s="17" t="s">
        <v>2783</v>
      </c>
      <c r="H645" s="35" t="s">
        <v>562</v>
      </c>
      <c r="I645" s="10"/>
    </row>
    <row r="646" spans="1:9" s="11" customFormat="1" ht="60">
      <c r="A646" s="4">
        <v>43565.640023148153</v>
      </c>
      <c r="B646" s="5" t="s">
        <v>13323</v>
      </c>
      <c r="C646" s="6" t="s">
        <v>560</v>
      </c>
      <c r="D646" s="7" t="s">
        <v>10171</v>
      </c>
      <c r="E646" s="8" t="s">
        <v>13011</v>
      </c>
      <c r="F646" s="4">
        <v>43323.071516203709</v>
      </c>
      <c r="G646" s="17" t="s">
        <v>2783</v>
      </c>
      <c r="H646" s="35" t="s">
        <v>562</v>
      </c>
      <c r="I646" s="10"/>
    </row>
    <row r="647" spans="1:9" s="11" customFormat="1" ht="45">
      <c r="A647" s="4">
        <v>43565.63753472222</v>
      </c>
      <c r="B647" s="5" t="s">
        <v>13323</v>
      </c>
      <c r="C647" s="6" t="s">
        <v>560</v>
      </c>
      <c r="D647" s="7" t="s">
        <v>561</v>
      </c>
      <c r="E647" s="8" t="s">
        <v>13011</v>
      </c>
      <c r="F647" s="4">
        <v>43323.071516203709</v>
      </c>
      <c r="G647" s="17" t="s">
        <v>2783</v>
      </c>
      <c r="H647" s="35" t="s">
        <v>562</v>
      </c>
      <c r="I647" s="10"/>
    </row>
    <row r="648" spans="1:9" s="11" customFormat="1" ht="75">
      <c r="A648" s="4">
        <v>43565.636550925927</v>
      </c>
      <c r="B648" s="5" t="s">
        <v>13323</v>
      </c>
      <c r="C648" s="6" t="s">
        <v>560</v>
      </c>
      <c r="D648" s="7" t="s">
        <v>10172</v>
      </c>
      <c r="E648" s="8" t="s">
        <v>13011</v>
      </c>
      <c r="F648" s="4">
        <v>43323.071516203709</v>
      </c>
      <c r="G648" s="17" t="s">
        <v>2783</v>
      </c>
      <c r="H648" s="35" t="s">
        <v>562</v>
      </c>
      <c r="I648" s="10"/>
    </row>
    <row r="649" spans="1:9" s="11" customFormat="1" ht="60">
      <c r="A649" s="4">
        <v>43565.235625000001</v>
      </c>
      <c r="B649" s="5" t="s">
        <v>13323</v>
      </c>
      <c r="C649" s="6" t="s">
        <v>560</v>
      </c>
      <c r="D649" s="7" t="s">
        <v>1872</v>
      </c>
      <c r="E649" s="8" t="s">
        <v>13011</v>
      </c>
      <c r="F649" s="4">
        <v>43323.071516203709</v>
      </c>
      <c r="G649" s="17" t="s">
        <v>2783</v>
      </c>
      <c r="H649" s="35" t="s">
        <v>562</v>
      </c>
      <c r="I649" s="10"/>
    </row>
    <row r="650" spans="1:9" s="11" customFormat="1" ht="45">
      <c r="A650" s="12">
        <v>43579.591134259259</v>
      </c>
      <c r="B650" s="13" t="s">
        <v>13323</v>
      </c>
      <c r="C650" s="14" t="s">
        <v>560</v>
      </c>
      <c r="D650" s="15" t="s">
        <v>561</v>
      </c>
      <c r="E650" s="16" t="s">
        <v>13011</v>
      </c>
      <c r="F650" s="12">
        <v>43323.071516203709</v>
      </c>
      <c r="G650" s="17" t="s">
        <v>2783</v>
      </c>
      <c r="H650" s="35" t="s">
        <v>562</v>
      </c>
      <c r="I650" s="18"/>
    </row>
    <row r="651" spans="1:9" s="11" customFormat="1" ht="75">
      <c r="A651" s="12">
        <v>43579.588240740741</v>
      </c>
      <c r="B651" s="13" t="s">
        <v>13323</v>
      </c>
      <c r="C651" s="14" t="s">
        <v>560</v>
      </c>
      <c r="D651" s="15" t="s">
        <v>563</v>
      </c>
      <c r="E651" s="16" t="s">
        <v>13011</v>
      </c>
      <c r="F651" s="12">
        <v>43323.071516203709</v>
      </c>
      <c r="G651" s="17" t="s">
        <v>2783</v>
      </c>
      <c r="H651" s="35" t="s">
        <v>562</v>
      </c>
      <c r="I651" s="18"/>
    </row>
    <row r="652" spans="1:9" s="11" customFormat="1" ht="45">
      <c r="A652" s="12">
        <v>43578.66978009259</v>
      </c>
      <c r="B652" s="13" t="s">
        <v>13323</v>
      </c>
      <c r="C652" s="14" t="s">
        <v>560</v>
      </c>
      <c r="D652" s="15" t="s">
        <v>561</v>
      </c>
      <c r="E652" s="16" t="s">
        <v>13011</v>
      </c>
      <c r="F652" s="12">
        <v>43323.071516203709</v>
      </c>
      <c r="G652" s="17" t="s">
        <v>2783</v>
      </c>
      <c r="H652" s="35" t="s">
        <v>562</v>
      </c>
      <c r="I652" s="18"/>
    </row>
    <row r="653" spans="1:9" s="11" customFormat="1" ht="75">
      <c r="A653" s="12">
        <v>43578.667372685188</v>
      </c>
      <c r="B653" s="13" t="s">
        <v>13323</v>
      </c>
      <c r="C653" s="14" t="s">
        <v>560</v>
      </c>
      <c r="D653" s="15" t="s">
        <v>1117</v>
      </c>
      <c r="E653" s="16" t="s">
        <v>13011</v>
      </c>
      <c r="F653" s="12">
        <v>43323.071516203709</v>
      </c>
      <c r="G653" s="17" t="s">
        <v>2783</v>
      </c>
      <c r="H653" s="35" t="s">
        <v>562</v>
      </c>
      <c r="I653" s="18"/>
    </row>
    <row r="654" spans="1:9" s="11" customFormat="1" ht="45">
      <c r="A654" s="12">
        <v>43577.633263888885</v>
      </c>
      <c r="B654" s="13" t="s">
        <v>13323</v>
      </c>
      <c r="C654" s="14" t="s">
        <v>560</v>
      </c>
      <c r="D654" s="15" t="s">
        <v>561</v>
      </c>
      <c r="E654" s="16" t="s">
        <v>13011</v>
      </c>
      <c r="F654" s="12">
        <v>43323.071516203709</v>
      </c>
      <c r="G654" s="17" t="s">
        <v>2783</v>
      </c>
      <c r="H654" s="35" t="s">
        <v>562</v>
      </c>
      <c r="I654" s="18"/>
    </row>
    <row r="655" spans="1:9" s="11" customFormat="1" ht="75">
      <c r="A655" s="12">
        <v>43577.630300925928</v>
      </c>
      <c r="B655" s="13" t="s">
        <v>13323</v>
      </c>
      <c r="C655" s="14" t="s">
        <v>560</v>
      </c>
      <c r="D655" s="15" t="s">
        <v>1117</v>
      </c>
      <c r="E655" s="16" t="s">
        <v>13011</v>
      </c>
      <c r="F655" s="12">
        <v>43323.071516203709</v>
      </c>
      <c r="G655" s="17" t="s">
        <v>2783</v>
      </c>
      <c r="H655" s="35" t="s">
        <v>562</v>
      </c>
      <c r="I655" s="18"/>
    </row>
    <row r="656" spans="1:9" s="11" customFormat="1" ht="45">
      <c r="A656" s="12">
        <v>43576.68450231482</v>
      </c>
      <c r="B656" s="13" t="s">
        <v>13323</v>
      </c>
      <c r="C656" s="14" t="s">
        <v>560</v>
      </c>
      <c r="D656" s="15" t="s">
        <v>561</v>
      </c>
      <c r="E656" s="16" t="s">
        <v>13011</v>
      </c>
      <c r="F656" s="12">
        <v>43323.071516203709</v>
      </c>
      <c r="G656" s="17" t="s">
        <v>2783</v>
      </c>
      <c r="H656" s="35" t="s">
        <v>562</v>
      </c>
      <c r="I656" s="18"/>
    </row>
    <row r="657" spans="1:9" s="11" customFormat="1" ht="75">
      <c r="A657" s="12">
        <v>43576.677407407406</v>
      </c>
      <c r="B657" s="13" t="s">
        <v>13323</v>
      </c>
      <c r="C657" s="14" t="s">
        <v>560</v>
      </c>
      <c r="D657" s="15" t="s">
        <v>1868</v>
      </c>
      <c r="E657" s="16" t="s">
        <v>13011</v>
      </c>
      <c r="F657" s="12">
        <v>43323.071516203709</v>
      </c>
      <c r="G657" s="17" t="s">
        <v>2783</v>
      </c>
      <c r="H657" s="35" t="s">
        <v>562</v>
      </c>
      <c r="I657" s="18"/>
    </row>
    <row r="658" spans="1:9" s="11" customFormat="1" ht="60">
      <c r="A658" s="12">
        <v>43576.670300925922</v>
      </c>
      <c r="B658" s="13" t="s">
        <v>13323</v>
      </c>
      <c r="C658" s="14" t="s">
        <v>560</v>
      </c>
      <c r="D658" s="15" t="s">
        <v>1872</v>
      </c>
      <c r="E658" s="16" t="s">
        <v>13011</v>
      </c>
      <c r="F658" s="12">
        <v>43323.071516203709</v>
      </c>
      <c r="G658" s="17" t="s">
        <v>2783</v>
      </c>
      <c r="H658" s="35" t="s">
        <v>562</v>
      </c>
      <c r="I658" s="18"/>
    </row>
    <row r="659" spans="1:9" s="11" customFormat="1" ht="75">
      <c r="A659" s="12">
        <v>43576.669386574074</v>
      </c>
      <c r="B659" s="13" t="s">
        <v>13323</v>
      </c>
      <c r="C659" s="14" t="s">
        <v>560</v>
      </c>
      <c r="D659" s="15" t="s">
        <v>1873</v>
      </c>
      <c r="E659" s="16" t="s">
        <v>13011</v>
      </c>
      <c r="F659" s="12">
        <v>43323.071516203709</v>
      </c>
      <c r="G659" s="17" t="s">
        <v>2783</v>
      </c>
      <c r="H659" s="35" t="s">
        <v>562</v>
      </c>
      <c r="I659" s="18"/>
    </row>
    <row r="660" spans="1:9" s="11" customFormat="1" ht="45">
      <c r="A660" s="12">
        <v>43575.645127314812</v>
      </c>
      <c r="B660" s="13" t="s">
        <v>13323</v>
      </c>
      <c r="C660" s="14" t="s">
        <v>560</v>
      </c>
      <c r="D660" s="15" t="s">
        <v>561</v>
      </c>
      <c r="E660" s="16" t="s">
        <v>13011</v>
      </c>
      <c r="F660" s="12">
        <v>43323.071516203709</v>
      </c>
      <c r="G660" s="17" t="s">
        <v>2783</v>
      </c>
      <c r="H660" s="35" t="s">
        <v>562</v>
      </c>
      <c r="I660" s="18"/>
    </row>
    <row r="661" spans="1:9" s="11" customFormat="1" ht="75">
      <c r="A661" s="12">
        <v>43575.643993055557</v>
      </c>
      <c r="B661" s="13" t="s">
        <v>13323</v>
      </c>
      <c r="C661" s="14" t="s">
        <v>560</v>
      </c>
      <c r="D661" s="15" t="s">
        <v>2156</v>
      </c>
      <c r="E661" s="16" t="s">
        <v>13011</v>
      </c>
      <c r="F661" s="12">
        <v>43323.071516203709</v>
      </c>
      <c r="G661" s="17" t="s">
        <v>2783</v>
      </c>
      <c r="H661" s="35" t="s">
        <v>562</v>
      </c>
      <c r="I661" s="18"/>
    </row>
    <row r="662" spans="1:9" s="11" customFormat="1" ht="60">
      <c r="A662" s="12">
        <v>43575.637870370367</v>
      </c>
      <c r="B662" s="13" t="s">
        <v>13323</v>
      </c>
      <c r="C662" s="14" t="s">
        <v>560</v>
      </c>
      <c r="D662" s="15" t="s">
        <v>1872</v>
      </c>
      <c r="E662" s="16" t="s">
        <v>13011</v>
      </c>
      <c r="F662" s="12">
        <v>43323.071516203709</v>
      </c>
      <c r="G662" s="17" t="s">
        <v>2783</v>
      </c>
      <c r="H662" s="35" t="s">
        <v>562</v>
      </c>
      <c r="I662" s="18"/>
    </row>
    <row r="663" spans="1:9" s="11" customFormat="1" ht="75">
      <c r="A663" s="12">
        <v>43575.637118055558</v>
      </c>
      <c r="B663" s="13" t="s">
        <v>13323</v>
      </c>
      <c r="C663" s="14" t="s">
        <v>560</v>
      </c>
      <c r="D663" s="15" t="s">
        <v>1873</v>
      </c>
      <c r="E663" s="16" t="s">
        <v>13011</v>
      </c>
      <c r="F663" s="12">
        <v>43323.071516203709</v>
      </c>
      <c r="G663" s="17" t="s">
        <v>2783</v>
      </c>
      <c r="H663" s="35" t="s">
        <v>562</v>
      </c>
      <c r="I663" s="18"/>
    </row>
    <row r="664" spans="1:9" s="11" customFormat="1" ht="45">
      <c r="A664" s="12">
        <v>43573.663495370369</v>
      </c>
      <c r="B664" s="13" t="s">
        <v>13323</v>
      </c>
      <c r="C664" s="14" t="s">
        <v>560</v>
      </c>
      <c r="D664" s="15" t="s">
        <v>561</v>
      </c>
      <c r="E664" s="16" t="s">
        <v>13011</v>
      </c>
      <c r="F664" s="12">
        <v>43323.071516203709</v>
      </c>
      <c r="G664" s="17" t="s">
        <v>2783</v>
      </c>
      <c r="H664" s="35" t="s">
        <v>562</v>
      </c>
      <c r="I664" s="18"/>
    </row>
    <row r="665" spans="1:9" s="11" customFormat="1" ht="75">
      <c r="A665" s="12">
        <v>43573.662615740745</v>
      </c>
      <c r="B665" s="13" t="s">
        <v>13323</v>
      </c>
      <c r="C665" s="14" t="s">
        <v>560</v>
      </c>
      <c r="D665" s="15" t="s">
        <v>2789</v>
      </c>
      <c r="E665" s="16" t="s">
        <v>13011</v>
      </c>
      <c r="F665" s="12">
        <v>43323.071516203709</v>
      </c>
      <c r="G665" s="17" t="s">
        <v>2783</v>
      </c>
      <c r="H665" s="35" t="s">
        <v>562</v>
      </c>
      <c r="I665" s="18"/>
    </row>
    <row r="666" spans="1:9" s="11" customFormat="1" ht="60">
      <c r="A666" s="12">
        <v>43573.38490740741</v>
      </c>
      <c r="B666" s="13" t="s">
        <v>13323</v>
      </c>
      <c r="C666" s="14" t="s">
        <v>560</v>
      </c>
      <c r="D666" s="15" t="s">
        <v>1872</v>
      </c>
      <c r="E666" s="16" t="s">
        <v>13011</v>
      </c>
      <c r="F666" s="12">
        <v>43323.071516203709</v>
      </c>
      <c r="G666" s="17" t="s">
        <v>2783</v>
      </c>
      <c r="H666" s="35" t="s">
        <v>562</v>
      </c>
      <c r="I666" s="18"/>
    </row>
    <row r="667" spans="1:9" s="11" customFormat="1" ht="75">
      <c r="A667" s="12">
        <v>43573.381979166668</v>
      </c>
      <c r="B667" s="13" t="s">
        <v>13323</v>
      </c>
      <c r="C667" s="14" t="s">
        <v>560</v>
      </c>
      <c r="D667" s="15" t="s">
        <v>1873</v>
      </c>
      <c r="E667" s="16" t="s">
        <v>13011</v>
      </c>
      <c r="F667" s="12">
        <v>43323.071516203709</v>
      </c>
      <c r="G667" s="17" t="s">
        <v>2783</v>
      </c>
      <c r="H667" s="35" t="s">
        <v>562</v>
      </c>
      <c r="I667" s="18"/>
    </row>
    <row r="668" spans="1:9" s="11" customFormat="1" ht="90">
      <c r="A668" s="12">
        <v>43573.361354166671</v>
      </c>
      <c r="B668" s="13" t="s">
        <v>13323</v>
      </c>
      <c r="C668" s="14" t="s">
        <v>560</v>
      </c>
      <c r="D668" s="15" t="s">
        <v>2920</v>
      </c>
      <c r="E668" s="16" t="s">
        <v>13011</v>
      </c>
      <c r="F668" s="12">
        <v>43323.071516203709</v>
      </c>
      <c r="G668" s="17" t="s">
        <v>2783</v>
      </c>
      <c r="H668" s="35" t="s">
        <v>562</v>
      </c>
      <c r="I668" s="18"/>
    </row>
    <row r="669" spans="1:9" s="11" customFormat="1" ht="45">
      <c r="A669" s="12">
        <v>43572.597615740742</v>
      </c>
      <c r="B669" s="13" t="s">
        <v>13323</v>
      </c>
      <c r="C669" s="14" t="s">
        <v>560</v>
      </c>
      <c r="D669" s="15" t="s">
        <v>561</v>
      </c>
      <c r="E669" s="16" t="s">
        <v>13011</v>
      </c>
      <c r="F669" s="12">
        <v>43323.071516203709</v>
      </c>
      <c r="G669" s="17" t="s">
        <v>2783</v>
      </c>
      <c r="H669" s="35" t="s">
        <v>562</v>
      </c>
      <c r="I669" s="18"/>
    </row>
    <row r="670" spans="1:9" s="11" customFormat="1" ht="75">
      <c r="A670" s="12">
        <v>43572.596875000003</v>
      </c>
      <c r="B670" s="13" t="s">
        <v>13323</v>
      </c>
      <c r="C670" s="14" t="s">
        <v>560</v>
      </c>
      <c r="D670" s="15" t="s">
        <v>2789</v>
      </c>
      <c r="E670" s="16" t="s">
        <v>13011</v>
      </c>
      <c r="F670" s="12">
        <v>43323.071516203709</v>
      </c>
      <c r="G670" s="17" t="s">
        <v>2783</v>
      </c>
      <c r="H670" s="35" t="s">
        <v>562</v>
      </c>
      <c r="I670" s="18"/>
    </row>
    <row r="671" spans="1:9" s="11" customFormat="1" ht="30">
      <c r="A671" s="12">
        <v>43572.315104166672</v>
      </c>
      <c r="B671" s="13" t="s">
        <v>13323</v>
      </c>
      <c r="C671" s="14" t="s">
        <v>560</v>
      </c>
      <c r="D671" s="15" t="s">
        <v>3339</v>
      </c>
      <c r="E671" s="16" t="s">
        <v>13011</v>
      </c>
      <c r="F671" s="12">
        <v>43323.071516203709</v>
      </c>
      <c r="G671" s="17" t="s">
        <v>2783</v>
      </c>
      <c r="H671" s="35" t="s">
        <v>562</v>
      </c>
      <c r="I671" s="18"/>
    </row>
    <row r="672" spans="1:9" s="11" customFormat="1" ht="75">
      <c r="A672" s="12">
        <v>43572.3125</v>
      </c>
      <c r="B672" s="13" t="s">
        <v>13323</v>
      </c>
      <c r="C672" s="14" t="s">
        <v>560</v>
      </c>
      <c r="D672" s="15" t="s">
        <v>1873</v>
      </c>
      <c r="E672" s="16" t="s">
        <v>13011</v>
      </c>
      <c r="F672" s="12">
        <v>43323.071516203709</v>
      </c>
      <c r="G672" s="17" t="s">
        <v>2783</v>
      </c>
      <c r="H672" s="35" t="s">
        <v>562</v>
      </c>
      <c r="I672" s="18"/>
    </row>
    <row r="673" spans="1:9" s="11" customFormat="1" ht="60">
      <c r="A673" s="12">
        <v>43572.307222222225</v>
      </c>
      <c r="B673" s="13" t="s">
        <v>13323</v>
      </c>
      <c r="C673" s="14" t="s">
        <v>560</v>
      </c>
      <c r="D673" s="15" t="s">
        <v>1872</v>
      </c>
      <c r="E673" s="16" t="s">
        <v>13011</v>
      </c>
      <c r="F673" s="12">
        <v>43323.071516203709</v>
      </c>
      <c r="G673" s="17" t="s">
        <v>2783</v>
      </c>
      <c r="H673" s="35" t="s">
        <v>562</v>
      </c>
      <c r="I673" s="18"/>
    </row>
    <row r="674" spans="1:9" s="11" customFormat="1" ht="60">
      <c r="A674" s="4">
        <v>43562.948761574073</v>
      </c>
      <c r="B674" s="5" t="s">
        <v>13324</v>
      </c>
      <c r="C674" s="6" t="s">
        <v>10531</v>
      </c>
      <c r="D674" s="7" t="s">
        <v>10532</v>
      </c>
      <c r="E674" s="8" t="s">
        <v>13011</v>
      </c>
      <c r="F674" s="4">
        <v>43558.761504629627</v>
      </c>
      <c r="G674" s="17" t="s">
        <v>2783</v>
      </c>
      <c r="H674" s="35" t="s">
        <v>10533</v>
      </c>
      <c r="I674" s="10" t="s">
        <v>10534</v>
      </c>
    </row>
    <row r="675" spans="1:9" s="11" customFormat="1" ht="75">
      <c r="A675" s="4">
        <v>43559.800162037034</v>
      </c>
      <c r="B675" s="5" t="s">
        <v>13324</v>
      </c>
      <c r="C675" s="6" t="s">
        <v>10531</v>
      </c>
      <c r="D675" s="7" t="s">
        <v>11693</v>
      </c>
      <c r="E675" s="8" t="s">
        <v>13011</v>
      </c>
      <c r="F675" s="4">
        <v>43558.761504629627</v>
      </c>
      <c r="G675" s="17" t="s">
        <v>2783</v>
      </c>
      <c r="H675" s="35" t="s">
        <v>10533</v>
      </c>
      <c r="I675" s="10" t="s">
        <v>10534</v>
      </c>
    </row>
    <row r="676" spans="1:9" s="11" customFormat="1" ht="60">
      <c r="A676" s="4">
        <v>43558.796319444446</v>
      </c>
      <c r="B676" s="5" t="s">
        <v>13324</v>
      </c>
      <c r="C676" s="6" t="s">
        <v>10531</v>
      </c>
      <c r="D676" s="7" t="s">
        <v>12035</v>
      </c>
      <c r="E676" s="8" t="s">
        <v>13011</v>
      </c>
      <c r="F676" s="4">
        <v>43558.761504629627</v>
      </c>
      <c r="G676" s="17" t="s">
        <v>2783</v>
      </c>
      <c r="H676" s="35" t="s">
        <v>10533</v>
      </c>
      <c r="I676" s="10" t="s">
        <v>10534</v>
      </c>
    </row>
    <row r="677" spans="1:9" s="11" customFormat="1" ht="105">
      <c r="A677" s="12">
        <v>43579.95112268519</v>
      </c>
      <c r="B677" s="13" t="s">
        <v>13325</v>
      </c>
      <c r="C677" s="14" t="s">
        <v>379</v>
      </c>
      <c r="D677" s="15" t="s">
        <v>380</v>
      </c>
      <c r="E677" s="16" t="s">
        <v>13009</v>
      </c>
      <c r="F677" s="12">
        <v>43391.095555555556</v>
      </c>
      <c r="G677" s="17" t="s">
        <v>2783</v>
      </c>
      <c r="H677" s="35" t="s">
        <v>381</v>
      </c>
      <c r="I677" s="18" t="s">
        <v>382</v>
      </c>
    </row>
    <row r="678" spans="1:9" s="11" customFormat="1" ht="90">
      <c r="A678" s="4">
        <v>43560.775104166663</v>
      </c>
      <c r="B678" s="5" t="s">
        <v>13326</v>
      </c>
      <c r="C678" s="6" t="s">
        <v>11170</v>
      </c>
      <c r="D678" s="7" t="s">
        <v>11171</v>
      </c>
      <c r="E678" s="8" t="s">
        <v>13011</v>
      </c>
      <c r="F678" s="4">
        <v>40099.114988425928</v>
      </c>
      <c r="G678" s="17" t="s">
        <v>2783</v>
      </c>
      <c r="H678" s="35" t="s">
        <v>11172</v>
      </c>
      <c r="I678" s="10" t="s">
        <v>11173</v>
      </c>
    </row>
    <row r="679" spans="1:9" s="11" customFormat="1" ht="45">
      <c r="A679" s="19">
        <v>43550.104351851856</v>
      </c>
      <c r="B679" s="20" t="s">
        <v>13327</v>
      </c>
      <c r="C679" s="21" t="s">
        <v>878</v>
      </c>
      <c r="D679" s="22" t="s">
        <v>7829</v>
      </c>
      <c r="E679" s="23" t="s">
        <v>13032</v>
      </c>
      <c r="F679" s="19">
        <v>43287.059131944443</v>
      </c>
      <c r="G679" s="17" t="s">
        <v>2783</v>
      </c>
      <c r="H679" s="35" t="s">
        <v>880</v>
      </c>
      <c r="I679" s="25" t="s">
        <v>881</v>
      </c>
    </row>
    <row r="680" spans="1:9" s="11" customFormat="1" ht="60">
      <c r="A680" s="4">
        <v>43562.916689814811</v>
      </c>
      <c r="B680" s="5" t="s">
        <v>13327</v>
      </c>
      <c r="C680" s="6" t="s">
        <v>878</v>
      </c>
      <c r="D680" s="7" t="s">
        <v>10550</v>
      </c>
      <c r="E680" s="8" t="s">
        <v>13032</v>
      </c>
      <c r="F680" s="4">
        <v>43287.059131944443</v>
      </c>
      <c r="G680" s="17" t="s">
        <v>2783</v>
      </c>
      <c r="H680" s="35" t="s">
        <v>880</v>
      </c>
      <c r="I680" s="10" t="s">
        <v>881</v>
      </c>
    </row>
    <row r="681" spans="1:9" s="11" customFormat="1" ht="60">
      <c r="A681" s="4">
        <v>43562.911469907413</v>
      </c>
      <c r="B681" s="5" t="s">
        <v>13327</v>
      </c>
      <c r="C681" s="6" t="s">
        <v>878</v>
      </c>
      <c r="D681" s="7" t="s">
        <v>10551</v>
      </c>
      <c r="E681" s="8" t="s">
        <v>13032</v>
      </c>
      <c r="F681" s="4">
        <v>43287.059131944443</v>
      </c>
      <c r="G681" s="17" t="s">
        <v>2783</v>
      </c>
      <c r="H681" s="35" t="s">
        <v>880</v>
      </c>
      <c r="I681" s="10" t="s">
        <v>881</v>
      </c>
    </row>
    <row r="682" spans="1:9" s="11" customFormat="1" ht="60">
      <c r="A682" s="12">
        <v>43579.177361111113</v>
      </c>
      <c r="B682" s="13" t="s">
        <v>13327</v>
      </c>
      <c r="C682" s="14" t="s">
        <v>878</v>
      </c>
      <c r="D682" s="15" t="s">
        <v>879</v>
      </c>
      <c r="E682" s="16" t="s">
        <v>13032</v>
      </c>
      <c r="F682" s="12">
        <v>43287.059131944443</v>
      </c>
      <c r="G682" s="17" t="s">
        <v>2783</v>
      </c>
      <c r="H682" s="35" t="s">
        <v>880</v>
      </c>
      <c r="I682" s="18" t="s">
        <v>881</v>
      </c>
    </row>
    <row r="683" spans="1:9" s="11" customFormat="1" ht="30">
      <c r="A683" s="12">
        <v>43576.335555555561</v>
      </c>
      <c r="B683" s="13" t="s">
        <v>13328</v>
      </c>
      <c r="C683" s="14" t="s">
        <v>1996</v>
      </c>
      <c r="D683" s="15" t="s">
        <v>1997</v>
      </c>
      <c r="E683" s="16" t="s">
        <v>13009</v>
      </c>
      <c r="F683" s="12">
        <v>41057.005520833336</v>
      </c>
      <c r="G683" s="17" t="s">
        <v>2783</v>
      </c>
      <c r="H683" s="35" t="s">
        <v>880</v>
      </c>
      <c r="I683" s="18" t="s">
        <v>1998</v>
      </c>
    </row>
    <row r="684" spans="1:9" s="11" customFormat="1" ht="45">
      <c r="A684" s="19">
        <v>43550.596458333333</v>
      </c>
      <c r="B684" s="20" t="s">
        <v>13329</v>
      </c>
      <c r="C684" s="21" t="s">
        <v>519</v>
      </c>
      <c r="D684" s="22" t="s">
        <v>7598</v>
      </c>
      <c r="E684" s="23" t="s">
        <v>13013</v>
      </c>
      <c r="F684" s="19">
        <v>40276.970659722225</v>
      </c>
      <c r="G684" s="17" t="s">
        <v>2783</v>
      </c>
      <c r="H684" s="35" t="s">
        <v>521</v>
      </c>
      <c r="I684" s="25" t="s">
        <v>522</v>
      </c>
    </row>
    <row r="685" spans="1:9" s="11" customFormat="1" ht="90">
      <c r="A685" s="19">
        <v>43550.245196759264</v>
      </c>
      <c r="B685" s="20" t="s">
        <v>13330</v>
      </c>
      <c r="C685" s="21" t="s">
        <v>7768</v>
      </c>
      <c r="D685" s="22" t="s">
        <v>7769</v>
      </c>
      <c r="E685" s="23" t="s">
        <v>13013</v>
      </c>
      <c r="F685" s="19">
        <v>41333.785752314812</v>
      </c>
      <c r="G685" s="17" t="s">
        <v>2783</v>
      </c>
      <c r="H685" s="35" t="s">
        <v>521</v>
      </c>
      <c r="I685" s="25" t="s">
        <v>7770</v>
      </c>
    </row>
    <row r="686" spans="1:9" s="11" customFormat="1" ht="60">
      <c r="A686" s="19">
        <v>43549.828726851847</v>
      </c>
      <c r="B686" s="20" t="s">
        <v>13331</v>
      </c>
      <c r="C686" s="21" t="s">
        <v>7915</v>
      </c>
      <c r="D686" s="22" t="s">
        <v>7916</v>
      </c>
      <c r="E686" s="23" t="s">
        <v>13011</v>
      </c>
      <c r="F686" s="19">
        <v>43311.590266203704</v>
      </c>
      <c r="G686" s="17" t="s">
        <v>2783</v>
      </c>
      <c r="H686" s="35" t="s">
        <v>521</v>
      </c>
      <c r="I686" s="25" t="s">
        <v>7917</v>
      </c>
    </row>
    <row r="687" spans="1:9" s="11" customFormat="1" ht="90">
      <c r="A687" s="19">
        <v>43549.293217592596</v>
      </c>
      <c r="B687" s="20" t="s">
        <v>13330</v>
      </c>
      <c r="C687" s="21" t="s">
        <v>7768</v>
      </c>
      <c r="D687" s="22" t="s">
        <v>8106</v>
      </c>
      <c r="E687" s="23" t="s">
        <v>13013</v>
      </c>
      <c r="F687" s="19">
        <v>41333.785752314812</v>
      </c>
      <c r="G687" s="17" t="s">
        <v>2783</v>
      </c>
      <c r="H687" s="35" t="s">
        <v>521</v>
      </c>
      <c r="I687" s="25" t="s">
        <v>7770</v>
      </c>
    </row>
    <row r="688" spans="1:9" s="11" customFormat="1" ht="90">
      <c r="A688" s="19">
        <v>43548.719780092593</v>
      </c>
      <c r="B688" s="20" t="s">
        <v>13330</v>
      </c>
      <c r="C688" s="21" t="s">
        <v>7768</v>
      </c>
      <c r="D688" s="22" t="s">
        <v>8233</v>
      </c>
      <c r="E688" s="23" t="s">
        <v>13013</v>
      </c>
      <c r="F688" s="19">
        <v>41333.785752314812</v>
      </c>
      <c r="G688" s="17" t="s">
        <v>2783</v>
      </c>
      <c r="H688" s="35" t="s">
        <v>521</v>
      </c>
      <c r="I688" s="25" t="s">
        <v>7770</v>
      </c>
    </row>
    <row r="689" spans="1:9" s="11" customFormat="1" ht="30">
      <c r="A689" s="19">
        <v>43546.88071759259</v>
      </c>
      <c r="B689" s="20" t="s">
        <v>13332</v>
      </c>
      <c r="C689" s="21" t="s">
        <v>8714</v>
      </c>
      <c r="D689" s="22" t="s">
        <v>8715</v>
      </c>
      <c r="E689" s="23" t="s">
        <v>13032</v>
      </c>
      <c r="F689" s="19">
        <v>40036.17046296296</v>
      </c>
      <c r="G689" s="17" t="s">
        <v>2783</v>
      </c>
      <c r="H689" s="35" t="s">
        <v>521</v>
      </c>
      <c r="I689" s="25" t="s">
        <v>8716</v>
      </c>
    </row>
    <row r="690" spans="1:9" s="11" customFormat="1" ht="90">
      <c r="A690" s="19">
        <v>43545.884606481486</v>
      </c>
      <c r="B690" s="20" t="s">
        <v>13330</v>
      </c>
      <c r="C690" s="21" t="s">
        <v>7768</v>
      </c>
      <c r="D690" s="22" t="s">
        <v>9014</v>
      </c>
      <c r="E690" s="23" t="s">
        <v>13013</v>
      </c>
      <c r="F690" s="19">
        <v>41333.785752314812</v>
      </c>
      <c r="G690" s="17" t="s">
        <v>2783</v>
      </c>
      <c r="H690" s="35" t="s">
        <v>521</v>
      </c>
      <c r="I690" s="25" t="s">
        <v>7770</v>
      </c>
    </row>
    <row r="691" spans="1:9" s="11" customFormat="1" ht="45">
      <c r="A691" s="12">
        <v>43579.682986111111</v>
      </c>
      <c r="B691" s="13" t="s">
        <v>13329</v>
      </c>
      <c r="C691" s="14" t="s">
        <v>519</v>
      </c>
      <c r="D691" s="15" t="s">
        <v>520</v>
      </c>
      <c r="E691" s="16" t="s">
        <v>13013</v>
      </c>
      <c r="F691" s="12">
        <v>40276.970659722225</v>
      </c>
      <c r="G691" s="17" t="s">
        <v>2783</v>
      </c>
      <c r="H691" s="35" t="s">
        <v>521</v>
      </c>
      <c r="I691" s="18" t="s">
        <v>522</v>
      </c>
    </row>
    <row r="692" spans="1:9" s="11" customFormat="1" ht="90">
      <c r="A692" s="12">
        <v>43574.786990740744</v>
      </c>
      <c r="B692" s="13" t="s">
        <v>13333</v>
      </c>
      <c r="C692" s="14" t="s">
        <v>2449</v>
      </c>
      <c r="D692" s="15" t="s">
        <v>2450</v>
      </c>
      <c r="E692" s="16" t="s">
        <v>13013</v>
      </c>
      <c r="F692" s="12">
        <v>40245.139305555553</v>
      </c>
      <c r="G692" s="17" t="s">
        <v>2783</v>
      </c>
      <c r="H692" s="35" t="s">
        <v>521</v>
      </c>
      <c r="I692" s="18" t="s">
        <v>2451</v>
      </c>
    </row>
    <row r="693" spans="1:9" s="11" customFormat="1" ht="60">
      <c r="A693" s="12">
        <v>43566.099791666667</v>
      </c>
      <c r="B693" s="13" t="s">
        <v>13334</v>
      </c>
      <c r="C693" s="14" t="s">
        <v>5795</v>
      </c>
      <c r="D693" s="15" t="s">
        <v>5796</v>
      </c>
      <c r="E693" s="16" t="s">
        <v>13027</v>
      </c>
      <c r="F693" s="12">
        <v>40194.253518518519</v>
      </c>
      <c r="G693" s="17" t="s">
        <v>2783</v>
      </c>
      <c r="H693" s="35" t="s">
        <v>521</v>
      </c>
      <c r="I693" s="18" t="s">
        <v>5797</v>
      </c>
    </row>
    <row r="694" spans="1:9" s="11" customFormat="1" ht="60">
      <c r="A694" s="12">
        <v>43566.058749999997</v>
      </c>
      <c r="B694" s="13" t="s">
        <v>13334</v>
      </c>
      <c r="C694" s="14" t="s">
        <v>5795</v>
      </c>
      <c r="D694" s="15" t="s">
        <v>5810</v>
      </c>
      <c r="E694" s="16" t="s">
        <v>13032</v>
      </c>
      <c r="F694" s="12">
        <v>40194.253518518519</v>
      </c>
      <c r="G694" s="17" t="s">
        <v>2783</v>
      </c>
      <c r="H694" s="35" t="s">
        <v>521</v>
      </c>
      <c r="I694" s="18" t="s">
        <v>5797</v>
      </c>
    </row>
    <row r="695" spans="1:9" s="11" customFormat="1" ht="60">
      <c r="A695" s="4">
        <v>43560.323472222226</v>
      </c>
      <c r="B695" s="5" t="s">
        <v>13335</v>
      </c>
      <c r="C695" s="6" t="s">
        <v>11446</v>
      </c>
      <c r="D695" s="7" t="s">
        <v>11447</v>
      </c>
      <c r="E695" s="8" t="s">
        <v>13011</v>
      </c>
      <c r="F695" s="4">
        <v>41783.875416666662</v>
      </c>
      <c r="G695" s="9" t="s">
        <v>2783</v>
      </c>
      <c r="H695" s="35" t="s">
        <v>11448</v>
      </c>
      <c r="I695" s="10" t="s">
        <v>11449</v>
      </c>
    </row>
    <row r="696" spans="1:9" s="11" customFormat="1" ht="75">
      <c r="A696" s="19">
        <v>43543.985879629632</v>
      </c>
      <c r="B696" s="20" t="s">
        <v>13336</v>
      </c>
      <c r="C696" s="21" t="s">
        <v>9643</v>
      </c>
      <c r="D696" s="22" t="s">
        <v>9644</v>
      </c>
      <c r="E696" s="23" t="s">
        <v>13006</v>
      </c>
      <c r="F696" s="19">
        <v>42628.066990740743</v>
      </c>
      <c r="G696" s="9" t="s">
        <v>2783</v>
      </c>
      <c r="H696" s="35" t="s">
        <v>9645</v>
      </c>
      <c r="I696" s="25" t="s">
        <v>9646</v>
      </c>
    </row>
    <row r="697" spans="1:9" s="11" customFormat="1" ht="105">
      <c r="A697" s="4">
        <v>43562.965277777781</v>
      </c>
      <c r="B697" s="5" t="s">
        <v>13337</v>
      </c>
      <c r="C697" s="6" t="s">
        <v>10526</v>
      </c>
      <c r="D697" s="7" t="s">
        <v>10527</v>
      </c>
      <c r="E697" s="8" t="s">
        <v>13032</v>
      </c>
      <c r="F697" s="4">
        <v>39938.315023148149</v>
      </c>
      <c r="G697" s="9" t="s">
        <v>2783</v>
      </c>
      <c r="H697" s="35" t="s">
        <v>9645</v>
      </c>
      <c r="I697" s="10" t="s">
        <v>10528</v>
      </c>
    </row>
    <row r="698" spans="1:9" s="11" customFormat="1" ht="105">
      <c r="A698" s="4">
        <v>43561.117361111115</v>
      </c>
      <c r="B698" s="5" t="s">
        <v>13337</v>
      </c>
      <c r="C698" s="6" t="s">
        <v>10526</v>
      </c>
      <c r="D698" s="7" t="s">
        <v>11064</v>
      </c>
      <c r="E698" s="8" t="s">
        <v>13032</v>
      </c>
      <c r="F698" s="4">
        <v>39938.315023148149</v>
      </c>
      <c r="G698" s="9" t="s">
        <v>2783</v>
      </c>
      <c r="H698" s="35" t="s">
        <v>9645</v>
      </c>
      <c r="I698" s="10" t="s">
        <v>10528</v>
      </c>
    </row>
    <row r="699" spans="1:9" s="11" customFormat="1" ht="75">
      <c r="A699" s="4">
        <v>43557.174178240741</v>
      </c>
      <c r="B699" s="5" t="s">
        <v>13338</v>
      </c>
      <c r="C699" s="5" t="s">
        <v>12621</v>
      </c>
      <c r="D699" s="7" t="s">
        <v>12622</v>
      </c>
      <c r="E699" s="8" t="s">
        <v>13009</v>
      </c>
      <c r="F699" s="4">
        <v>39541.887233796297</v>
      </c>
      <c r="G699" s="9" t="s">
        <v>2783</v>
      </c>
      <c r="H699" s="35" t="s">
        <v>9645</v>
      </c>
      <c r="I699" s="10" t="s">
        <v>12623</v>
      </c>
    </row>
    <row r="700" spans="1:9" s="11" customFormat="1" ht="60">
      <c r="A700" s="4">
        <v>43559.645833333328</v>
      </c>
      <c r="B700" s="5" t="s">
        <v>13339</v>
      </c>
      <c r="C700" s="6" t="s">
        <v>11718</v>
      </c>
      <c r="D700" s="7" t="s">
        <v>11719</v>
      </c>
      <c r="E700" s="8" t="s">
        <v>13120</v>
      </c>
      <c r="F700" s="4">
        <v>40019.070196759261</v>
      </c>
      <c r="G700" s="9" t="s">
        <v>2783</v>
      </c>
      <c r="H700" s="35" t="s">
        <v>11720</v>
      </c>
      <c r="I700" s="10" t="s">
        <v>11721</v>
      </c>
    </row>
    <row r="701" spans="1:9" s="11" customFormat="1" ht="75">
      <c r="A701" s="4">
        <v>43556.774930555555</v>
      </c>
      <c r="B701" s="5" t="s">
        <v>13340</v>
      </c>
      <c r="C701" s="6" t="s">
        <v>12743</v>
      </c>
      <c r="D701" s="7" t="s">
        <v>12744</v>
      </c>
      <c r="E701" s="8" t="s">
        <v>13341</v>
      </c>
      <c r="F701" s="4">
        <v>41938.724108796298</v>
      </c>
      <c r="G701" s="9" t="s">
        <v>2783</v>
      </c>
      <c r="H701" s="35" t="s">
        <v>12745</v>
      </c>
      <c r="I701" s="10" t="s">
        <v>12746</v>
      </c>
    </row>
    <row r="702" spans="1:9" s="11" customFormat="1" ht="30">
      <c r="A702" s="12">
        <v>43578.680266203708</v>
      </c>
      <c r="B702" s="13" t="s">
        <v>13342</v>
      </c>
      <c r="C702" s="14" t="s">
        <v>1105</v>
      </c>
      <c r="D702" s="15" t="s">
        <v>1106</v>
      </c>
      <c r="E702" s="16" t="s">
        <v>13013</v>
      </c>
      <c r="F702" s="12">
        <v>42977.59373842593</v>
      </c>
      <c r="G702" s="17" t="s">
        <v>2783</v>
      </c>
      <c r="H702" s="35" t="s">
        <v>1107</v>
      </c>
      <c r="I702" s="18" t="s">
        <v>1108</v>
      </c>
    </row>
    <row r="703" spans="1:9" s="11" customFormat="1" ht="60">
      <c r="A703" s="12">
        <v>43576.041608796295</v>
      </c>
      <c r="B703" s="13" t="s">
        <v>13343</v>
      </c>
      <c r="C703" s="14" t="s">
        <v>2070</v>
      </c>
      <c r="D703" s="15" t="s">
        <v>2071</v>
      </c>
      <c r="E703" s="16" t="s">
        <v>13013</v>
      </c>
      <c r="F703" s="12">
        <v>43575.13726851852</v>
      </c>
      <c r="G703" s="17" t="s">
        <v>2783</v>
      </c>
      <c r="H703" s="35" t="s">
        <v>1107</v>
      </c>
      <c r="I703" s="18" t="s">
        <v>2072</v>
      </c>
    </row>
    <row r="704" spans="1:9" s="11" customFormat="1" ht="75">
      <c r="A704" s="4">
        <v>43560.724305555559</v>
      </c>
      <c r="B704" s="5" t="s">
        <v>13344</v>
      </c>
      <c r="C704" s="6" t="s">
        <v>11211</v>
      </c>
      <c r="D704" s="7" t="s">
        <v>11212</v>
      </c>
      <c r="E704" s="8" t="s">
        <v>13120</v>
      </c>
      <c r="F704" s="4">
        <v>41332.145752314813</v>
      </c>
      <c r="G704" s="17" t="s">
        <v>2783</v>
      </c>
      <c r="H704" s="35" t="s">
        <v>11213</v>
      </c>
      <c r="I704" s="10" t="s">
        <v>11214</v>
      </c>
    </row>
    <row r="705" spans="1:9" s="11" customFormat="1" ht="120">
      <c r="A705" s="12">
        <v>43573.417627314819</v>
      </c>
      <c r="B705" s="13" t="s">
        <v>13345</v>
      </c>
      <c r="C705" s="14" t="s">
        <v>2877</v>
      </c>
      <c r="D705" s="15" t="s">
        <v>2878</v>
      </c>
      <c r="E705" s="16" t="s">
        <v>13018</v>
      </c>
      <c r="F705" s="12">
        <v>42764.768449074079</v>
      </c>
      <c r="G705" s="17" t="s">
        <v>2783</v>
      </c>
      <c r="H705" s="35" t="s">
        <v>2879</v>
      </c>
      <c r="I705" s="18" t="s">
        <v>2880</v>
      </c>
    </row>
    <row r="706" spans="1:9" s="11" customFormat="1" ht="75">
      <c r="A706" s="19">
        <v>43551.795277777783</v>
      </c>
      <c r="B706" s="20" t="s">
        <v>13346</v>
      </c>
      <c r="C706" s="21" t="s">
        <v>6994</v>
      </c>
      <c r="D706" s="22" t="s">
        <v>6995</v>
      </c>
      <c r="E706" s="23" t="s">
        <v>13009</v>
      </c>
      <c r="F706" s="19">
        <v>41816.779803240745</v>
      </c>
      <c r="G706" s="17" t="s">
        <v>2783</v>
      </c>
      <c r="H706" s="35" t="s">
        <v>3863</v>
      </c>
      <c r="I706" s="25" t="s">
        <v>6996</v>
      </c>
    </row>
    <row r="707" spans="1:9" s="11" customFormat="1" ht="75">
      <c r="A707" s="12">
        <v>43571.071736111116</v>
      </c>
      <c r="B707" s="13" t="s">
        <v>13347</v>
      </c>
      <c r="C707" s="14" t="s">
        <v>3861</v>
      </c>
      <c r="D707" s="15" t="s">
        <v>3862</v>
      </c>
      <c r="E707" s="16" t="s">
        <v>13011</v>
      </c>
      <c r="F707" s="12">
        <v>43401.399317129632</v>
      </c>
      <c r="G707" s="17" t="s">
        <v>2783</v>
      </c>
      <c r="H707" s="35" t="s">
        <v>3863</v>
      </c>
      <c r="I707" s="18" t="s">
        <v>3864</v>
      </c>
    </row>
    <row r="708" spans="1:9" s="11" customFormat="1" ht="60">
      <c r="A708" s="4">
        <v>43565.094456018516</v>
      </c>
      <c r="B708" s="5" t="s">
        <v>13348</v>
      </c>
      <c r="C708" s="6" t="s">
        <v>6284</v>
      </c>
      <c r="D708" s="7" t="s">
        <v>6285</v>
      </c>
      <c r="E708" s="8" t="s">
        <v>13349</v>
      </c>
      <c r="F708" s="4">
        <v>39918.002500000002</v>
      </c>
      <c r="G708" s="17" t="s">
        <v>2783</v>
      </c>
      <c r="H708" s="35" t="s">
        <v>6286</v>
      </c>
      <c r="I708" s="10" t="s">
        <v>6287</v>
      </c>
    </row>
    <row r="709" spans="1:9" s="11" customFormat="1" ht="105">
      <c r="A709" s="4">
        <v>43556.943657407406</v>
      </c>
      <c r="B709" s="5" t="s">
        <v>13350</v>
      </c>
      <c r="C709" s="5" t="s">
        <v>12696</v>
      </c>
      <c r="D709" s="7" t="s">
        <v>12697</v>
      </c>
      <c r="E709" s="8" t="s">
        <v>13009</v>
      </c>
      <c r="F709" s="4">
        <v>42554.982141203705</v>
      </c>
      <c r="G709" s="9" t="s">
        <v>2783</v>
      </c>
      <c r="H709" s="35" t="s">
        <v>12698</v>
      </c>
      <c r="I709" s="10" t="s">
        <v>12699</v>
      </c>
    </row>
    <row r="710" spans="1:9" s="11" customFormat="1" ht="90">
      <c r="A710" s="4">
        <v>43559.819062499999</v>
      </c>
      <c r="B710" s="5" t="s">
        <v>13351</v>
      </c>
      <c r="C710" s="6" t="s">
        <v>11681</v>
      </c>
      <c r="D710" s="7" t="s">
        <v>11682</v>
      </c>
      <c r="E710" s="8" t="s">
        <v>13352</v>
      </c>
      <c r="F710" s="4">
        <v>42859.875960648147</v>
      </c>
      <c r="G710" s="9" t="s">
        <v>2783</v>
      </c>
      <c r="H710" s="35" t="s">
        <v>11683</v>
      </c>
      <c r="I710" s="10" t="s">
        <v>11684</v>
      </c>
    </row>
    <row r="711" spans="1:9" s="11" customFormat="1" ht="135">
      <c r="A711" s="4">
        <v>43560.978877314818</v>
      </c>
      <c r="B711" s="5" t="s">
        <v>13353</v>
      </c>
      <c r="C711" s="6" t="s">
        <v>11116</v>
      </c>
      <c r="D711" s="7" t="s">
        <v>11117</v>
      </c>
      <c r="E711" s="8" t="s">
        <v>13013</v>
      </c>
      <c r="F711" s="4">
        <v>40667.785312499997</v>
      </c>
      <c r="G711" s="24" t="s">
        <v>2783</v>
      </c>
      <c r="H711" s="35" t="s">
        <v>11118</v>
      </c>
      <c r="I711" s="10" t="s">
        <v>11119</v>
      </c>
    </row>
    <row r="712" spans="1:9" s="11" customFormat="1" ht="135">
      <c r="A712" s="19">
        <v>43547.641215277778</v>
      </c>
      <c r="B712" s="20" t="s">
        <v>13354</v>
      </c>
      <c r="C712" s="21" t="s">
        <v>8491</v>
      </c>
      <c r="D712" s="22" t="s">
        <v>8492</v>
      </c>
      <c r="E712" s="23" t="s">
        <v>13009</v>
      </c>
      <c r="F712" s="19">
        <v>39221.826307870375</v>
      </c>
      <c r="G712" s="24" t="s">
        <v>2783</v>
      </c>
      <c r="H712" s="35" t="s">
        <v>8493</v>
      </c>
      <c r="I712" s="25" t="s">
        <v>8494</v>
      </c>
    </row>
    <row r="713" spans="1:9" s="11" customFormat="1" ht="75">
      <c r="A713" s="19">
        <v>43542.795983796299</v>
      </c>
      <c r="B713" s="20" t="s">
        <v>13355</v>
      </c>
      <c r="C713" s="21" t="s">
        <v>10015</v>
      </c>
      <c r="D713" s="22" t="s">
        <v>10016</v>
      </c>
      <c r="E713" s="23" t="s">
        <v>13032</v>
      </c>
      <c r="F713" s="19">
        <v>39914.852939814817</v>
      </c>
      <c r="G713" s="24" t="s">
        <v>2783</v>
      </c>
      <c r="H713" s="35" t="s">
        <v>10017</v>
      </c>
      <c r="I713" s="25" t="s">
        <v>10018</v>
      </c>
    </row>
    <row r="714" spans="1:9" s="11" customFormat="1" ht="75">
      <c r="A714" s="12">
        <v>43565.887673611112</v>
      </c>
      <c r="B714" s="13" t="s">
        <v>13356</v>
      </c>
      <c r="C714" s="14" t="s">
        <v>5868</v>
      </c>
      <c r="D714" s="15" t="s">
        <v>5869</v>
      </c>
      <c r="E714" s="16" t="s">
        <v>13013</v>
      </c>
      <c r="F714" s="12">
        <v>42342.125208333338</v>
      </c>
      <c r="G714" s="24" t="s">
        <v>2783</v>
      </c>
      <c r="H714" s="35" t="s">
        <v>5870</v>
      </c>
      <c r="I714" s="18" t="s">
        <v>5871</v>
      </c>
    </row>
    <row r="715" spans="1:9" s="11" customFormat="1" ht="60">
      <c r="A715" s="19">
        <v>43549.813252314816</v>
      </c>
      <c r="B715" s="20" t="s">
        <v>13357</v>
      </c>
      <c r="C715" s="21" t="s">
        <v>3088</v>
      </c>
      <c r="D715" s="22" t="s">
        <v>7922</v>
      </c>
      <c r="E715" s="23" t="s">
        <v>13013</v>
      </c>
      <c r="F715" s="19">
        <v>43507.918449074074</v>
      </c>
      <c r="G715" s="24" t="s">
        <v>2783</v>
      </c>
      <c r="H715" s="35" t="s">
        <v>3090</v>
      </c>
      <c r="I715" s="25" t="s">
        <v>3091</v>
      </c>
    </row>
    <row r="716" spans="1:9" s="11" customFormat="1" ht="60">
      <c r="A716" s="12">
        <v>43572.803969907407</v>
      </c>
      <c r="B716" s="13" t="s">
        <v>13357</v>
      </c>
      <c r="C716" s="14" t="s">
        <v>3088</v>
      </c>
      <c r="D716" s="15" t="s">
        <v>3089</v>
      </c>
      <c r="E716" s="16" t="s">
        <v>13013</v>
      </c>
      <c r="F716" s="12">
        <v>43507.918449074074</v>
      </c>
      <c r="G716" s="24" t="s">
        <v>2783</v>
      </c>
      <c r="H716" s="35" t="s">
        <v>3090</v>
      </c>
      <c r="I716" s="18" t="s">
        <v>3091</v>
      </c>
    </row>
    <row r="717" spans="1:9" s="11" customFormat="1" ht="105">
      <c r="A717" s="12">
        <v>43565.919340277775</v>
      </c>
      <c r="B717" s="13" t="s">
        <v>13358</v>
      </c>
      <c r="C717" s="14" t="s">
        <v>5856</v>
      </c>
      <c r="D717" s="15" t="s">
        <v>5857</v>
      </c>
      <c r="E717" s="16" t="s">
        <v>13009</v>
      </c>
      <c r="F717" s="12">
        <v>39848.122476851851</v>
      </c>
      <c r="G717" s="17" t="s">
        <v>2783</v>
      </c>
      <c r="H717" s="35" t="s">
        <v>5858</v>
      </c>
      <c r="I717" s="18" t="s">
        <v>5859</v>
      </c>
    </row>
    <row r="718" spans="1:9" s="11" customFormat="1" ht="60">
      <c r="A718" s="12">
        <v>43567.918923611112</v>
      </c>
      <c r="B718" s="13" t="s">
        <v>13359</v>
      </c>
      <c r="C718" s="14" t="s">
        <v>4915</v>
      </c>
      <c r="D718" s="15" t="s">
        <v>4916</v>
      </c>
      <c r="E718" s="16" t="s">
        <v>13032</v>
      </c>
      <c r="F718" s="12">
        <v>39866.25105324074</v>
      </c>
      <c r="G718" s="17" t="s">
        <v>2783</v>
      </c>
      <c r="H718" s="35" t="s">
        <v>4917</v>
      </c>
      <c r="I718" s="18" t="s">
        <v>4918</v>
      </c>
    </row>
    <row r="719" spans="1:9" s="11" customFormat="1" ht="45">
      <c r="A719" s="12">
        <v>43566.742337962962</v>
      </c>
      <c r="B719" s="13" t="s">
        <v>13359</v>
      </c>
      <c r="C719" s="14" t="s">
        <v>4915</v>
      </c>
      <c r="D719" s="15" t="s">
        <v>5363</v>
      </c>
      <c r="E719" s="16" t="s">
        <v>13032</v>
      </c>
      <c r="F719" s="12">
        <v>39866.25105324074</v>
      </c>
      <c r="G719" s="17" t="s">
        <v>2783</v>
      </c>
      <c r="H719" s="35" t="s">
        <v>4917</v>
      </c>
      <c r="I719" s="18" t="s">
        <v>4918</v>
      </c>
    </row>
    <row r="720" spans="1:9" s="11" customFormat="1" ht="60">
      <c r="A720" s="12">
        <v>43571.900729166664</v>
      </c>
      <c r="B720" s="13" t="s">
        <v>13360</v>
      </c>
      <c r="C720" s="14" t="s">
        <v>3500</v>
      </c>
      <c r="D720" s="15" t="s">
        <v>3501</v>
      </c>
      <c r="E720" s="16" t="s">
        <v>13034</v>
      </c>
      <c r="F720" s="12">
        <v>43520.729525462964</v>
      </c>
      <c r="G720" s="17" t="s">
        <v>2783</v>
      </c>
      <c r="H720" s="35" t="s">
        <v>3502</v>
      </c>
      <c r="I720" s="18" t="s">
        <v>3503</v>
      </c>
    </row>
    <row r="721" spans="1:9" s="11" customFormat="1" ht="45">
      <c r="A721" s="19">
        <v>43551.600624999999</v>
      </c>
      <c r="B721" s="20" t="s">
        <v>13361</v>
      </c>
      <c r="C721" s="21" t="s">
        <v>7090</v>
      </c>
      <c r="D721" s="22" t="s">
        <v>7091</v>
      </c>
      <c r="E721" s="23" t="s">
        <v>13011</v>
      </c>
      <c r="F721" s="19">
        <v>41469.470868055556</v>
      </c>
      <c r="G721" s="17" t="s">
        <v>2783</v>
      </c>
      <c r="H721" s="35" t="s">
        <v>7092</v>
      </c>
      <c r="I721" s="25" t="s">
        <v>7093</v>
      </c>
    </row>
    <row r="722" spans="1:9" s="11" customFormat="1" ht="105">
      <c r="A722" s="19">
        <v>43548.800370370373</v>
      </c>
      <c r="B722" s="20" t="s">
        <v>13362</v>
      </c>
      <c r="C722" s="21" t="s">
        <v>8219</v>
      </c>
      <c r="D722" s="22" t="s">
        <v>8220</v>
      </c>
      <c r="E722" s="23" t="s">
        <v>13013</v>
      </c>
      <c r="F722" s="19">
        <v>41413.367511574077</v>
      </c>
      <c r="G722" s="17" t="s">
        <v>2783</v>
      </c>
      <c r="H722" s="35" t="s">
        <v>441</v>
      </c>
      <c r="I722" s="25" t="s">
        <v>8221</v>
      </c>
    </row>
    <row r="723" spans="1:9" s="11" customFormat="1" ht="60">
      <c r="A723" s="19">
        <v>43548.1</v>
      </c>
      <c r="B723" s="20" t="s">
        <v>13363</v>
      </c>
      <c r="C723" s="21" t="s">
        <v>8411</v>
      </c>
      <c r="D723" s="22" t="s">
        <v>8412</v>
      </c>
      <c r="E723" s="23" t="s">
        <v>13120</v>
      </c>
      <c r="F723" s="19">
        <v>39937.991932870369</v>
      </c>
      <c r="G723" s="17" t="s">
        <v>2783</v>
      </c>
      <c r="H723" s="35" t="s">
        <v>441</v>
      </c>
      <c r="I723" s="25" t="s">
        <v>8413</v>
      </c>
    </row>
    <row r="724" spans="1:9" s="11" customFormat="1" ht="75">
      <c r="A724" s="19">
        <v>43548.019363425927</v>
      </c>
      <c r="B724" s="20" t="s">
        <v>13364</v>
      </c>
      <c r="C724" s="21" t="s">
        <v>8429</v>
      </c>
      <c r="D724" s="28" t="s">
        <v>8430</v>
      </c>
      <c r="E724" s="23" t="s">
        <v>13120</v>
      </c>
      <c r="F724" s="19">
        <v>41303.312025462961</v>
      </c>
      <c r="G724" s="17" t="s">
        <v>2783</v>
      </c>
      <c r="H724" s="35" t="s">
        <v>441</v>
      </c>
      <c r="I724" s="25" t="s">
        <v>8431</v>
      </c>
    </row>
    <row r="725" spans="1:9" s="11" customFormat="1" ht="45">
      <c r="A725" s="19">
        <v>43543.145833333328</v>
      </c>
      <c r="B725" s="20" t="s">
        <v>13365</v>
      </c>
      <c r="C725" s="21" t="s">
        <v>9926</v>
      </c>
      <c r="D725" s="22" t="s">
        <v>9927</v>
      </c>
      <c r="E725" s="23" t="s">
        <v>13099</v>
      </c>
      <c r="F725" s="19">
        <v>39441.810717592591</v>
      </c>
      <c r="G725" s="17" t="s">
        <v>2783</v>
      </c>
      <c r="H725" s="35" t="s">
        <v>441</v>
      </c>
      <c r="I725" s="25" t="s">
        <v>9928</v>
      </c>
    </row>
    <row r="726" spans="1:9" s="11" customFormat="1" ht="75">
      <c r="A726" s="19">
        <v>43542.965277777781</v>
      </c>
      <c r="B726" s="20" t="s">
        <v>13366</v>
      </c>
      <c r="C726" s="21" t="s">
        <v>9977</v>
      </c>
      <c r="D726" s="22" t="s">
        <v>9978</v>
      </c>
      <c r="E726" s="23" t="s">
        <v>13034</v>
      </c>
      <c r="F726" s="19">
        <v>41721.021192129629</v>
      </c>
      <c r="G726" s="17" t="s">
        <v>2783</v>
      </c>
      <c r="H726" s="35" t="s">
        <v>441</v>
      </c>
      <c r="I726" s="25" t="s">
        <v>9979</v>
      </c>
    </row>
    <row r="727" spans="1:9" s="11" customFormat="1" ht="90">
      <c r="A727" s="4">
        <v>43562.965694444443</v>
      </c>
      <c r="B727" s="5" t="s">
        <v>13367</v>
      </c>
      <c r="C727" s="6" t="s">
        <v>10523</v>
      </c>
      <c r="D727" s="7" t="s">
        <v>10524</v>
      </c>
      <c r="E727" s="8" t="s">
        <v>13018</v>
      </c>
      <c r="F727" s="4">
        <v>40310.773587962962</v>
      </c>
      <c r="G727" s="17" t="s">
        <v>2783</v>
      </c>
      <c r="H727" s="35" t="s">
        <v>441</v>
      </c>
      <c r="I727" s="10" t="s">
        <v>10525</v>
      </c>
    </row>
    <row r="728" spans="1:9" s="11" customFormat="1" ht="45">
      <c r="A728" s="4">
        <v>43560.858182870375</v>
      </c>
      <c r="B728" s="5" t="s">
        <v>13368</v>
      </c>
      <c r="C728" s="6" t="s">
        <v>11143</v>
      </c>
      <c r="D728" s="7" t="s">
        <v>11144</v>
      </c>
      <c r="E728" s="8" t="s">
        <v>13369</v>
      </c>
      <c r="F728" s="4">
        <v>39860.94903935185</v>
      </c>
      <c r="G728" s="17" t="s">
        <v>2783</v>
      </c>
      <c r="H728" s="35" t="s">
        <v>441</v>
      </c>
      <c r="I728" s="10" t="s">
        <v>11145</v>
      </c>
    </row>
    <row r="729" spans="1:9" s="11" customFormat="1" ht="45">
      <c r="A729" s="4">
        <v>43560.311377314814</v>
      </c>
      <c r="B729" s="5" t="s">
        <v>13370</v>
      </c>
      <c r="C729" s="6" t="s">
        <v>11463</v>
      </c>
      <c r="D729" s="7" t="s">
        <v>11464</v>
      </c>
      <c r="E729" s="8" t="s">
        <v>13032</v>
      </c>
      <c r="F729" s="4">
        <v>39713.76971064815</v>
      </c>
      <c r="G729" s="17" t="s">
        <v>2783</v>
      </c>
      <c r="H729" s="35" t="s">
        <v>441</v>
      </c>
      <c r="I729" s="10"/>
    </row>
    <row r="730" spans="1:9" s="11" customFormat="1" ht="105">
      <c r="A730" s="4">
        <v>43560.227164351847</v>
      </c>
      <c r="B730" s="5" t="s">
        <v>13371</v>
      </c>
      <c r="C730" s="6" t="s">
        <v>11552</v>
      </c>
      <c r="D730" s="7" t="s">
        <v>11553</v>
      </c>
      <c r="E730" s="8" t="s">
        <v>13032</v>
      </c>
      <c r="F730" s="4">
        <v>40235.229999999996</v>
      </c>
      <c r="G730" s="17" t="s">
        <v>2783</v>
      </c>
      <c r="H730" s="35" t="s">
        <v>441</v>
      </c>
      <c r="I730" s="10" t="s">
        <v>11554</v>
      </c>
    </row>
    <row r="731" spans="1:9" s="11" customFormat="1" ht="105">
      <c r="A731" s="4">
        <v>43560.225069444445</v>
      </c>
      <c r="B731" s="5" t="s">
        <v>13371</v>
      </c>
      <c r="C731" s="6" t="s">
        <v>11552</v>
      </c>
      <c r="D731" s="7" t="s">
        <v>11553</v>
      </c>
      <c r="E731" s="8" t="s">
        <v>13032</v>
      </c>
      <c r="F731" s="4">
        <v>40235.229999999996</v>
      </c>
      <c r="G731" s="17" t="s">
        <v>2783</v>
      </c>
      <c r="H731" s="35" t="s">
        <v>441</v>
      </c>
      <c r="I731" s="10" t="s">
        <v>11554</v>
      </c>
    </row>
    <row r="732" spans="1:9" s="11" customFormat="1" ht="30">
      <c r="A732" s="4">
        <v>43560.075624999998</v>
      </c>
      <c r="B732" s="5" t="s">
        <v>13372</v>
      </c>
      <c r="C732" s="6" t="s">
        <v>11608</v>
      </c>
      <c r="D732" s="7" t="s">
        <v>11609</v>
      </c>
      <c r="E732" s="8" t="s">
        <v>13009</v>
      </c>
      <c r="F732" s="4">
        <v>39751.379664351851</v>
      </c>
      <c r="G732" s="17" t="s">
        <v>2783</v>
      </c>
      <c r="H732" s="35" t="s">
        <v>441</v>
      </c>
      <c r="I732" s="10" t="s">
        <v>11610</v>
      </c>
    </row>
    <row r="733" spans="1:9" s="11" customFormat="1" ht="30">
      <c r="A733" s="12">
        <v>43579.824479166666</v>
      </c>
      <c r="B733" s="13" t="s">
        <v>13373</v>
      </c>
      <c r="C733" s="14" t="s">
        <v>439</v>
      </c>
      <c r="D733" s="15" t="s">
        <v>440</v>
      </c>
      <c r="E733" s="16" t="s">
        <v>13009</v>
      </c>
      <c r="F733" s="12">
        <v>39884.491423611107</v>
      </c>
      <c r="G733" s="17" t="s">
        <v>2783</v>
      </c>
      <c r="H733" s="35" t="s">
        <v>441</v>
      </c>
      <c r="I733" s="18" t="s">
        <v>442</v>
      </c>
    </row>
    <row r="734" spans="1:9" s="11" customFormat="1" ht="90">
      <c r="A734" s="12">
        <v>43579.256122685183</v>
      </c>
      <c r="B734" s="13" t="s">
        <v>13374</v>
      </c>
      <c r="C734" s="14" t="s">
        <v>815</v>
      </c>
      <c r="D734" s="15" t="s">
        <v>816</v>
      </c>
      <c r="E734" s="16" t="s">
        <v>13018</v>
      </c>
      <c r="F734" s="12">
        <v>42531.11</v>
      </c>
      <c r="G734" s="17" t="s">
        <v>2783</v>
      </c>
      <c r="H734" s="35" t="s">
        <v>441</v>
      </c>
      <c r="I734" s="18" t="s">
        <v>817</v>
      </c>
    </row>
    <row r="735" spans="1:9" s="11" customFormat="1" ht="60">
      <c r="A735" s="12">
        <v>43578.030729166669</v>
      </c>
      <c r="B735" s="13" t="s">
        <v>13375</v>
      </c>
      <c r="C735" s="14" t="s">
        <v>1418</v>
      </c>
      <c r="D735" s="15" t="s">
        <v>1419</v>
      </c>
      <c r="E735" s="16" t="s">
        <v>13011</v>
      </c>
      <c r="F735" s="12">
        <v>40485.580416666664</v>
      </c>
      <c r="G735" s="17" t="s">
        <v>2783</v>
      </c>
      <c r="H735" s="35" t="s">
        <v>441</v>
      </c>
      <c r="I735" s="18" t="s">
        <v>1420</v>
      </c>
    </row>
    <row r="736" spans="1:9" s="11" customFormat="1" ht="90">
      <c r="A736" s="12">
        <v>43574.807638888888</v>
      </c>
      <c r="B736" s="13" t="s">
        <v>13376</v>
      </c>
      <c r="C736" s="14" t="s">
        <v>2436</v>
      </c>
      <c r="D736" s="15" t="s">
        <v>405</v>
      </c>
      <c r="E736" s="16" t="s">
        <v>13034</v>
      </c>
      <c r="F736" s="12">
        <v>39911.252025462964</v>
      </c>
      <c r="G736" s="17" t="s">
        <v>2783</v>
      </c>
      <c r="H736" s="35" t="s">
        <v>441</v>
      </c>
      <c r="I736" s="18" t="s">
        <v>2437</v>
      </c>
    </row>
    <row r="737" spans="1:9" s="11" customFormat="1" ht="60">
      <c r="A737" s="12">
        <v>43566.058807870373</v>
      </c>
      <c r="B737" s="13" t="s">
        <v>13377</v>
      </c>
      <c r="C737" s="14" t="s">
        <v>5807</v>
      </c>
      <c r="D737" s="15" t="s">
        <v>5808</v>
      </c>
      <c r="E737" s="16" t="s">
        <v>13009</v>
      </c>
      <c r="F737" s="12">
        <v>43348.277418981481</v>
      </c>
      <c r="G737" s="17" t="s">
        <v>2783</v>
      </c>
      <c r="H737" s="35" t="s">
        <v>441</v>
      </c>
      <c r="I737" s="18" t="s">
        <v>5809</v>
      </c>
    </row>
    <row r="738" spans="1:9" s="11" customFormat="1" ht="60">
      <c r="A738" s="12">
        <v>43574.393657407403</v>
      </c>
      <c r="B738" s="13" t="s">
        <v>13378</v>
      </c>
      <c r="C738" s="14" t="s">
        <v>2563</v>
      </c>
      <c r="D738" s="15" t="s">
        <v>2564</v>
      </c>
      <c r="E738" s="16" t="s">
        <v>13032</v>
      </c>
      <c r="F738" s="12">
        <v>40343.08929398148</v>
      </c>
      <c r="G738" s="17" t="s">
        <v>2783</v>
      </c>
      <c r="H738" s="35" t="s">
        <v>2565</v>
      </c>
      <c r="I738" s="18" t="s">
        <v>2566</v>
      </c>
    </row>
    <row r="739" spans="1:9" s="11" customFormat="1" ht="60">
      <c r="A739" s="12">
        <v>43574.392384259263</v>
      </c>
      <c r="B739" s="13" t="s">
        <v>13378</v>
      </c>
      <c r="C739" s="14" t="s">
        <v>2563</v>
      </c>
      <c r="D739" s="15" t="s">
        <v>2567</v>
      </c>
      <c r="E739" s="16" t="s">
        <v>13032</v>
      </c>
      <c r="F739" s="12">
        <v>40343.08929398148</v>
      </c>
      <c r="G739" s="17" t="s">
        <v>2783</v>
      </c>
      <c r="H739" s="35" t="s">
        <v>2565</v>
      </c>
      <c r="I739" s="18" t="s">
        <v>2566</v>
      </c>
    </row>
    <row r="740" spans="1:9" s="11" customFormat="1" ht="60">
      <c r="A740" s="12">
        <v>43574.387719907405</v>
      </c>
      <c r="B740" s="13" t="s">
        <v>13378</v>
      </c>
      <c r="C740" s="14" t="s">
        <v>2563</v>
      </c>
      <c r="D740" s="15" t="s">
        <v>2568</v>
      </c>
      <c r="E740" s="16" t="s">
        <v>13032</v>
      </c>
      <c r="F740" s="12">
        <v>40343.08929398148</v>
      </c>
      <c r="G740" s="17" t="s">
        <v>2783</v>
      </c>
      <c r="H740" s="35" t="s">
        <v>2565</v>
      </c>
      <c r="I740" s="18" t="s">
        <v>2566</v>
      </c>
    </row>
    <row r="741" spans="1:9" s="11" customFormat="1" ht="60">
      <c r="A741" s="12">
        <v>43574.385636574079</v>
      </c>
      <c r="B741" s="13" t="s">
        <v>13378</v>
      </c>
      <c r="C741" s="14" t="s">
        <v>2563</v>
      </c>
      <c r="D741" s="15" t="s">
        <v>2568</v>
      </c>
      <c r="E741" s="16" t="s">
        <v>13032</v>
      </c>
      <c r="F741" s="12">
        <v>40343.08929398148</v>
      </c>
      <c r="G741" s="17" t="s">
        <v>2783</v>
      </c>
      <c r="H741" s="35" t="s">
        <v>2565</v>
      </c>
      <c r="I741" s="18" t="s">
        <v>2566</v>
      </c>
    </row>
    <row r="742" spans="1:9" s="11" customFormat="1" ht="105">
      <c r="A742" s="19">
        <v>43544.757592592592</v>
      </c>
      <c r="B742" s="20" t="s">
        <v>13379</v>
      </c>
      <c r="C742" s="21" t="s">
        <v>9351</v>
      </c>
      <c r="D742" s="22" t="s">
        <v>9352</v>
      </c>
      <c r="E742" s="23" t="s">
        <v>13011</v>
      </c>
      <c r="F742" s="19">
        <v>43142.039178240739</v>
      </c>
      <c r="G742" s="17" t="s">
        <v>2783</v>
      </c>
      <c r="H742" s="35" t="s">
        <v>9353</v>
      </c>
      <c r="I742" s="25" t="s">
        <v>9354</v>
      </c>
    </row>
    <row r="743" spans="1:9" s="11" customFormat="1" ht="120">
      <c r="A743" s="4">
        <v>43556.877384259264</v>
      </c>
      <c r="B743" s="5" t="s">
        <v>13380</v>
      </c>
      <c r="C743" s="6" t="s">
        <v>12713</v>
      </c>
      <c r="D743" s="7" t="s">
        <v>12714</v>
      </c>
      <c r="E743" s="8" t="s">
        <v>13013</v>
      </c>
      <c r="F743" s="4">
        <v>43401.832905092597</v>
      </c>
      <c r="G743" s="9" t="s">
        <v>2783</v>
      </c>
      <c r="H743" s="35" t="s">
        <v>12715</v>
      </c>
      <c r="I743" s="10" t="s">
        <v>12716</v>
      </c>
    </row>
    <row r="744" spans="1:9" s="11" customFormat="1" ht="105">
      <c r="A744" s="12">
        <v>43571.014432870375</v>
      </c>
      <c r="B744" s="13" t="s">
        <v>13381</v>
      </c>
      <c r="C744" s="14" t="s">
        <v>3893</v>
      </c>
      <c r="D744" s="15" t="s">
        <v>3894</v>
      </c>
      <c r="E744" s="16" t="s">
        <v>13015</v>
      </c>
      <c r="F744" s="12">
        <v>43251.032349537039</v>
      </c>
      <c r="G744" s="17" t="s">
        <v>2783</v>
      </c>
      <c r="H744" s="35" t="s">
        <v>3895</v>
      </c>
      <c r="I744" s="18" t="s">
        <v>3896</v>
      </c>
    </row>
    <row r="745" spans="1:9" s="11" customFormat="1" ht="105">
      <c r="A745" s="19">
        <v>43550.239618055552</v>
      </c>
      <c r="B745" s="20" t="s">
        <v>13382</v>
      </c>
      <c r="C745" s="21" t="s">
        <v>7776</v>
      </c>
      <c r="D745" s="22" t="s">
        <v>7777</v>
      </c>
      <c r="E745" s="23" t="s">
        <v>13011</v>
      </c>
      <c r="F745" s="19">
        <v>39951.147557870368</v>
      </c>
      <c r="G745" s="9" t="s">
        <v>2783</v>
      </c>
      <c r="H745" s="35" t="s">
        <v>7778</v>
      </c>
      <c r="I745" s="25" t="s">
        <v>7779</v>
      </c>
    </row>
    <row r="746" spans="1:9" s="11" customFormat="1" ht="105">
      <c r="A746" s="19">
        <v>43545.814687499995</v>
      </c>
      <c r="B746" s="20" t="s">
        <v>13382</v>
      </c>
      <c r="C746" s="21" t="s">
        <v>7776</v>
      </c>
      <c r="D746" s="22" t="s">
        <v>9045</v>
      </c>
      <c r="E746" s="23" t="s">
        <v>13011</v>
      </c>
      <c r="F746" s="19">
        <v>39951.147557870368</v>
      </c>
      <c r="G746" s="9" t="s">
        <v>2783</v>
      </c>
      <c r="H746" s="35" t="s">
        <v>7778</v>
      </c>
      <c r="I746" s="25" t="s">
        <v>7779</v>
      </c>
    </row>
    <row r="747" spans="1:9" s="11" customFormat="1" ht="105">
      <c r="A747" s="4">
        <v>43562.757002314815</v>
      </c>
      <c r="B747" s="5" t="s">
        <v>13383</v>
      </c>
      <c r="C747" s="6" t="s">
        <v>10596</v>
      </c>
      <c r="D747" s="7" t="s">
        <v>10597</v>
      </c>
      <c r="E747" s="8" t="s">
        <v>13018</v>
      </c>
      <c r="F747" s="4">
        <v>40085.061886574076</v>
      </c>
      <c r="G747" s="9" t="s">
        <v>2783</v>
      </c>
      <c r="H747" s="35" t="s">
        <v>7778</v>
      </c>
      <c r="I747" s="10" t="s">
        <v>10598</v>
      </c>
    </row>
    <row r="748" spans="1:9" s="11" customFormat="1" ht="75">
      <c r="A748" s="19">
        <v>43550.103587962964</v>
      </c>
      <c r="B748" s="20" t="s">
        <v>13384</v>
      </c>
      <c r="C748" s="21" t="s">
        <v>7830</v>
      </c>
      <c r="D748" s="22" t="s">
        <v>7831</v>
      </c>
      <c r="E748" s="23" t="s">
        <v>13009</v>
      </c>
      <c r="F748" s="19">
        <v>43353.148298611108</v>
      </c>
      <c r="G748" s="24" t="s">
        <v>2783</v>
      </c>
      <c r="H748" s="35" t="s">
        <v>7832</v>
      </c>
      <c r="I748" s="25" t="s">
        <v>7833</v>
      </c>
    </row>
    <row r="749" spans="1:9" s="11" customFormat="1" ht="75">
      <c r="A749" s="19">
        <v>43545.869120370371</v>
      </c>
      <c r="B749" s="20" t="s">
        <v>13384</v>
      </c>
      <c r="C749" s="21" t="s">
        <v>7830</v>
      </c>
      <c r="D749" s="22" t="s">
        <v>9018</v>
      </c>
      <c r="E749" s="23" t="s">
        <v>13009</v>
      </c>
      <c r="F749" s="19">
        <v>43353.148298611108</v>
      </c>
      <c r="G749" s="24" t="s">
        <v>2783</v>
      </c>
      <c r="H749" s="35" t="s">
        <v>7832</v>
      </c>
      <c r="I749" s="25" t="s">
        <v>7833</v>
      </c>
    </row>
    <row r="750" spans="1:9" s="11" customFormat="1" ht="75">
      <c r="A750" s="19">
        <v>43545.047430555554</v>
      </c>
      <c r="B750" s="20" t="s">
        <v>13384</v>
      </c>
      <c r="C750" s="21" t="s">
        <v>7830</v>
      </c>
      <c r="D750" s="22" t="s">
        <v>9290</v>
      </c>
      <c r="E750" s="23" t="s">
        <v>13009</v>
      </c>
      <c r="F750" s="19">
        <v>43353.148298611108</v>
      </c>
      <c r="G750" s="24" t="s">
        <v>2783</v>
      </c>
      <c r="H750" s="35" t="s">
        <v>7832</v>
      </c>
      <c r="I750" s="25" t="s">
        <v>7833</v>
      </c>
    </row>
    <row r="751" spans="1:9" s="11" customFormat="1" ht="75">
      <c r="A751" s="4">
        <v>43559.836886574078</v>
      </c>
      <c r="B751" s="5" t="s">
        <v>13384</v>
      </c>
      <c r="C751" s="6" t="s">
        <v>7830</v>
      </c>
      <c r="D751" s="7" t="s">
        <v>11677</v>
      </c>
      <c r="E751" s="8" t="s">
        <v>13009</v>
      </c>
      <c r="F751" s="4">
        <v>43353.148298611108</v>
      </c>
      <c r="G751" s="24" t="s">
        <v>2783</v>
      </c>
      <c r="H751" s="35" t="s">
        <v>7832</v>
      </c>
      <c r="I751" s="10" t="s">
        <v>7833</v>
      </c>
    </row>
    <row r="752" spans="1:9" s="11" customFormat="1" ht="105">
      <c r="A752" s="19">
        <v>43549.453796296293</v>
      </c>
      <c r="B752" s="20" t="s">
        <v>13385</v>
      </c>
      <c r="C752" s="21" t="s">
        <v>12803</v>
      </c>
      <c r="D752" s="22" t="s">
        <v>12804</v>
      </c>
      <c r="E752" s="23" t="s">
        <v>13011</v>
      </c>
      <c r="F752" s="19">
        <v>41224.842824074076</v>
      </c>
      <c r="G752" s="24" t="s">
        <v>2783</v>
      </c>
      <c r="H752" s="35" t="s">
        <v>12805</v>
      </c>
      <c r="I752" s="25" t="s">
        <v>12806</v>
      </c>
    </row>
    <row r="753" spans="1:9" s="11" customFormat="1" ht="30">
      <c r="A753" s="4">
        <v>43564.805358796293</v>
      </c>
      <c r="B753" s="5" t="s">
        <v>13386</v>
      </c>
      <c r="C753" s="6" t="s">
        <v>6405</v>
      </c>
      <c r="D753" s="7" t="s">
        <v>6406</v>
      </c>
      <c r="E753" s="8" t="s">
        <v>13032</v>
      </c>
      <c r="F753" s="4">
        <v>40331.912847222222</v>
      </c>
      <c r="G753" s="24" t="s">
        <v>2783</v>
      </c>
      <c r="H753" s="35" t="s">
        <v>6407</v>
      </c>
      <c r="I753" s="10" t="s">
        <v>6408</v>
      </c>
    </row>
    <row r="754" spans="1:9" s="11" customFormat="1" ht="120">
      <c r="A754" s="12">
        <v>43579.87327546296</v>
      </c>
      <c r="B754" s="13" t="s">
        <v>13387</v>
      </c>
      <c r="C754" s="14" t="s">
        <v>419</v>
      </c>
      <c r="D754" s="15" t="s">
        <v>420</v>
      </c>
      <c r="E754" s="16" t="s">
        <v>13032</v>
      </c>
      <c r="F754" s="12">
        <v>39911.405844907407</v>
      </c>
      <c r="G754" s="24" t="s">
        <v>2783</v>
      </c>
      <c r="H754" s="35" t="s">
        <v>421</v>
      </c>
      <c r="I754" s="18" t="s">
        <v>422</v>
      </c>
    </row>
    <row r="755" spans="1:9" s="11" customFormat="1">
      <c r="A755" s="19">
        <v>43543.42288194444</v>
      </c>
      <c r="B755" s="20" t="s">
        <v>13388</v>
      </c>
      <c r="C755" s="21" t="s">
        <v>9813</v>
      </c>
      <c r="D755" s="22" t="s">
        <v>9814</v>
      </c>
      <c r="E755" s="23" t="s">
        <v>13011</v>
      </c>
      <c r="F755" s="19">
        <v>39972.17833333333</v>
      </c>
      <c r="G755" s="24" t="s">
        <v>2783</v>
      </c>
      <c r="H755" s="35" t="s">
        <v>9815</v>
      </c>
      <c r="I755" s="25"/>
    </row>
    <row r="756" spans="1:9" s="11" customFormat="1" ht="60">
      <c r="A756" s="4">
        <v>43565.065879629634</v>
      </c>
      <c r="B756" s="5" t="s">
        <v>13389</v>
      </c>
      <c r="C756" s="6" t="s">
        <v>6307</v>
      </c>
      <c r="D756" s="7" t="s">
        <v>6262</v>
      </c>
      <c r="E756" s="8" t="s">
        <v>13009</v>
      </c>
      <c r="F756" s="4">
        <v>40440.271215277782</v>
      </c>
      <c r="G756" s="9" t="s">
        <v>2783</v>
      </c>
      <c r="H756" s="35" t="s">
        <v>6308</v>
      </c>
      <c r="I756" s="10" t="s">
        <v>6309</v>
      </c>
    </row>
    <row r="757" spans="1:9" s="11" customFormat="1" ht="120">
      <c r="A757" s="4">
        <v>43564.582303240742</v>
      </c>
      <c r="B757" s="5" t="s">
        <v>13390</v>
      </c>
      <c r="C757" s="6" t="s">
        <v>6537</v>
      </c>
      <c r="D757" s="7" t="s">
        <v>6538</v>
      </c>
      <c r="E757" s="8" t="s">
        <v>13013</v>
      </c>
      <c r="F757" s="4">
        <v>42832.420567129629</v>
      </c>
      <c r="G757" s="9" t="s">
        <v>2783</v>
      </c>
      <c r="H757" s="35" t="s">
        <v>6539</v>
      </c>
      <c r="I757" s="10" t="s">
        <v>10210</v>
      </c>
    </row>
    <row r="758" spans="1:9" s="11" customFormat="1" ht="105">
      <c r="A758" s="12">
        <v>43564.582303240742</v>
      </c>
      <c r="B758" s="13" t="s">
        <v>13390</v>
      </c>
      <c r="C758" s="14" t="s">
        <v>6537</v>
      </c>
      <c r="D758" s="15" t="s">
        <v>6538</v>
      </c>
      <c r="E758" s="16" t="s">
        <v>13013</v>
      </c>
      <c r="F758" s="12">
        <v>42832.420567129629</v>
      </c>
      <c r="G758" s="17" t="s">
        <v>2783</v>
      </c>
      <c r="H758" s="35" t="s">
        <v>6539</v>
      </c>
      <c r="I758" s="18" t="s">
        <v>6540</v>
      </c>
    </row>
    <row r="759" spans="1:9" s="11" customFormat="1" ht="120">
      <c r="A759" s="19">
        <v>43551.842152777783</v>
      </c>
      <c r="B759" s="20" t="s">
        <v>13391</v>
      </c>
      <c r="C759" s="21" t="s">
        <v>151</v>
      </c>
      <c r="D759" s="22" t="s">
        <v>6984</v>
      </c>
      <c r="E759" s="23" t="s">
        <v>13013</v>
      </c>
      <c r="F759" s="19">
        <v>43253.883020833338</v>
      </c>
      <c r="G759" s="24" t="s">
        <v>2783</v>
      </c>
      <c r="H759" s="35" t="s">
        <v>1047</v>
      </c>
      <c r="I759" s="25" t="s">
        <v>1048</v>
      </c>
    </row>
    <row r="760" spans="1:9" s="11" customFormat="1" ht="120">
      <c r="A760" s="19">
        <v>43550.143935185188</v>
      </c>
      <c r="B760" s="20" t="s">
        <v>13391</v>
      </c>
      <c r="C760" s="21" t="s">
        <v>151</v>
      </c>
      <c r="D760" s="22" t="s">
        <v>7815</v>
      </c>
      <c r="E760" s="23" t="s">
        <v>13099</v>
      </c>
      <c r="F760" s="19">
        <v>43253.883020833338</v>
      </c>
      <c r="G760" s="24" t="s">
        <v>2783</v>
      </c>
      <c r="H760" s="35" t="s">
        <v>1047</v>
      </c>
      <c r="I760" s="25" t="s">
        <v>1048</v>
      </c>
    </row>
    <row r="761" spans="1:9" s="11" customFormat="1" ht="120">
      <c r="A761" s="19">
        <v>43549.885706018518</v>
      </c>
      <c r="B761" s="20" t="s">
        <v>13391</v>
      </c>
      <c r="C761" s="21" t="s">
        <v>151</v>
      </c>
      <c r="D761" s="22" t="s">
        <v>7888</v>
      </c>
      <c r="E761" s="23" t="s">
        <v>13099</v>
      </c>
      <c r="F761" s="19">
        <v>43253.883020833338</v>
      </c>
      <c r="G761" s="24" t="s">
        <v>2783</v>
      </c>
      <c r="H761" s="35" t="s">
        <v>1047</v>
      </c>
      <c r="I761" s="25" t="s">
        <v>1048</v>
      </c>
    </row>
    <row r="762" spans="1:9" s="11" customFormat="1" ht="120">
      <c r="A762" s="19">
        <v>43549.769525462965</v>
      </c>
      <c r="B762" s="20" t="s">
        <v>13391</v>
      </c>
      <c r="C762" s="21" t="s">
        <v>151</v>
      </c>
      <c r="D762" s="22" t="s">
        <v>7933</v>
      </c>
      <c r="E762" s="23" t="s">
        <v>13009</v>
      </c>
      <c r="F762" s="19">
        <v>43253.883020833338</v>
      </c>
      <c r="G762" s="24" t="s">
        <v>2783</v>
      </c>
      <c r="H762" s="35" t="s">
        <v>1047</v>
      </c>
      <c r="I762" s="25" t="s">
        <v>1048</v>
      </c>
    </row>
    <row r="763" spans="1:9" s="11" customFormat="1" ht="120">
      <c r="A763" s="19">
        <v>43548.122476851851</v>
      </c>
      <c r="B763" s="20" t="s">
        <v>13391</v>
      </c>
      <c r="C763" s="21" t="s">
        <v>151</v>
      </c>
      <c r="D763" s="22" t="s">
        <v>8405</v>
      </c>
      <c r="E763" s="23" t="s">
        <v>13099</v>
      </c>
      <c r="F763" s="19">
        <v>43253.883020833338</v>
      </c>
      <c r="G763" s="24" t="s">
        <v>2783</v>
      </c>
      <c r="H763" s="35" t="s">
        <v>1047</v>
      </c>
      <c r="I763" s="25" t="s">
        <v>1048</v>
      </c>
    </row>
    <row r="764" spans="1:9" s="11" customFormat="1" ht="120">
      <c r="A764" s="19">
        <v>43547.898842592593</v>
      </c>
      <c r="B764" s="20" t="s">
        <v>13391</v>
      </c>
      <c r="C764" s="21" t="s">
        <v>151</v>
      </c>
      <c r="D764" s="22" t="s">
        <v>8448</v>
      </c>
      <c r="E764" s="23" t="s">
        <v>13009</v>
      </c>
      <c r="F764" s="19">
        <v>43253.883020833338</v>
      </c>
      <c r="G764" s="24" t="s">
        <v>2783</v>
      </c>
      <c r="H764" s="35" t="s">
        <v>1047</v>
      </c>
      <c r="I764" s="25" t="s">
        <v>1048</v>
      </c>
    </row>
    <row r="765" spans="1:9" s="11" customFormat="1" ht="120">
      <c r="A765" s="19">
        <v>43544.766608796301</v>
      </c>
      <c r="B765" s="20" t="s">
        <v>13391</v>
      </c>
      <c r="C765" s="21" t="s">
        <v>151</v>
      </c>
      <c r="D765" s="22" t="s">
        <v>9345</v>
      </c>
      <c r="E765" s="23" t="s">
        <v>13099</v>
      </c>
      <c r="F765" s="19">
        <v>43253.883020833338</v>
      </c>
      <c r="G765" s="24" t="s">
        <v>2783</v>
      </c>
      <c r="H765" s="35" t="s">
        <v>1047</v>
      </c>
      <c r="I765" s="25" t="s">
        <v>1048</v>
      </c>
    </row>
    <row r="766" spans="1:9" s="11" customFormat="1" ht="120">
      <c r="A766" s="19">
        <v>43543.939930555556</v>
      </c>
      <c r="B766" s="20" t="s">
        <v>13391</v>
      </c>
      <c r="C766" s="21" t="s">
        <v>151</v>
      </c>
      <c r="D766" s="22" t="s">
        <v>9654</v>
      </c>
      <c r="E766" s="23" t="s">
        <v>13099</v>
      </c>
      <c r="F766" s="19">
        <v>43253.883020833338</v>
      </c>
      <c r="G766" s="24" t="s">
        <v>2783</v>
      </c>
      <c r="H766" s="35" t="s">
        <v>1047</v>
      </c>
      <c r="I766" s="25" t="s">
        <v>1048</v>
      </c>
    </row>
    <row r="767" spans="1:9" s="11" customFormat="1" ht="120">
      <c r="A767" s="19">
        <v>43542.880520833336</v>
      </c>
      <c r="B767" s="20" t="s">
        <v>13391</v>
      </c>
      <c r="C767" s="21" t="s">
        <v>151</v>
      </c>
      <c r="D767" s="22" t="s">
        <v>10000</v>
      </c>
      <c r="E767" s="23" t="s">
        <v>13099</v>
      </c>
      <c r="F767" s="19">
        <v>43253.883020833338</v>
      </c>
      <c r="G767" s="24" t="s">
        <v>2783</v>
      </c>
      <c r="H767" s="35" t="s">
        <v>1047</v>
      </c>
      <c r="I767" s="25" t="s">
        <v>1048</v>
      </c>
    </row>
    <row r="768" spans="1:9" s="11" customFormat="1" ht="120">
      <c r="A768" s="4">
        <v>43564.967581018514</v>
      </c>
      <c r="B768" s="5" t="s">
        <v>13391</v>
      </c>
      <c r="C768" s="6" t="s">
        <v>151</v>
      </c>
      <c r="D768" s="7" t="s">
        <v>6362</v>
      </c>
      <c r="E768" s="8" t="s">
        <v>13009</v>
      </c>
      <c r="F768" s="4">
        <v>43253.883020833338</v>
      </c>
      <c r="G768" s="24" t="s">
        <v>2783</v>
      </c>
      <c r="H768" s="35" t="s">
        <v>1047</v>
      </c>
      <c r="I768" s="10" t="s">
        <v>1048</v>
      </c>
    </row>
    <row r="769" spans="1:9" s="11" customFormat="1" ht="45">
      <c r="A769" s="4">
        <v>43564.917442129634</v>
      </c>
      <c r="B769" s="5" t="s">
        <v>13392</v>
      </c>
      <c r="C769" s="6" t="s">
        <v>6382</v>
      </c>
      <c r="D769" s="7" t="s">
        <v>6383</v>
      </c>
      <c r="E769" s="8" t="s">
        <v>13011</v>
      </c>
      <c r="F769" s="4">
        <v>40123.226180555554</v>
      </c>
      <c r="G769" s="24" t="s">
        <v>2783</v>
      </c>
      <c r="H769" s="35" t="s">
        <v>153</v>
      </c>
      <c r="I769" s="10" t="s">
        <v>6384</v>
      </c>
    </row>
    <row r="770" spans="1:9" s="11" customFormat="1" ht="120">
      <c r="A770" s="4">
        <v>43564.099074074074</v>
      </c>
      <c r="B770" s="5" t="s">
        <v>13391</v>
      </c>
      <c r="C770" s="6" t="s">
        <v>151</v>
      </c>
      <c r="D770" s="7" t="s">
        <v>6786</v>
      </c>
      <c r="E770" s="8" t="s">
        <v>13013</v>
      </c>
      <c r="F770" s="4">
        <v>43253.883020833338</v>
      </c>
      <c r="G770" s="24" t="s">
        <v>2783</v>
      </c>
      <c r="H770" s="35" t="s">
        <v>1047</v>
      </c>
      <c r="I770" s="10" t="s">
        <v>1048</v>
      </c>
    </row>
    <row r="771" spans="1:9" s="11" customFormat="1" ht="120">
      <c r="A771" s="4">
        <v>43563.870335648149</v>
      </c>
      <c r="B771" s="5" t="s">
        <v>13391</v>
      </c>
      <c r="C771" s="6" t="s">
        <v>151</v>
      </c>
      <c r="D771" s="7" t="s">
        <v>6858</v>
      </c>
      <c r="E771" s="8" t="s">
        <v>13099</v>
      </c>
      <c r="F771" s="4">
        <v>43253.883020833338</v>
      </c>
      <c r="G771" s="24" t="s">
        <v>2783</v>
      </c>
      <c r="H771" s="35" t="s">
        <v>1047</v>
      </c>
      <c r="I771" s="10" t="s">
        <v>1048</v>
      </c>
    </row>
    <row r="772" spans="1:9" s="11" customFormat="1" ht="120">
      <c r="A772" s="4">
        <v>43563.812893518523</v>
      </c>
      <c r="B772" s="5" t="s">
        <v>13391</v>
      </c>
      <c r="C772" s="6" t="s">
        <v>151</v>
      </c>
      <c r="D772" s="7" t="s">
        <v>6871</v>
      </c>
      <c r="E772" s="8" t="s">
        <v>13099</v>
      </c>
      <c r="F772" s="4">
        <v>43253.883020833338</v>
      </c>
      <c r="G772" s="24" t="s">
        <v>2783</v>
      </c>
      <c r="H772" s="35" t="s">
        <v>1047</v>
      </c>
      <c r="I772" s="10" t="s">
        <v>1048</v>
      </c>
    </row>
    <row r="773" spans="1:9" s="11" customFormat="1" ht="120">
      <c r="A773" s="4">
        <v>43562.948391203703</v>
      </c>
      <c r="B773" s="5" t="s">
        <v>13391</v>
      </c>
      <c r="C773" s="6" t="s">
        <v>151</v>
      </c>
      <c r="D773" s="7" t="s">
        <v>10535</v>
      </c>
      <c r="E773" s="8" t="s">
        <v>13099</v>
      </c>
      <c r="F773" s="4">
        <v>43253.883020833338</v>
      </c>
      <c r="G773" s="24" t="s">
        <v>2783</v>
      </c>
      <c r="H773" s="35" t="s">
        <v>1047</v>
      </c>
      <c r="I773" s="10" t="s">
        <v>1048</v>
      </c>
    </row>
    <row r="774" spans="1:9" s="11" customFormat="1" ht="120">
      <c r="A774" s="4">
        <v>43560.824363425927</v>
      </c>
      <c r="B774" s="5" t="s">
        <v>13391</v>
      </c>
      <c r="C774" s="6" t="s">
        <v>151</v>
      </c>
      <c r="D774" s="7" t="s">
        <v>11150</v>
      </c>
      <c r="E774" s="8" t="s">
        <v>13099</v>
      </c>
      <c r="F774" s="4">
        <v>43253.883020833338</v>
      </c>
      <c r="G774" s="24" t="s">
        <v>2783</v>
      </c>
      <c r="H774" s="35" t="s">
        <v>1047</v>
      </c>
      <c r="I774" s="10" t="s">
        <v>1048</v>
      </c>
    </row>
    <row r="775" spans="1:9" s="11" customFormat="1" ht="45">
      <c r="A775" s="4">
        <v>43559.173726851848</v>
      </c>
      <c r="B775" s="5" t="s">
        <v>13393</v>
      </c>
      <c r="C775" s="6" t="s">
        <v>11922</v>
      </c>
      <c r="D775" s="7" t="s">
        <v>11923</v>
      </c>
      <c r="E775" s="8" t="s">
        <v>13009</v>
      </c>
      <c r="F775" s="4">
        <v>39912.603356481479</v>
      </c>
      <c r="G775" s="24" t="s">
        <v>2783</v>
      </c>
      <c r="H775" s="35" t="s">
        <v>153</v>
      </c>
      <c r="I775" s="10" t="s">
        <v>11924</v>
      </c>
    </row>
    <row r="776" spans="1:9" s="11" customFormat="1" ht="120">
      <c r="A776" s="4">
        <v>43558.858900462961</v>
      </c>
      <c r="B776" s="5" t="s">
        <v>13391</v>
      </c>
      <c r="C776" s="6" t="s">
        <v>151</v>
      </c>
      <c r="D776" s="7" t="s">
        <v>12010</v>
      </c>
      <c r="E776" s="8" t="s">
        <v>13099</v>
      </c>
      <c r="F776" s="4">
        <v>43253.883020833338</v>
      </c>
      <c r="G776" s="24" t="s">
        <v>2783</v>
      </c>
      <c r="H776" s="35" t="s">
        <v>1047</v>
      </c>
      <c r="I776" s="10" t="s">
        <v>1048</v>
      </c>
    </row>
    <row r="777" spans="1:9" s="11" customFormat="1" ht="120">
      <c r="A777" s="4">
        <v>43558.848495370374</v>
      </c>
      <c r="B777" s="5" t="s">
        <v>13391</v>
      </c>
      <c r="C777" s="6" t="s">
        <v>151</v>
      </c>
      <c r="D777" s="7" t="s">
        <v>12014</v>
      </c>
      <c r="E777" s="8" t="s">
        <v>13099</v>
      </c>
      <c r="F777" s="4">
        <v>43253.883020833338</v>
      </c>
      <c r="G777" s="24" t="s">
        <v>2783</v>
      </c>
      <c r="H777" s="35" t="s">
        <v>1047</v>
      </c>
      <c r="I777" s="10" t="s">
        <v>1048</v>
      </c>
    </row>
    <row r="778" spans="1:9" s="11" customFormat="1" ht="120">
      <c r="A778" s="4">
        <v>43557.891469907408</v>
      </c>
      <c r="B778" s="5" t="s">
        <v>13391</v>
      </c>
      <c r="C778" s="6" t="s">
        <v>151</v>
      </c>
      <c r="D778" s="7" t="s">
        <v>12369</v>
      </c>
      <c r="E778" s="8" t="s">
        <v>13099</v>
      </c>
      <c r="F778" s="4">
        <v>43253.883020833338</v>
      </c>
      <c r="G778" s="24" t="s">
        <v>2783</v>
      </c>
      <c r="H778" s="35" t="s">
        <v>1047</v>
      </c>
      <c r="I778" s="10" t="s">
        <v>1048</v>
      </c>
    </row>
    <row r="779" spans="1:9" s="11" customFormat="1" ht="120">
      <c r="A779" s="4">
        <v>43557.780497685184</v>
      </c>
      <c r="B779" s="5" t="s">
        <v>13391</v>
      </c>
      <c r="C779" s="6" t="s">
        <v>151</v>
      </c>
      <c r="D779" s="7" t="s">
        <v>12390</v>
      </c>
      <c r="E779" s="8" t="s">
        <v>13099</v>
      </c>
      <c r="F779" s="4">
        <v>43253.883020833338</v>
      </c>
      <c r="G779" s="24" t="s">
        <v>2783</v>
      </c>
      <c r="H779" s="35" t="s">
        <v>1047</v>
      </c>
      <c r="I779" s="10" t="s">
        <v>1048</v>
      </c>
    </row>
    <row r="780" spans="1:9" s="11" customFormat="1" ht="105">
      <c r="A780" s="12">
        <v>43580.663344907407</v>
      </c>
      <c r="B780" s="13" t="s">
        <v>13391</v>
      </c>
      <c r="C780" s="14" t="s">
        <v>151</v>
      </c>
      <c r="D780" s="15" t="s">
        <v>152</v>
      </c>
      <c r="E780" s="16" t="s">
        <v>13099</v>
      </c>
      <c r="F780" s="12">
        <v>43254.341354166667</v>
      </c>
      <c r="G780" s="24" t="s">
        <v>2783</v>
      </c>
      <c r="H780" s="35" t="s">
        <v>153</v>
      </c>
      <c r="I780" s="18" t="s">
        <v>154</v>
      </c>
    </row>
    <row r="781" spans="1:9" s="11" customFormat="1" ht="105">
      <c r="A781" s="12">
        <v>43579.885381944448</v>
      </c>
      <c r="B781" s="13" t="s">
        <v>13391</v>
      </c>
      <c r="C781" s="14" t="s">
        <v>151</v>
      </c>
      <c r="D781" s="15" t="s">
        <v>415</v>
      </c>
      <c r="E781" s="16" t="s">
        <v>13099</v>
      </c>
      <c r="F781" s="12">
        <v>43253.883020833338</v>
      </c>
      <c r="G781" s="24" t="s">
        <v>2783</v>
      </c>
      <c r="H781" s="35" t="s">
        <v>153</v>
      </c>
      <c r="I781" s="18" t="s">
        <v>154</v>
      </c>
    </row>
    <row r="782" spans="1:9" s="11" customFormat="1" ht="105">
      <c r="A782" s="12">
        <v>43579.065868055557</v>
      </c>
      <c r="B782" s="13" t="s">
        <v>13391</v>
      </c>
      <c r="C782" s="14" t="s">
        <v>151</v>
      </c>
      <c r="D782" s="15" t="s">
        <v>946</v>
      </c>
      <c r="E782" s="16" t="s">
        <v>13009</v>
      </c>
      <c r="F782" s="12">
        <v>43253.883020833338</v>
      </c>
      <c r="G782" s="24" t="s">
        <v>2783</v>
      </c>
      <c r="H782" s="35" t="s">
        <v>153</v>
      </c>
      <c r="I782" s="18" t="s">
        <v>154</v>
      </c>
    </row>
    <row r="783" spans="1:9" s="11" customFormat="1" ht="120">
      <c r="A783" s="12">
        <v>43578.759479166663</v>
      </c>
      <c r="B783" s="13" t="s">
        <v>13391</v>
      </c>
      <c r="C783" s="14" t="s">
        <v>151</v>
      </c>
      <c r="D783" s="15" t="s">
        <v>1046</v>
      </c>
      <c r="E783" s="16" t="s">
        <v>13009</v>
      </c>
      <c r="F783" s="12">
        <v>43253.883020833338</v>
      </c>
      <c r="G783" s="24" t="s">
        <v>2783</v>
      </c>
      <c r="H783" s="35" t="s">
        <v>1047</v>
      </c>
      <c r="I783" s="18" t="s">
        <v>1048</v>
      </c>
    </row>
    <row r="784" spans="1:9" s="11" customFormat="1" ht="120">
      <c r="A784" s="12">
        <v>43577.944004629629</v>
      </c>
      <c r="B784" s="13" t="s">
        <v>13391</v>
      </c>
      <c r="C784" s="14" t="s">
        <v>151</v>
      </c>
      <c r="D784" s="15" t="s">
        <v>1445</v>
      </c>
      <c r="E784" s="16" t="s">
        <v>13099</v>
      </c>
      <c r="F784" s="12">
        <v>43253.883020833338</v>
      </c>
      <c r="G784" s="24" t="s">
        <v>2783</v>
      </c>
      <c r="H784" s="35" t="s">
        <v>1047</v>
      </c>
      <c r="I784" s="18" t="s">
        <v>1048</v>
      </c>
    </row>
    <row r="785" spans="1:9" s="11" customFormat="1" ht="120">
      <c r="A785" s="12">
        <v>43572.870381944449</v>
      </c>
      <c r="B785" s="13" t="s">
        <v>13391</v>
      </c>
      <c r="C785" s="14" t="s">
        <v>151</v>
      </c>
      <c r="D785" s="15" t="s">
        <v>3074</v>
      </c>
      <c r="E785" s="16" t="s">
        <v>13099</v>
      </c>
      <c r="F785" s="12">
        <v>43253.883020833338</v>
      </c>
      <c r="G785" s="24" t="s">
        <v>2783</v>
      </c>
      <c r="H785" s="35" t="s">
        <v>1047</v>
      </c>
      <c r="I785" s="18" t="s">
        <v>1048</v>
      </c>
    </row>
    <row r="786" spans="1:9" s="11" customFormat="1" ht="120">
      <c r="A786" s="12">
        <v>43572.855891203704</v>
      </c>
      <c r="B786" s="13" t="s">
        <v>13391</v>
      </c>
      <c r="C786" s="14" t="s">
        <v>151</v>
      </c>
      <c r="D786" s="15" t="s">
        <v>3075</v>
      </c>
      <c r="E786" s="16" t="s">
        <v>13099</v>
      </c>
      <c r="F786" s="12">
        <v>43253.883020833338</v>
      </c>
      <c r="G786" s="24" t="s">
        <v>2783</v>
      </c>
      <c r="H786" s="35" t="s">
        <v>1047</v>
      </c>
      <c r="I786" s="18" t="s">
        <v>1048</v>
      </c>
    </row>
    <row r="787" spans="1:9" s="11" customFormat="1" ht="120">
      <c r="A787" s="12">
        <v>43572.771736111114</v>
      </c>
      <c r="B787" s="13" t="s">
        <v>13391</v>
      </c>
      <c r="C787" s="14" t="s">
        <v>151</v>
      </c>
      <c r="D787" s="15" t="s">
        <v>3092</v>
      </c>
      <c r="E787" s="16" t="s">
        <v>13099</v>
      </c>
      <c r="F787" s="12">
        <v>43253.883020833338</v>
      </c>
      <c r="G787" s="24" t="s">
        <v>2783</v>
      </c>
      <c r="H787" s="35" t="s">
        <v>1047</v>
      </c>
      <c r="I787" s="18" t="s">
        <v>1048</v>
      </c>
    </row>
    <row r="788" spans="1:9" s="11" customFormat="1" ht="120">
      <c r="A788" s="12">
        <v>43571.854201388887</v>
      </c>
      <c r="B788" s="13" t="s">
        <v>13391</v>
      </c>
      <c r="C788" s="14" t="s">
        <v>151</v>
      </c>
      <c r="D788" s="15" t="s">
        <v>3515</v>
      </c>
      <c r="E788" s="16" t="s">
        <v>13099</v>
      </c>
      <c r="F788" s="12">
        <v>43253.883020833338</v>
      </c>
      <c r="G788" s="24" t="s">
        <v>2783</v>
      </c>
      <c r="H788" s="35" t="s">
        <v>1047</v>
      </c>
      <c r="I788" s="18" t="s">
        <v>1048</v>
      </c>
    </row>
    <row r="789" spans="1:9" s="11" customFormat="1" ht="120">
      <c r="A789" s="12">
        <v>43571.83625</v>
      </c>
      <c r="B789" s="13" t="s">
        <v>13391</v>
      </c>
      <c r="C789" s="14" t="s">
        <v>151</v>
      </c>
      <c r="D789" s="15" t="s">
        <v>3532</v>
      </c>
      <c r="E789" s="16" t="s">
        <v>13099</v>
      </c>
      <c r="F789" s="12">
        <v>43253.883020833338</v>
      </c>
      <c r="G789" s="24" t="s">
        <v>2783</v>
      </c>
      <c r="H789" s="35" t="s">
        <v>1047</v>
      </c>
      <c r="I789" s="18" t="s">
        <v>1048</v>
      </c>
    </row>
    <row r="790" spans="1:9" s="11" customFormat="1" ht="120">
      <c r="A790" s="12">
        <v>43570.84778935185</v>
      </c>
      <c r="B790" s="13" t="s">
        <v>13391</v>
      </c>
      <c r="C790" s="14" t="s">
        <v>151</v>
      </c>
      <c r="D790" s="15" t="s">
        <v>3959</v>
      </c>
      <c r="E790" s="16" t="s">
        <v>13099</v>
      </c>
      <c r="F790" s="12">
        <v>43253.883020833338</v>
      </c>
      <c r="G790" s="24" t="s">
        <v>2783</v>
      </c>
      <c r="H790" s="35" t="s">
        <v>1047</v>
      </c>
      <c r="I790" s="18" t="s">
        <v>1048</v>
      </c>
    </row>
    <row r="791" spans="1:9" s="11" customFormat="1" ht="120">
      <c r="A791" s="12">
        <v>43566.895902777775</v>
      </c>
      <c r="B791" s="13" t="s">
        <v>13391</v>
      </c>
      <c r="C791" s="14" t="s">
        <v>151</v>
      </c>
      <c r="D791" s="15" t="s">
        <v>5309</v>
      </c>
      <c r="E791" s="16" t="s">
        <v>13099</v>
      </c>
      <c r="F791" s="12">
        <v>43253.883020833338</v>
      </c>
      <c r="G791" s="24" t="s">
        <v>2783</v>
      </c>
      <c r="H791" s="35" t="s">
        <v>1047</v>
      </c>
      <c r="I791" s="18" t="s">
        <v>1048</v>
      </c>
    </row>
    <row r="792" spans="1:9" s="11" customFormat="1" ht="120">
      <c r="A792" s="12">
        <v>43566.699166666665</v>
      </c>
      <c r="B792" s="13" t="s">
        <v>13391</v>
      </c>
      <c r="C792" s="14" t="s">
        <v>151</v>
      </c>
      <c r="D792" s="15" t="s">
        <v>5372</v>
      </c>
      <c r="E792" s="16" t="s">
        <v>13013</v>
      </c>
      <c r="F792" s="12">
        <v>43253.883020833338</v>
      </c>
      <c r="G792" s="24" t="s">
        <v>2783</v>
      </c>
      <c r="H792" s="35" t="s">
        <v>1047</v>
      </c>
      <c r="I792" s="18" t="s">
        <v>1048</v>
      </c>
    </row>
    <row r="793" spans="1:9" s="11" customFormat="1" ht="120">
      <c r="A793" s="12">
        <v>43565.847083333334</v>
      </c>
      <c r="B793" s="13" t="s">
        <v>13391</v>
      </c>
      <c r="C793" s="14" t="s">
        <v>151</v>
      </c>
      <c r="D793" s="15" t="s">
        <v>5878</v>
      </c>
      <c r="E793" s="16" t="s">
        <v>13099</v>
      </c>
      <c r="F793" s="12">
        <v>43253.883020833338</v>
      </c>
      <c r="G793" s="24" t="s">
        <v>2783</v>
      </c>
      <c r="H793" s="35" t="s">
        <v>1047</v>
      </c>
      <c r="I793" s="18" t="s">
        <v>1048</v>
      </c>
    </row>
    <row r="794" spans="1:9" s="11" customFormat="1" ht="105">
      <c r="A794" s="12">
        <v>43571.887337962966</v>
      </c>
      <c r="B794" s="13" t="s">
        <v>13394</v>
      </c>
      <c r="C794" s="14" t="s">
        <v>3508</v>
      </c>
      <c r="D794" s="15" t="s">
        <v>3509</v>
      </c>
      <c r="E794" s="16" t="s">
        <v>13013</v>
      </c>
      <c r="F794" s="12">
        <v>40788.295208333337</v>
      </c>
      <c r="G794" s="24" t="s">
        <v>2783</v>
      </c>
      <c r="H794" s="35" t="s">
        <v>3510</v>
      </c>
      <c r="I794" s="18" t="s">
        <v>3511</v>
      </c>
    </row>
    <row r="795" spans="1:9" s="11" customFormat="1" ht="75">
      <c r="A795" s="19">
        <v>43545.822094907402</v>
      </c>
      <c r="B795" s="20" t="s">
        <v>13395</v>
      </c>
      <c r="C795" s="21" t="s">
        <v>9037</v>
      </c>
      <c r="D795" s="22" t="s">
        <v>9038</v>
      </c>
      <c r="E795" s="23" t="s">
        <v>13027</v>
      </c>
      <c r="F795" s="19">
        <v>42924.817210648151</v>
      </c>
      <c r="G795" s="24" t="s">
        <v>2783</v>
      </c>
      <c r="H795" s="35" t="s">
        <v>9039</v>
      </c>
      <c r="I795" s="25" t="s">
        <v>9040</v>
      </c>
    </row>
    <row r="796" spans="1:9" s="11" customFormat="1" ht="30">
      <c r="A796" s="4">
        <v>43561.419467592597</v>
      </c>
      <c r="B796" s="5" t="s">
        <v>13396</v>
      </c>
      <c r="C796" s="6" t="s">
        <v>10980</v>
      </c>
      <c r="D796" s="7" t="s">
        <v>10981</v>
      </c>
      <c r="E796" s="8" t="s">
        <v>13013</v>
      </c>
      <c r="F796" s="4">
        <v>43505.695474537039</v>
      </c>
      <c r="G796" s="9" t="s">
        <v>2783</v>
      </c>
      <c r="H796" s="35" t="s">
        <v>10982</v>
      </c>
      <c r="I796" s="10" t="s">
        <v>10983</v>
      </c>
    </row>
    <row r="797" spans="1:9" s="11" customFormat="1" ht="75">
      <c r="A797" s="4">
        <v>43560.310601851852</v>
      </c>
      <c r="B797" s="5" t="s">
        <v>13397</v>
      </c>
      <c r="C797" s="6" t="s">
        <v>11468</v>
      </c>
      <c r="D797" s="7" t="s">
        <v>11469</v>
      </c>
      <c r="E797" s="8" t="s">
        <v>13011</v>
      </c>
      <c r="F797" s="4">
        <v>39923.140729166669</v>
      </c>
      <c r="G797" s="17" t="s">
        <v>2783</v>
      </c>
      <c r="H797" s="35" t="s">
        <v>11470</v>
      </c>
      <c r="I797" s="10" t="s">
        <v>11471</v>
      </c>
    </row>
    <row r="798" spans="1:9" s="11" customFormat="1" ht="105">
      <c r="A798" s="12">
        <v>43568.797326388885</v>
      </c>
      <c r="B798" s="13" t="s">
        <v>13398</v>
      </c>
      <c r="C798" s="14" t="s">
        <v>4653</v>
      </c>
      <c r="D798" s="15" t="s">
        <v>4654</v>
      </c>
      <c r="E798" s="16" t="s">
        <v>13011</v>
      </c>
      <c r="F798" s="12">
        <v>43567.86917824074</v>
      </c>
      <c r="G798" s="17" t="s">
        <v>2783</v>
      </c>
      <c r="H798" s="35" t="s">
        <v>4655</v>
      </c>
      <c r="I798" s="18" t="s">
        <v>4656</v>
      </c>
    </row>
    <row r="799" spans="1:9" s="11" customFormat="1" ht="60">
      <c r="A799" s="19">
        <v>43550.999861111108</v>
      </c>
      <c r="B799" s="20" t="s">
        <v>13399</v>
      </c>
      <c r="C799" s="21" t="s">
        <v>2340</v>
      </c>
      <c r="D799" s="22" t="s">
        <v>2341</v>
      </c>
      <c r="E799" s="23" t="s">
        <v>13400</v>
      </c>
      <c r="F799" s="19">
        <v>39874.944201388891</v>
      </c>
      <c r="G799" s="17" t="s">
        <v>2783</v>
      </c>
      <c r="H799" s="35" t="s">
        <v>2342</v>
      </c>
      <c r="I799" s="25" t="s">
        <v>2343</v>
      </c>
    </row>
    <row r="800" spans="1:9" s="11" customFormat="1" ht="60">
      <c r="A800" s="19">
        <v>43550.041180555556</v>
      </c>
      <c r="B800" s="20" t="s">
        <v>13399</v>
      </c>
      <c r="C800" s="21" t="s">
        <v>2340</v>
      </c>
      <c r="D800" s="22" t="s">
        <v>2341</v>
      </c>
      <c r="E800" s="23" t="s">
        <v>13400</v>
      </c>
      <c r="F800" s="19">
        <v>39874.944201388891</v>
      </c>
      <c r="G800" s="17" t="s">
        <v>2783</v>
      </c>
      <c r="H800" s="35" t="s">
        <v>2342</v>
      </c>
      <c r="I800" s="25" t="s">
        <v>2343</v>
      </c>
    </row>
    <row r="801" spans="1:9" s="11" customFormat="1" ht="60">
      <c r="A801" s="19">
        <v>43546.916585648149</v>
      </c>
      <c r="B801" s="20" t="s">
        <v>13399</v>
      </c>
      <c r="C801" s="21" t="s">
        <v>2340</v>
      </c>
      <c r="D801" s="22" t="s">
        <v>8705</v>
      </c>
      <c r="E801" s="23" t="s">
        <v>13400</v>
      </c>
      <c r="F801" s="19">
        <v>39874.944201388891</v>
      </c>
      <c r="G801" s="17" t="s">
        <v>2783</v>
      </c>
      <c r="H801" s="35" t="s">
        <v>2342</v>
      </c>
      <c r="I801" s="25" t="s">
        <v>2343</v>
      </c>
    </row>
    <row r="802" spans="1:9" s="11" customFormat="1" ht="60">
      <c r="A802" s="19">
        <v>43542.458391203705</v>
      </c>
      <c r="B802" s="20" t="s">
        <v>13399</v>
      </c>
      <c r="C802" s="21" t="s">
        <v>2340</v>
      </c>
      <c r="D802" s="22" t="s">
        <v>10162</v>
      </c>
      <c r="E802" s="23" t="s">
        <v>13400</v>
      </c>
      <c r="F802" s="19">
        <v>39874.944201388891</v>
      </c>
      <c r="G802" s="17" t="s">
        <v>2783</v>
      </c>
      <c r="H802" s="35" t="s">
        <v>2342</v>
      </c>
      <c r="I802" s="25" t="s">
        <v>2343</v>
      </c>
    </row>
    <row r="803" spans="1:9" s="11" customFormat="1" ht="60">
      <c r="A803" s="4">
        <v>43562.937175925923</v>
      </c>
      <c r="B803" s="5" t="s">
        <v>13399</v>
      </c>
      <c r="C803" s="6" t="s">
        <v>2340</v>
      </c>
      <c r="D803" s="7" t="s">
        <v>10537</v>
      </c>
      <c r="E803" s="8" t="s">
        <v>13400</v>
      </c>
      <c r="F803" s="4">
        <v>39874.944201388891</v>
      </c>
      <c r="G803" s="17" t="s">
        <v>2783</v>
      </c>
      <c r="H803" s="35" t="s">
        <v>2342</v>
      </c>
      <c r="I803" s="10" t="s">
        <v>2343</v>
      </c>
    </row>
    <row r="804" spans="1:9" s="11" customFormat="1" ht="60">
      <c r="A804" s="4">
        <v>43562.520868055552</v>
      </c>
      <c r="B804" s="5" t="s">
        <v>13399</v>
      </c>
      <c r="C804" s="6" t="s">
        <v>2340</v>
      </c>
      <c r="D804" s="7" t="s">
        <v>2341</v>
      </c>
      <c r="E804" s="8" t="s">
        <v>13400</v>
      </c>
      <c r="F804" s="4">
        <v>39874.944201388891</v>
      </c>
      <c r="G804" s="17" t="s">
        <v>2783</v>
      </c>
      <c r="H804" s="35" t="s">
        <v>2342</v>
      </c>
      <c r="I804" s="10" t="s">
        <v>2343</v>
      </c>
    </row>
    <row r="805" spans="1:9" s="11" customFormat="1" ht="60">
      <c r="A805" s="4">
        <v>43561.478680555556</v>
      </c>
      <c r="B805" s="5" t="s">
        <v>13399</v>
      </c>
      <c r="C805" s="6" t="s">
        <v>2340</v>
      </c>
      <c r="D805" s="7" t="s">
        <v>10537</v>
      </c>
      <c r="E805" s="8" t="s">
        <v>13400</v>
      </c>
      <c r="F805" s="4">
        <v>39874.944201388891</v>
      </c>
      <c r="G805" s="17" t="s">
        <v>2783</v>
      </c>
      <c r="H805" s="35" t="s">
        <v>2342</v>
      </c>
      <c r="I805" s="10" t="s">
        <v>2343</v>
      </c>
    </row>
    <row r="806" spans="1:9" s="11" customFormat="1" ht="60">
      <c r="A806" s="4">
        <v>43557.978831018518</v>
      </c>
      <c r="B806" s="5" t="s">
        <v>13399</v>
      </c>
      <c r="C806" s="6" t="s">
        <v>2340</v>
      </c>
      <c r="D806" s="7" t="s">
        <v>10537</v>
      </c>
      <c r="E806" s="8" t="s">
        <v>13400</v>
      </c>
      <c r="F806" s="4">
        <v>39874.944201388891</v>
      </c>
      <c r="G806" s="17" t="s">
        <v>2783</v>
      </c>
      <c r="H806" s="35" t="s">
        <v>2342</v>
      </c>
      <c r="I806" s="10" t="s">
        <v>2343</v>
      </c>
    </row>
    <row r="807" spans="1:9" s="11" customFormat="1" ht="60">
      <c r="A807" s="4">
        <v>43557.08289351852</v>
      </c>
      <c r="B807" s="5" t="s">
        <v>13399</v>
      </c>
      <c r="C807" s="6" t="s">
        <v>2340</v>
      </c>
      <c r="D807" s="7" t="s">
        <v>10537</v>
      </c>
      <c r="E807" s="8" t="s">
        <v>13400</v>
      </c>
      <c r="F807" s="4">
        <v>39874.944201388891</v>
      </c>
      <c r="G807" s="17" t="s">
        <v>2783</v>
      </c>
      <c r="H807" s="35" t="s">
        <v>2342</v>
      </c>
      <c r="I807" s="10" t="s">
        <v>2343</v>
      </c>
    </row>
    <row r="808" spans="1:9" s="11" customFormat="1" ht="60">
      <c r="A808" s="12">
        <v>43575.208009259259</v>
      </c>
      <c r="B808" s="13" t="s">
        <v>13399</v>
      </c>
      <c r="C808" s="14" t="s">
        <v>2340</v>
      </c>
      <c r="D808" s="15" t="s">
        <v>2341</v>
      </c>
      <c r="E808" s="16" t="s">
        <v>13400</v>
      </c>
      <c r="F808" s="12">
        <v>39874.944201388891</v>
      </c>
      <c r="G808" s="17" t="s">
        <v>2783</v>
      </c>
      <c r="H808" s="35" t="s">
        <v>2342</v>
      </c>
      <c r="I808" s="18" t="s">
        <v>2343</v>
      </c>
    </row>
    <row r="809" spans="1:9" s="11" customFormat="1" ht="45">
      <c r="A809" s="12">
        <v>43579.047488425931</v>
      </c>
      <c r="B809" s="13" t="s">
        <v>13401</v>
      </c>
      <c r="C809" s="14" t="s">
        <v>947</v>
      </c>
      <c r="D809" s="15" t="s">
        <v>948</v>
      </c>
      <c r="E809" s="16" t="s">
        <v>13013</v>
      </c>
      <c r="F809" s="12">
        <v>43550.037268518514</v>
      </c>
      <c r="G809" s="17" t="s">
        <v>2783</v>
      </c>
      <c r="H809" s="35" t="s">
        <v>949</v>
      </c>
      <c r="I809" s="18" t="s">
        <v>950</v>
      </c>
    </row>
    <row r="810" spans="1:9" s="11" customFormat="1" ht="60">
      <c r="A810" s="4">
        <v>43563.934062500004</v>
      </c>
      <c r="B810" s="5" t="s">
        <v>13402</v>
      </c>
      <c r="C810" s="6" t="s">
        <v>6847</v>
      </c>
      <c r="D810" s="7" t="s">
        <v>6848</v>
      </c>
      <c r="E810" s="8" t="s">
        <v>13009</v>
      </c>
      <c r="F810" s="4">
        <v>40213.955752314811</v>
      </c>
      <c r="G810" s="17" t="s">
        <v>2783</v>
      </c>
      <c r="H810" s="35" t="s">
        <v>6849</v>
      </c>
      <c r="I810" s="10" t="s">
        <v>6850</v>
      </c>
    </row>
    <row r="811" spans="1:9" s="11" customFormat="1">
      <c r="A811" s="12">
        <v>43567.728067129632</v>
      </c>
      <c r="B811" s="13" t="s">
        <v>13403</v>
      </c>
      <c r="C811" s="14" t="s">
        <v>4980</v>
      </c>
      <c r="D811" s="15" t="s">
        <v>4981</v>
      </c>
      <c r="E811" s="16" t="s">
        <v>13011</v>
      </c>
      <c r="F811" s="12">
        <v>41745.791273148148</v>
      </c>
      <c r="G811" s="17" t="s">
        <v>2783</v>
      </c>
      <c r="H811" s="35" t="s">
        <v>4982</v>
      </c>
      <c r="I811" s="18" t="s">
        <v>4983</v>
      </c>
    </row>
    <row r="812" spans="1:9" s="11" customFormat="1" ht="60">
      <c r="A812" s="19">
        <v>43546.883090277777</v>
      </c>
      <c r="B812" s="20" t="s">
        <v>13404</v>
      </c>
      <c r="C812" s="21" t="s">
        <v>8710</v>
      </c>
      <c r="D812" s="22" t="s">
        <v>8711</v>
      </c>
      <c r="E812" s="23" t="s">
        <v>13032</v>
      </c>
      <c r="F812" s="19">
        <v>40062.336736111109</v>
      </c>
      <c r="G812" s="24" t="s">
        <v>2783</v>
      </c>
      <c r="H812" s="35" t="s">
        <v>8712</v>
      </c>
      <c r="I812" s="25" t="s">
        <v>8713</v>
      </c>
    </row>
    <row r="813" spans="1:9" s="11" customFormat="1" ht="60">
      <c r="A813" s="19">
        <v>43546.848321759258</v>
      </c>
      <c r="B813" s="20" t="s">
        <v>13404</v>
      </c>
      <c r="C813" s="21" t="s">
        <v>8710</v>
      </c>
      <c r="D813" s="22" t="s">
        <v>8711</v>
      </c>
      <c r="E813" s="23" t="s">
        <v>13032</v>
      </c>
      <c r="F813" s="19">
        <v>40062.336736111109</v>
      </c>
      <c r="G813" s="24" t="s">
        <v>2783</v>
      </c>
      <c r="H813" s="35" t="s">
        <v>8712</v>
      </c>
      <c r="I813" s="25" t="s">
        <v>8713</v>
      </c>
    </row>
  </sheetData>
  <autoFilter ref="A1:I813"/>
  <dataValidations count="1">
    <dataValidation type="textLength" allowBlank="1" showInputMessage="1" showErrorMessage="1" sqref="G1:H813">
      <formula1>1</formula1>
      <formula2>50</formula2>
    </dataValidation>
  </dataValidations>
  <hyperlinks>
    <hyperlink ref="I153" r:id="rId1"/>
    <hyperlink ref="I154" r:id="rId2"/>
    <hyperlink ref="I155" r:id="rId3"/>
    <hyperlink ref="I156" r:id="rId4"/>
    <hyperlink ref="I157" r:id="rId5"/>
    <hyperlink ref="C569" r:id="rId6"/>
    <hyperlink ref="C570" r:id="rId7"/>
    <hyperlink ref="C571" r:id="rId8"/>
    <hyperlink ref="I158" r:id="rId9"/>
    <hyperlink ref="I159" r:id="rId10"/>
    <hyperlink ref="I160" r:id="rId11"/>
    <hyperlink ref="I161" r:id="rId12"/>
    <hyperlink ref="I162" r:id="rId13"/>
    <hyperlink ref="I163" r:id="rId14"/>
    <hyperlink ref="C699" r:id="rId15"/>
    <hyperlink ref="C709" r:id="rId16"/>
    <hyperlink ref="C572" r:id="rId17"/>
  </hyperlinks>
  <pageMargins left="0.7" right="0.7" top="0.75" bottom="0.75" header="0.3" footer="0.3"/>
  <pageSetup orientation="portrait"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4"/>
  <sheetViews>
    <sheetView zoomScale="70" zoomScaleNormal="70" workbookViewId="0">
      <selection activeCell="R4" sqref="R4"/>
    </sheetView>
  </sheetViews>
  <sheetFormatPr defaultRowHeight="15"/>
  <cols>
    <col min="1" max="1" width="13.42578125" customWidth="1"/>
    <col min="2" max="2" width="14.28515625" customWidth="1"/>
    <col min="3" max="3" width="13.28515625" customWidth="1"/>
    <col min="4" max="4" width="44.5703125" customWidth="1"/>
    <col min="5" max="5" width="15" customWidth="1"/>
    <col min="6" max="6" width="14.140625" customWidth="1"/>
    <col min="7" max="7" width="21.28515625" customWidth="1"/>
    <col min="8" max="8" width="19" customWidth="1"/>
    <col min="9" max="9" width="28.5703125" customWidth="1"/>
  </cols>
  <sheetData>
    <row r="1" spans="1:9" s="3" customFormat="1" ht="29.25" customHeight="1">
      <c r="A1" s="36" t="s">
        <v>0</v>
      </c>
      <c r="B1" s="1" t="s">
        <v>1</v>
      </c>
      <c r="C1" s="1" t="s">
        <v>2</v>
      </c>
      <c r="D1" s="2" t="s">
        <v>3</v>
      </c>
      <c r="E1" s="1" t="s">
        <v>5</v>
      </c>
      <c r="F1" s="1" t="s">
        <v>6</v>
      </c>
      <c r="G1" s="1" t="s">
        <v>13003</v>
      </c>
      <c r="H1" s="1" t="s">
        <v>4</v>
      </c>
      <c r="I1" s="2" t="s">
        <v>7</v>
      </c>
    </row>
    <row r="2" spans="1:9" s="11" customFormat="1" ht="75">
      <c r="A2" s="4">
        <v>43557.282465277778</v>
      </c>
      <c r="B2" s="5" t="s">
        <v>13005</v>
      </c>
      <c r="C2" s="6" t="s">
        <v>12592</v>
      </c>
      <c r="D2" s="7" t="s">
        <v>12884</v>
      </c>
      <c r="E2" s="8" t="s">
        <v>13006</v>
      </c>
      <c r="F2" s="4">
        <v>42705.198206018518</v>
      </c>
      <c r="G2" s="9" t="s">
        <v>445</v>
      </c>
      <c r="H2" s="35" t="s">
        <v>12593</v>
      </c>
      <c r="I2" s="10" t="s">
        <v>12594</v>
      </c>
    </row>
    <row r="3" spans="1:9" s="11" customFormat="1" ht="75">
      <c r="A3" s="12">
        <v>43579.792256944449</v>
      </c>
      <c r="B3" s="13" t="s">
        <v>13007</v>
      </c>
      <c r="C3" s="13" t="s">
        <v>444</v>
      </c>
      <c r="D3" s="15" t="s">
        <v>12908</v>
      </c>
      <c r="E3" s="16" t="s">
        <v>444</v>
      </c>
      <c r="F3" s="12">
        <v>39731.269236111111</v>
      </c>
      <c r="G3" s="17" t="s">
        <v>445</v>
      </c>
      <c r="H3" s="35" t="s">
        <v>445</v>
      </c>
      <c r="I3" s="18" t="s">
        <v>446</v>
      </c>
    </row>
    <row r="4" spans="1:9" s="11" customFormat="1" ht="75">
      <c r="A4" s="12">
        <v>43579.625104166669</v>
      </c>
      <c r="B4" s="13" t="s">
        <v>13007</v>
      </c>
      <c r="C4" s="13" t="s">
        <v>444</v>
      </c>
      <c r="D4" s="15" t="s">
        <v>12908</v>
      </c>
      <c r="E4" s="16" t="s">
        <v>444</v>
      </c>
      <c r="F4" s="12">
        <v>39731.269236111111</v>
      </c>
      <c r="G4" s="17" t="s">
        <v>445</v>
      </c>
      <c r="H4" s="35" t="s">
        <v>445</v>
      </c>
      <c r="I4" s="18" t="s">
        <v>446</v>
      </c>
    </row>
    <row r="5" spans="1:9" s="11" customFormat="1" ht="75">
      <c r="A5" s="12">
        <v>43579.458807870367</v>
      </c>
      <c r="B5" s="13" t="s">
        <v>13007</v>
      </c>
      <c r="C5" s="13" t="s">
        <v>444</v>
      </c>
      <c r="D5" s="15" t="s">
        <v>12908</v>
      </c>
      <c r="E5" s="16" t="s">
        <v>444</v>
      </c>
      <c r="F5" s="12">
        <v>39731.269236111111</v>
      </c>
      <c r="G5" s="17" t="s">
        <v>445</v>
      </c>
      <c r="H5" s="35" t="s">
        <v>445</v>
      </c>
      <c r="I5" s="18" t="s">
        <v>446</v>
      </c>
    </row>
    <row r="6" spans="1:9" s="11" customFormat="1" ht="75">
      <c r="A6" s="12">
        <v>43579.179583333331</v>
      </c>
      <c r="B6" s="13" t="s">
        <v>13007</v>
      </c>
      <c r="C6" s="13" t="s">
        <v>444</v>
      </c>
      <c r="D6" s="15" t="s">
        <v>12908</v>
      </c>
      <c r="E6" s="16" t="s">
        <v>444</v>
      </c>
      <c r="F6" s="12">
        <v>39731.269236111111</v>
      </c>
      <c r="G6" s="17" t="s">
        <v>445</v>
      </c>
      <c r="H6" s="35" t="s">
        <v>445</v>
      </c>
      <c r="I6" s="18" t="s">
        <v>446</v>
      </c>
    </row>
    <row r="7" spans="1:9" s="11" customFormat="1" ht="105">
      <c r="A7" s="12">
        <v>43571.341400462959</v>
      </c>
      <c r="B7" s="13" t="s">
        <v>13008</v>
      </c>
      <c r="C7" s="14" t="s">
        <v>3720</v>
      </c>
      <c r="D7" s="15" t="s">
        <v>3721</v>
      </c>
      <c r="E7" s="16" t="s">
        <v>13009</v>
      </c>
      <c r="F7" s="12">
        <v>41646.052835648152</v>
      </c>
      <c r="G7" s="17" t="s">
        <v>445</v>
      </c>
      <c r="H7" s="35" t="s">
        <v>3722</v>
      </c>
      <c r="I7" s="18" t="s">
        <v>3723</v>
      </c>
    </row>
    <row r="8" spans="1:9" s="11" customFormat="1" ht="105">
      <c r="A8" s="12">
        <v>43576.424560185187</v>
      </c>
      <c r="B8" s="13" t="s">
        <v>13010</v>
      </c>
      <c r="C8" s="14" t="s">
        <v>1947</v>
      </c>
      <c r="D8" s="15" t="s">
        <v>1948</v>
      </c>
      <c r="E8" s="16" t="s">
        <v>13011</v>
      </c>
      <c r="F8" s="12">
        <v>40803.366412037038</v>
      </c>
      <c r="G8" s="17" t="s">
        <v>445</v>
      </c>
      <c r="H8" s="35" t="s">
        <v>1949</v>
      </c>
      <c r="I8" s="18" t="s">
        <v>1950</v>
      </c>
    </row>
    <row r="9" spans="1:9" s="11" customFormat="1" ht="150">
      <c r="A9" s="4">
        <v>43562.445196759261</v>
      </c>
      <c r="B9" s="5" t="s">
        <v>13012</v>
      </c>
      <c r="C9" s="6" t="s">
        <v>10678</v>
      </c>
      <c r="D9" s="7" t="s">
        <v>10679</v>
      </c>
      <c r="E9" s="8" t="s">
        <v>13013</v>
      </c>
      <c r="F9" s="4">
        <v>39917.509074074071</v>
      </c>
      <c r="G9" s="9" t="s">
        <v>445</v>
      </c>
      <c r="H9" s="35" t="s">
        <v>10680</v>
      </c>
      <c r="I9" s="10" t="s">
        <v>10681</v>
      </c>
    </row>
    <row r="10" spans="1:9" s="11" customFormat="1" ht="90">
      <c r="A10" s="12">
        <v>43570.286655092597</v>
      </c>
      <c r="B10" s="13" t="s">
        <v>13014</v>
      </c>
      <c r="C10" s="14" t="s">
        <v>4260</v>
      </c>
      <c r="D10" s="15" t="s">
        <v>12909</v>
      </c>
      <c r="E10" s="16" t="s">
        <v>13015</v>
      </c>
      <c r="F10" s="12">
        <v>42310.244756944448</v>
      </c>
      <c r="G10" s="17" t="s">
        <v>445</v>
      </c>
      <c r="H10" s="35" t="s">
        <v>4261</v>
      </c>
      <c r="I10" s="18" t="s">
        <v>4262</v>
      </c>
    </row>
    <row r="11" spans="1:9" s="11" customFormat="1" ht="90">
      <c r="A11" s="12">
        <v>43578.191469907411</v>
      </c>
      <c r="B11" s="13" t="s">
        <v>13016</v>
      </c>
      <c r="C11" s="14" t="s">
        <v>1367</v>
      </c>
      <c r="D11" s="15" t="s">
        <v>1368</v>
      </c>
      <c r="E11" s="16" t="s">
        <v>13013</v>
      </c>
      <c r="F11" s="12">
        <v>43124.677048611113</v>
      </c>
      <c r="G11" s="17" t="s">
        <v>445</v>
      </c>
      <c r="H11" s="35" t="s">
        <v>1369</v>
      </c>
      <c r="I11" s="18" t="s">
        <v>1370</v>
      </c>
    </row>
    <row r="12" spans="1:9" s="11" customFormat="1" ht="90">
      <c r="A12" s="12">
        <v>43568.000462962962</v>
      </c>
      <c r="B12" s="13" t="s">
        <v>13017</v>
      </c>
      <c r="C12" s="14" t="s">
        <v>4901</v>
      </c>
      <c r="D12" s="15" t="s">
        <v>4902</v>
      </c>
      <c r="E12" s="16" t="s">
        <v>13018</v>
      </c>
      <c r="F12" s="12">
        <v>39923.273969907408</v>
      </c>
      <c r="G12" s="17" t="s">
        <v>445</v>
      </c>
      <c r="H12" s="35" t="s">
        <v>4903</v>
      </c>
      <c r="I12" s="18" t="s">
        <v>4904</v>
      </c>
    </row>
    <row r="13" spans="1:9" s="11" customFormat="1" ht="105">
      <c r="A13" s="4">
        <v>43562.131840277776</v>
      </c>
      <c r="B13" s="5" t="s">
        <v>13019</v>
      </c>
      <c r="C13" s="6" t="s">
        <v>10740</v>
      </c>
      <c r="D13" s="7" t="s">
        <v>10741</v>
      </c>
      <c r="E13" s="8" t="s">
        <v>13009</v>
      </c>
      <c r="F13" s="4">
        <v>40755.30159722222</v>
      </c>
      <c r="G13" s="17" t="s">
        <v>445</v>
      </c>
      <c r="H13" s="35" t="s">
        <v>10742</v>
      </c>
      <c r="I13" s="10" t="s">
        <v>10743</v>
      </c>
    </row>
    <row r="14" spans="1:9" s="11" customFormat="1" ht="90">
      <c r="A14" s="19">
        <v>43548.133298611108</v>
      </c>
      <c r="B14" s="20" t="s">
        <v>13020</v>
      </c>
      <c r="C14" s="21" t="s">
        <v>8400</v>
      </c>
      <c r="D14" s="22" t="s">
        <v>8401</v>
      </c>
      <c r="E14" s="23" t="s">
        <v>13006</v>
      </c>
      <c r="F14" s="19">
        <v>40373.431770833333</v>
      </c>
      <c r="G14" s="17" t="s">
        <v>445</v>
      </c>
      <c r="H14" s="35" t="s">
        <v>8402</v>
      </c>
      <c r="I14" s="25" t="s">
        <v>8403</v>
      </c>
    </row>
    <row r="15" spans="1:9" s="11" customFormat="1" ht="45">
      <c r="A15" s="4">
        <v>43564.967939814815</v>
      </c>
      <c r="B15" s="5" t="s">
        <v>13021</v>
      </c>
      <c r="C15" s="6" t="s">
        <v>6359</v>
      </c>
      <c r="D15" s="7" t="s">
        <v>6360</v>
      </c>
      <c r="E15" s="8" t="s">
        <v>13009</v>
      </c>
      <c r="F15" s="4">
        <v>39921.105150462965</v>
      </c>
      <c r="G15" s="9" t="s">
        <v>445</v>
      </c>
      <c r="H15" s="35" t="s">
        <v>63</v>
      </c>
      <c r="I15" s="10" t="s">
        <v>6361</v>
      </c>
    </row>
    <row r="16" spans="1:9" s="11" customFormat="1" ht="45">
      <c r="A16" s="12">
        <v>43580.80368055556</v>
      </c>
      <c r="B16" s="13" t="s">
        <v>13022</v>
      </c>
      <c r="C16" s="14" t="s">
        <v>61</v>
      </c>
      <c r="D16" s="15" t="s">
        <v>62</v>
      </c>
      <c r="E16" s="16" t="s">
        <v>13011</v>
      </c>
      <c r="F16" s="12">
        <v>39995.777812500004</v>
      </c>
      <c r="G16" s="9" t="s">
        <v>445</v>
      </c>
      <c r="H16" s="35" t="s">
        <v>63</v>
      </c>
      <c r="I16" s="18" t="s">
        <v>64</v>
      </c>
    </row>
    <row r="17" spans="1:9" s="11" customFormat="1" ht="150">
      <c r="A17" s="12">
        <v>43570.175543981481</v>
      </c>
      <c r="B17" s="13" t="s">
        <v>13023</v>
      </c>
      <c r="C17" s="14" t="s">
        <v>4306</v>
      </c>
      <c r="D17" s="15" t="s">
        <v>4307</v>
      </c>
      <c r="E17" s="16" t="s">
        <v>13009</v>
      </c>
      <c r="F17" s="12">
        <v>41234.895405092597</v>
      </c>
      <c r="G17" s="9" t="s">
        <v>445</v>
      </c>
      <c r="H17" s="35" t="s">
        <v>63</v>
      </c>
      <c r="I17" s="18" t="s">
        <v>4308</v>
      </c>
    </row>
    <row r="18" spans="1:9" s="11" customFormat="1" ht="45">
      <c r="A18" s="12">
        <v>43569.344953703709</v>
      </c>
      <c r="B18" s="13" t="s">
        <v>13024</v>
      </c>
      <c r="C18" s="14" t="s">
        <v>4541</v>
      </c>
      <c r="D18" s="15" t="s">
        <v>4542</v>
      </c>
      <c r="E18" s="16" t="s">
        <v>13011</v>
      </c>
      <c r="F18" s="12">
        <v>40973.349386574075</v>
      </c>
      <c r="G18" s="9" t="s">
        <v>445</v>
      </c>
      <c r="H18" s="35" t="s">
        <v>63</v>
      </c>
      <c r="I18" s="18" t="s">
        <v>4543</v>
      </c>
    </row>
    <row r="19" spans="1:9" s="11" customFormat="1" ht="90">
      <c r="A19" s="12">
        <v>43580.837430555555</v>
      </c>
      <c r="B19" s="13" t="s">
        <v>13025</v>
      </c>
      <c r="C19" s="14" t="s">
        <v>25</v>
      </c>
      <c r="D19" s="15" t="s">
        <v>26</v>
      </c>
      <c r="E19" s="16" t="s">
        <v>13011</v>
      </c>
      <c r="F19" s="12">
        <v>41494.013344907406</v>
      </c>
      <c r="G19" s="9" t="s">
        <v>445</v>
      </c>
      <c r="H19" s="35" t="s">
        <v>27</v>
      </c>
      <c r="I19" s="18" t="s">
        <v>28</v>
      </c>
    </row>
    <row r="20" spans="1:9" s="11" customFormat="1" ht="135">
      <c r="A20" s="19">
        <v>43542.91375</v>
      </c>
      <c r="B20" s="20" t="s">
        <v>13026</v>
      </c>
      <c r="C20" s="21" t="s">
        <v>9995</v>
      </c>
      <c r="D20" s="22" t="s">
        <v>9996</v>
      </c>
      <c r="E20" s="23" t="s">
        <v>13027</v>
      </c>
      <c r="F20" s="19">
        <v>39969.106712962966</v>
      </c>
      <c r="G20" s="9" t="s">
        <v>445</v>
      </c>
      <c r="H20" s="35" t="s">
        <v>885</v>
      </c>
      <c r="I20" s="25" t="s">
        <v>9997</v>
      </c>
    </row>
    <row r="21" spans="1:9" s="11" customFormat="1" ht="75">
      <c r="A21" s="19">
        <v>43542.462372685186</v>
      </c>
      <c r="B21" s="20" t="s">
        <v>13028</v>
      </c>
      <c r="C21" s="21" t="s">
        <v>10159</v>
      </c>
      <c r="D21" s="22" t="s">
        <v>10160</v>
      </c>
      <c r="E21" s="23" t="s">
        <v>13013</v>
      </c>
      <c r="F21" s="19">
        <v>41222.218449074076</v>
      </c>
      <c r="G21" s="9" t="s">
        <v>445</v>
      </c>
      <c r="H21" s="35" t="s">
        <v>885</v>
      </c>
      <c r="I21" s="25" t="s">
        <v>10161</v>
      </c>
    </row>
    <row r="22" spans="1:9" s="11" customFormat="1" ht="105">
      <c r="A22" s="4">
        <v>43560.311018518521</v>
      </c>
      <c r="B22" s="5" t="s">
        <v>13029</v>
      </c>
      <c r="C22" s="6" t="s">
        <v>11465</v>
      </c>
      <c r="D22" s="7" t="s">
        <v>11466</v>
      </c>
      <c r="E22" s="8" t="s">
        <v>13011</v>
      </c>
      <c r="F22" s="4">
        <v>40673.576053240744</v>
      </c>
      <c r="G22" s="9" t="s">
        <v>445</v>
      </c>
      <c r="H22" s="35" t="s">
        <v>885</v>
      </c>
      <c r="I22" s="10" t="s">
        <v>11467</v>
      </c>
    </row>
    <row r="23" spans="1:9" s="11" customFormat="1" ht="105">
      <c r="A23" s="12">
        <v>43579.175937499997</v>
      </c>
      <c r="B23" s="13" t="s">
        <v>13030</v>
      </c>
      <c r="C23" s="14" t="s">
        <v>883</v>
      </c>
      <c r="D23" s="15" t="s">
        <v>884</v>
      </c>
      <c r="E23" s="16" t="s">
        <v>13009</v>
      </c>
      <c r="F23" s="12">
        <v>40417.198935185181</v>
      </c>
      <c r="G23" s="9" t="s">
        <v>445</v>
      </c>
      <c r="H23" s="35" t="s">
        <v>885</v>
      </c>
      <c r="I23" s="18" t="s">
        <v>886</v>
      </c>
    </row>
    <row r="24" spans="1:9" s="11" customFormat="1" ht="90">
      <c r="A24" s="12">
        <v>43578.919629629629</v>
      </c>
      <c r="B24" s="13" t="s">
        <v>13031</v>
      </c>
      <c r="C24" s="14" t="s">
        <v>993</v>
      </c>
      <c r="D24" s="15" t="s">
        <v>994</v>
      </c>
      <c r="E24" s="16" t="s">
        <v>13032</v>
      </c>
      <c r="F24" s="12">
        <v>42052.261134259257</v>
      </c>
      <c r="G24" s="9" t="s">
        <v>445</v>
      </c>
      <c r="H24" s="35" t="s">
        <v>885</v>
      </c>
      <c r="I24" s="18" t="s">
        <v>995</v>
      </c>
    </row>
    <row r="25" spans="1:9" s="11" customFormat="1" ht="105">
      <c r="A25" s="12">
        <v>43571.40902777778</v>
      </c>
      <c r="B25" s="13" t="s">
        <v>13033</v>
      </c>
      <c r="C25" s="14" t="s">
        <v>3681</v>
      </c>
      <c r="D25" s="15" t="s">
        <v>3682</v>
      </c>
      <c r="E25" s="16" t="s">
        <v>13034</v>
      </c>
      <c r="F25" s="12">
        <v>39928.413495370369</v>
      </c>
      <c r="G25" s="9" t="s">
        <v>445</v>
      </c>
      <c r="H25" s="35" t="s">
        <v>885</v>
      </c>
      <c r="I25" s="18" t="s">
        <v>3683</v>
      </c>
    </row>
    <row r="26" spans="1:9" s="11" customFormat="1" ht="105">
      <c r="A26" s="12">
        <v>43571.044583333336</v>
      </c>
      <c r="B26" s="13" t="s">
        <v>13035</v>
      </c>
      <c r="C26" s="14" t="s">
        <v>3887</v>
      </c>
      <c r="D26" s="15" t="s">
        <v>3888</v>
      </c>
      <c r="E26" s="16" t="s">
        <v>13006</v>
      </c>
      <c r="F26" s="12">
        <v>41565.547476851854</v>
      </c>
      <c r="G26" s="9" t="s">
        <v>445</v>
      </c>
      <c r="H26" s="35" t="s">
        <v>885</v>
      </c>
      <c r="I26" s="18" t="s">
        <v>3889</v>
      </c>
    </row>
    <row r="27" spans="1:9" s="11" customFormat="1" ht="105">
      <c r="A27" s="12">
        <v>43571.041817129633</v>
      </c>
      <c r="B27" s="13" t="s">
        <v>13033</v>
      </c>
      <c r="C27" s="14" t="s">
        <v>3681</v>
      </c>
      <c r="D27" s="15" t="s">
        <v>3891</v>
      </c>
      <c r="E27" s="16" t="s">
        <v>13034</v>
      </c>
      <c r="F27" s="12">
        <v>39928.413495370369</v>
      </c>
      <c r="G27" s="9" t="s">
        <v>445</v>
      </c>
      <c r="H27" s="35" t="s">
        <v>885</v>
      </c>
      <c r="I27" s="18" t="s">
        <v>3683</v>
      </c>
    </row>
    <row r="28" spans="1:9" s="11" customFormat="1" ht="105">
      <c r="A28" s="12">
        <v>43570.481261574074</v>
      </c>
      <c r="B28" s="13" t="s">
        <v>13033</v>
      </c>
      <c r="C28" s="14" t="s">
        <v>3681</v>
      </c>
      <c r="D28" s="15" t="s">
        <v>4114</v>
      </c>
      <c r="E28" s="16" t="s">
        <v>13034</v>
      </c>
      <c r="F28" s="12">
        <v>39928.413495370369</v>
      </c>
      <c r="G28" s="9" t="s">
        <v>445</v>
      </c>
      <c r="H28" s="35" t="s">
        <v>885</v>
      </c>
      <c r="I28" s="18" t="s">
        <v>3683</v>
      </c>
    </row>
    <row r="29" spans="1:9" s="11" customFormat="1" ht="105">
      <c r="A29" s="12">
        <v>43570.418749999997</v>
      </c>
      <c r="B29" s="13" t="s">
        <v>13033</v>
      </c>
      <c r="C29" s="14" t="s">
        <v>3681</v>
      </c>
      <c r="D29" s="15" t="s">
        <v>4166</v>
      </c>
      <c r="E29" s="16" t="s">
        <v>13034</v>
      </c>
      <c r="F29" s="12">
        <v>39928.413495370369</v>
      </c>
      <c r="G29" s="9" t="s">
        <v>445</v>
      </c>
      <c r="H29" s="35" t="s">
        <v>885</v>
      </c>
      <c r="I29" s="18" t="s">
        <v>3683</v>
      </c>
    </row>
    <row r="30" spans="1:9" s="11" customFormat="1" ht="105">
      <c r="A30" s="12">
        <v>43570.398460648154</v>
      </c>
      <c r="B30" s="13" t="s">
        <v>13033</v>
      </c>
      <c r="C30" s="14" t="s">
        <v>3681</v>
      </c>
      <c r="D30" s="15" t="s">
        <v>4178</v>
      </c>
      <c r="E30" s="16" t="s">
        <v>13034</v>
      </c>
      <c r="F30" s="12">
        <v>39928.413495370369</v>
      </c>
      <c r="G30" s="9" t="s">
        <v>445</v>
      </c>
      <c r="H30" s="35" t="s">
        <v>885</v>
      </c>
      <c r="I30" s="18" t="s">
        <v>3683</v>
      </c>
    </row>
    <row r="31" spans="1:9" s="11" customFormat="1" ht="120">
      <c r="A31" s="4">
        <v>43559.628287037034</v>
      </c>
      <c r="B31" s="5" t="s">
        <v>13036</v>
      </c>
      <c r="C31" s="6" t="s">
        <v>11729</v>
      </c>
      <c r="D31" s="7" t="s">
        <v>11730</v>
      </c>
      <c r="E31" s="8" t="s">
        <v>13009</v>
      </c>
      <c r="F31" s="4">
        <v>41620.242465277777</v>
      </c>
      <c r="G31" s="9" t="s">
        <v>445</v>
      </c>
      <c r="H31" s="35" t="s">
        <v>11731</v>
      </c>
      <c r="I31" s="10" t="s">
        <v>11732</v>
      </c>
    </row>
    <row r="32" spans="1:9" s="11" customFormat="1" ht="105">
      <c r="A32" s="4">
        <v>43559.599259259259</v>
      </c>
      <c r="B32" s="5" t="s">
        <v>13036</v>
      </c>
      <c r="C32" s="6" t="s">
        <v>11729</v>
      </c>
      <c r="D32" s="7" t="s">
        <v>11754</v>
      </c>
      <c r="E32" s="8" t="s">
        <v>13009</v>
      </c>
      <c r="F32" s="4">
        <v>41620.242465277777</v>
      </c>
      <c r="G32" s="9" t="s">
        <v>445</v>
      </c>
      <c r="H32" s="35" t="s">
        <v>11731</v>
      </c>
      <c r="I32" s="10" t="s">
        <v>11732</v>
      </c>
    </row>
    <row r="33" spans="1:9" s="11" customFormat="1" ht="75">
      <c r="A33" s="12">
        <v>43570.219189814816</v>
      </c>
      <c r="B33" s="13" t="s">
        <v>13037</v>
      </c>
      <c r="C33" s="14" t="s">
        <v>4296</v>
      </c>
      <c r="D33" s="15" t="s">
        <v>4297</v>
      </c>
      <c r="E33" s="16" t="s">
        <v>13011</v>
      </c>
      <c r="F33" s="12">
        <v>42337.031168981484</v>
      </c>
      <c r="G33" s="17" t="s">
        <v>445</v>
      </c>
      <c r="H33" s="35" t="s">
        <v>4298</v>
      </c>
      <c r="I33" s="18" t="s">
        <v>4299</v>
      </c>
    </row>
    <row r="34" spans="1:9" s="11" customFormat="1" ht="90">
      <c r="A34" s="12">
        <v>43576.347812499997</v>
      </c>
      <c r="B34" s="13" t="s">
        <v>13038</v>
      </c>
      <c r="C34" s="14" t="s">
        <v>1983</v>
      </c>
      <c r="D34" s="15" t="s">
        <v>1984</v>
      </c>
      <c r="E34" s="16" t="s">
        <v>13013</v>
      </c>
      <c r="F34" s="12">
        <v>43563.266898148147</v>
      </c>
      <c r="G34" s="17" t="s">
        <v>445</v>
      </c>
      <c r="H34" s="35" t="s">
        <v>1985</v>
      </c>
      <c r="I34" s="18" t="s">
        <v>1986</v>
      </c>
    </row>
    <row r="35" spans="1:9" s="11" customFormat="1" ht="90">
      <c r="A35" s="19">
        <v>43544.165243055555</v>
      </c>
      <c r="B35" s="20" t="s">
        <v>13039</v>
      </c>
      <c r="C35" s="21" t="s">
        <v>9590</v>
      </c>
      <c r="D35" s="22" t="s">
        <v>9591</v>
      </c>
      <c r="E35" s="23" t="s">
        <v>13009</v>
      </c>
      <c r="F35" s="19">
        <v>42827.611400462964</v>
      </c>
      <c r="G35" s="24" t="s">
        <v>445</v>
      </c>
      <c r="H35" s="35" t="s">
        <v>9592</v>
      </c>
      <c r="I35" s="25" t="s">
        <v>9593</v>
      </c>
    </row>
    <row r="36" spans="1:9" s="11" customFormat="1" ht="105">
      <c r="A36" s="12">
        <v>43578.989907407406</v>
      </c>
      <c r="B36" s="13" t="s">
        <v>13040</v>
      </c>
      <c r="C36" s="14" t="s">
        <v>980</v>
      </c>
      <c r="D36" s="15" t="s">
        <v>981</v>
      </c>
      <c r="E36" s="16" t="s">
        <v>13013</v>
      </c>
      <c r="F36" s="12">
        <v>41780.992673611108</v>
      </c>
      <c r="G36" s="17" t="s">
        <v>445</v>
      </c>
      <c r="H36" s="35" t="s">
        <v>982</v>
      </c>
      <c r="I36" s="18" t="s">
        <v>983</v>
      </c>
    </row>
    <row r="37" spans="1:9" s="11" customFormat="1" ht="90">
      <c r="A37" s="12">
        <v>43570.250625000001</v>
      </c>
      <c r="B37" s="13" t="s">
        <v>13041</v>
      </c>
      <c r="C37" s="14" t="s">
        <v>4274</v>
      </c>
      <c r="D37" s="15" t="s">
        <v>4275</v>
      </c>
      <c r="E37" s="16" t="s">
        <v>13006</v>
      </c>
      <c r="F37" s="12">
        <v>40315.325231481482</v>
      </c>
      <c r="G37" s="17" t="s">
        <v>445</v>
      </c>
      <c r="H37" s="35" t="s">
        <v>4276</v>
      </c>
      <c r="I37" s="18" t="s">
        <v>4277</v>
      </c>
    </row>
    <row r="38" spans="1:9" s="11" customFormat="1" ht="90">
      <c r="A38" s="12">
        <v>43571.408449074079</v>
      </c>
      <c r="B38" s="13" t="s">
        <v>13042</v>
      </c>
      <c r="C38" s="14">
        <v>702</v>
      </c>
      <c r="D38" s="15" t="s">
        <v>3682</v>
      </c>
      <c r="E38" s="16" t="s">
        <v>13034</v>
      </c>
      <c r="F38" s="12">
        <v>39835.108807870369</v>
      </c>
      <c r="G38" s="17" t="s">
        <v>445</v>
      </c>
      <c r="H38" s="35" t="s">
        <v>3684</v>
      </c>
      <c r="I38" s="18" t="s">
        <v>3685</v>
      </c>
    </row>
    <row r="39" spans="1:9" s="11" customFormat="1" ht="60">
      <c r="A39" s="12">
        <v>43571.041817129633</v>
      </c>
      <c r="B39" s="13" t="s">
        <v>13042</v>
      </c>
      <c r="C39" s="14">
        <v>702</v>
      </c>
      <c r="D39" s="15" t="s">
        <v>3891</v>
      </c>
      <c r="E39" s="16" t="s">
        <v>13034</v>
      </c>
      <c r="F39" s="12">
        <v>39835.108807870369</v>
      </c>
      <c r="G39" s="17" t="s">
        <v>445</v>
      </c>
      <c r="H39" s="35" t="s">
        <v>3684</v>
      </c>
      <c r="I39" s="18" t="s">
        <v>3685</v>
      </c>
    </row>
    <row r="40" spans="1:9" s="11" customFormat="1" ht="60">
      <c r="A40" s="12">
        <v>43570.481261574074</v>
      </c>
      <c r="B40" s="13" t="s">
        <v>13042</v>
      </c>
      <c r="C40" s="14">
        <v>702</v>
      </c>
      <c r="D40" s="15" t="s">
        <v>4114</v>
      </c>
      <c r="E40" s="16" t="s">
        <v>13034</v>
      </c>
      <c r="F40" s="12">
        <v>39835.108807870369</v>
      </c>
      <c r="G40" s="17" t="s">
        <v>445</v>
      </c>
      <c r="H40" s="35" t="s">
        <v>3684</v>
      </c>
      <c r="I40" s="18" t="s">
        <v>3685</v>
      </c>
    </row>
    <row r="41" spans="1:9" s="11" customFormat="1" ht="105">
      <c r="A41" s="12">
        <v>43570.41878472222</v>
      </c>
      <c r="B41" s="13" t="s">
        <v>13042</v>
      </c>
      <c r="C41" s="14">
        <v>702</v>
      </c>
      <c r="D41" s="15" t="s">
        <v>4166</v>
      </c>
      <c r="E41" s="16" t="s">
        <v>13034</v>
      </c>
      <c r="F41" s="12">
        <v>39835.108807870369</v>
      </c>
      <c r="G41" s="17" t="s">
        <v>445</v>
      </c>
      <c r="H41" s="35" t="s">
        <v>3684</v>
      </c>
      <c r="I41" s="18" t="s">
        <v>3685</v>
      </c>
    </row>
    <row r="42" spans="1:9" s="11" customFormat="1" ht="75">
      <c r="A42" s="12">
        <v>43570.398263888885</v>
      </c>
      <c r="B42" s="13" t="s">
        <v>13042</v>
      </c>
      <c r="C42" s="14">
        <v>702</v>
      </c>
      <c r="D42" s="15" t="s">
        <v>4178</v>
      </c>
      <c r="E42" s="16" t="s">
        <v>13034</v>
      </c>
      <c r="F42" s="12">
        <v>39835.108807870369</v>
      </c>
      <c r="G42" s="17" t="s">
        <v>445</v>
      </c>
      <c r="H42" s="35" t="s">
        <v>3684</v>
      </c>
      <c r="I42" s="18" t="s">
        <v>3685</v>
      </c>
    </row>
    <row r="43" spans="1:9" s="11" customFormat="1" ht="75">
      <c r="A43" s="12">
        <v>43568.920393518521</v>
      </c>
      <c r="B43" s="13" t="s">
        <v>13043</v>
      </c>
      <c r="C43" s="14" t="s">
        <v>4624</v>
      </c>
      <c r="D43" s="15" t="s">
        <v>4625</v>
      </c>
      <c r="E43" s="16" t="s">
        <v>13009</v>
      </c>
      <c r="F43" s="12">
        <v>39802.00408564815</v>
      </c>
      <c r="G43" s="17" t="s">
        <v>445</v>
      </c>
      <c r="H43" s="35" t="s">
        <v>4626</v>
      </c>
      <c r="I43" s="18" t="s">
        <v>4627</v>
      </c>
    </row>
    <row r="44" spans="1:9" s="11" customFormat="1" ht="105">
      <c r="A44" s="19">
        <v>43545.197546296295</v>
      </c>
      <c r="B44" s="20" t="s">
        <v>13044</v>
      </c>
      <c r="C44" s="21" t="s">
        <v>3751</v>
      </c>
      <c r="D44" s="22" t="s">
        <v>9262</v>
      </c>
      <c r="E44" s="23" t="s">
        <v>13013</v>
      </c>
      <c r="F44" s="19">
        <v>43148.978495370371</v>
      </c>
      <c r="G44" s="17" t="s">
        <v>445</v>
      </c>
      <c r="H44" s="35" t="s">
        <v>3753</v>
      </c>
      <c r="I44" s="25" t="s">
        <v>3754</v>
      </c>
    </row>
    <row r="45" spans="1:9" s="11" customFormat="1" ht="105">
      <c r="A45" s="12">
        <v>43571.293263888889</v>
      </c>
      <c r="B45" s="13" t="s">
        <v>13044</v>
      </c>
      <c r="C45" s="14" t="s">
        <v>3751</v>
      </c>
      <c r="D45" s="15" t="s">
        <v>3752</v>
      </c>
      <c r="E45" s="16" t="s">
        <v>13009</v>
      </c>
      <c r="F45" s="12">
        <v>43148.978495370371</v>
      </c>
      <c r="G45" s="17" t="s">
        <v>445</v>
      </c>
      <c r="H45" s="35" t="s">
        <v>3753</v>
      </c>
      <c r="I45" s="18" t="s">
        <v>3754</v>
      </c>
    </row>
    <row r="46" spans="1:9" s="11" customFormat="1" ht="105">
      <c r="A46" s="12">
        <v>43566.947858796295</v>
      </c>
      <c r="B46" s="13" t="s">
        <v>13044</v>
      </c>
      <c r="C46" s="14" t="s">
        <v>3751</v>
      </c>
      <c r="D46" s="15" t="s">
        <v>5301</v>
      </c>
      <c r="E46" s="16" t="s">
        <v>13018</v>
      </c>
      <c r="F46" s="12">
        <v>43148.978495370371</v>
      </c>
      <c r="G46" s="17" t="s">
        <v>445</v>
      </c>
      <c r="H46" s="35" t="s">
        <v>3753</v>
      </c>
      <c r="I46" s="18" t="s">
        <v>3754</v>
      </c>
    </row>
    <row r="47" spans="1:9" s="11" customFormat="1" ht="255">
      <c r="A47" s="12">
        <v>43572.952708333338</v>
      </c>
      <c r="B47" s="13" t="s">
        <v>13045</v>
      </c>
      <c r="C47" s="14" t="s">
        <v>3046</v>
      </c>
      <c r="D47" s="15" t="s">
        <v>3047</v>
      </c>
      <c r="E47" s="16" t="s">
        <v>13011</v>
      </c>
      <c r="F47" s="12">
        <v>40949.059120370366</v>
      </c>
      <c r="G47" s="17" t="s">
        <v>445</v>
      </c>
      <c r="H47" s="35" t="s">
        <v>3048</v>
      </c>
      <c r="I47" s="18" t="s">
        <v>3049</v>
      </c>
    </row>
    <row r="48" spans="1:9" s="11" customFormat="1" ht="270">
      <c r="A48" s="12">
        <v>43572.947395833333</v>
      </c>
      <c r="B48" s="13" t="s">
        <v>13045</v>
      </c>
      <c r="C48" s="14" t="s">
        <v>3046</v>
      </c>
      <c r="D48" s="15" t="s">
        <v>3050</v>
      </c>
      <c r="E48" s="16" t="s">
        <v>13011</v>
      </c>
      <c r="F48" s="12">
        <v>40949.059120370366</v>
      </c>
      <c r="G48" s="17" t="s">
        <v>445</v>
      </c>
      <c r="H48" s="35" t="s">
        <v>3048</v>
      </c>
      <c r="I48" s="18" t="s">
        <v>3049</v>
      </c>
    </row>
    <row r="49" spans="1:9" s="11" customFormat="1" ht="195">
      <c r="A49" s="12">
        <v>43572.901087962964</v>
      </c>
      <c r="B49" s="13" t="s">
        <v>13045</v>
      </c>
      <c r="C49" s="14" t="s">
        <v>3046</v>
      </c>
      <c r="D49" s="15" t="s">
        <v>3062</v>
      </c>
      <c r="E49" s="16" t="s">
        <v>13011</v>
      </c>
      <c r="F49" s="12">
        <v>40949.059120370366</v>
      </c>
      <c r="G49" s="17" t="s">
        <v>445</v>
      </c>
      <c r="H49" s="35" t="s">
        <v>3048</v>
      </c>
      <c r="I49" s="18" t="s">
        <v>3049</v>
      </c>
    </row>
    <row r="50" spans="1:9" s="11" customFormat="1" ht="300">
      <c r="A50" s="12">
        <v>43572.889016203699</v>
      </c>
      <c r="B50" s="13" t="s">
        <v>13045</v>
      </c>
      <c r="C50" s="14" t="s">
        <v>3046</v>
      </c>
      <c r="D50" s="15" t="s">
        <v>3067</v>
      </c>
      <c r="E50" s="16" t="s">
        <v>13011</v>
      </c>
      <c r="F50" s="12">
        <v>40949.059120370366</v>
      </c>
      <c r="G50" s="17" t="s">
        <v>445</v>
      </c>
      <c r="H50" s="35" t="s">
        <v>3048</v>
      </c>
      <c r="I50" s="18" t="s">
        <v>3049</v>
      </c>
    </row>
    <row r="51" spans="1:9" s="11" customFormat="1" ht="135">
      <c r="A51" s="19">
        <v>43550.158703703702</v>
      </c>
      <c r="B51" s="20" t="s">
        <v>13046</v>
      </c>
      <c r="C51" s="21" t="s">
        <v>7806</v>
      </c>
      <c r="D51" s="22" t="s">
        <v>7807</v>
      </c>
      <c r="E51" s="23" t="s">
        <v>13013</v>
      </c>
      <c r="F51" s="19">
        <v>42762.622083333335</v>
      </c>
      <c r="G51" s="24" t="s">
        <v>445</v>
      </c>
      <c r="H51" s="35" t="s">
        <v>7808</v>
      </c>
      <c r="I51" s="25" t="s">
        <v>7809</v>
      </c>
    </row>
    <row r="52" spans="1:9" s="11" customFormat="1" ht="120">
      <c r="A52" s="19">
        <v>43550.140902777777</v>
      </c>
      <c r="B52" s="20" t="s">
        <v>13046</v>
      </c>
      <c r="C52" s="21" t="s">
        <v>7806</v>
      </c>
      <c r="D52" s="22" t="s">
        <v>7816</v>
      </c>
      <c r="E52" s="23" t="s">
        <v>13013</v>
      </c>
      <c r="F52" s="19">
        <v>42762.622083333335</v>
      </c>
      <c r="G52" s="24" t="s">
        <v>445</v>
      </c>
      <c r="H52" s="35" t="s">
        <v>7808</v>
      </c>
      <c r="I52" s="25" t="s">
        <v>7809</v>
      </c>
    </row>
    <row r="53" spans="1:9" s="11" customFormat="1" ht="135">
      <c r="A53" s="19">
        <v>43550.139421296291</v>
      </c>
      <c r="B53" s="20" t="s">
        <v>13046</v>
      </c>
      <c r="C53" s="21" t="s">
        <v>7806</v>
      </c>
      <c r="D53" s="22" t="s">
        <v>7820</v>
      </c>
      <c r="E53" s="23" t="s">
        <v>13013</v>
      </c>
      <c r="F53" s="19">
        <v>42762.622083333335</v>
      </c>
      <c r="G53" s="24" t="s">
        <v>445</v>
      </c>
      <c r="H53" s="35" t="s">
        <v>7808</v>
      </c>
      <c r="I53" s="25" t="s">
        <v>7809</v>
      </c>
    </row>
    <row r="54" spans="1:9" s="11" customFormat="1" ht="90">
      <c r="A54" s="4">
        <v>43562.992928240739</v>
      </c>
      <c r="B54" s="5" t="s">
        <v>13047</v>
      </c>
      <c r="C54" s="6" t="s">
        <v>10515</v>
      </c>
      <c r="D54" s="7" t="s">
        <v>10516</v>
      </c>
      <c r="E54" s="8" t="s">
        <v>13009</v>
      </c>
      <c r="F54" s="4">
        <v>43554.066041666665</v>
      </c>
      <c r="G54" s="9" t="s">
        <v>445</v>
      </c>
      <c r="H54" s="35" t="s">
        <v>10517</v>
      </c>
      <c r="I54" s="10" t="s">
        <v>10518</v>
      </c>
    </row>
    <row r="55" spans="1:9" s="11" customFormat="1" ht="30">
      <c r="A55" s="4">
        <v>43563.415231481486</v>
      </c>
      <c r="B55" s="5" t="s">
        <v>13048</v>
      </c>
      <c r="C55" s="6" t="s">
        <v>10297</v>
      </c>
      <c r="D55" s="7" t="s">
        <v>10298</v>
      </c>
      <c r="E55" s="8" t="s">
        <v>13013</v>
      </c>
      <c r="F55" s="4">
        <v>41331.942210648151</v>
      </c>
      <c r="G55" s="17" t="s">
        <v>445</v>
      </c>
      <c r="H55" s="35" t="s">
        <v>10299</v>
      </c>
      <c r="I55" s="10" t="s">
        <v>10300</v>
      </c>
    </row>
    <row r="56" spans="1:9" s="11" customFormat="1" ht="105">
      <c r="A56" s="12">
        <v>43570.298854166671</v>
      </c>
      <c r="B56" s="13" t="s">
        <v>13049</v>
      </c>
      <c r="C56" s="14" t="s">
        <v>4247</v>
      </c>
      <c r="D56" s="15" t="s">
        <v>4248</v>
      </c>
      <c r="E56" s="16" t="s">
        <v>13011</v>
      </c>
      <c r="F56" s="12">
        <v>40757.221759259257</v>
      </c>
      <c r="G56" s="17" t="s">
        <v>445</v>
      </c>
      <c r="H56" s="35" t="s">
        <v>4249</v>
      </c>
      <c r="I56" s="18" t="s">
        <v>4250</v>
      </c>
    </row>
    <row r="57" spans="1:9" s="11" customFormat="1" ht="60">
      <c r="A57" s="19">
        <v>43548.484699074077</v>
      </c>
      <c r="B57" s="20" t="s">
        <v>13050</v>
      </c>
      <c r="C57" s="21" t="s">
        <v>8301</v>
      </c>
      <c r="D57" s="22" t="s">
        <v>8302</v>
      </c>
      <c r="E57" s="23" t="s">
        <v>13009</v>
      </c>
      <c r="F57" s="19">
        <v>43487.005196759259</v>
      </c>
      <c r="G57" s="17" t="s">
        <v>445</v>
      </c>
      <c r="H57" s="35" t="s">
        <v>917</v>
      </c>
      <c r="I57" s="25" t="s">
        <v>8303</v>
      </c>
    </row>
    <row r="58" spans="1:9" s="11" customFormat="1" ht="105">
      <c r="A58" s="19">
        <v>43544.091435185182</v>
      </c>
      <c r="B58" s="20" t="s">
        <v>13051</v>
      </c>
      <c r="C58" s="21" t="s">
        <v>9619</v>
      </c>
      <c r="D58" s="22" t="s">
        <v>9620</v>
      </c>
      <c r="E58" s="23" t="s">
        <v>13009</v>
      </c>
      <c r="F58" s="19">
        <v>43305.431076388893</v>
      </c>
      <c r="G58" s="17" t="s">
        <v>445</v>
      </c>
      <c r="H58" s="35" t="s">
        <v>917</v>
      </c>
      <c r="I58" s="25" t="s">
        <v>9621</v>
      </c>
    </row>
    <row r="59" spans="1:9" s="11" customFormat="1" ht="105">
      <c r="A59" s="4">
        <v>43558.534780092596</v>
      </c>
      <c r="B59" s="5" t="s">
        <v>13052</v>
      </c>
      <c r="C59" s="6" t="s">
        <v>12138</v>
      </c>
      <c r="D59" s="7" t="s">
        <v>12139</v>
      </c>
      <c r="E59" s="8" t="s">
        <v>13013</v>
      </c>
      <c r="F59" s="4">
        <v>41498.278425925928</v>
      </c>
      <c r="G59" s="17" t="s">
        <v>445</v>
      </c>
      <c r="H59" s="35" t="s">
        <v>917</v>
      </c>
      <c r="I59" s="10" t="s">
        <v>12140</v>
      </c>
    </row>
    <row r="60" spans="1:9" s="11" customFormat="1" ht="90">
      <c r="A60" s="4">
        <v>43558.116157407407</v>
      </c>
      <c r="B60" s="5" t="s">
        <v>13051</v>
      </c>
      <c r="C60" s="6" t="s">
        <v>9619</v>
      </c>
      <c r="D60" s="7" t="s">
        <v>12316</v>
      </c>
      <c r="E60" s="8" t="s">
        <v>13009</v>
      </c>
      <c r="F60" s="4">
        <v>43305.431076388893</v>
      </c>
      <c r="G60" s="17" t="s">
        <v>445</v>
      </c>
      <c r="H60" s="35" t="s">
        <v>917</v>
      </c>
      <c r="I60" s="10" t="s">
        <v>9621</v>
      </c>
    </row>
    <row r="61" spans="1:9" s="11" customFormat="1" ht="225">
      <c r="A61" s="12">
        <v>43579.139097222222</v>
      </c>
      <c r="B61" s="13" t="s">
        <v>13053</v>
      </c>
      <c r="C61" s="14" t="s">
        <v>915</v>
      </c>
      <c r="D61" s="15" t="s">
        <v>916</v>
      </c>
      <c r="E61" s="16" t="s">
        <v>13009</v>
      </c>
      <c r="F61" s="12">
        <v>40596.1246875</v>
      </c>
      <c r="G61" s="17" t="s">
        <v>445</v>
      </c>
      <c r="H61" s="35" t="s">
        <v>917</v>
      </c>
      <c r="I61" s="18" t="s">
        <v>918</v>
      </c>
    </row>
    <row r="62" spans="1:9" s="11" customFormat="1" ht="120">
      <c r="A62" s="12">
        <v>43578.490543981483</v>
      </c>
      <c r="B62" s="13" t="s">
        <v>13054</v>
      </c>
      <c r="C62" s="14" t="s">
        <v>1178</v>
      </c>
      <c r="D62" s="15" t="s">
        <v>1179</v>
      </c>
      <c r="E62" s="16" t="s">
        <v>13006</v>
      </c>
      <c r="F62" s="12">
        <v>40840.510150462964</v>
      </c>
      <c r="G62" s="17" t="s">
        <v>445</v>
      </c>
      <c r="H62" s="35" t="s">
        <v>917</v>
      </c>
      <c r="I62" s="18" t="s">
        <v>1180</v>
      </c>
    </row>
    <row r="63" spans="1:9" s="11" customFormat="1" ht="120">
      <c r="A63" s="12">
        <v>43578.113356481481</v>
      </c>
      <c r="B63" s="13" t="s">
        <v>13054</v>
      </c>
      <c r="C63" s="14" t="s">
        <v>1178</v>
      </c>
      <c r="D63" s="15" t="s">
        <v>1396</v>
      </c>
      <c r="E63" s="16" t="s">
        <v>13006</v>
      </c>
      <c r="F63" s="12">
        <v>40840.510150462964</v>
      </c>
      <c r="G63" s="17" t="s">
        <v>445</v>
      </c>
      <c r="H63" s="35" t="s">
        <v>917</v>
      </c>
      <c r="I63" s="18" t="s">
        <v>1180</v>
      </c>
    </row>
    <row r="64" spans="1:9" s="11" customFormat="1" ht="90">
      <c r="A64" s="12">
        <v>43573.250104166669</v>
      </c>
      <c r="B64" s="13" t="s">
        <v>13055</v>
      </c>
      <c r="C64" s="14" t="s">
        <v>2955</v>
      </c>
      <c r="D64" s="15" t="s">
        <v>2956</v>
      </c>
      <c r="E64" s="16" t="s">
        <v>13034</v>
      </c>
      <c r="F64" s="12">
        <v>42397.225046296298</v>
      </c>
      <c r="G64" s="17" t="s">
        <v>445</v>
      </c>
      <c r="H64" s="35" t="s">
        <v>917</v>
      </c>
      <c r="I64" s="18"/>
    </row>
    <row r="65" spans="1:9" s="11" customFormat="1" ht="90">
      <c r="A65" s="12">
        <v>43572.418923611112</v>
      </c>
      <c r="B65" s="13" t="s">
        <v>13056</v>
      </c>
      <c r="C65" s="14" t="s">
        <v>3257</v>
      </c>
      <c r="D65" s="15" t="s">
        <v>3258</v>
      </c>
      <c r="E65" s="16" t="s">
        <v>13015</v>
      </c>
      <c r="F65" s="12">
        <v>43568.421620370369</v>
      </c>
      <c r="G65" s="17" t="s">
        <v>445</v>
      </c>
      <c r="H65" s="35" t="s">
        <v>917</v>
      </c>
      <c r="I65" s="18" t="s">
        <v>3259</v>
      </c>
    </row>
    <row r="66" spans="1:9" s="11" customFormat="1" ht="75">
      <c r="A66" s="12">
        <v>43572.334027777775</v>
      </c>
      <c r="B66" s="13" t="s">
        <v>13057</v>
      </c>
      <c r="C66" s="14" t="s">
        <v>3326</v>
      </c>
      <c r="D66" s="15" t="s">
        <v>3327</v>
      </c>
      <c r="E66" s="16" t="s">
        <v>13009</v>
      </c>
      <c r="F66" s="12">
        <v>42153.782719907409</v>
      </c>
      <c r="G66" s="17" t="s">
        <v>445</v>
      </c>
      <c r="H66" s="35" t="s">
        <v>917</v>
      </c>
      <c r="I66" s="18" t="s">
        <v>3328</v>
      </c>
    </row>
    <row r="67" spans="1:9" s="11" customFormat="1" ht="60">
      <c r="A67" s="12">
        <v>43572.247627314813</v>
      </c>
      <c r="B67" s="13" t="s">
        <v>13058</v>
      </c>
      <c r="C67" s="14" t="s">
        <v>3358</v>
      </c>
      <c r="D67" s="15" t="s">
        <v>3359</v>
      </c>
      <c r="E67" s="16" t="s">
        <v>13011</v>
      </c>
      <c r="F67" s="12">
        <v>40567.101342592592</v>
      </c>
      <c r="G67" s="17" t="s">
        <v>445</v>
      </c>
      <c r="H67" s="35" t="s">
        <v>917</v>
      </c>
      <c r="I67" s="18" t="s">
        <v>3360</v>
      </c>
    </row>
    <row r="68" spans="1:9" s="11" customFormat="1" ht="105">
      <c r="A68" s="12">
        <v>43570.954548611116</v>
      </c>
      <c r="B68" s="13" t="s">
        <v>13059</v>
      </c>
      <c r="C68" s="14" t="s">
        <v>3919</v>
      </c>
      <c r="D68" s="15" t="s">
        <v>3920</v>
      </c>
      <c r="E68" s="16" t="s">
        <v>13013</v>
      </c>
      <c r="F68" s="12">
        <v>40833.217418981483</v>
      </c>
      <c r="G68" s="17" t="s">
        <v>445</v>
      </c>
      <c r="H68" s="35" t="s">
        <v>917</v>
      </c>
      <c r="I68" s="18" t="s">
        <v>3921</v>
      </c>
    </row>
    <row r="69" spans="1:9" s="11" customFormat="1" ht="120">
      <c r="A69" s="12">
        <v>43570.24217592593</v>
      </c>
      <c r="B69" s="13" t="s">
        <v>13060</v>
      </c>
      <c r="C69" s="14" t="s">
        <v>4282</v>
      </c>
      <c r="D69" s="15" t="s">
        <v>4283</v>
      </c>
      <c r="E69" s="16" t="s">
        <v>13013</v>
      </c>
      <c r="F69" s="12">
        <v>40283.510324074072</v>
      </c>
      <c r="G69" s="17" t="s">
        <v>445</v>
      </c>
      <c r="H69" s="35" t="s">
        <v>917</v>
      </c>
      <c r="I69" s="18" t="s">
        <v>4284</v>
      </c>
    </row>
    <row r="70" spans="1:9" s="11" customFormat="1" ht="105">
      <c r="A70" s="12">
        <v>43569.181909722218</v>
      </c>
      <c r="B70" s="13" t="s">
        <v>13053</v>
      </c>
      <c r="C70" s="14" t="s">
        <v>915</v>
      </c>
      <c r="D70" s="15" t="s">
        <v>4581</v>
      </c>
      <c r="E70" s="16" t="s">
        <v>13009</v>
      </c>
      <c r="F70" s="12">
        <v>40596.1246875</v>
      </c>
      <c r="G70" s="17" t="s">
        <v>445</v>
      </c>
      <c r="H70" s="35" t="s">
        <v>917</v>
      </c>
      <c r="I70" s="18" t="s">
        <v>918</v>
      </c>
    </row>
    <row r="71" spans="1:9" s="11" customFormat="1" ht="75">
      <c r="A71" s="4">
        <v>43562.350717592592</v>
      </c>
      <c r="B71" s="5" t="s">
        <v>13061</v>
      </c>
      <c r="C71" s="6" t="s">
        <v>10700</v>
      </c>
      <c r="D71" s="7" t="s">
        <v>10701</v>
      </c>
      <c r="E71" s="8" t="s">
        <v>13013</v>
      </c>
      <c r="F71" s="4">
        <v>41204.990150462967</v>
      </c>
      <c r="G71" s="17" t="s">
        <v>445</v>
      </c>
      <c r="H71" s="35" t="s">
        <v>10702</v>
      </c>
      <c r="I71" s="10" t="s">
        <v>10703</v>
      </c>
    </row>
    <row r="72" spans="1:9" s="11" customFormat="1" ht="120">
      <c r="A72" s="12">
        <v>43572.965763888889</v>
      </c>
      <c r="B72" s="13" t="s">
        <v>13062</v>
      </c>
      <c r="C72" s="14" t="s">
        <v>3041</v>
      </c>
      <c r="D72" s="15" t="s">
        <v>3042</v>
      </c>
      <c r="E72" s="16" t="s">
        <v>13006</v>
      </c>
      <c r="F72" s="12">
        <v>40687.599247685182</v>
      </c>
      <c r="G72" s="17" t="s">
        <v>445</v>
      </c>
      <c r="H72" s="35" t="s">
        <v>3043</v>
      </c>
      <c r="I72" s="18" t="s">
        <v>3044</v>
      </c>
    </row>
    <row r="73" spans="1:9" s="11" customFormat="1" ht="60">
      <c r="A73" s="12">
        <v>43573.25399305555</v>
      </c>
      <c r="B73" s="13" t="s">
        <v>13063</v>
      </c>
      <c r="C73" s="14" t="s">
        <v>2952</v>
      </c>
      <c r="D73" s="15" t="s">
        <v>2953</v>
      </c>
      <c r="E73" s="16" t="s">
        <v>13011</v>
      </c>
      <c r="F73" s="12">
        <v>41021.992418981477</v>
      </c>
      <c r="G73" s="17" t="s">
        <v>445</v>
      </c>
      <c r="H73" s="35" t="s">
        <v>2954</v>
      </c>
      <c r="I73" s="18"/>
    </row>
    <row r="74" spans="1:9" s="11" customFormat="1" ht="135">
      <c r="A74" s="4">
        <v>43563.033946759257</v>
      </c>
      <c r="B74" s="5" t="s">
        <v>13064</v>
      </c>
      <c r="C74" s="6" t="s">
        <v>10497</v>
      </c>
      <c r="D74" s="7" t="s">
        <v>10498</v>
      </c>
      <c r="E74" s="8" t="s">
        <v>13032</v>
      </c>
      <c r="F74" s="4">
        <v>41535.004999999997</v>
      </c>
      <c r="G74" s="9" t="s">
        <v>445</v>
      </c>
      <c r="H74" s="35" t="s">
        <v>10499</v>
      </c>
      <c r="I74" s="10" t="s">
        <v>10500</v>
      </c>
    </row>
    <row r="75" spans="1:9" s="11" customFormat="1" ht="90">
      <c r="A75" s="12">
        <v>43576.596736111111</v>
      </c>
      <c r="B75" s="13" t="s">
        <v>13065</v>
      </c>
      <c r="C75" s="14" t="s">
        <v>1895</v>
      </c>
      <c r="D75" s="15" t="s">
        <v>1896</v>
      </c>
      <c r="E75" s="16" t="s">
        <v>13013</v>
      </c>
      <c r="F75" s="12">
        <v>40102.284849537034</v>
      </c>
      <c r="G75" s="17" t="s">
        <v>445</v>
      </c>
      <c r="H75" s="35" t="s">
        <v>1897</v>
      </c>
      <c r="I75" s="18" t="s">
        <v>1898</v>
      </c>
    </row>
    <row r="76" spans="1:9" s="11" customFormat="1" ht="105">
      <c r="A76" s="12">
        <v>43571.320486111115</v>
      </c>
      <c r="B76" s="13" t="s">
        <v>13066</v>
      </c>
      <c r="C76" s="14" t="s">
        <v>3738</v>
      </c>
      <c r="D76" s="15" t="s">
        <v>3739</v>
      </c>
      <c r="E76" s="16" t="s">
        <v>13009</v>
      </c>
      <c r="F76" s="12">
        <v>41148.51121527778</v>
      </c>
      <c r="G76" s="17" t="s">
        <v>445</v>
      </c>
      <c r="H76" s="35" t="s">
        <v>1897</v>
      </c>
      <c r="I76" s="18" t="s">
        <v>3740</v>
      </c>
    </row>
    <row r="77" spans="1:9" s="11" customFormat="1" ht="120">
      <c r="A77" s="12">
        <v>43580.776006944448</v>
      </c>
      <c r="B77" s="13" t="s">
        <v>13067</v>
      </c>
      <c r="C77" s="14" t="s">
        <v>82</v>
      </c>
      <c r="D77" s="15" t="s">
        <v>83</v>
      </c>
      <c r="E77" s="16" t="s">
        <v>13006</v>
      </c>
      <c r="F77" s="12">
        <v>40181.595462962963</v>
      </c>
      <c r="G77" s="17" t="s">
        <v>445</v>
      </c>
      <c r="H77" s="35" t="s">
        <v>84</v>
      </c>
      <c r="I77" s="18" t="s">
        <v>85</v>
      </c>
    </row>
    <row r="78" spans="1:9" s="11" customFormat="1" ht="90">
      <c r="A78" s="12">
        <v>43580.735914351855</v>
      </c>
      <c r="B78" s="13" t="s">
        <v>13068</v>
      </c>
      <c r="C78" s="14" t="s">
        <v>111</v>
      </c>
      <c r="D78" s="15" t="s">
        <v>112</v>
      </c>
      <c r="E78" s="16" t="s">
        <v>13011</v>
      </c>
      <c r="F78" s="12">
        <v>39943.615613425922</v>
      </c>
      <c r="G78" s="17" t="s">
        <v>445</v>
      </c>
      <c r="H78" s="35" t="s">
        <v>113</v>
      </c>
      <c r="I78" s="18" t="s">
        <v>114</v>
      </c>
    </row>
    <row r="79" spans="1:9" s="11" customFormat="1" ht="45">
      <c r="A79" s="12">
        <v>43577.186435185184</v>
      </c>
      <c r="B79" s="13" t="s">
        <v>13069</v>
      </c>
      <c r="C79" s="14" t="s">
        <v>1712</v>
      </c>
      <c r="D79" s="15" t="s">
        <v>1713</v>
      </c>
      <c r="E79" s="16" t="s">
        <v>13013</v>
      </c>
      <c r="F79" s="12">
        <v>43567.345034722224</v>
      </c>
      <c r="G79" s="17" t="s">
        <v>445</v>
      </c>
      <c r="H79" s="35" t="s">
        <v>1714</v>
      </c>
      <c r="I79" s="18" t="s">
        <v>1715</v>
      </c>
    </row>
    <row r="80" spans="1:9" s="11" customFormat="1" ht="135">
      <c r="A80" s="12">
        <v>43574.039641203708</v>
      </c>
      <c r="B80" s="13" t="s">
        <v>13070</v>
      </c>
      <c r="C80" s="14" t="s">
        <v>2681</v>
      </c>
      <c r="D80" s="15" t="s">
        <v>2682</v>
      </c>
      <c r="E80" s="16" t="s">
        <v>13013</v>
      </c>
      <c r="F80" s="12">
        <v>39979.17597222222</v>
      </c>
      <c r="G80" s="17" t="s">
        <v>445</v>
      </c>
      <c r="H80" s="35" t="s">
        <v>2683</v>
      </c>
      <c r="I80" s="18" t="s">
        <v>2684</v>
      </c>
    </row>
    <row r="81" spans="1:9" s="11" customFormat="1" ht="60">
      <c r="A81" s="4">
        <v>43564.037199074075</v>
      </c>
      <c r="B81" s="5" t="s">
        <v>13071</v>
      </c>
      <c r="C81" s="6" t="s">
        <v>6815</v>
      </c>
      <c r="D81" s="7" t="s">
        <v>6816</v>
      </c>
      <c r="E81" s="8" t="s">
        <v>13011</v>
      </c>
      <c r="F81" s="4">
        <v>43204.885011574079</v>
      </c>
      <c r="G81" s="17" t="s">
        <v>445</v>
      </c>
      <c r="H81" s="35" t="s">
        <v>6817</v>
      </c>
      <c r="I81" s="10" t="s">
        <v>6818</v>
      </c>
    </row>
    <row r="82" spans="1:9" s="11" customFormat="1" ht="150">
      <c r="A82" s="12">
        <v>43580.640856481477</v>
      </c>
      <c r="B82" s="13" t="s">
        <v>13072</v>
      </c>
      <c r="C82" s="14" t="s">
        <v>190</v>
      </c>
      <c r="D82" s="15" t="s">
        <v>191</v>
      </c>
      <c r="E82" s="16" t="s">
        <v>13013</v>
      </c>
      <c r="F82" s="12">
        <v>39968.908958333333</v>
      </c>
      <c r="G82" s="17" t="s">
        <v>445</v>
      </c>
      <c r="H82" s="35" t="s">
        <v>192</v>
      </c>
      <c r="I82" s="18" t="s">
        <v>193</v>
      </c>
    </row>
    <row r="83" spans="1:9" s="11" customFormat="1" ht="195">
      <c r="A83" s="12">
        <v>43571.921539351853</v>
      </c>
      <c r="B83" s="13" t="s">
        <v>13072</v>
      </c>
      <c r="C83" s="14" t="s">
        <v>190</v>
      </c>
      <c r="D83" s="15" t="s">
        <v>3499</v>
      </c>
      <c r="E83" s="16" t="s">
        <v>13013</v>
      </c>
      <c r="F83" s="12">
        <v>39968.450624999998</v>
      </c>
      <c r="G83" s="17" t="s">
        <v>445</v>
      </c>
      <c r="H83" s="35" t="s">
        <v>192</v>
      </c>
      <c r="I83" s="18" t="s">
        <v>193</v>
      </c>
    </row>
    <row r="84" spans="1:9" s="11" customFormat="1" ht="105">
      <c r="A84" s="12">
        <v>43567.575185185182</v>
      </c>
      <c r="B84" s="13" t="s">
        <v>13073</v>
      </c>
      <c r="C84" s="14" t="s">
        <v>5035</v>
      </c>
      <c r="D84" s="15" t="s">
        <v>5036</v>
      </c>
      <c r="E84" s="16" t="s">
        <v>13074</v>
      </c>
      <c r="F84" s="12">
        <v>40112.231516203705</v>
      </c>
      <c r="G84" s="17" t="s">
        <v>445</v>
      </c>
      <c r="H84" s="35" t="s">
        <v>5037</v>
      </c>
      <c r="I84" s="18" t="s">
        <v>5038</v>
      </c>
    </row>
    <row r="85" spans="1:9" s="11" customFormat="1" ht="195">
      <c r="A85" s="4">
        <v>43560.476655092592</v>
      </c>
      <c r="B85" s="5" t="s">
        <v>13075</v>
      </c>
      <c r="C85" s="6" t="s">
        <v>11347</v>
      </c>
      <c r="D85" s="7" t="s">
        <v>11348</v>
      </c>
      <c r="E85" s="8" t="s">
        <v>13009</v>
      </c>
      <c r="F85" s="4">
        <v>43552.952326388884</v>
      </c>
      <c r="G85" s="9" t="s">
        <v>445</v>
      </c>
      <c r="H85" s="35" t="s">
        <v>11349</v>
      </c>
      <c r="I85" s="10" t="s">
        <v>11350</v>
      </c>
    </row>
    <row r="86" spans="1:9" s="11" customFormat="1" ht="120">
      <c r="A86" s="4">
        <v>43564.367928240739</v>
      </c>
      <c r="B86" s="5" t="s">
        <v>13076</v>
      </c>
      <c r="C86" s="6" t="s">
        <v>6658</v>
      </c>
      <c r="D86" s="7" t="s">
        <v>6642</v>
      </c>
      <c r="E86" s="8" t="s">
        <v>13077</v>
      </c>
      <c r="F86" s="4">
        <v>41241.644675925927</v>
      </c>
      <c r="G86" s="17" t="s">
        <v>445</v>
      </c>
      <c r="H86" s="35" t="s">
        <v>6659</v>
      </c>
      <c r="I86" s="10" t="s">
        <v>6660</v>
      </c>
    </row>
    <row r="87" spans="1:9" s="11" customFormat="1" ht="45">
      <c r="A87" s="4">
        <v>43565.062222222223</v>
      </c>
      <c r="B87" s="5" t="s">
        <v>13078</v>
      </c>
      <c r="C87" s="6" t="s">
        <v>6310</v>
      </c>
      <c r="D87" s="7" t="s">
        <v>6311</v>
      </c>
      <c r="E87" s="8" t="s">
        <v>13032</v>
      </c>
      <c r="F87" s="4">
        <v>40845.229594907403</v>
      </c>
      <c r="G87" s="24" t="s">
        <v>445</v>
      </c>
      <c r="H87" s="35" t="s">
        <v>724</v>
      </c>
      <c r="I87" s="10" t="s">
        <v>6312</v>
      </c>
    </row>
    <row r="88" spans="1:9" s="11" customFormat="1" ht="105">
      <c r="A88" s="4">
        <v>43565.041805555556</v>
      </c>
      <c r="B88" s="5" t="s">
        <v>13079</v>
      </c>
      <c r="C88" s="6" t="s">
        <v>6335</v>
      </c>
      <c r="D88" s="7" t="s">
        <v>6336</v>
      </c>
      <c r="E88" s="8" t="s">
        <v>13034</v>
      </c>
      <c r="F88" s="4">
        <v>41345.29587962963</v>
      </c>
      <c r="G88" s="24" t="s">
        <v>445</v>
      </c>
      <c r="H88" s="35" t="s">
        <v>724</v>
      </c>
      <c r="I88" s="10" t="s">
        <v>6337</v>
      </c>
    </row>
    <row r="89" spans="1:9" s="11" customFormat="1" ht="135">
      <c r="A89" s="4">
        <v>43563.067442129628</v>
      </c>
      <c r="B89" s="5" t="s">
        <v>13080</v>
      </c>
      <c r="C89" s="6" t="s">
        <v>10477</v>
      </c>
      <c r="D89" s="7" t="s">
        <v>10478</v>
      </c>
      <c r="E89" s="8" t="s">
        <v>13009</v>
      </c>
      <c r="F89" s="4">
        <v>40288.198599537034</v>
      </c>
      <c r="G89" s="24" t="s">
        <v>445</v>
      </c>
      <c r="H89" s="35" t="s">
        <v>724</v>
      </c>
      <c r="I89" s="10" t="s">
        <v>10479</v>
      </c>
    </row>
    <row r="90" spans="1:9" s="11" customFormat="1" ht="105">
      <c r="A90" s="12">
        <v>43579.369340277779</v>
      </c>
      <c r="B90" s="13" t="s">
        <v>13081</v>
      </c>
      <c r="C90" s="14" t="s">
        <v>722</v>
      </c>
      <c r="D90" s="15" t="s">
        <v>723</v>
      </c>
      <c r="E90" s="16" t="s">
        <v>13074</v>
      </c>
      <c r="F90" s="12">
        <v>40611.975300925929</v>
      </c>
      <c r="G90" s="24" t="s">
        <v>445</v>
      </c>
      <c r="H90" s="35" t="s">
        <v>724</v>
      </c>
      <c r="I90" s="18" t="s">
        <v>725</v>
      </c>
    </row>
    <row r="91" spans="1:9" s="11" customFormat="1" ht="105">
      <c r="A91" s="12">
        <v>43579.108912037038</v>
      </c>
      <c r="B91" s="13" t="s">
        <v>13082</v>
      </c>
      <c r="C91" s="14" t="s">
        <v>923</v>
      </c>
      <c r="D91" s="15" t="s">
        <v>924</v>
      </c>
      <c r="E91" s="16" t="s">
        <v>13009</v>
      </c>
      <c r="F91" s="12">
        <v>40717.299560185187</v>
      </c>
      <c r="G91" s="24" t="s">
        <v>445</v>
      </c>
      <c r="H91" s="35" t="s">
        <v>724</v>
      </c>
      <c r="I91" s="18" t="s">
        <v>925</v>
      </c>
    </row>
    <row r="92" spans="1:9" s="11" customFormat="1" ht="120">
      <c r="A92" s="12">
        <v>43579.066041666665</v>
      </c>
      <c r="B92" s="13" t="s">
        <v>13083</v>
      </c>
      <c r="C92" s="14" t="s">
        <v>943</v>
      </c>
      <c r="D92" s="15" t="s">
        <v>944</v>
      </c>
      <c r="E92" s="16" t="s">
        <v>13009</v>
      </c>
      <c r="F92" s="12">
        <v>40771.066875000004</v>
      </c>
      <c r="G92" s="24" t="s">
        <v>445</v>
      </c>
      <c r="H92" s="35" t="s">
        <v>724</v>
      </c>
      <c r="I92" s="18" t="s">
        <v>945</v>
      </c>
    </row>
    <row r="93" spans="1:9" s="11" customFormat="1" ht="75">
      <c r="A93" s="12">
        <v>43574.105833333335</v>
      </c>
      <c r="B93" s="13" t="s">
        <v>13084</v>
      </c>
      <c r="C93" s="14" t="s">
        <v>2673</v>
      </c>
      <c r="D93" s="15" t="s">
        <v>2674</v>
      </c>
      <c r="E93" s="16" t="s">
        <v>13011</v>
      </c>
      <c r="F93" s="12">
        <v>41385.478993055556</v>
      </c>
      <c r="G93" s="24" t="s">
        <v>445</v>
      </c>
      <c r="H93" s="35" t="s">
        <v>724</v>
      </c>
      <c r="I93" s="18" t="s">
        <v>2675</v>
      </c>
    </row>
    <row r="94" spans="1:9" s="11" customFormat="1" ht="120">
      <c r="A94" s="12">
        <v>43571.389606481476</v>
      </c>
      <c r="B94" s="13" t="s">
        <v>13085</v>
      </c>
      <c r="C94" s="14" t="s">
        <v>3693</v>
      </c>
      <c r="D94" s="15" t="s">
        <v>3694</v>
      </c>
      <c r="E94" s="16" t="s">
        <v>13013</v>
      </c>
      <c r="F94" s="12">
        <v>42057.463252314818</v>
      </c>
      <c r="G94" s="24" t="s">
        <v>445</v>
      </c>
      <c r="H94" s="35" t="s">
        <v>724</v>
      </c>
      <c r="I94" s="18" t="s">
        <v>3695</v>
      </c>
    </row>
    <row r="95" spans="1:9" s="11" customFormat="1" ht="180">
      <c r="A95" s="12">
        <v>43571.169965277775</v>
      </c>
      <c r="B95" s="13" t="s">
        <v>13083</v>
      </c>
      <c r="C95" s="14" t="s">
        <v>943</v>
      </c>
      <c r="D95" s="15" t="s">
        <v>3817</v>
      </c>
      <c r="E95" s="16" t="s">
        <v>13009</v>
      </c>
      <c r="F95" s="12">
        <v>40771.066875000004</v>
      </c>
      <c r="G95" s="24" t="s">
        <v>445</v>
      </c>
      <c r="H95" s="35" t="s">
        <v>724</v>
      </c>
      <c r="I95" s="18" t="s">
        <v>945</v>
      </c>
    </row>
    <row r="96" spans="1:9" s="11" customFormat="1" ht="60">
      <c r="A96" s="12">
        <v>43571.046620370369</v>
      </c>
      <c r="B96" s="13" t="s">
        <v>13086</v>
      </c>
      <c r="C96" s="14" t="s">
        <v>3880</v>
      </c>
      <c r="D96" s="15" t="s">
        <v>3881</v>
      </c>
      <c r="E96" s="16" t="s">
        <v>13009</v>
      </c>
      <c r="F96" s="12">
        <v>43187.566875000004</v>
      </c>
      <c r="G96" s="24" t="s">
        <v>445</v>
      </c>
      <c r="H96" s="35" t="s">
        <v>724</v>
      </c>
      <c r="I96" s="18" t="s">
        <v>3882</v>
      </c>
    </row>
    <row r="97" spans="1:9" s="11" customFormat="1" ht="105">
      <c r="A97" s="12">
        <v>43570.516666666663</v>
      </c>
      <c r="B97" s="13" t="s">
        <v>13087</v>
      </c>
      <c r="C97" s="14" t="s">
        <v>4093</v>
      </c>
      <c r="D97" s="15" t="s">
        <v>4094</v>
      </c>
      <c r="E97" s="16" t="s">
        <v>13009</v>
      </c>
      <c r="F97" s="12">
        <v>40341.545902777776</v>
      </c>
      <c r="G97" s="24" t="s">
        <v>445</v>
      </c>
      <c r="H97" s="35" t="s">
        <v>724</v>
      </c>
      <c r="I97" s="18" t="s">
        <v>4095</v>
      </c>
    </row>
    <row r="98" spans="1:9" s="11" customFormat="1" ht="105">
      <c r="A98" s="12">
        <v>43570.41788194445</v>
      </c>
      <c r="B98" s="13" t="s">
        <v>13088</v>
      </c>
      <c r="C98" s="14" t="s">
        <v>4170</v>
      </c>
      <c r="D98" s="15" t="s">
        <v>4171</v>
      </c>
      <c r="E98" s="16" t="s">
        <v>13013</v>
      </c>
      <c r="F98" s="12">
        <v>41432.691712962966</v>
      </c>
      <c r="G98" s="24" t="s">
        <v>445</v>
      </c>
      <c r="H98" s="35" t="s">
        <v>724</v>
      </c>
      <c r="I98" s="18" t="s">
        <v>4172</v>
      </c>
    </row>
    <row r="99" spans="1:9" s="11" customFormat="1" ht="90">
      <c r="A99" s="12">
        <v>43565.920752314814</v>
      </c>
      <c r="B99" s="13" t="s">
        <v>13089</v>
      </c>
      <c r="C99" s="14" t="s">
        <v>5853</v>
      </c>
      <c r="D99" s="15" t="s">
        <v>5854</v>
      </c>
      <c r="E99" s="16" t="s">
        <v>13011</v>
      </c>
      <c r="F99" s="12">
        <v>42010.927662037036</v>
      </c>
      <c r="G99" s="24" t="s">
        <v>445</v>
      </c>
      <c r="H99" s="35" t="s">
        <v>724</v>
      </c>
      <c r="I99" s="18" t="s">
        <v>5855</v>
      </c>
    </row>
    <row r="100" spans="1:9" s="11" customFormat="1" ht="105">
      <c r="A100" s="19">
        <v>43544.496655092589</v>
      </c>
      <c r="B100" s="20" t="s">
        <v>13090</v>
      </c>
      <c r="C100" s="21" t="s">
        <v>9436</v>
      </c>
      <c r="D100" s="22" t="s">
        <v>9437</v>
      </c>
      <c r="E100" s="23" t="s">
        <v>13011</v>
      </c>
      <c r="F100" s="19">
        <v>41758.536458333336</v>
      </c>
      <c r="G100" s="24" t="s">
        <v>445</v>
      </c>
      <c r="H100" s="35" t="s">
        <v>9438</v>
      </c>
      <c r="I100" s="25" t="s">
        <v>9439</v>
      </c>
    </row>
    <row r="101" spans="1:9" s="11" customFormat="1" ht="120">
      <c r="A101" s="4">
        <v>43560.06450231481</v>
      </c>
      <c r="B101" s="5" t="s">
        <v>13091</v>
      </c>
      <c r="C101" s="6" t="s">
        <v>11619</v>
      </c>
      <c r="D101" s="7" t="s">
        <v>11620</v>
      </c>
      <c r="E101" s="8" t="s">
        <v>13006</v>
      </c>
      <c r="F101" s="4">
        <v>40329.149340277778</v>
      </c>
      <c r="G101" s="9" t="s">
        <v>445</v>
      </c>
      <c r="H101" s="35" t="s">
        <v>11621</v>
      </c>
      <c r="I101" s="10"/>
    </row>
    <row r="102" spans="1:9" s="11" customFormat="1" ht="135">
      <c r="A102" s="12">
        <v>43571.197118055556</v>
      </c>
      <c r="B102" s="13" t="s">
        <v>13092</v>
      </c>
      <c r="C102" s="14" t="s">
        <v>3798</v>
      </c>
      <c r="D102" s="15" t="s">
        <v>3799</v>
      </c>
      <c r="E102" s="16" t="s">
        <v>13011</v>
      </c>
      <c r="F102" s="12">
        <v>41819.632557870369</v>
      </c>
      <c r="G102" s="17" t="s">
        <v>445</v>
      </c>
      <c r="H102" s="35" t="s">
        <v>3800</v>
      </c>
      <c r="I102" s="18" t="s">
        <v>3801</v>
      </c>
    </row>
    <row r="103" spans="1:9" s="11" customFormat="1" ht="105">
      <c r="A103" s="12">
        <v>43566.41815972222</v>
      </c>
      <c r="B103" s="13" t="s">
        <v>13093</v>
      </c>
      <c r="C103" s="14" t="s">
        <v>5543</v>
      </c>
      <c r="D103" s="15" t="s">
        <v>5544</v>
      </c>
      <c r="E103" s="16" t="s">
        <v>13013</v>
      </c>
      <c r="F103" s="12">
        <v>41949.152025462965</v>
      </c>
      <c r="G103" s="17" t="s">
        <v>445</v>
      </c>
      <c r="H103" s="35" t="s">
        <v>5545</v>
      </c>
      <c r="I103" s="18" t="s">
        <v>5546</v>
      </c>
    </row>
    <row r="104" spans="1:9" s="11" customFormat="1" ht="75">
      <c r="A104" s="12">
        <v>43571.008414351847</v>
      </c>
      <c r="B104" s="13" t="s">
        <v>13094</v>
      </c>
      <c r="C104" s="14" t="s">
        <v>3898</v>
      </c>
      <c r="D104" s="15" t="s">
        <v>3899</v>
      </c>
      <c r="E104" s="16" t="s">
        <v>13011</v>
      </c>
      <c r="F104" s="12">
        <v>40565.898587962962</v>
      </c>
      <c r="G104" s="17" t="s">
        <v>445</v>
      </c>
      <c r="H104" s="35" t="s">
        <v>3900</v>
      </c>
      <c r="I104" s="18" t="s">
        <v>3901</v>
      </c>
    </row>
  </sheetData>
  <autoFilter ref="A1:I104"/>
  <dataValidations count="1">
    <dataValidation type="textLength" allowBlank="1" showInputMessage="1" showErrorMessage="1" sqref="G1:H104">
      <formula1>1</formula1>
      <formula2>50</formula2>
    </dataValidation>
  </dataValidations>
  <hyperlinks>
    <hyperlink ref="C3" r:id="rId1"/>
    <hyperlink ref="C4" r:id="rId2"/>
    <hyperlink ref="C5" r:id="rId3"/>
    <hyperlink ref="C6" r:id="rId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16"/>
  <sheetViews>
    <sheetView zoomScale="40" zoomScaleNormal="40" workbookViewId="0">
      <selection activeCell="R9" sqref="R9"/>
    </sheetView>
  </sheetViews>
  <sheetFormatPr defaultRowHeight="15"/>
  <cols>
    <col min="1" max="1" width="17.42578125" customWidth="1"/>
    <col min="2" max="2" width="16.85546875" customWidth="1"/>
    <col min="3" max="3" width="18.85546875" customWidth="1"/>
    <col min="4" max="4" width="73.5703125" customWidth="1"/>
    <col min="5" max="5" width="17.7109375" customWidth="1"/>
    <col min="6" max="6" width="16.7109375" customWidth="1"/>
    <col min="7" max="7" width="20.42578125" customWidth="1"/>
    <col min="8" max="8" width="17.5703125" customWidth="1"/>
    <col min="9" max="9" width="26.7109375" customWidth="1"/>
  </cols>
  <sheetData>
    <row r="1" spans="1:9" s="3" customFormat="1" ht="29.25" customHeight="1">
      <c r="A1" s="36" t="s">
        <v>0</v>
      </c>
      <c r="B1" s="1" t="s">
        <v>1</v>
      </c>
      <c r="C1" s="1" t="s">
        <v>2</v>
      </c>
      <c r="D1" s="2" t="s">
        <v>3</v>
      </c>
      <c r="E1" s="1" t="s">
        <v>5</v>
      </c>
      <c r="F1" s="1" t="s">
        <v>6</v>
      </c>
      <c r="G1" s="1" t="s">
        <v>13003</v>
      </c>
      <c r="H1" s="1" t="s">
        <v>4</v>
      </c>
      <c r="I1" s="2" t="s">
        <v>7</v>
      </c>
    </row>
    <row r="2" spans="1:9" s="11" customFormat="1" ht="57.75" customHeight="1">
      <c r="A2" s="19">
        <v>43550.264849537038</v>
      </c>
      <c r="B2" s="20" t="s">
        <v>15228</v>
      </c>
      <c r="C2" s="21" t="s">
        <v>7757</v>
      </c>
      <c r="D2" s="22" t="s">
        <v>7758</v>
      </c>
      <c r="E2" s="23" t="s">
        <v>13009</v>
      </c>
      <c r="F2" s="19">
        <v>40609.112326388888</v>
      </c>
      <c r="G2" s="9" t="s">
        <v>171</v>
      </c>
      <c r="H2" s="35" t="s">
        <v>1800</v>
      </c>
      <c r="I2" s="25" t="s">
        <v>7759</v>
      </c>
    </row>
    <row r="3" spans="1:9" s="11" customFormat="1" ht="68.25" customHeight="1">
      <c r="A3" s="4">
        <v>43563.023842592593</v>
      </c>
      <c r="B3" s="5" t="s">
        <v>15229</v>
      </c>
      <c r="C3" s="6" t="s">
        <v>1798</v>
      </c>
      <c r="D3" s="7" t="s">
        <v>10502</v>
      </c>
      <c r="E3" s="8" t="s">
        <v>13009</v>
      </c>
      <c r="F3" s="4">
        <v>43382.094293981485</v>
      </c>
      <c r="G3" s="9" t="s">
        <v>171</v>
      </c>
      <c r="H3" s="35" t="s">
        <v>1800</v>
      </c>
      <c r="I3" s="10" t="s">
        <v>1801</v>
      </c>
    </row>
    <row r="4" spans="1:9" s="11" customFormat="1" ht="55.5" customHeight="1">
      <c r="A4" s="4">
        <v>43559.060104166667</v>
      </c>
      <c r="B4" s="5" t="s">
        <v>15229</v>
      </c>
      <c r="C4" s="6" t="s">
        <v>1798</v>
      </c>
      <c r="D4" s="7" t="s">
        <v>11947</v>
      </c>
      <c r="E4" s="8" t="s">
        <v>13009</v>
      </c>
      <c r="F4" s="4">
        <v>43382.094293981485</v>
      </c>
      <c r="G4" s="9" t="s">
        <v>171</v>
      </c>
      <c r="H4" s="35" t="s">
        <v>1800</v>
      </c>
      <c r="I4" s="10" t="s">
        <v>1801</v>
      </c>
    </row>
    <row r="5" spans="1:9" s="11" customFormat="1" ht="55.5" customHeight="1">
      <c r="A5" s="12">
        <v>43576.935300925921</v>
      </c>
      <c r="B5" s="13" t="s">
        <v>15229</v>
      </c>
      <c r="C5" s="14" t="s">
        <v>1798</v>
      </c>
      <c r="D5" s="15" t="s">
        <v>1799</v>
      </c>
      <c r="E5" s="16" t="s">
        <v>13009</v>
      </c>
      <c r="F5" s="12">
        <v>43382.094293981485</v>
      </c>
      <c r="G5" s="9" t="s">
        <v>171</v>
      </c>
      <c r="H5" s="35" t="s">
        <v>1800</v>
      </c>
      <c r="I5" s="18" t="s">
        <v>1801</v>
      </c>
    </row>
    <row r="6" spans="1:9" s="11" customFormat="1" ht="39.75" customHeight="1">
      <c r="A6" s="12">
        <v>43570.0315625</v>
      </c>
      <c r="B6" s="13" t="s">
        <v>15229</v>
      </c>
      <c r="C6" s="14" t="s">
        <v>1798</v>
      </c>
      <c r="D6" s="15" t="s">
        <v>4362</v>
      </c>
      <c r="E6" s="16" t="s">
        <v>13009</v>
      </c>
      <c r="F6" s="12">
        <v>43382.094293981485</v>
      </c>
      <c r="G6" s="9" t="s">
        <v>171</v>
      </c>
      <c r="H6" s="35" t="s">
        <v>1800</v>
      </c>
      <c r="I6" s="18" t="s">
        <v>1801</v>
      </c>
    </row>
    <row r="7" spans="1:9" s="11" customFormat="1" ht="63" customHeight="1">
      <c r="A7" s="12">
        <v>43568.241909722223</v>
      </c>
      <c r="B7" s="13" t="s">
        <v>15230</v>
      </c>
      <c r="C7" s="14" t="s">
        <v>4833</v>
      </c>
      <c r="D7" s="15" t="s">
        <v>4834</v>
      </c>
      <c r="E7" s="16" t="s">
        <v>13013</v>
      </c>
      <c r="F7" s="12">
        <v>43473.345324074078</v>
      </c>
      <c r="G7" s="9" t="s">
        <v>171</v>
      </c>
      <c r="H7" s="35" t="s">
        <v>1800</v>
      </c>
      <c r="I7" s="18" t="s">
        <v>4835</v>
      </c>
    </row>
    <row r="8" spans="1:9" s="11" customFormat="1" ht="75">
      <c r="A8" s="12">
        <v>43567.035370370373</v>
      </c>
      <c r="B8" s="13" t="s">
        <v>15229</v>
      </c>
      <c r="C8" s="14" t="s">
        <v>1798</v>
      </c>
      <c r="D8" s="15" t="s">
        <v>5268</v>
      </c>
      <c r="E8" s="16" t="s">
        <v>13009</v>
      </c>
      <c r="F8" s="12">
        <v>43382.094293981485</v>
      </c>
      <c r="G8" s="9" t="s">
        <v>171</v>
      </c>
      <c r="H8" s="35" t="s">
        <v>1800</v>
      </c>
      <c r="I8" s="18" t="s">
        <v>1801</v>
      </c>
    </row>
    <row r="9" spans="1:9" s="11" customFormat="1" ht="60">
      <c r="A9" s="19">
        <v>43544.296249999999</v>
      </c>
      <c r="B9" s="20" t="s">
        <v>15231</v>
      </c>
      <c r="C9" s="21" t="s">
        <v>9541</v>
      </c>
      <c r="D9" s="22" t="s">
        <v>9542</v>
      </c>
      <c r="E9" s="23" t="s">
        <v>13009</v>
      </c>
      <c r="F9" s="19">
        <v>39898.471759259257</v>
      </c>
      <c r="G9" s="9" t="s">
        <v>171</v>
      </c>
      <c r="H9" s="35" t="s">
        <v>9543</v>
      </c>
      <c r="I9" s="25" t="s">
        <v>9544</v>
      </c>
    </row>
    <row r="10" spans="1:9" s="11" customFormat="1" ht="90">
      <c r="A10" s="4">
        <v>43563.399664351848</v>
      </c>
      <c r="B10" s="5" t="s">
        <v>15232</v>
      </c>
      <c r="C10" s="6" t="s">
        <v>362</v>
      </c>
      <c r="D10" s="7" t="s">
        <v>10313</v>
      </c>
      <c r="E10" s="8" t="s">
        <v>13009</v>
      </c>
      <c r="F10" s="4">
        <v>40861.23809027778</v>
      </c>
      <c r="G10" s="9" t="s">
        <v>171</v>
      </c>
      <c r="H10" s="35" t="s">
        <v>364</v>
      </c>
      <c r="I10" s="10" t="s">
        <v>365</v>
      </c>
    </row>
    <row r="11" spans="1:9" s="11" customFormat="1" ht="90">
      <c r="A11" s="12">
        <v>43579.987800925926</v>
      </c>
      <c r="B11" s="13" t="s">
        <v>15232</v>
      </c>
      <c r="C11" s="14" t="s">
        <v>362</v>
      </c>
      <c r="D11" s="15" t="s">
        <v>363</v>
      </c>
      <c r="E11" s="16" t="s">
        <v>13009</v>
      </c>
      <c r="F11" s="12">
        <v>40861.23809027778</v>
      </c>
      <c r="G11" s="9" t="s">
        <v>171</v>
      </c>
      <c r="H11" s="35" t="s">
        <v>364</v>
      </c>
      <c r="I11" s="18" t="s">
        <v>365</v>
      </c>
    </row>
    <row r="12" spans="1:9" s="11" customFormat="1" ht="90">
      <c r="A12" s="12">
        <v>43573.227962962963</v>
      </c>
      <c r="B12" s="13" t="s">
        <v>15232</v>
      </c>
      <c r="C12" s="14" t="s">
        <v>362</v>
      </c>
      <c r="D12" s="15" t="s">
        <v>2967</v>
      </c>
      <c r="E12" s="16" t="s">
        <v>13009</v>
      </c>
      <c r="F12" s="12">
        <v>40861.23809027778</v>
      </c>
      <c r="G12" s="9" t="s">
        <v>171</v>
      </c>
      <c r="H12" s="35" t="s">
        <v>364</v>
      </c>
      <c r="I12" s="18" t="s">
        <v>365</v>
      </c>
    </row>
    <row r="13" spans="1:9" s="11" customFormat="1" ht="90">
      <c r="A13" s="19">
        <v>43551.198773148149</v>
      </c>
      <c r="B13" s="20" t="s">
        <v>15233</v>
      </c>
      <c r="C13" s="21" t="s">
        <v>1658</v>
      </c>
      <c r="D13" s="22" t="s">
        <v>7405</v>
      </c>
      <c r="E13" s="23" t="s">
        <v>13018</v>
      </c>
      <c r="F13" s="19">
        <v>43543.146122685182</v>
      </c>
      <c r="G13" s="24" t="s">
        <v>171</v>
      </c>
      <c r="H13" s="35" t="s">
        <v>1660</v>
      </c>
      <c r="I13" s="25" t="s">
        <v>1661</v>
      </c>
    </row>
    <row r="14" spans="1:9" s="11" customFormat="1" ht="90">
      <c r="A14" s="19">
        <v>43547.006990740745</v>
      </c>
      <c r="B14" s="20" t="s">
        <v>15233</v>
      </c>
      <c r="C14" s="21" t="s">
        <v>1658</v>
      </c>
      <c r="D14" s="22" t="s">
        <v>8684</v>
      </c>
      <c r="E14" s="23" t="s">
        <v>13018</v>
      </c>
      <c r="F14" s="19">
        <v>43543.146122685182</v>
      </c>
      <c r="G14" s="24" t="s">
        <v>171</v>
      </c>
      <c r="H14" s="35" t="s">
        <v>1660</v>
      </c>
      <c r="I14" s="25" t="s">
        <v>1661</v>
      </c>
    </row>
    <row r="15" spans="1:9" s="11" customFormat="1" ht="90">
      <c r="A15" s="12">
        <v>43577.343900462962</v>
      </c>
      <c r="B15" s="13" t="s">
        <v>15233</v>
      </c>
      <c r="C15" s="14" t="s">
        <v>1658</v>
      </c>
      <c r="D15" s="15" t="s">
        <v>1659</v>
      </c>
      <c r="E15" s="16" t="s">
        <v>13018</v>
      </c>
      <c r="F15" s="12">
        <v>43543.146122685182</v>
      </c>
      <c r="G15" s="24" t="s">
        <v>171</v>
      </c>
      <c r="H15" s="35" t="s">
        <v>1660</v>
      </c>
      <c r="I15" s="18" t="s">
        <v>1661</v>
      </c>
    </row>
    <row r="16" spans="1:9" s="11" customFormat="1" ht="105">
      <c r="A16" s="4">
        <v>43558.206574074073</v>
      </c>
      <c r="B16" s="5" t="s">
        <v>15234</v>
      </c>
      <c r="C16" s="6" t="s">
        <v>12281</v>
      </c>
      <c r="D16" s="7" t="s">
        <v>12282</v>
      </c>
      <c r="E16" s="8" t="s">
        <v>15235</v>
      </c>
      <c r="F16" s="4">
        <v>40064.357245370367</v>
      </c>
      <c r="G16" s="9" t="s">
        <v>171</v>
      </c>
      <c r="H16" s="35" t="s">
        <v>12283</v>
      </c>
      <c r="I16" s="10" t="s">
        <v>12284</v>
      </c>
    </row>
    <row r="17" spans="1:9" s="11" customFormat="1" ht="45">
      <c r="A17" s="12">
        <v>43576.502974537041</v>
      </c>
      <c r="B17" s="13" t="s">
        <v>15236</v>
      </c>
      <c r="C17" s="14" t="s">
        <v>1925</v>
      </c>
      <c r="D17" s="15" t="s">
        <v>1926</v>
      </c>
      <c r="E17" s="16" t="s">
        <v>13011</v>
      </c>
      <c r="F17" s="12">
        <v>40136.35355324074</v>
      </c>
      <c r="G17" s="17" t="s">
        <v>171</v>
      </c>
      <c r="H17" s="35" t="s">
        <v>1927</v>
      </c>
      <c r="I17" s="18" t="s">
        <v>1928</v>
      </c>
    </row>
    <row r="18" spans="1:9" s="11" customFormat="1" ht="120">
      <c r="A18" s="19">
        <v>43544.556342592594</v>
      </c>
      <c r="B18" s="20" t="s">
        <v>15237</v>
      </c>
      <c r="C18" s="21" t="s">
        <v>9413</v>
      </c>
      <c r="D18" s="22" t="s">
        <v>9414</v>
      </c>
      <c r="E18" s="23" t="s">
        <v>13027</v>
      </c>
      <c r="F18" s="19">
        <v>41655.254340277781</v>
      </c>
      <c r="G18" s="24" t="s">
        <v>171</v>
      </c>
      <c r="H18" s="35" t="s">
        <v>9415</v>
      </c>
      <c r="I18" s="25" t="s">
        <v>9416</v>
      </c>
    </row>
    <row r="19" spans="1:9" s="11" customFormat="1" ht="90">
      <c r="A19" s="19">
        <v>43543.382418981477</v>
      </c>
      <c r="B19" s="20" t="s">
        <v>15238</v>
      </c>
      <c r="C19" s="21" t="s">
        <v>9833</v>
      </c>
      <c r="D19" s="22" t="s">
        <v>9834</v>
      </c>
      <c r="E19" s="23" t="s">
        <v>13009</v>
      </c>
      <c r="F19" s="19">
        <v>39985.27716435185</v>
      </c>
      <c r="G19" s="24" t="s">
        <v>171</v>
      </c>
      <c r="H19" s="35" t="s">
        <v>9835</v>
      </c>
      <c r="I19" s="25" t="s">
        <v>9836</v>
      </c>
    </row>
    <row r="20" spans="1:9" s="11" customFormat="1" ht="60">
      <c r="A20" s="12">
        <v>43580</v>
      </c>
      <c r="B20" s="13" t="s">
        <v>15239</v>
      </c>
      <c r="C20" s="14" t="s">
        <v>348</v>
      </c>
      <c r="D20" s="15" t="s">
        <v>349</v>
      </c>
      <c r="E20" s="16" t="s">
        <v>13120</v>
      </c>
      <c r="F20" s="12">
        <v>42026.373240740737</v>
      </c>
      <c r="G20" s="17" t="s">
        <v>171</v>
      </c>
      <c r="H20" s="35" t="s">
        <v>350</v>
      </c>
      <c r="I20" s="18" t="s">
        <v>351</v>
      </c>
    </row>
    <row r="21" spans="1:9" s="11" customFormat="1" ht="135">
      <c r="A21" s="4">
        <v>43565.541666666672</v>
      </c>
      <c r="B21" s="5" t="s">
        <v>15240</v>
      </c>
      <c r="C21" s="6" t="s">
        <v>4020</v>
      </c>
      <c r="D21" s="7" t="s">
        <v>4021</v>
      </c>
      <c r="E21" s="8" t="s">
        <v>13120</v>
      </c>
      <c r="F21" s="4">
        <v>39953.378750000003</v>
      </c>
      <c r="G21" s="9" t="s">
        <v>171</v>
      </c>
      <c r="H21" s="35" t="s">
        <v>1365</v>
      </c>
      <c r="I21" s="10" t="s">
        <v>4022</v>
      </c>
    </row>
    <row r="22" spans="1:9" s="11" customFormat="1" ht="135">
      <c r="A22" s="4">
        <v>43564.520833333328</v>
      </c>
      <c r="B22" s="5" t="s">
        <v>15240</v>
      </c>
      <c r="C22" s="6" t="s">
        <v>4020</v>
      </c>
      <c r="D22" s="7" t="s">
        <v>4021</v>
      </c>
      <c r="E22" s="8" t="s">
        <v>13120</v>
      </c>
      <c r="F22" s="4">
        <v>39953.378750000003</v>
      </c>
      <c r="G22" s="9" t="s">
        <v>171</v>
      </c>
      <c r="H22" s="35" t="s">
        <v>1365</v>
      </c>
      <c r="I22" s="10" t="s">
        <v>4022</v>
      </c>
    </row>
    <row r="23" spans="1:9" s="11" customFormat="1" ht="135">
      <c r="A23" s="4">
        <v>43563.5625</v>
      </c>
      <c r="B23" s="5" t="s">
        <v>15240</v>
      </c>
      <c r="C23" s="6" t="s">
        <v>4020</v>
      </c>
      <c r="D23" s="7" t="s">
        <v>4021</v>
      </c>
      <c r="E23" s="8" t="s">
        <v>13120</v>
      </c>
      <c r="F23" s="4">
        <v>39953.378750000003</v>
      </c>
      <c r="G23" s="9" t="s">
        <v>171</v>
      </c>
      <c r="H23" s="35" t="s">
        <v>1365</v>
      </c>
      <c r="I23" s="10" t="s">
        <v>4022</v>
      </c>
    </row>
    <row r="24" spans="1:9" s="11" customFormat="1" ht="135">
      <c r="A24" s="4">
        <v>43560.53126157407</v>
      </c>
      <c r="B24" s="5" t="s">
        <v>15240</v>
      </c>
      <c r="C24" s="6" t="s">
        <v>4020</v>
      </c>
      <c r="D24" s="7" t="s">
        <v>4021</v>
      </c>
      <c r="E24" s="8" t="s">
        <v>13120</v>
      </c>
      <c r="F24" s="4">
        <v>39953.378750000003</v>
      </c>
      <c r="G24" s="9" t="s">
        <v>171</v>
      </c>
      <c r="H24" s="35" t="s">
        <v>1365</v>
      </c>
      <c r="I24" s="10" t="s">
        <v>4022</v>
      </c>
    </row>
    <row r="25" spans="1:9" s="11" customFormat="1" ht="105">
      <c r="A25" s="12">
        <v>43580.614988425921</v>
      </c>
      <c r="B25" s="13" t="s">
        <v>15241</v>
      </c>
      <c r="C25" s="14" t="s">
        <v>213</v>
      </c>
      <c r="D25" s="15" t="s">
        <v>214</v>
      </c>
      <c r="E25" s="16" t="s">
        <v>13009</v>
      </c>
      <c r="F25" s="12">
        <v>42982.570717592593</v>
      </c>
      <c r="G25" s="9" t="s">
        <v>171</v>
      </c>
      <c r="H25" s="35" t="s">
        <v>215</v>
      </c>
      <c r="I25" s="18" t="s">
        <v>216</v>
      </c>
    </row>
    <row r="26" spans="1:9" s="11" customFormat="1" ht="105">
      <c r="A26" s="12">
        <v>43578.20103009259</v>
      </c>
      <c r="B26" s="13" t="s">
        <v>15242</v>
      </c>
      <c r="C26" s="14" t="s">
        <v>1363</v>
      </c>
      <c r="D26" s="15" t="s">
        <v>1364</v>
      </c>
      <c r="E26" s="16" t="s">
        <v>13015</v>
      </c>
      <c r="F26" s="12">
        <v>39861.294317129628</v>
      </c>
      <c r="G26" s="9" t="s">
        <v>171</v>
      </c>
      <c r="H26" s="35" t="s">
        <v>1365</v>
      </c>
      <c r="I26" s="18" t="s">
        <v>1366</v>
      </c>
    </row>
    <row r="27" spans="1:9" s="11" customFormat="1" ht="135">
      <c r="A27" s="12">
        <v>43570.604166666672</v>
      </c>
      <c r="B27" s="13" t="s">
        <v>15240</v>
      </c>
      <c r="C27" s="14" t="s">
        <v>4020</v>
      </c>
      <c r="D27" s="15" t="s">
        <v>4021</v>
      </c>
      <c r="E27" s="16" t="s">
        <v>13120</v>
      </c>
      <c r="F27" s="12">
        <v>39953.378750000003</v>
      </c>
      <c r="G27" s="9" t="s">
        <v>171</v>
      </c>
      <c r="H27" s="35" t="s">
        <v>1365</v>
      </c>
      <c r="I27" s="18" t="s">
        <v>4022</v>
      </c>
    </row>
    <row r="28" spans="1:9" s="11" customFormat="1" ht="135">
      <c r="A28" s="12">
        <v>43566.5625</v>
      </c>
      <c r="B28" s="13" t="s">
        <v>15240</v>
      </c>
      <c r="C28" s="14" t="s">
        <v>4020</v>
      </c>
      <c r="D28" s="15" t="s">
        <v>4021</v>
      </c>
      <c r="E28" s="16" t="s">
        <v>13120</v>
      </c>
      <c r="F28" s="12">
        <v>39953.378750000003</v>
      </c>
      <c r="G28" s="9" t="s">
        <v>171</v>
      </c>
      <c r="H28" s="35" t="s">
        <v>1365</v>
      </c>
      <c r="I28" s="18" t="s">
        <v>4022</v>
      </c>
    </row>
    <row r="29" spans="1:9" s="11" customFormat="1" ht="75">
      <c r="A29" s="12">
        <v>43576.590451388889</v>
      </c>
      <c r="B29" s="13" t="s">
        <v>15243</v>
      </c>
      <c r="C29" s="14" t="s">
        <v>1903</v>
      </c>
      <c r="D29" s="15" t="s">
        <v>1904</v>
      </c>
      <c r="E29" s="16" t="s">
        <v>13013</v>
      </c>
      <c r="F29" s="12">
        <v>42027.160092592589</v>
      </c>
      <c r="G29" s="9" t="s">
        <v>171</v>
      </c>
      <c r="H29" s="35" t="s">
        <v>1905</v>
      </c>
      <c r="I29" s="18" t="s">
        <v>1906</v>
      </c>
    </row>
    <row r="30" spans="1:9" s="11" customFormat="1" ht="120">
      <c r="A30" s="4">
        <v>43564.622060185182</v>
      </c>
      <c r="B30" s="5" t="s">
        <v>15244</v>
      </c>
      <c r="C30" s="6" t="s">
        <v>6492</v>
      </c>
      <c r="D30" s="7" t="s">
        <v>6493</v>
      </c>
      <c r="E30" s="8" t="s">
        <v>13009</v>
      </c>
      <c r="F30" s="4">
        <v>40612.534837962965</v>
      </c>
      <c r="G30" s="9" t="s">
        <v>171</v>
      </c>
      <c r="H30" s="35" t="s">
        <v>6494</v>
      </c>
      <c r="I30" s="10" t="s">
        <v>6495</v>
      </c>
    </row>
    <row r="31" spans="1:9" s="11" customFormat="1" ht="120">
      <c r="A31" s="19">
        <v>43546.360138888893</v>
      </c>
      <c r="B31" s="20" t="s">
        <v>15245</v>
      </c>
      <c r="C31" s="21" t="s">
        <v>726</v>
      </c>
      <c r="D31" s="22" t="s">
        <v>8888</v>
      </c>
      <c r="E31" s="23" t="s">
        <v>15246</v>
      </c>
      <c r="F31" s="19">
        <v>42838.113483796296</v>
      </c>
      <c r="G31" s="9" t="s">
        <v>171</v>
      </c>
      <c r="H31" s="35" t="s">
        <v>728</v>
      </c>
      <c r="I31" s="25" t="s">
        <v>729</v>
      </c>
    </row>
    <row r="32" spans="1:9" s="11" customFormat="1" ht="120">
      <c r="A32" s="4">
        <v>43560.312349537038</v>
      </c>
      <c r="B32" s="5" t="s">
        <v>15245</v>
      </c>
      <c r="C32" s="6" t="s">
        <v>726</v>
      </c>
      <c r="D32" s="7" t="s">
        <v>11462</v>
      </c>
      <c r="E32" s="8" t="s">
        <v>15246</v>
      </c>
      <c r="F32" s="4">
        <v>42838.113483796296</v>
      </c>
      <c r="G32" s="9" t="s">
        <v>171</v>
      </c>
      <c r="H32" s="35" t="s">
        <v>728</v>
      </c>
      <c r="I32" s="10" t="s">
        <v>729</v>
      </c>
    </row>
    <row r="33" spans="1:9" s="11" customFormat="1" ht="120">
      <c r="A33" s="4">
        <v>43560.305706018524</v>
      </c>
      <c r="B33" s="5" t="s">
        <v>15245</v>
      </c>
      <c r="C33" s="6" t="s">
        <v>726</v>
      </c>
      <c r="D33" s="7" t="s">
        <v>11485</v>
      </c>
      <c r="E33" s="8" t="s">
        <v>15246</v>
      </c>
      <c r="F33" s="4">
        <v>42838.113483796296</v>
      </c>
      <c r="G33" s="9" t="s">
        <v>171</v>
      </c>
      <c r="H33" s="35" t="s">
        <v>728</v>
      </c>
      <c r="I33" s="10" t="s">
        <v>729</v>
      </c>
    </row>
    <row r="34" spans="1:9" s="11" customFormat="1" ht="120">
      <c r="A34" s="4">
        <v>43560.298125000001</v>
      </c>
      <c r="B34" s="5" t="s">
        <v>15245</v>
      </c>
      <c r="C34" s="6" t="s">
        <v>726</v>
      </c>
      <c r="D34" s="7" t="s">
        <v>11486</v>
      </c>
      <c r="E34" s="8" t="s">
        <v>15246</v>
      </c>
      <c r="F34" s="4">
        <v>42838.113483796296</v>
      </c>
      <c r="G34" s="9" t="s">
        <v>171</v>
      </c>
      <c r="H34" s="35" t="s">
        <v>728</v>
      </c>
      <c r="I34" s="10" t="s">
        <v>729</v>
      </c>
    </row>
    <row r="35" spans="1:9" s="11" customFormat="1" ht="120">
      <c r="A35" s="4">
        <v>43558.201261574075</v>
      </c>
      <c r="B35" s="5" t="s">
        <v>15245</v>
      </c>
      <c r="C35" s="6" t="s">
        <v>726</v>
      </c>
      <c r="D35" s="7" t="s">
        <v>1417</v>
      </c>
      <c r="E35" s="8" t="s">
        <v>15246</v>
      </c>
      <c r="F35" s="4">
        <v>42838.113483796296</v>
      </c>
      <c r="G35" s="9" t="s">
        <v>171</v>
      </c>
      <c r="H35" s="35" t="s">
        <v>728</v>
      </c>
      <c r="I35" s="10" t="s">
        <v>729</v>
      </c>
    </row>
    <row r="36" spans="1:9" s="11" customFormat="1" ht="120">
      <c r="A36" s="12">
        <v>43579.366516203707</v>
      </c>
      <c r="B36" s="13" t="s">
        <v>15245</v>
      </c>
      <c r="C36" s="14" t="s">
        <v>726</v>
      </c>
      <c r="D36" s="15" t="s">
        <v>727</v>
      </c>
      <c r="E36" s="16" t="s">
        <v>15246</v>
      </c>
      <c r="F36" s="12">
        <v>42838.113483796296</v>
      </c>
      <c r="G36" s="9" t="s">
        <v>171</v>
      </c>
      <c r="H36" s="35" t="s">
        <v>728</v>
      </c>
      <c r="I36" s="18" t="s">
        <v>729</v>
      </c>
    </row>
    <row r="37" spans="1:9" s="11" customFormat="1" ht="120">
      <c r="A37" s="12">
        <v>43578.031446759254</v>
      </c>
      <c r="B37" s="13" t="s">
        <v>15245</v>
      </c>
      <c r="C37" s="14" t="s">
        <v>726</v>
      </c>
      <c r="D37" s="15" t="s">
        <v>1417</v>
      </c>
      <c r="E37" s="16" t="s">
        <v>15246</v>
      </c>
      <c r="F37" s="12">
        <v>42838.113483796296</v>
      </c>
      <c r="G37" s="9" t="s">
        <v>171</v>
      </c>
      <c r="H37" s="35" t="s">
        <v>728</v>
      </c>
      <c r="I37" s="18" t="s">
        <v>729</v>
      </c>
    </row>
    <row r="38" spans="1:9" s="11" customFormat="1" ht="120">
      <c r="A38" s="12">
        <v>43567.280393518522</v>
      </c>
      <c r="B38" s="13" t="s">
        <v>15245</v>
      </c>
      <c r="C38" s="14" t="s">
        <v>726</v>
      </c>
      <c r="D38" s="15" t="s">
        <v>1417</v>
      </c>
      <c r="E38" s="16" t="s">
        <v>15246</v>
      </c>
      <c r="F38" s="12">
        <v>42838.113483796296</v>
      </c>
      <c r="G38" s="9" t="s">
        <v>171</v>
      </c>
      <c r="H38" s="35" t="s">
        <v>728</v>
      </c>
      <c r="I38" s="18" t="s">
        <v>729</v>
      </c>
    </row>
    <row r="39" spans="1:9" s="11" customFormat="1" ht="120">
      <c r="A39" s="12">
        <v>43566.124849537038</v>
      </c>
      <c r="B39" s="13" t="s">
        <v>15245</v>
      </c>
      <c r="C39" s="14" t="s">
        <v>726</v>
      </c>
      <c r="D39" s="15" t="s">
        <v>5776</v>
      </c>
      <c r="E39" s="16" t="s">
        <v>15246</v>
      </c>
      <c r="F39" s="12">
        <v>42838.113483796296</v>
      </c>
      <c r="G39" s="9" t="s">
        <v>171</v>
      </c>
      <c r="H39" s="35" t="s">
        <v>728</v>
      </c>
      <c r="I39" s="18" t="s">
        <v>729</v>
      </c>
    </row>
    <row r="40" spans="1:9" s="11" customFormat="1" ht="30">
      <c r="A40" s="4">
        <v>43557.121192129634</v>
      </c>
      <c r="B40" s="5" t="s">
        <v>15247</v>
      </c>
      <c r="C40" s="6" t="s">
        <v>3155</v>
      </c>
      <c r="D40" s="7" t="s">
        <v>12652</v>
      </c>
      <c r="E40" s="8" t="s">
        <v>13013</v>
      </c>
      <c r="F40" s="4">
        <v>42778.490381944444</v>
      </c>
      <c r="G40" s="9" t="s">
        <v>171</v>
      </c>
      <c r="H40" s="35" t="s">
        <v>1761</v>
      </c>
      <c r="I40" s="10"/>
    </row>
    <row r="41" spans="1:9" s="11" customFormat="1" ht="75">
      <c r="A41" s="12">
        <v>43577.067071759258</v>
      </c>
      <c r="B41" s="13" t="s">
        <v>15248</v>
      </c>
      <c r="C41" s="14" t="s">
        <v>1759</v>
      </c>
      <c r="D41" s="15" t="s">
        <v>1760</v>
      </c>
      <c r="E41" s="16" t="s">
        <v>13009</v>
      </c>
      <c r="F41" s="12">
        <v>42157.23847222222</v>
      </c>
      <c r="G41" s="9" t="s">
        <v>171</v>
      </c>
      <c r="H41" s="35" t="s">
        <v>1761</v>
      </c>
      <c r="I41" s="18" t="s">
        <v>1762</v>
      </c>
    </row>
    <row r="42" spans="1:9" s="11" customFormat="1" ht="30">
      <c r="A42" s="12">
        <v>43572.572245370371</v>
      </c>
      <c r="B42" s="13" t="s">
        <v>15247</v>
      </c>
      <c r="C42" s="14" t="s">
        <v>3155</v>
      </c>
      <c r="D42" s="15" t="s">
        <v>3156</v>
      </c>
      <c r="E42" s="16" t="s">
        <v>13013</v>
      </c>
      <c r="F42" s="12">
        <v>42778.490381944444</v>
      </c>
      <c r="G42" s="9" t="s">
        <v>171</v>
      </c>
      <c r="H42" s="35" t="s">
        <v>1761</v>
      </c>
      <c r="I42" s="18"/>
    </row>
    <row r="43" spans="1:9" s="11" customFormat="1" ht="120">
      <c r="A43" s="12">
        <v>43568.309884259259</v>
      </c>
      <c r="B43" s="13" t="s">
        <v>15249</v>
      </c>
      <c r="C43" s="14" t="s">
        <v>4811</v>
      </c>
      <c r="D43" s="15" t="s">
        <v>4812</v>
      </c>
      <c r="E43" s="16" t="s">
        <v>13011</v>
      </c>
      <c r="F43" s="12">
        <v>39624.036562499998</v>
      </c>
      <c r="G43" s="9" t="s">
        <v>171</v>
      </c>
      <c r="H43" s="35" t="s">
        <v>1761</v>
      </c>
      <c r="I43" s="18" t="s">
        <v>4813</v>
      </c>
    </row>
    <row r="44" spans="1:9" s="11" customFormat="1" ht="135">
      <c r="A44" s="12">
        <v>43577.40525462963</v>
      </c>
      <c r="B44" s="13" t="s">
        <v>15250</v>
      </c>
      <c r="C44" s="14" t="s">
        <v>1646</v>
      </c>
      <c r="D44" s="15" t="s">
        <v>1647</v>
      </c>
      <c r="E44" s="16" t="s">
        <v>13009</v>
      </c>
      <c r="F44" s="12">
        <v>39922.975289351853</v>
      </c>
      <c r="G44" s="9" t="s">
        <v>171</v>
      </c>
      <c r="H44" s="35" t="s">
        <v>1648</v>
      </c>
      <c r="I44" s="18" t="s">
        <v>1649</v>
      </c>
    </row>
    <row r="45" spans="1:9" s="11" customFormat="1" ht="120">
      <c r="A45" s="19">
        <v>43546.049259259264</v>
      </c>
      <c r="B45" s="20" t="s">
        <v>15251</v>
      </c>
      <c r="C45" s="21" t="s">
        <v>8972</v>
      </c>
      <c r="D45" s="22" t="s">
        <v>8973</v>
      </c>
      <c r="E45" s="23" t="s">
        <v>13011</v>
      </c>
      <c r="F45" s="19">
        <v>42843.536168981482</v>
      </c>
      <c r="G45" s="9" t="s">
        <v>171</v>
      </c>
      <c r="H45" s="35" t="s">
        <v>8974</v>
      </c>
      <c r="I45" s="25" t="s">
        <v>8975</v>
      </c>
    </row>
    <row r="46" spans="1:9" s="11" customFormat="1" ht="120">
      <c r="A46" s="12">
        <v>43575.276273148149</v>
      </c>
      <c r="B46" s="13" t="s">
        <v>15252</v>
      </c>
      <c r="C46" s="14" t="s">
        <v>2314</v>
      </c>
      <c r="D46" s="15" t="s">
        <v>2315</v>
      </c>
      <c r="E46" s="16" t="s">
        <v>13013</v>
      </c>
      <c r="F46" s="12">
        <v>41325.034201388888</v>
      </c>
      <c r="G46" s="9" t="s">
        <v>171</v>
      </c>
      <c r="H46" s="35" t="s">
        <v>2316</v>
      </c>
      <c r="I46" s="18" t="s">
        <v>2317</v>
      </c>
    </row>
    <row r="47" spans="1:9" s="11" customFormat="1" ht="120">
      <c r="A47" s="19">
        <v>43550.579062500001</v>
      </c>
      <c r="B47" s="20" t="s">
        <v>15253</v>
      </c>
      <c r="C47" s="21" t="s">
        <v>7605</v>
      </c>
      <c r="D47" s="22" t="s">
        <v>7606</v>
      </c>
      <c r="E47" s="23" t="s">
        <v>13011</v>
      </c>
      <c r="F47" s="19">
        <v>40611.209675925929</v>
      </c>
      <c r="G47" s="9" t="s">
        <v>171</v>
      </c>
      <c r="H47" s="35" t="s">
        <v>7607</v>
      </c>
      <c r="I47" s="25" t="s">
        <v>7608</v>
      </c>
    </row>
    <row r="48" spans="1:9" s="11" customFormat="1" ht="60">
      <c r="A48" s="12">
        <v>43566.145613425921</v>
      </c>
      <c r="B48" s="13" t="s">
        <v>15254</v>
      </c>
      <c r="C48" s="14" t="s">
        <v>5763</v>
      </c>
      <c r="D48" s="15" t="s">
        <v>5656</v>
      </c>
      <c r="E48" s="16" t="s">
        <v>13009</v>
      </c>
      <c r="F48" s="12">
        <v>41554.330150462964</v>
      </c>
      <c r="G48" s="17" t="s">
        <v>171</v>
      </c>
      <c r="H48" s="35" t="s">
        <v>5764</v>
      </c>
      <c r="I48" s="18" t="s">
        <v>5765</v>
      </c>
    </row>
    <row r="49" spans="1:9" s="11" customFormat="1" ht="30">
      <c r="A49" s="4">
        <v>43565.519849537042</v>
      </c>
      <c r="B49" s="5" t="s">
        <v>15255</v>
      </c>
      <c r="C49" s="6" t="s">
        <v>6047</v>
      </c>
      <c r="D49" s="7" t="s">
        <v>6048</v>
      </c>
      <c r="E49" s="8" t="s">
        <v>13015</v>
      </c>
      <c r="F49" s="4">
        <v>40248.057106481479</v>
      </c>
      <c r="G49" s="17" t="s">
        <v>171</v>
      </c>
      <c r="H49" s="35" t="s">
        <v>6049</v>
      </c>
      <c r="I49" s="10"/>
    </row>
    <row r="50" spans="1:9" s="11" customFormat="1" ht="75">
      <c r="A50" s="4">
        <v>43559.055474537032</v>
      </c>
      <c r="B50" s="5" t="s">
        <v>15256</v>
      </c>
      <c r="C50" s="6" t="s">
        <v>11951</v>
      </c>
      <c r="D50" s="7" t="s">
        <v>11952</v>
      </c>
      <c r="E50" s="8" t="s">
        <v>13011</v>
      </c>
      <c r="F50" s="4">
        <v>42777.608032407406</v>
      </c>
      <c r="G50" s="17" t="s">
        <v>171</v>
      </c>
      <c r="H50" s="35" t="s">
        <v>11953</v>
      </c>
      <c r="I50" s="10" t="s">
        <v>11954</v>
      </c>
    </row>
    <row r="51" spans="1:9" s="11" customFormat="1" ht="120">
      <c r="A51" s="19">
        <v>43545.904340277775</v>
      </c>
      <c r="B51" s="20" t="s">
        <v>15257</v>
      </c>
      <c r="C51" s="21" t="s">
        <v>9008</v>
      </c>
      <c r="D51" s="22" t="s">
        <v>9009</v>
      </c>
      <c r="E51" s="23" t="s">
        <v>13120</v>
      </c>
      <c r="F51" s="19">
        <v>43356.184201388889</v>
      </c>
      <c r="G51" s="17" t="s">
        <v>171</v>
      </c>
      <c r="H51" s="35" t="s">
        <v>9010</v>
      </c>
      <c r="I51" s="25" t="s">
        <v>9011</v>
      </c>
    </row>
    <row r="52" spans="1:9" s="11" customFormat="1" ht="120">
      <c r="A52" s="19">
        <v>43544.409120370372</v>
      </c>
      <c r="B52" s="20" t="s">
        <v>15258</v>
      </c>
      <c r="C52" s="21" t="s">
        <v>9477</v>
      </c>
      <c r="D52" s="22" t="s">
        <v>9478</v>
      </c>
      <c r="E52" s="23" t="s">
        <v>13015</v>
      </c>
      <c r="F52" s="19">
        <v>42990.712164351848</v>
      </c>
      <c r="G52" s="17" t="s">
        <v>171</v>
      </c>
      <c r="H52" s="35" t="s">
        <v>9010</v>
      </c>
      <c r="I52" s="25" t="s">
        <v>9479</v>
      </c>
    </row>
    <row r="53" spans="1:9" s="11" customFormat="1" ht="120">
      <c r="A53" s="4">
        <v>43560.22483796296</v>
      </c>
      <c r="B53" s="5" t="s">
        <v>15257</v>
      </c>
      <c r="C53" s="6" t="s">
        <v>9008</v>
      </c>
      <c r="D53" s="7" t="s">
        <v>11555</v>
      </c>
      <c r="E53" s="8" t="s">
        <v>13120</v>
      </c>
      <c r="F53" s="4">
        <v>43356.184201388889</v>
      </c>
      <c r="G53" s="17" t="s">
        <v>171</v>
      </c>
      <c r="H53" s="35" t="s">
        <v>9010</v>
      </c>
      <c r="I53" s="10" t="s">
        <v>9011</v>
      </c>
    </row>
    <row r="54" spans="1:9" s="11" customFormat="1" ht="105">
      <c r="A54" s="4">
        <v>43565.058206018519</v>
      </c>
      <c r="B54" s="5" t="s">
        <v>15259</v>
      </c>
      <c r="C54" s="6" t="s">
        <v>6317</v>
      </c>
      <c r="D54" s="7" t="s">
        <v>6318</v>
      </c>
      <c r="E54" s="8" t="s">
        <v>13011</v>
      </c>
      <c r="F54" s="4">
        <v>41677.528379629628</v>
      </c>
      <c r="G54" s="17" t="s">
        <v>171</v>
      </c>
      <c r="H54" s="35" t="s">
        <v>6319</v>
      </c>
      <c r="I54" s="10" t="s">
        <v>6320</v>
      </c>
    </row>
    <row r="55" spans="1:9" s="11" customFormat="1" ht="90">
      <c r="A55" s="12">
        <v>43570.155497685184</v>
      </c>
      <c r="B55" s="13" t="s">
        <v>15260</v>
      </c>
      <c r="C55" s="14" t="s">
        <v>4316</v>
      </c>
      <c r="D55" s="15" t="s">
        <v>4317</v>
      </c>
      <c r="E55" s="16" t="s">
        <v>13032</v>
      </c>
      <c r="F55" s="12">
        <v>39996.269849537035</v>
      </c>
      <c r="G55" s="17" t="s">
        <v>171</v>
      </c>
      <c r="H55" s="35" t="s">
        <v>4318</v>
      </c>
      <c r="I55" s="18" t="s">
        <v>4319</v>
      </c>
    </row>
    <row r="56" spans="1:9" s="11" customFormat="1" ht="90">
      <c r="A56" s="4">
        <v>43564.548587962963</v>
      </c>
      <c r="B56" s="5" t="s">
        <v>15261</v>
      </c>
      <c r="C56" s="6" t="s">
        <v>6562</v>
      </c>
      <c r="D56" s="7" t="s">
        <v>6563</v>
      </c>
      <c r="E56" s="8" t="s">
        <v>13011</v>
      </c>
      <c r="F56" s="4">
        <v>39874.477708333332</v>
      </c>
      <c r="G56" s="9" t="s">
        <v>171</v>
      </c>
      <c r="H56" s="35" t="s">
        <v>6564</v>
      </c>
      <c r="I56" s="10" t="s">
        <v>6565</v>
      </c>
    </row>
    <row r="57" spans="1:9" s="11" customFormat="1" ht="60">
      <c r="A57" s="4">
        <v>43562.415312500001</v>
      </c>
      <c r="B57" s="5" t="s">
        <v>15262</v>
      </c>
      <c r="C57" s="6" t="s">
        <v>10683</v>
      </c>
      <c r="D57" s="7" t="s">
        <v>10684</v>
      </c>
      <c r="E57" s="8" t="s">
        <v>13034</v>
      </c>
      <c r="F57" s="4">
        <v>40559.915138888886</v>
      </c>
      <c r="G57" s="9" t="s">
        <v>171</v>
      </c>
      <c r="H57" s="35" t="s">
        <v>6564</v>
      </c>
      <c r="I57" s="10" t="s">
        <v>10685</v>
      </c>
    </row>
    <row r="58" spans="1:9" s="11" customFormat="1" ht="105">
      <c r="A58" s="4">
        <v>43561.073715277773</v>
      </c>
      <c r="B58" s="5" t="s">
        <v>15263</v>
      </c>
      <c r="C58" s="6" t="s">
        <v>11085</v>
      </c>
      <c r="D58" s="7" t="s">
        <v>11086</v>
      </c>
      <c r="E58" s="8" t="s">
        <v>13011</v>
      </c>
      <c r="F58" s="4">
        <v>43074.975891203707</v>
      </c>
      <c r="G58" s="9" t="s">
        <v>171</v>
      </c>
      <c r="H58" s="35" t="s">
        <v>6564</v>
      </c>
      <c r="I58" s="10" t="s">
        <v>11087</v>
      </c>
    </row>
    <row r="59" spans="1:9" s="11" customFormat="1" ht="45">
      <c r="A59" s="19">
        <v>43550.37498842593</v>
      </c>
      <c r="B59" s="20" t="s">
        <v>15264</v>
      </c>
      <c r="C59" s="21" t="s">
        <v>7698</v>
      </c>
      <c r="D59" s="22" t="s">
        <v>7699</v>
      </c>
      <c r="E59" s="23" t="s">
        <v>13027</v>
      </c>
      <c r="F59" s="19">
        <v>39295.021458333329</v>
      </c>
      <c r="G59" s="9" t="s">
        <v>171</v>
      </c>
      <c r="H59" s="35" t="s">
        <v>1440</v>
      </c>
      <c r="I59" s="25" t="s">
        <v>7700</v>
      </c>
    </row>
    <row r="60" spans="1:9" s="11" customFormat="1" ht="90">
      <c r="A60" s="19">
        <v>43548.255000000005</v>
      </c>
      <c r="B60" s="20" t="s">
        <v>15265</v>
      </c>
      <c r="C60" s="21" t="s">
        <v>8368</v>
      </c>
      <c r="D60" s="22" t="s">
        <v>8369</v>
      </c>
      <c r="E60" s="23" t="s">
        <v>13013</v>
      </c>
      <c r="F60" s="19">
        <v>40927.572245370371</v>
      </c>
      <c r="G60" s="9" t="s">
        <v>171</v>
      </c>
      <c r="H60" s="35" t="s">
        <v>1440</v>
      </c>
      <c r="I60" s="25" t="s">
        <v>8370</v>
      </c>
    </row>
    <row r="61" spans="1:9" s="11" customFormat="1" ht="75">
      <c r="A61" s="4">
        <v>43562.384849537033</v>
      </c>
      <c r="B61" s="5" t="s">
        <v>15266</v>
      </c>
      <c r="C61" s="6" t="s">
        <v>10691</v>
      </c>
      <c r="D61" s="7" t="s">
        <v>10692</v>
      </c>
      <c r="E61" s="8" t="s">
        <v>13011</v>
      </c>
      <c r="F61" s="4">
        <v>41652.226504629631</v>
      </c>
      <c r="G61" s="9" t="s">
        <v>171</v>
      </c>
      <c r="H61" s="35" t="s">
        <v>1440</v>
      </c>
      <c r="I61" s="10" t="s">
        <v>10693</v>
      </c>
    </row>
    <row r="62" spans="1:9" s="11" customFormat="1" ht="120">
      <c r="A62" s="12">
        <v>43577.990914351853</v>
      </c>
      <c r="B62" s="13" t="s">
        <v>15267</v>
      </c>
      <c r="C62" s="14" t="s">
        <v>1438</v>
      </c>
      <c r="D62" s="15" t="s">
        <v>1439</v>
      </c>
      <c r="E62" s="16" t="s">
        <v>13027</v>
      </c>
      <c r="F62" s="12">
        <v>43232.562245370369</v>
      </c>
      <c r="G62" s="9" t="s">
        <v>171</v>
      </c>
      <c r="H62" s="35" t="s">
        <v>1440</v>
      </c>
      <c r="I62" s="18" t="s">
        <v>1441</v>
      </c>
    </row>
    <row r="63" spans="1:9" s="11" customFormat="1" ht="135">
      <c r="A63" s="12">
        <v>43573.023935185185</v>
      </c>
      <c r="B63" s="13" t="s">
        <v>15268</v>
      </c>
      <c r="C63" s="14" t="s">
        <v>3025</v>
      </c>
      <c r="D63" s="15" t="s">
        <v>3026</v>
      </c>
      <c r="E63" s="16" t="s">
        <v>13009</v>
      </c>
      <c r="F63" s="12">
        <v>40076.110891203702</v>
      </c>
      <c r="G63" s="9" t="s">
        <v>171</v>
      </c>
      <c r="H63" s="35" t="s">
        <v>1440</v>
      </c>
      <c r="I63" s="18" t="s">
        <v>3027</v>
      </c>
    </row>
    <row r="64" spans="1:9" s="11" customFormat="1" ht="105">
      <c r="A64" s="12">
        <v>43571.930567129632</v>
      </c>
      <c r="B64" s="13" t="s">
        <v>15269</v>
      </c>
      <c r="C64" s="14" t="s">
        <v>3494</v>
      </c>
      <c r="D64" s="15" t="s">
        <v>3495</v>
      </c>
      <c r="E64" s="16" t="s">
        <v>13011</v>
      </c>
      <c r="F64" s="12">
        <v>40026.012673611112</v>
      </c>
      <c r="G64" s="9" t="s">
        <v>171</v>
      </c>
      <c r="H64" s="35" t="s">
        <v>3496</v>
      </c>
      <c r="I64" s="18" t="s">
        <v>3497</v>
      </c>
    </row>
    <row r="65" spans="1:9" s="11" customFormat="1" ht="45">
      <c r="A65" s="4">
        <v>43564.554340277777</v>
      </c>
      <c r="B65" s="5" t="s">
        <v>15270</v>
      </c>
      <c r="C65" s="6" t="s">
        <v>6558</v>
      </c>
      <c r="D65" s="7" t="s">
        <v>6559</v>
      </c>
      <c r="E65" s="8" t="s">
        <v>13032</v>
      </c>
      <c r="F65" s="4">
        <v>41355.541990740741</v>
      </c>
      <c r="G65" s="9" t="s">
        <v>171</v>
      </c>
      <c r="H65" s="35" t="s">
        <v>6560</v>
      </c>
      <c r="I65" s="10" t="s">
        <v>6561</v>
      </c>
    </row>
    <row r="66" spans="1:9" s="11" customFormat="1" ht="45">
      <c r="A66" s="4">
        <v>43564.5543287037</v>
      </c>
      <c r="B66" s="5" t="s">
        <v>15270</v>
      </c>
      <c r="C66" s="6" t="s">
        <v>6558</v>
      </c>
      <c r="D66" s="7" t="s">
        <v>6559</v>
      </c>
      <c r="E66" s="8" t="s">
        <v>13032</v>
      </c>
      <c r="F66" s="4">
        <v>41355.541990740741</v>
      </c>
      <c r="G66" s="9" t="s">
        <v>171</v>
      </c>
      <c r="H66" s="35" t="s">
        <v>6560</v>
      </c>
      <c r="I66" s="10" t="s">
        <v>6561</v>
      </c>
    </row>
    <row r="67" spans="1:9" s="11" customFormat="1" ht="75">
      <c r="A67" s="12">
        <v>43579.234849537039</v>
      </c>
      <c r="B67" s="13" t="s">
        <v>15271</v>
      </c>
      <c r="C67" s="14" t="s">
        <v>832</v>
      </c>
      <c r="D67" s="15" t="s">
        <v>833</v>
      </c>
      <c r="E67" s="16" t="s">
        <v>13015</v>
      </c>
      <c r="F67" s="12">
        <v>43550.161759259259</v>
      </c>
      <c r="G67" s="17" t="s">
        <v>171</v>
      </c>
      <c r="H67" s="35" t="s">
        <v>834</v>
      </c>
      <c r="I67" s="18" t="s">
        <v>835</v>
      </c>
    </row>
    <row r="68" spans="1:9" s="11" customFormat="1" ht="75">
      <c r="A68" s="12">
        <v>43573.281099537038</v>
      </c>
      <c r="B68" s="13" t="s">
        <v>15271</v>
      </c>
      <c r="C68" s="14" t="s">
        <v>832</v>
      </c>
      <c r="D68" s="15" t="s">
        <v>2946</v>
      </c>
      <c r="E68" s="16" t="s">
        <v>13009</v>
      </c>
      <c r="F68" s="12">
        <v>43550.161759259259</v>
      </c>
      <c r="G68" s="17" t="s">
        <v>171</v>
      </c>
      <c r="H68" s="35" t="s">
        <v>834</v>
      </c>
      <c r="I68" s="18" t="s">
        <v>835</v>
      </c>
    </row>
    <row r="69" spans="1:9" s="11" customFormat="1" ht="75">
      <c r="A69" s="4">
        <v>43563.317766203705</v>
      </c>
      <c r="B69" s="5" t="s">
        <v>15272</v>
      </c>
      <c r="C69" s="6" t="s">
        <v>10376</v>
      </c>
      <c r="D69" s="7" t="s">
        <v>10377</v>
      </c>
      <c r="E69" s="8" t="s">
        <v>13015</v>
      </c>
      <c r="F69" s="4">
        <v>42660.249328703707</v>
      </c>
      <c r="G69" s="9" t="s">
        <v>171</v>
      </c>
      <c r="H69" s="35" t="s">
        <v>10378</v>
      </c>
      <c r="I69" s="10" t="s">
        <v>10379</v>
      </c>
    </row>
    <row r="70" spans="1:9" s="11" customFormat="1" ht="45">
      <c r="A70" s="19">
        <v>43542.541828703703</v>
      </c>
      <c r="B70" s="20" t="s">
        <v>15273</v>
      </c>
      <c r="C70" s="21" t="s">
        <v>5648</v>
      </c>
      <c r="D70" s="22" t="s">
        <v>10117</v>
      </c>
      <c r="E70" s="23" t="s">
        <v>13034</v>
      </c>
      <c r="F70" s="19">
        <v>42868.532129629632</v>
      </c>
      <c r="G70" s="9" t="s">
        <v>171</v>
      </c>
      <c r="H70" s="35" t="s">
        <v>5650</v>
      </c>
      <c r="I70" s="25" t="s">
        <v>5651</v>
      </c>
    </row>
    <row r="71" spans="1:9" s="11" customFormat="1" ht="45">
      <c r="A71" s="12">
        <v>43566.333958333329</v>
      </c>
      <c r="B71" s="13" t="s">
        <v>15273</v>
      </c>
      <c r="C71" s="14" t="s">
        <v>5648</v>
      </c>
      <c r="D71" s="15" t="s">
        <v>5649</v>
      </c>
      <c r="E71" s="16" t="s">
        <v>13034</v>
      </c>
      <c r="F71" s="12">
        <v>42868.532129629632</v>
      </c>
      <c r="G71" s="9" t="s">
        <v>171</v>
      </c>
      <c r="H71" s="35" t="s">
        <v>5650</v>
      </c>
      <c r="I71" s="18" t="s">
        <v>5651</v>
      </c>
    </row>
    <row r="72" spans="1:9" s="11" customFormat="1" ht="105">
      <c r="A72" s="12">
        <v>43579.94908564815</v>
      </c>
      <c r="B72" s="13" t="s">
        <v>15274</v>
      </c>
      <c r="C72" s="14" t="s">
        <v>383</v>
      </c>
      <c r="D72" s="15" t="s">
        <v>384</v>
      </c>
      <c r="E72" s="16" t="s">
        <v>13013</v>
      </c>
      <c r="F72" s="12">
        <v>39201.145115740743</v>
      </c>
      <c r="G72" s="17" t="s">
        <v>171</v>
      </c>
      <c r="H72" s="35" t="s">
        <v>385</v>
      </c>
      <c r="I72" s="18" t="s">
        <v>386</v>
      </c>
    </row>
    <row r="73" spans="1:9" s="11" customFormat="1" ht="120">
      <c r="A73" s="12">
        <v>43580.03601851852</v>
      </c>
      <c r="B73" s="13" t="s">
        <v>15275</v>
      </c>
      <c r="C73" s="14" t="s">
        <v>317</v>
      </c>
      <c r="D73" s="15" t="s">
        <v>318</v>
      </c>
      <c r="E73" s="16" t="s">
        <v>13013</v>
      </c>
      <c r="F73" s="12">
        <v>40891.515451388885</v>
      </c>
      <c r="G73" s="17" t="s">
        <v>171</v>
      </c>
      <c r="H73" s="35" t="s">
        <v>319</v>
      </c>
      <c r="I73" s="18" t="s">
        <v>320</v>
      </c>
    </row>
    <row r="74" spans="1:9" s="11" customFormat="1" ht="120">
      <c r="A74" s="19">
        <v>43549.411655092597</v>
      </c>
      <c r="B74" s="20" t="s">
        <v>15276</v>
      </c>
      <c r="C74" s="21" t="s">
        <v>8044</v>
      </c>
      <c r="D74" s="22" t="s">
        <v>8045</v>
      </c>
      <c r="E74" s="23" t="s">
        <v>13011</v>
      </c>
      <c r="F74" s="19">
        <v>40941.078831018516</v>
      </c>
      <c r="G74" s="24" t="s">
        <v>171</v>
      </c>
      <c r="H74" s="35" t="s">
        <v>6074</v>
      </c>
      <c r="I74" s="25" t="s">
        <v>8046</v>
      </c>
    </row>
    <row r="75" spans="1:9" s="11" customFormat="1" ht="90">
      <c r="A75" s="19">
        <v>43546.088900462964</v>
      </c>
      <c r="B75" s="20" t="s">
        <v>15277</v>
      </c>
      <c r="C75" s="21" t="s">
        <v>8963</v>
      </c>
      <c r="D75" s="22" t="s">
        <v>8964</v>
      </c>
      <c r="E75" s="23" t="s">
        <v>13009</v>
      </c>
      <c r="F75" s="19">
        <v>40701.319594907407</v>
      </c>
      <c r="G75" s="24" t="s">
        <v>171</v>
      </c>
      <c r="H75" s="35" t="s">
        <v>8965</v>
      </c>
      <c r="I75" s="25" t="s">
        <v>8966</v>
      </c>
    </row>
    <row r="76" spans="1:9" s="11" customFormat="1" ht="120">
      <c r="A76" s="19">
        <v>43544.58085648148</v>
      </c>
      <c r="B76" s="20" t="s">
        <v>15276</v>
      </c>
      <c r="C76" s="21" t="s">
        <v>8044</v>
      </c>
      <c r="D76" s="22" t="s">
        <v>9408</v>
      </c>
      <c r="E76" s="23" t="s">
        <v>13011</v>
      </c>
      <c r="F76" s="19">
        <v>40941.078831018516</v>
      </c>
      <c r="G76" s="24" t="s">
        <v>171</v>
      </c>
      <c r="H76" s="35" t="s">
        <v>6074</v>
      </c>
      <c r="I76" s="25" t="s">
        <v>8046</v>
      </c>
    </row>
    <row r="77" spans="1:9" s="11" customFormat="1" ht="90">
      <c r="A77" s="4">
        <v>43565.458993055552</v>
      </c>
      <c r="B77" s="5" t="s">
        <v>15278</v>
      </c>
      <c r="C77" s="6" t="s">
        <v>6072</v>
      </c>
      <c r="D77" s="7" t="s">
        <v>6073</v>
      </c>
      <c r="E77" s="8" t="s">
        <v>13009</v>
      </c>
      <c r="F77" s="4">
        <v>40581.563634259262</v>
      </c>
      <c r="G77" s="24" t="s">
        <v>171</v>
      </c>
      <c r="H77" s="35" t="s">
        <v>6074</v>
      </c>
      <c r="I77" s="10" t="s">
        <v>6075</v>
      </c>
    </row>
    <row r="78" spans="1:9" s="11" customFormat="1">
      <c r="A78" s="4">
        <v>43561.622291666667</v>
      </c>
      <c r="B78" s="5" t="s">
        <v>15279</v>
      </c>
      <c r="C78" s="6" t="s">
        <v>10902</v>
      </c>
      <c r="D78" s="7" t="s">
        <v>10903</v>
      </c>
      <c r="E78" s="8" t="s">
        <v>15280</v>
      </c>
      <c r="F78" s="4">
        <v>42133.289953703701</v>
      </c>
      <c r="G78" s="24" t="s">
        <v>171</v>
      </c>
      <c r="H78" s="35" t="s">
        <v>8965</v>
      </c>
      <c r="I78" s="26" t="s">
        <v>10904</v>
      </c>
    </row>
    <row r="79" spans="1:9" s="11" customFormat="1" ht="105">
      <c r="A79" s="19">
        <v>43551.136562500003</v>
      </c>
      <c r="B79" s="20" t="s">
        <v>15281</v>
      </c>
      <c r="C79" s="21" t="s">
        <v>3767</v>
      </c>
      <c r="D79" s="22" t="s">
        <v>7424</v>
      </c>
      <c r="E79" s="23" t="s">
        <v>13015</v>
      </c>
      <c r="F79" s="19">
        <v>41170.579722222225</v>
      </c>
      <c r="G79" s="24" t="s">
        <v>171</v>
      </c>
      <c r="H79" s="35" t="s">
        <v>2063</v>
      </c>
      <c r="I79" s="25" t="s">
        <v>3769</v>
      </c>
    </row>
    <row r="80" spans="1:9" s="11" customFormat="1" ht="105">
      <c r="A80" s="4">
        <v>43564.458761574075</v>
      </c>
      <c r="B80" s="5" t="s">
        <v>15282</v>
      </c>
      <c r="C80" s="6" t="s">
        <v>6598</v>
      </c>
      <c r="D80" s="7" t="s">
        <v>6599</v>
      </c>
      <c r="E80" s="8" t="s">
        <v>13009</v>
      </c>
      <c r="F80" s="4">
        <v>41360.231504629628</v>
      </c>
      <c r="G80" s="24" t="s">
        <v>171</v>
      </c>
      <c r="H80" s="35" t="s">
        <v>2063</v>
      </c>
      <c r="I80" s="10" t="s">
        <v>6600</v>
      </c>
    </row>
    <row r="81" spans="1:9" s="11" customFormat="1" ht="105">
      <c r="A81" s="4">
        <v>43559.085659722223</v>
      </c>
      <c r="B81" s="5" t="s">
        <v>15281</v>
      </c>
      <c r="C81" s="6" t="s">
        <v>3767</v>
      </c>
      <c r="D81" s="7" t="s">
        <v>11945</v>
      </c>
      <c r="E81" s="8" t="s">
        <v>13009</v>
      </c>
      <c r="F81" s="4">
        <v>41170.579722222225</v>
      </c>
      <c r="G81" s="24" t="s">
        <v>171</v>
      </c>
      <c r="H81" s="35" t="s">
        <v>2063</v>
      </c>
      <c r="I81" s="10" t="s">
        <v>3769</v>
      </c>
    </row>
    <row r="82" spans="1:9" s="11" customFormat="1" ht="120">
      <c r="A82" s="4">
        <v>43557.421076388884</v>
      </c>
      <c r="B82" s="5" t="s">
        <v>15283</v>
      </c>
      <c r="C82" s="6" t="s">
        <v>12519</v>
      </c>
      <c r="D82" s="7" t="s">
        <v>12520</v>
      </c>
      <c r="E82" s="8" t="s">
        <v>13015</v>
      </c>
      <c r="F82" s="4">
        <v>42864.14130787037</v>
      </c>
      <c r="G82" s="24" t="s">
        <v>171</v>
      </c>
      <c r="H82" s="35" t="s">
        <v>2063</v>
      </c>
      <c r="I82" s="10" t="s">
        <v>12521</v>
      </c>
    </row>
    <row r="83" spans="1:9" s="11" customFormat="1" ht="120">
      <c r="A83" s="12">
        <v>43576.071203703701</v>
      </c>
      <c r="B83" s="13" t="s">
        <v>15284</v>
      </c>
      <c r="C83" s="14" t="s">
        <v>2061</v>
      </c>
      <c r="D83" s="15" t="s">
        <v>2062</v>
      </c>
      <c r="E83" s="16" t="s">
        <v>13011</v>
      </c>
      <c r="F83" s="12">
        <v>42640.160138888888</v>
      </c>
      <c r="G83" s="24" t="s">
        <v>171</v>
      </c>
      <c r="H83" s="35" t="s">
        <v>2063</v>
      </c>
      <c r="I83" s="18" t="s">
        <v>2064</v>
      </c>
    </row>
    <row r="84" spans="1:9" s="11" customFormat="1" ht="105">
      <c r="A84" s="12">
        <v>43571.264282407406</v>
      </c>
      <c r="B84" s="13" t="s">
        <v>15281</v>
      </c>
      <c r="C84" s="14" t="s">
        <v>3767</v>
      </c>
      <c r="D84" s="15" t="s">
        <v>3768</v>
      </c>
      <c r="E84" s="16" t="s">
        <v>13009</v>
      </c>
      <c r="F84" s="12">
        <v>41170.579722222225</v>
      </c>
      <c r="G84" s="24" t="s">
        <v>171</v>
      </c>
      <c r="H84" s="35" t="s">
        <v>2063</v>
      </c>
      <c r="I84" s="18" t="s">
        <v>3769</v>
      </c>
    </row>
    <row r="85" spans="1:9" s="11" customFormat="1" ht="120">
      <c r="A85" s="19">
        <v>43550.989664351851</v>
      </c>
      <c r="B85" s="20" t="s">
        <v>15285</v>
      </c>
      <c r="C85" s="21" t="s">
        <v>7465</v>
      </c>
      <c r="D85" s="22" t="s">
        <v>7466</v>
      </c>
      <c r="E85" s="23" t="s">
        <v>13009</v>
      </c>
      <c r="F85" s="19">
        <v>40202.064409722225</v>
      </c>
      <c r="G85" s="24" t="s">
        <v>171</v>
      </c>
      <c r="H85" s="35" t="s">
        <v>167</v>
      </c>
      <c r="I85" s="25" t="s">
        <v>7467</v>
      </c>
    </row>
    <row r="86" spans="1:9" s="11" customFormat="1" ht="135">
      <c r="A86" s="19">
        <v>43549.136122685188</v>
      </c>
      <c r="B86" s="20" t="s">
        <v>15286</v>
      </c>
      <c r="C86" s="20" t="s">
        <v>8151</v>
      </c>
      <c r="D86" s="28" t="s">
        <v>8152</v>
      </c>
      <c r="E86" s="23" t="s">
        <v>13034</v>
      </c>
      <c r="F86" s="19">
        <v>41302.544629629629</v>
      </c>
      <c r="G86" s="24" t="s">
        <v>171</v>
      </c>
      <c r="H86" s="35" t="s">
        <v>167</v>
      </c>
      <c r="I86" s="25" t="s">
        <v>8153</v>
      </c>
    </row>
    <row r="87" spans="1:9" s="11" customFormat="1" ht="120">
      <c r="A87" s="19">
        <v>43543.053379629629</v>
      </c>
      <c r="B87" s="20" t="s">
        <v>15285</v>
      </c>
      <c r="C87" s="21" t="s">
        <v>7465</v>
      </c>
      <c r="D87" s="22" t="s">
        <v>9954</v>
      </c>
      <c r="E87" s="23" t="s">
        <v>13009</v>
      </c>
      <c r="F87" s="19">
        <v>40202.064409722225</v>
      </c>
      <c r="G87" s="24" t="s">
        <v>171</v>
      </c>
      <c r="H87" s="35" t="s">
        <v>167</v>
      </c>
      <c r="I87" s="25" t="s">
        <v>7467</v>
      </c>
    </row>
    <row r="88" spans="1:9" s="11" customFormat="1" ht="60">
      <c r="A88" s="4">
        <v>43565.150624999995</v>
      </c>
      <c r="B88" s="5" t="s">
        <v>15287</v>
      </c>
      <c r="C88" s="6" t="s">
        <v>6266</v>
      </c>
      <c r="D88" s="7" t="s">
        <v>6267</v>
      </c>
      <c r="E88" s="8" t="s">
        <v>13009</v>
      </c>
      <c r="F88" s="4">
        <v>40551.387071759258</v>
      </c>
      <c r="G88" s="24" t="s">
        <v>171</v>
      </c>
      <c r="H88" s="35" t="s">
        <v>167</v>
      </c>
      <c r="I88" s="10" t="s">
        <v>6268</v>
      </c>
    </row>
    <row r="89" spans="1:9" s="11" customFormat="1" ht="120">
      <c r="A89" s="4">
        <v>43564.504837962959</v>
      </c>
      <c r="B89" s="5" t="s">
        <v>15288</v>
      </c>
      <c r="C89" s="6" t="s">
        <v>6568</v>
      </c>
      <c r="D89" s="7" t="s">
        <v>6569</v>
      </c>
      <c r="E89" s="8" t="s">
        <v>13011</v>
      </c>
      <c r="F89" s="4">
        <v>40541.507835648146</v>
      </c>
      <c r="G89" s="24" t="s">
        <v>171</v>
      </c>
      <c r="H89" s="35" t="s">
        <v>167</v>
      </c>
      <c r="I89" s="10" t="s">
        <v>6570</v>
      </c>
    </row>
    <row r="90" spans="1:9" s="11" customFormat="1" ht="120">
      <c r="A90" s="4">
        <v>43563.338900462964</v>
      </c>
      <c r="B90" s="5" t="s">
        <v>15289</v>
      </c>
      <c r="C90" s="6" t="s">
        <v>10355</v>
      </c>
      <c r="D90" s="7" t="s">
        <v>10356</v>
      </c>
      <c r="E90" s="8" t="s">
        <v>13034</v>
      </c>
      <c r="F90" s="4">
        <v>40665.38857638889</v>
      </c>
      <c r="G90" s="24" t="s">
        <v>171</v>
      </c>
      <c r="H90" s="35" t="s">
        <v>167</v>
      </c>
      <c r="I90" s="10" t="s">
        <v>10357</v>
      </c>
    </row>
    <row r="91" spans="1:9" s="11" customFormat="1" ht="120">
      <c r="A91" s="4">
        <v>43562.138923611114</v>
      </c>
      <c r="B91" s="5" t="s">
        <v>15285</v>
      </c>
      <c r="C91" s="6" t="s">
        <v>7465</v>
      </c>
      <c r="D91" s="7" t="s">
        <v>10739</v>
      </c>
      <c r="E91" s="8" t="s">
        <v>13009</v>
      </c>
      <c r="F91" s="4">
        <v>40202.064409722225</v>
      </c>
      <c r="G91" s="24" t="s">
        <v>171</v>
      </c>
      <c r="H91" s="35" t="s">
        <v>167</v>
      </c>
      <c r="I91" s="10" t="s">
        <v>7467</v>
      </c>
    </row>
    <row r="92" spans="1:9" s="11" customFormat="1" ht="120">
      <c r="A92" s="4">
        <v>43559.221388888887</v>
      </c>
      <c r="B92" s="5" t="s">
        <v>15285</v>
      </c>
      <c r="C92" s="6" t="s">
        <v>7465</v>
      </c>
      <c r="D92" s="7" t="s">
        <v>11908</v>
      </c>
      <c r="E92" s="8" t="s">
        <v>13009</v>
      </c>
      <c r="F92" s="4">
        <v>40202.064409722225</v>
      </c>
      <c r="G92" s="24" t="s">
        <v>171</v>
      </c>
      <c r="H92" s="35" t="s">
        <v>167</v>
      </c>
      <c r="I92" s="10" t="s">
        <v>7467</v>
      </c>
    </row>
    <row r="93" spans="1:9" s="11" customFormat="1" ht="120">
      <c r="A93" s="4">
        <v>43557.646620370375</v>
      </c>
      <c r="B93" s="5" t="s">
        <v>15285</v>
      </c>
      <c r="C93" s="6" t="s">
        <v>7465</v>
      </c>
      <c r="D93" s="7" t="s">
        <v>12428</v>
      </c>
      <c r="E93" s="8" t="s">
        <v>13009</v>
      </c>
      <c r="F93" s="4">
        <v>40202.064409722225</v>
      </c>
      <c r="G93" s="24" t="s">
        <v>171</v>
      </c>
      <c r="H93" s="35" t="s">
        <v>167</v>
      </c>
      <c r="I93" s="10" t="s">
        <v>7467</v>
      </c>
    </row>
    <row r="94" spans="1:9" s="11" customFormat="1" ht="120">
      <c r="A94" s="4">
        <v>43557.251423611116</v>
      </c>
      <c r="B94" s="5" t="s">
        <v>15289</v>
      </c>
      <c r="C94" s="6" t="s">
        <v>10355</v>
      </c>
      <c r="D94" s="7" t="s">
        <v>12603</v>
      </c>
      <c r="E94" s="8" t="s">
        <v>13034</v>
      </c>
      <c r="F94" s="4">
        <v>40665.38857638889</v>
      </c>
      <c r="G94" s="24" t="s">
        <v>171</v>
      </c>
      <c r="H94" s="35" t="s">
        <v>167</v>
      </c>
      <c r="I94" s="10" t="s">
        <v>10357</v>
      </c>
    </row>
    <row r="95" spans="1:9" s="11" customFormat="1" ht="105">
      <c r="A95" s="12">
        <v>43580.65016203704</v>
      </c>
      <c r="B95" s="13" t="s">
        <v>15290</v>
      </c>
      <c r="C95" s="14" t="s">
        <v>165</v>
      </c>
      <c r="D95" s="15" t="s">
        <v>166</v>
      </c>
      <c r="E95" s="16" t="s">
        <v>13009</v>
      </c>
      <c r="F95" s="12">
        <v>40984.914305555554</v>
      </c>
      <c r="G95" s="24" t="s">
        <v>171</v>
      </c>
      <c r="H95" s="35" t="s">
        <v>167</v>
      </c>
      <c r="I95" s="18" t="s">
        <v>168</v>
      </c>
    </row>
    <row r="96" spans="1:9" s="11" customFormat="1" ht="75">
      <c r="A96" s="12">
        <v>43572.138159722221</v>
      </c>
      <c r="B96" s="13" t="s">
        <v>15291</v>
      </c>
      <c r="C96" s="14" t="s">
        <v>3410</v>
      </c>
      <c r="D96" s="15" t="s">
        <v>3411</v>
      </c>
      <c r="E96" s="16" t="s">
        <v>13011</v>
      </c>
      <c r="F96" s="12">
        <v>43450.410625000004</v>
      </c>
      <c r="G96" s="24" t="s">
        <v>171</v>
      </c>
      <c r="H96" s="35" t="s">
        <v>167</v>
      </c>
      <c r="I96" s="18" t="s">
        <v>3412</v>
      </c>
    </row>
    <row r="97" spans="1:9" s="11" customFormat="1" ht="90">
      <c r="A97" s="12">
        <v>43569.445243055554</v>
      </c>
      <c r="B97" s="13" t="s">
        <v>15292</v>
      </c>
      <c r="C97" s="14" t="s">
        <v>4511</v>
      </c>
      <c r="D97" s="15" t="s">
        <v>4512</v>
      </c>
      <c r="E97" s="16" t="s">
        <v>13013</v>
      </c>
      <c r="F97" s="12">
        <v>42814.661238425921</v>
      </c>
      <c r="G97" s="24" t="s">
        <v>171</v>
      </c>
      <c r="H97" s="35" t="s">
        <v>167</v>
      </c>
      <c r="I97" s="18" t="s">
        <v>4513</v>
      </c>
    </row>
    <row r="98" spans="1:9" s="11" customFormat="1" ht="45">
      <c r="A98" s="19">
        <v>43545.332743055551</v>
      </c>
      <c r="B98" s="20" t="s">
        <v>15293</v>
      </c>
      <c r="C98" s="21" t="s">
        <v>9202</v>
      </c>
      <c r="D98" s="22" t="s">
        <v>9203</v>
      </c>
      <c r="E98" s="23" t="s">
        <v>13009</v>
      </c>
      <c r="F98" s="19">
        <v>43354.120833333334</v>
      </c>
      <c r="G98" s="24" t="s">
        <v>171</v>
      </c>
      <c r="H98" s="35" t="s">
        <v>9204</v>
      </c>
      <c r="I98" s="25" t="s">
        <v>9205</v>
      </c>
    </row>
    <row r="99" spans="1:9" s="11" customFormat="1" ht="45">
      <c r="A99" s="4">
        <v>43560.042592592596</v>
      </c>
      <c r="B99" s="5" t="s">
        <v>15294</v>
      </c>
      <c r="C99" s="6" t="s">
        <v>11630</v>
      </c>
      <c r="D99" s="7" t="s">
        <v>11631</v>
      </c>
      <c r="E99" s="8" t="s">
        <v>13009</v>
      </c>
      <c r="F99" s="4">
        <v>40968.404537037037</v>
      </c>
      <c r="G99" s="9" t="s">
        <v>171</v>
      </c>
      <c r="H99" s="35" t="s">
        <v>11632</v>
      </c>
      <c r="I99" s="10" t="s">
        <v>11633</v>
      </c>
    </row>
    <row r="100" spans="1:9" s="11" customFormat="1" ht="120">
      <c r="A100" s="12">
        <v>43568.071377314816</v>
      </c>
      <c r="B100" s="13" t="s">
        <v>15295</v>
      </c>
      <c r="C100" s="14" t="s">
        <v>4882</v>
      </c>
      <c r="D100" s="15" t="s">
        <v>4883</v>
      </c>
      <c r="E100" s="16" t="s">
        <v>13027</v>
      </c>
      <c r="F100" s="12">
        <v>39973.641828703701</v>
      </c>
      <c r="G100" s="17" t="s">
        <v>171</v>
      </c>
      <c r="H100" s="35" t="s">
        <v>4884</v>
      </c>
      <c r="I100" s="18" t="s">
        <v>4885</v>
      </c>
    </row>
    <row r="101" spans="1:9" s="11" customFormat="1" ht="90">
      <c r="A101" s="19">
        <v>43551.830555555556</v>
      </c>
      <c r="B101" s="20" t="s">
        <v>15296</v>
      </c>
      <c r="C101" s="21" t="s">
        <v>6989</v>
      </c>
      <c r="D101" s="22" t="s">
        <v>6990</v>
      </c>
      <c r="E101" s="23" t="s">
        <v>13120</v>
      </c>
      <c r="F101" s="19">
        <v>41985.199641203704</v>
      </c>
      <c r="G101" s="24" t="s">
        <v>171</v>
      </c>
      <c r="H101" s="35" t="s">
        <v>6991</v>
      </c>
      <c r="I101" s="25" t="s">
        <v>6992</v>
      </c>
    </row>
    <row r="102" spans="1:9" s="11" customFormat="1" ht="90">
      <c r="A102" s="19">
        <v>43551.484722222223</v>
      </c>
      <c r="B102" s="20" t="s">
        <v>15296</v>
      </c>
      <c r="C102" s="21" t="s">
        <v>6989</v>
      </c>
      <c r="D102" s="22" t="s">
        <v>7163</v>
      </c>
      <c r="E102" s="23" t="s">
        <v>13120</v>
      </c>
      <c r="F102" s="19">
        <v>41985.199641203704</v>
      </c>
      <c r="G102" s="24" t="s">
        <v>171</v>
      </c>
      <c r="H102" s="35" t="s">
        <v>6991</v>
      </c>
      <c r="I102" s="25" t="s">
        <v>6992</v>
      </c>
    </row>
    <row r="103" spans="1:9" s="11" customFormat="1" ht="90">
      <c r="A103" s="19">
        <v>43551.356944444444</v>
      </c>
      <c r="B103" s="20" t="s">
        <v>15296</v>
      </c>
      <c r="C103" s="21" t="s">
        <v>6989</v>
      </c>
      <c r="D103" s="22" t="s">
        <v>7163</v>
      </c>
      <c r="E103" s="23" t="s">
        <v>13120</v>
      </c>
      <c r="F103" s="19">
        <v>41985.199641203704</v>
      </c>
      <c r="G103" s="24" t="s">
        <v>171</v>
      </c>
      <c r="H103" s="35" t="s">
        <v>6991</v>
      </c>
      <c r="I103" s="25" t="s">
        <v>6992</v>
      </c>
    </row>
    <row r="104" spans="1:9" s="11" customFormat="1" ht="90">
      <c r="A104" s="19">
        <v>43551.328472222223</v>
      </c>
      <c r="B104" s="20" t="s">
        <v>15296</v>
      </c>
      <c r="C104" s="21" t="s">
        <v>6989</v>
      </c>
      <c r="D104" s="22" t="s">
        <v>6990</v>
      </c>
      <c r="E104" s="23" t="s">
        <v>13120</v>
      </c>
      <c r="F104" s="19">
        <v>41985.199641203704</v>
      </c>
      <c r="G104" s="24" t="s">
        <v>171</v>
      </c>
      <c r="H104" s="35" t="s">
        <v>6991</v>
      </c>
      <c r="I104" s="25" t="s">
        <v>6992</v>
      </c>
    </row>
    <row r="105" spans="1:9" s="11" customFormat="1" ht="90">
      <c r="A105" s="19">
        <v>43550.990277777775</v>
      </c>
      <c r="B105" s="20" t="s">
        <v>15296</v>
      </c>
      <c r="C105" s="21" t="s">
        <v>6989</v>
      </c>
      <c r="D105" s="22" t="s">
        <v>7460</v>
      </c>
      <c r="E105" s="23" t="s">
        <v>13120</v>
      </c>
      <c r="F105" s="19">
        <v>41985.199641203704</v>
      </c>
      <c r="G105" s="24" t="s">
        <v>171</v>
      </c>
      <c r="H105" s="35" t="s">
        <v>6991</v>
      </c>
      <c r="I105" s="25" t="s">
        <v>6992</v>
      </c>
    </row>
    <row r="106" spans="1:9" s="11" customFormat="1" ht="90">
      <c r="A106" s="19">
        <v>43550.830555555556</v>
      </c>
      <c r="B106" s="20" t="s">
        <v>15296</v>
      </c>
      <c r="C106" s="21" t="s">
        <v>6989</v>
      </c>
      <c r="D106" s="22" t="s">
        <v>6990</v>
      </c>
      <c r="E106" s="23" t="s">
        <v>13120</v>
      </c>
      <c r="F106" s="19">
        <v>41985.199641203704</v>
      </c>
      <c r="G106" s="24" t="s">
        <v>171</v>
      </c>
      <c r="H106" s="35" t="s">
        <v>6991</v>
      </c>
      <c r="I106" s="25" t="s">
        <v>6992</v>
      </c>
    </row>
    <row r="107" spans="1:9" s="11" customFormat="1" ht="90">
      <c r="A107" s="19">
        <v>43550.484722222223</v>
      </c>
      <c r="B107" s="20" t="s">
        <v>15296</v>
      </c>
      <c r="C107" s="21" t="s">
        <v>6989</v>
      </c>
      <c r="D107" s="22" t="s">
        <v>7163</v>
      </c>
      <c r="E107" s="23" t="s">
        <v>13120</v>
      </c>
      <c r="F107" s="19">
        <v>41985.199641203704</v>
      </c>
      <c r="G107" s="24" t="s">
        <v>171</v>
      </c>
      <c r="H107" s="35" t="s">
        <v>6991</v>
      </c>
      <c r="I107" s="25" t="s">
        <v>6992</v>
      </c>
    </row>
    <row r="108" spans="1:9" s="11" customFormat="1" ht="90">
      <c r="A108" s="19">
        <v>43550.356944444444</v>
      </c>
      <c r="B108" s="20" t="s">
        <v>15296</v>
      </c>
      <c r="C108" s="21" t="s">
        <v>6989</v>
      </c>
      <c r="D108" s="22" t="s">
        <v>7163</v>
      </c>
      <c r="E108" s="23" t="s">
        <v>13120</v>
      </c>
      <c r="F108" s="19">
        <v>41985.199641203704</v>
      </c>
      <c r="G108" s="24" t="s">
        <v>171</v>
      </c>
      <c r="H108" s="35" t="s">
        <v>6991</v>
      </c>
      <c r="I108" s="25" t="s">
        <v>6992</v>
      </c>
    </row>
    <row r="109" spans="1:9" s="11" customFormat="1" ht="90">
      <c r="A109" s="19">
        <v>43550.327777777777</v>
      </c>
      <c r="B109" s="20" t="s">
        <v>15296</v>
      </c>
      <c r="C109" s="21" t="s">
        <v>6989</v>
      </c>
      <c r="D109" s="22" t="s">
        <v>6990</v>
      </c>
      <c r="E109" s="23" t="s">
        <v>13120</v>
      </c>
      <c r="F109" s="19">
        <v>41985.199641203704</v>
      </c>
      <c r="G109" s="24" t="s">
        <v>171</v>
      </c>
      <c r="H109" s="35" t="s">
        <v>6991</v>
      </c>
      <c r="I109" s="25" t="s">
        <v>6992</v>
      </c>
    </row>
    <row r="110" spans="1:9" s="11" customFormat="1" ht="90">
      <c r="A110" s="19">
        <v>43549.990277777775</v>
      </c>
      <c r="B110" s="20" t="s">
        <v>15296</v>
      </c>
      <c r="C110" s="21" t="s">
        <v>6989</v>
      </c>
      <c r="D110" s="22" t="s">
        <v>7460</v>
      </c>
      <c r="E110" s="23" t="s">
        <v>13120</v>
      </c>
      <c r="F110" s="19">
        <v>41985.199641203704</v>
      </c>
      <c r="G110" s="24" t="s">
        <v>171</v>
      </c>
      <c r="H110" s="35" t="s">
        <v>6991</v>
      </c>
      <c r="I110" s="25" t="s">
        <v>6992</v>
      </c>
    </row>
    <row r="111" spans="1:9" s="11" customFormat="1" ht="90">
      <c r="A111" s="19">
        <v>43549.830555555556</v>
      </c>
      <c r="B111" s="20" t="s">
        <v>15296</v>
      </c>
      <c r="C111" s="21" t="s">
        <v>6989</v>
      </c>
      <c r="D111" s="22" t="s">
        <v>6990</v>
      </c>
      <c r="E111" s="23" t="s">
        <v>13120</v>
      </c>
      <c r="F111" s="19">
        <v>41985.199641203704</v>
      </c>
      <c r="G111" s="24" t="s">
        <v>171</v>
      </c>
      <c r="H111" s="35" t="s">
        <v>6991</v>
      </c>
      <c r="I111" s="25" t="s">
        <v>6992</v>
      </c>
    </row>
    <row r="112" spans="1:9" s="11" customFormat="1" ht="90">
      <c r="A112" s="19">
        <v>43549.484722222223</v>
      </c>
      <c r="B112" s="20" t="s">
        <v>15296</v>
      </c>
      <c r="C112" s="21" t="s">
        <v>6989</v>
      </c>
      <c r="D112" s="22" t="s">
        <v>7163</v>
      </c>
      <c r="E112" s="23" t="s">
        <v>13120</v>
      </c>
      <c r="F112" s="19">
        <v>41985.199641203704</v>
      </c>
      <c r="G112" s="24" t="s">
        <v>171</v>
      </c>
      <c r="H112" s="35" t="s">
        <v>6991</v>
      </c>
      <c r="I112" s="25" t="s">
        <v>6992</v>
      </c>
    </row>
    <row r="113" spans="1:9" s="11" customFormat="1" ht="90">
      <c r="A113" s="19">
        <v>43549.356944444444</v>
      </c>
      <c r="B113" s="20" t="s">
        <v>15296</v>
      </c>
      <c r="C113" s="21" t="s">
        <v>6989</v>
      </c>
      <c r="D113" s="22" t="s">
        <v>7163</v>
      </c>
      <c r="E113" s="23" t="s">
        <v>13120</v>
      </c>
      <c r="F113" s="19">
        <v>41985.199641203704</v>
      </c>
      <c r="G113" s="24" t="s">
        <v>171</v>
      </c>
      <c r="H113" s="35" t="s">
        <v>6991</v>
      </c>
      <c r="I113" s="25" t="s">
        <v>6992</v>
      </c>
    </row>
    <row r="114" spans="1:9" s="11" customFormat="1" ht="90">
      <c r="A114" s="19">
        <v>43549.327777777777</v>
      </c>
      <c r="B114" s="20" t="s">
        <v>15296</v>
      </c>
      <c r="C114" s="21" t="s">
        <v>6989</v>
      </c>
      <c r="D114" s="22" t="s">
        <v>6990</v>
      </c>
      <c r="E114" s="23" t="s">
        <v>13120</v>
      </c>
      <c r="F114" s="19">
        <v>41985.199641203704</v>
      </c>
      <c r="G114" s="24" t="s">
        <v>171</v>
      </c>
      <c r="H114" s="35" t="s">
        <v>6991</v>
      </c>
      <c r="I114" s="25" t="s">
        <v>6992</v>
      </c>
    </row>
    <row r="115" spans="1:9" s="11" customFormat="1" ht="90">
      <c r="A115" s="19">
        <v>43548.989583333328</v>
      </c>
      <c r="B115" s="20" t="s">
        <v>15296</v>
      </c>
      <c r="C115" s="21" t="s">
        <v>6989</v>
      </c>
      <c r="D115" s="22" t="s">
        <v>7460</v>
      </c>
      <c r="E115" s="23" t="s">
        <v>13120</v>
      </c>
      <c r="F115" s="19">
        <v>41985.199641203704</v>
      </c>
      <c r="G115" s="24" t="s">
        <v>171</v>
      </c>
      <c r="H115" s="35" t="s">
        <v>6991</v>
      </c>
      <c r="I115" s="25" t="s">
        <v>6992</v>
      </c>
    </row>
    <row r="116" spans="1:9" s="11" customFormat="1" ht="90">
      <c r="A116" s="19">
        <v>43548.830555555556</v>
      </c>
      <c r="B116" s="20" t="s">
        <v>15296</v>
      </c>
      <c r="C116" s="21" t="s">
        <v>6989</v>
      </c>
      <c r="D116" s="22" t="s">
        <v>6990</v>
      </c>
      <c r="E116" s="23" t="s">
        <v>13120</v>
      </c>
      <c r="F116" s="19">
        <v>41985.199641203704</v>
      </c>
      <c r="G116" s="24" t="s">
        <v>171</v>
      </c>
      <c r="H116" s="35" t="s">
        <v>6991</v>
      </c>
      <c r="I116" s="25" t="s">
        <v>6992</v>
      </c>
    </row>
    <row r="117" spans="1:9" s="11" customFormat="1" ht="90">
      <c r="A117" s="19">
        <v>43548.4847337963</v>
      </c>
      <c r="B117" s="20" t="s">
        <v>15296</v>
      </c>
      <c r="C117" s="21" t="s">
        <v>6989</v>
      </c>
      <c r="D117" s="22" t="s">
        <v>7163</v>
      </c>
      <c r="E117" s="23" t="s">
        <v>13120</v>
      </c>
      <c r="F117" s="19">
        <v>41985.199641203704</v>
      </c>
      <c r="G117" s="24" t="s">
        <v>171</v>
      </c>
      <c r="H117" s="35" t="s">
        <v>6991</v>
      </c>
      <c r="I117" s="25" t="s">
        <v>6992</v>
      </c>
    </row>
    <row r="118" spans="1:9" s="11" customFormat="1" ht="90">
      <c r="A118" s="19">
        <v>43548.356944444444</v>
      </c>
      <c r="B118" s="20" t="s">
        <v>15296</v>
      </c>
      <c r="C118" s="21" t="s">
        <v>6989</v>
      </c>
      <c r="D118" s="22" t="s">
        <v>7163</v>
      </c>
      <c r="E118" s="23" t="s">
        <v>13120</v>
      </c>
      <c r="F118" s="19">
        <v>41985.199641203704</v>
      </c>
      <c r="G118" s="24" t="s">
        <v>171</v>
      </c>
      <c r="H118" s="35" t="s">
        <v>6991</v>
      </c>
      <c r="I118" s="25" t="s">
        <v>6992</v>
      </c>
    </row>
    <row r="119" spans="1:9" s="11" customFormat="1" ht="90">
      <c r="A119" s="19">
        <v>43548.327777777777</v>
      </c>
      <c r="B119" s="20" t="s">
        <v>15296</v>
      </c>
      <c r="C119" s="21" t="s">
        <v>6989</v>
      </c>
      <c r="D119" s="22" t="s">
        <v>6990</v>
      </c>
      <c r="E119" s="23" t="s">
        <v>13120</v>
      </c>
      <c r="F119" s="19">
        <v>41985.199641203704</v>
      </c>
      <c r="G119" s="24" t="s">
        <v>171</v>
      </c>
      <c r="H119" s="35" t="s">
        <v>6991</v>
      </c>
      <c r="I119" s="25" t="s">
        <v>6992</v>
      </c>
    </row>
    <row r="120" spans="1:9" s="11" customFormat="1" ht="90">
      <c r="A120" s="19">
        <v>43547.989583333328</v>
      </c>
      <c r="B120" s="20" t="s">
        <v>15296</v>
      </c>
      <c r="C120" s="21" t="s">
        <v>6989</v>
      </c>
      <c r="D120" s="22" t="s">
        <v>7460</v>
      </c>
      <c r="E120" s="23" t="s">
        <v>13120</v>
      </c>
      <c r="F120" s="19">
        <v>41985.199641203704</v>
      </c>
      <c r="G120" s="24" t="s">
        <v>171</v>
      </c>
      <c r="H120" s="35" t="s">
        <v>6991</v>
      </c>
      <c r="I120" s="25" t="s">
        <v>6992</v>
      </c>
    </row>
    <row r="121" spans="1:9" s="11" customFormat="1" ht="90">
      <c r="A121" s="19">
        <v>43547.830555555556</v>
      </c>
      <c r="B121" s="20" t="s">
        <v>15296</v>
      </c>
      <c r="C121" s="21" t="s">
        <v>6989</v>
      </c>
      <c r="D121" s="22" t="s">
        <v>6990</v>
      </c>
      <c r="E121" s="23" t="s">
        <v>13120</v>
      </c>
      <c r="F121" s="19">
        <v>41985.199641203704</v>
      </c>
      <c r="G121" s="24" t="s">
        <v>171</v>
      </c>
      <c r="H121" s="35" t="s">
        <v>6991</v>
      </c>
      <c r="I121" s="25" t="s">
        <v>6992</v>
      </c>
    </row>
    <row r="122" spans="1:9" s="11" customFormat="1" ht="90">
      <c r="A122" s="19">
        <v>43547.484722222223</v>
      </c>
      <c r="B122" s="20" t="s">
        <v>15296</v>
      </c>
      <c r="C122" s="21" t="s">
        <v>6989</v>
      </c>
      <c r="D122" s="22" t="s">
        <v>7163</v>
      </c>
      <c r="E122" s="23" t="s">
        <v>13120</v>
      </c>
      <c r="F122" s="19">
        <v>41985.199641203704</v>
      </c>
      <c r="G122" s="24" t="s">
        <v>171</v>
      </c>
      <c r="H122" s="35" t="s">
        <v>6991</v>
      </c>
      <c r="I122" s="25" t="s">
        <v>6992</v>
      </c>
    </row>
    <row r="123" spans="1:9" s="11" customFormat="1" ht="90">
      <c r="A123" s="19">
        <v>43547.356249999997</v>
      </c>
      <c r="B123" s="20" t="s">
        <v>15296</v>
      </c>
      <c r="C123" s="21" t="s">
        <v>6989</v>
      </c>
      <c r="D123" s="22" t="s">
        <v>7163</v>
      </c>
      <c r="E123" s="23" t="s">
        <v>13120</v>
      </c>
      <c r="F123" s="19">
        <v>41985.199641203704</v>
      </c>
      <c r="G123" s="24" t="s">
        <v>171</v>
      </c>
      <c r="H123" s="35" t="s">
        <v>6991</v>
      </c>
      <c r="I123" s="25" t="s">
        <v>6992</v>
      </c>
    </row>
    <row r="124" spans="1:9" s="11" customFormat="1" ht="90">
      <c r="A124" s="19">
        <v>43547.327777777777</v>
      </c>
      <c r="B124" s="20" t="s">
        <v>15296</v>
      </c>
      <c r="C124" s="21" t="s">
        <v>6989</v>
      </c>
      <c r="D124" s="22" t="s">
        <v>6990</v>
      </c>
      <c r="E124" s="23" t="s">
        <v>13120</v>
      </c>
      <c r="F124" s="19">
        <v>41985.199641203704</v>
      </c>
      <c r="G124" s="24" t="s">
        <v>171</v>
      </c>
      <c r="H124" s="35" t="s">
        <v>6991</v>
      </c>
      <c r="I124" s="25" t="s">
        <v>6992</v>
      </c>
    </row>
    <row r="125" spans="1:9" s="11" customFormat="1" ht="90">
      <c r="A125" s="19">
        <v>43546.989583333328</v>
      </c>
      <c r="B125" s="20" t="s">
        <v>15296</v>
      </c>
      <c r="C125" s="21" t="s">
        <v>6989</v>
      </c>
      <c r="D125" s="22" t="s">
        <v>7460</v>
      </c>
      <c r="E125" s="23" t="s">
        <v>13120</v>
      </c>
      <c r="F125" s="19">
        <v>41985.199641203704</v>
      </c>
      <c r="G125" s="24" t="s">
        <v>171</v>
      </c>
      <c r="H125" s="35" t="s">
        <v>6991</v>
      </c>
      <c r="I125" s="25" t="s">
        <v>6992</v>
      </c>
    </row>
    <row r="126" spans="1:9" s="11" customFormat="1" ht="90">
      <c r="A126" s="19">
        <v>43546.829861111109</v>
      </c>
      <c r="B126" s="20" t="s">
        <v>15296</v>
      </c>
      <c r="C126" s="21" t="s">
        <v>6989</v>
      </c>
      <c r="D126" s="22" t="s">
        <v>6990</v>
      </c>
      <c r="E126" s="23" t="s">
        <v>13120</v>
      </c>
      <c r="F126" s="19">
        <v>41985.199641203704</v>
      </c>
      <c r="G126" s="24" t="s">
        <v>171</v>
      </c>
      <c r="H126" s="35" t="s">
        <v>6991</v>
      </c>
      <c r="I126" s="25" t="s">
        <v>6992</v>
      </c>
    </row>
    <row r="127" spans="1:9" s="11" customFormat="1" ht="90">
      <c r="A127" s="19">
        <v>43546.484722222223</v>
      </c>
      <c r="B127" s="20" t="s">
        <v>15296</v>
      </c>
      <c r="C127" s="21" t="s">
        <v>6989</v>
      </c>
      <c r="D127" s="22" t="s">
        <v>7163</v>
      </c>
      <c r="E127" s="23" t="s">
        <v>13120</v>
      </c>
      <c r="F127" s="19">
        <v>41985.199641203704</v>
      </c>
      <c r="G127" s="24" t="s">
        <v>171</v>
      </c>
      <c r="H127" s="35" t="s">
        <v>6991</v>
      </c>
      <c r="I127" s="25" t="s">
        <v>6992</v>
      </c>
    </row>
    <row r="128" spans="1:9" s="11" customFormat="1" ht="90">
      <c r="A128" s="19">
        <v>43546.356249999997</v>
      </c>
      <c r="B128" s="20" t="s">
        <v>15296</v>
      </c>
      <c r="C128" s="21" t="s">
        <v>6989</v>
      </c>
      <c r="D128" s="22" t="s">
        <v>7163</v>
      </c>
      <c r="E128" s="23" t="s">
        <v>13120</v>
      </c>
      <c r="F128" s="19">
        <v>41985.199641203704</v>
      </c>
      <c r="G128" s="24" t="s">
        <v>171</v>
      </c>
      <c r="H128" s="35" t="s">
        <v>6991</v>
      </c>
      <c r="I128" s="25" t="s">
        <v>6992</v>
      </c>
    </row>
    <row r="129" spans="1:9" s="11" customFormat="1" ht="90">
      <c r="A129" s="19">
        <v>43546.327777777777</v>
      </c>
      <c r="B129" s="20" t="s">
        <v>15296</v>
      </c>
      <c r="C129" s="21" t="s">
        <v>6989</v>
      </c>
      <c r="D129" s="22" t="s">
        <v>6990</v>
      </c>
      <c r="E129" s="23" t="s">
        <v>13120</v>
      </c>
      <c r="F129" s="19">
        <v>41985.199641203704</v>
      </c>
      <c r="G129" s="24" t="s">
        <v>171</v>
      </c>
      <c r="H129" s="35" t="s">
        <v>6991</v>
      </c>
      <c r="I129" s="25" t="s">
        <v>6992</v>
      </c>
    </row>
    <row r="130" spans="1:9" s="11" customFormat="1" ht="90">
      <c r="A130" s="19">
        <v>43545.989583333328</v>
      </c>
      <c r="B130" s="20" t="s">
        <v>15296</v>
      </c>
      <c r="C130" s="21" t="s">
        <v>6989</v>
      </c>
      <c r="D130" s="22" t="s">
        <v>7460</v>
      </c>
      <c r="E130" s="23" t="s">
        <v>13120</v>
      </c>
      <c r="F130" s="19">
        <v>41985.199641203704</v>
      </c>
      <c r="G130" s="24" t="s">
        <v>171</v>
      </c>
      <c r="H130" s="35" t="s">
        <v>6991</v>
      </c>
      <c r="I130" s="25" t="s">
        <v>6992</v>
      </c>
    </row>
    <row r="131" spans="1:9" s="11" customFormat="1" ht="90">
      <c r="A131" s="19">
        <v>43545.829861111109</v>
      </c>
      <c r="B131" s="20" t="s">
        <v>15296</v>
      </c>
      <c r="C131" s="21" t="s">
        <v>6989</v>
      </c>
      <c r="D131" s="22" t="s">
        <v>6990</v>
      </c>
      <c r="E131" s="23" t="s">
        <v>13120</v>
      </c>
      <c r="F131" s="19">
        <v>41985.199641203704</v>
      </c>
      <c r="G131" s="24" t="s">
        <v>171</v>
      </c>
      <c r="H131" s="35" t="s">
        <v>6991</v>
      </c>
      <c r="I131" s="25" t="s">
        <v>6992</v>
      </c>
    </row>
    <row r="132" spans="1:9" s="11" customFormat="1" ht="90">
      <c r="A132" s="19">
        <v>43545.484722222223</v>
      </c>
      <c r="B132" s="20" t="s">
        <v>15296</v>
      </c>
      <c r="C132" s="21" t="s">
        <v>6989</v>
      </c>
      <c r="D132" s="22" t="s">
        <v>7163</v>
      </c>
      <c r="E132" s="23" t="s">
        <v>13120</v>
      </c>
      <c r="F132" s="19">
        <v>41985.199641203704</v>
      </c>
      <c r="G132" s="24" t="s">
        <v>171</v>
      </c>
      <c r="H132" s="35" t="s">
        <v>6991</v>
      </c>
      <c r="I132" s="25" t="s">
        <v>6992</v>
      </c>
    </row>
    <row r="133" spans="1:9" s="11" customFormat="1" ht="90">
      <c r="A133" s="19">
        <v>43545.356261574074</v>
      </c>
      <c r="B133" s="20" t="s">
        <v>15296</v>
      </c>
      <c r="C133" s="21" t="s">
        <v>6989</v>
      </c>
      <c r="D133" s="22" t="s">
        <v>7163</v>
      </c>
      <c r="E133" s="23" t="s">
        <v>13120</v>
      </c>
      <c r="F133" s="19">
        <v>41985.199641203704</v>
      </c>
      <c r="G133" s="24" t="s">
        <v>171</v>
      </c>
      <c r="H133" s="35" t="s">
        <v>6991</v>
      </c>
      <c r="I133" s="25" t="s">
        <v>6992</v>
      </c>
    </row>
    <row r="134" spans="1:9" s="11" customFormat="1" ht="90">
      <c r="A134" s="19">
        <v>43545.327083333337</v>
      </c>
      <c r="B134" s="20" t="s">
        <v>15296</v>
      </c>
      <c r="C134" s="21" t="s">
        <v>6989</v>
      </c>
      <c r="D134" s="22" t="s">
        <v>6990</v>
      </c>
      <c r="E134" s="23" t="s">
        <v>13120</v>
      </c>
      <c r="F134" s="19">
        <v>41985.199641203704</v>
      </c>
      <c r="G134" s="24" t="s">
        <v>171</v>
      </c>
      <c r="H134" s="35" t="s">
        <v>6991</v>
      </c>
      <c r="I134" s="25" t="s">
        <v>6992</v>
      </c>
    </row>
    <row r="135" spans="1:9" s="11" customFormat="1" ht="90">
      <c r="A135" s="19">
        <v>43544.989583333328</v>
      </c>
      <c r="B135" s="20" t="s">
        <v>15296</v>
      </c>
      <c r="C135" s="21" t="s">
        <v>6989</v>
      </c>
      <c r="D135" s="22" t="s">
        <v>7460</v>
      </c>
      <c r="E135" s="23" t="s">
        <v>13120</v>
      </c>
      <c r="F135" s="19">
        <v>41985.199641203704</v>
      </c>
      <c r="G135" s="24" t="s">
        <v>171</v>
      </c>
      <c r="H135" s="35" t="s">
        <v>6991</v>
      </c>
      <c r="I135" s="25" t="s">
        <v>6992</v>
      </c>
    </row>
    <row r="136" spans="1:9" s="11" customFormat="1" ht="90">
      <c r="A136" s="19">
        <v>43544.829861111109</v>
      </c>
      <c r="B136" s="20" t="s">
        <v>15296</v>
      </c>
      <c r="C136" s="21" t="s">
        <v>6989</v>
      </c>
      <c r="D136" s="22" t="s">
        <v>6990</v>
      </c>
      <c r="E136" s="23" t="s">
        <v>13120</v>
      </c>
      <c r="F136" s="19">
        <v>41985.199641203704</v>
      </c>
      <c r="G136" s="24" t="s">
        <v>171</v>
      </c>
      <c r="H136" s="35" t="s">
        <v>6991</v>
      </c>
      <c r="I136" s="25" t="s">
        <v>6992</v>
      </c>
    </row>
    <row r="137" spans="1:9" s="11" customFormat="1" ht="90">
      <c r="A137" s="19">
        <v>43544.484027777777</v>
      </c>
      <c r="B137" s="20" t="s">
        <v>15296</v>
      </c>
      <c r="C137" s="21" t="s">
        <v>6989</v>
      </c>
      <c r="D137" s="22" t="s">
        <v>7163</v>
      </c>
      <c r="E137" s="23" t="s">
        <v>13120</v>
      </c>
      <c r="F137" s="19">
        <v>41985.199641203704</v>
      </c>
      <c r="G137" s="24" t="s">
        <v>171</v>
      </c>
      <c r="H137" s="35" t="s">
        <v>6991</v>
      </c>
      <c r="I137" s="25" t="s">
        <v>6992</v>
      </c>
    </row>
    <row r="138" spans="1:9" s="11" customFormat="1" ht="90">
      <c r="A138" s="19">
        <v>43544.356249999997</v>
      </c>
      <c r="B138" s="20" t="s">
        <v>15296</v>
      </c>
      <c r="C138" s="21" t="s">
        <v>6989</v>
      </c>
      <c r="D138" s="22" t="s">
        <v>7163</v>
      </c>
      <c r="E138" s="23" t="s">
        <v>13120</v>
      </c>
      <c r="F138" s="19">
        <v>41985.199641203704</v>
      </c>
      <c r="G138" s="24" t="s">
        <v>171</v>
      </c>
      <c r="H138" s="35" t="s">
        <v>6991</v>
      </c>
      <c r="I138" s="25" t="s">
        <v>6992</v>
      </c>
    </row>
    <row r="139" spans="1:9" s="11" customFormat="1" ht="90">
      <c r="A139" s="19">
        <v>43544.327083333337</v>
      </c>
      <c r="B139" s="20" t="s">
        <v>15296</v>
      </c>
      <c r="C139" s="21" t="s">
        <v>6989</v>
      </c>
      <c r="D139" s="22" t="s">
        <v>6990</v>
      </c>
      <c r="E139" s="23" t="s">
        <v>13120</v>
      </c>
      <c r="F139" s="19">
        <v>41985.199641203704</v>
      </c>
      <c r="G139" s="24" t="s">
        <v>171</v>
      </c>
      <c r="H139" s="35" t="s">
        <v>6991</v>
      </c>
      <c r="I139" s="25" t="s">
        <v>6992</v>
      </c>
    </row>
    <row r="140" spans="1:9" s="11" customFormat="1" ht="90">
      <c r="A140" s="19">
        <v>43543.989583333328</v>
      </c>
      <c r="B140" s="20" t="s">
        <v>15296</v>
      </c>
      <c r="C140" s="21" t="s">
        <v>6989</v>
      </c>
      <c r="D140" s="22" t="s">
        <v>7460</v>
      </c>
      <c r="E140" s="23" t="s">
        <v>13120</v>
      </c>
      <c r="F140" s="19">
        <v>41985.199641203704</v>
      </c>
      <c r="G140" s="24" t="s">
        <v>171</v>
      </c>
      <c r="H140" s="35" t="s">
        <v>6991</v>
      </c>
      <c r="I140" s="25" t="s">
        <v>6992</v>
      </c>
    </row>
    <row r="141" spans="1:9" s="11" customFormat="1" ht="90">
      <c r="A141" s="19">
        <v>43543.829861111109</v>
      </c>
      <c r="B141" s="20" t="s">
        <v>15296</v>
      </c>
      <c r="C141" s="21" t="s">
        <v>6989</v>
      </c>
      <c r="D141" s="22" t="s">
        <v>6990</v>
      </c>
      <c r="E141" s="23" t="s">
        <v>13120</v>
      </c>
      <c r="F141" s="19">
        <v>41985.199641203704</v>
      </c>
      <c r="G141" s="24" t="s">
        <v>171</v>
      </c>
      <c r="H141" s="35" t="s">
        <v>6991</v>
      </c>
      <c r="I141" s="25" t="s">
        <v>6992</v>
      </c>
    </row>
    <row r="142" spans="1:9" s="11" customFormat="1" ht="90">
      <c r="A142" s="19">
        <v>43543.484027777777</v>
      </c>
      <c r="B142" s="20" t="s">
        <v>15296</v>
      </c>
      <c r="C142" s="21" t="s">
        <v>6989</v>
      </c>
      <c r="D142" s="22" t="s">
        <v>7163</v>
      </c>
      <c r="E142" s="23" t="s">
        <v>13120</v>
      </c>
      <c r="F142" s="19">
        <v>41985.199641203704</v>
      </c>
      <c r="G142" s="24" t="s">
        <v>171</v>
      </c>
      <c r="H142" s="35" t="s">
        <v>6991</v>
      </c>
      <c r="I142" s="25" t="s">
        <v>6992</v>
      </c>
    </row>
    <row r="143" spans="1:9" s="11" customFormat="1" ht="90">
      <c r="A143" s="19">
        <v>43543.356249999997</v>
      </c>
      <c r="B143" s="20" t="s">
        <v>15296</v>
      </c>
      <c r="C143" s="21" t="s">
        <v>6989</v>
      </c>
      <c r="D143" s="22" t="s">
        <v>7163</v>
      </c>
      <c r="E143" s="23" t="s">
        <v>13120</v>
      </c>
      <c r="F143" s="19">
        <v>41985.199641203704</v>
      </c>
      <c r="G143" s="24" t="s">
        <v>171</v>
      </c>
      <c r="H143" s="35" t="s">
        <v>6991</v>
      </c>
      <c r="I143" s="25" t="s">
        <v>6992</v>
      </c>
    </row>
    <row r="144" spans="1:9" s="11" customFormat="1" ht="90">
      <c r="A144" s="19">
        <v>43543.327083333337</v>
      </c>
      <c r="B144" s="20" t="s">
        <v>15296</v>
      </c>
      <c r="C144" s="21" t="s">
        <v>6989</v>
      </c>
      <c r="D144" s="22" t="s">
        <v>6990</v>
      </c>
      <c r="E144" s="23" t="s">
        <v>13120</v>
      </c>
      <c r="F144" s="19">
        <v>41985.199641203704</v>
      </c>
      <c r="G144" s="24" t="s">
        <v>171</v>
      </c>
      <c r="H144" s="35" t="s">
        <v>6991</v>
      </c>
      <c r="I144" s="25" t="s">
        <v>6992</v>
      </c>
    </row>
    <row r="145" spans="1:9" s="11" customFormat="1" ht="90">
      <c r="A145" s="19">
        <v>43542.989583333328</v>
      </c>
      <c r="B145" s="20" t="s">
        <v>15296</v>
      </c>
      <c r="C145" s="21" t="s">
        <v>6989</v>
      </c>
      <c r="D145" s="22" t="s">
        <v>7460</v>
      </c>
      <c r="E145" s="23" t="s">
        <v>13120</v>
      </c>
      <c r="F145" s="19">
        <v>41985.199641203704</v>
      </c>
      <c r="G145" s="24" t="s">
        <v>171</v>
      </c>
      <c r="H145" s="35" t="s">
        <v>6991</v>
      </c>
      <c r="I145" s="25" t="s">
        <v>6992</v>
      </c>
    </row>
    <row r="146" spans="1:9" s="11" customFormat="1" ht="90">
      <c r="A146" s="19">
        <v>43542.829861111109</v>
      </c>
      <c r="B146" s="20" t="s">
        <v>15296</v>
      </c>
      <c r="C146" s="21" t="s">
        <v>6989</v>
      </c>
      <c r="D146" s="22" t="s">
        <v>6990</v>
      </c>
      <c r="E146" s="23" t="s">
        <v>13120</v>
      </c>
      <c r="F146" s="19">
        <v>41985.199641203704</v>
      </c>
      <c r="G146" s="24" t="s">
        <v>171</v>
      </c>
      <c r="H146" s="35" t="s">
        <v>6991</v>
      </c>
      <c r="I146" s="25" t="s">
        <v>6992</v>
      </c>
    </row>
    <row r="147" spans="1:9" s="11" customFormat="1" ht="90">
      <c r="A147" s="19">
        <v>43542.484027777777</v>
      </c>
      <c r="B147" s="20" t="s">
        <v>15296</v>
      </c>
      <c r="C147" s="21" t="s">
        <v>6989</v>
      </c>
      <c r="D147" s="22" t="s">
        <v>7163</v>
      </c>
      <c r="E147" s="23" t="s">
        <v>13120</v>
      </c>
      <c r="F147" s="19">
        <v>41985.199641203704</v>
      </c>
      <c r="G147" s="24" t="s">
        <v>171</v>
      </c>
      <c r="H147" s="35" t="s">
        <v>6991</v>
      </c>
      <c r="I147" s="25" t="s">
        <v>6992</v>
      </c>
    </row>
    <row r="148" spans="1:9" s="11" customFormat="1" ht="90">
      <c r="A148" s="4">
        <v>43561.444444444445</v>
      </c>
      <c r="B148" s="5" t="s">
        <v>15296</v>
      </c>
      <c r="C148" s="6" t="s">
        <v>6989</v>
      </c>
      <c r="D148" s="7" t="s">
        <v>7163</v>
      </c>
      <c r="E148" s="8" t="s">
        <v>13120</v>
      </c>
      <c r="F148" s="4">
        <v>41985.199641203704</v>
      </c>
      <c r="G148" s="24" t="s">
        <v>171</v>
      </c>
      <c r="H148" s="35" t="s">
        <v>6991</v>
      </c>
      <c r="I148" s="10" t="s">
        <v>6992</v>
      </c>
    </row>
    <row r="149" spans="1:9" s="11" customFormat="1" ht="90">
      <c r="A149" s="4">
        <v>43561.316666666666</v>
      </c>
      <c r="B149" s="5" t="s">
        <v>15296</v>
      </c>
      <c r="C149" s="6" t="s">
        <v>6989</v>
      </c>
      <c r="D149" s="7" t="s">
        <v>7163</v>
      </c>
      <c r="E149" s="8" t="s">
        <v>13120</v>
      </c>
      <c r="F149" s="4">
        <v>41985.199641203704</v>
      </c>
      <c r="G149" s="24" t="s">
        <v>171</v>
      </c>
      <c r="H149" s="35" t="s">
        <v>6991</v>
      </c>
      <c r="I149" s="10" t="s">
        <v>6992</v>
      </c>
    </row>
    <row r="150" spans="1:9" s="11" customFormat="1" ht="90">
      <c r="A150" s="4">
        <v>43561.287499999999</v>
      </c>
      <c r="B150" s="5" t="s">
        <v>15296</v>
      </c>
      <c r="C150" s="6" t="s">
        <v>6989</v>
      </c>
      <c r="D150" s="7" t="s">
        <v>6990</v>
      </c>
      <c r="E150" s="8" t="s">
        <v>13120</v>
      </c>
      <c r="F150" s="4">
        <v>41985.199641203704</v>
      </c>
      <c r="G150" s="24" t="s">
        <v>171</v>
      </c>
      <c r="H150" s="35" t="s">
        <v>6991</v>
      </c>
      <c r="I150" s="10" t="s">
        <v>6992</v>
      </c>
    </row>
    <row r="151" spans="1:9" s="11" customFormat="1" ht="90">
      <c r="A151" s="4">
        <v>43560.94930555555</v>
      </c>
      <c r="B151" s="5" t="s">
        <v>15296</v>
      </c>
      <c r="C151" s="6" t="s">
        <v>6989</v>
      </c>
      <c r="D151" s="7" t="s">
        <v>7460</v>
      </c>
      <c r="E151" s="8" t="s">
        <v>13120</v>
      </c>
      <c r="F151" s="4">
        <v>41985.199641203704</v>
      </c>
      <c r="G151" s="24" t="s">
        <v>171</v>
      </c>
      <c r="H151" s="35" t="s">
        <v>6991</v>
      </c>
      <c r="I151" s="10" t="s">
        <v>6992</v>
      </c>
    </row>
    <row r="152" spans="1:9" s="11" customFormat="1" ht="90">
      <c r="A152" s="4">
        <v>43560.790277777778</v>
      </c>
      <c r="B152" s="5" t="s">
        <v>15296</v>
      </c>
      <c r="C152" s="6" t="s">
        <v>6989</v>
      </c>
      <c r="D152" s="7" t="s">
        <v>6990</v>
      </c>
      <c r="E152" s="8" t="s">
        <v>13120</v>
      </c>
      <c r="F152" s="4">
        <v>41985.199641203704</v>
      </c>
      <c r="G152" s="24" t="s">
        <v>171</v>
      </c>
      <c r="H152" s="35" t="s">
        <v>6991</v>
      </c>
      <c r="I152" s="10" t="s">
        <v>6992</v>
      </c>
    </row>
    <row r="153" spans="1:9" s="11" customFormat="1" ht="90">
      <c r="A153" s="4">
        <v>43560.444444444445</v>
      </c>
      <c r="B153" s="5" t="s">
        <v>15296</v>
      </c>
      <c r="C153" s="6" t="s">
        <v>6989</v>
      </c>
      <c r="D153" s="7" t="s">
        <v>7163</v>
      </c>
      <c r="E153" s="8" t="s">
        <v>13120</v>
      </c>
      <c r="F153" s="4">
        <v>41985.199641203704</v>
      </c>
      <c r="G153" s="24" t="s">
        <v>171</v>
      </c>
      <c r="H153" s="35" t="s">
        <v>6991</v>
      </c>
      <c r="I153" s="10" t="s">
        <v>6992</v>
      </c>
    </row>
    <row r="154" spans="1:9" s="11" customFormat="1" ht="90">
      <c r="A154" s="4">
        <v>43560.315972222219</v>
      </c>
      <c r="B154" s="5" t="s">
        <v>15296</v>
      </c>
      <c r="C154" s="6" t="s">
        <v>6989</v>
      </c>
      <c r="D154" s="7" t="s">
        <v>7163</v>
      </c>
      <c r="E154" s="8" t="s">
        <v>13120</v>
      </c>
      <c r="F154" s="4">
        <v>41985.199641203704</v>
      </c>
      <c r="G154" s="24" t="s">
        <v>171</v>
      </c>
      <c r="H154" s="35" t="s">
        <v>6991</v>
      </c>
      <c r="I154" s="10" t="s">
        <v>6992</v>
      </c>
    </row>
    <row r="155" spans="1:9" s="11" customFormat="1" ht="90">
      <c r="A155" s="4">
        <v>43560.287499999999</v>
      </c>
      <c r="B155" s="5" t="s">
        <v>15296</v>
      </c>
      <c r="C155" s="6" t="s">
        <v>6989</v>
      </c>
      <c r="D155" s="7" t="s">
        <v>6990</v>
      </c>
      <c r="E155" s="8" t="s">
        <v>13120</v>
      </c>
      <c r="F155" s="4">
        <v>41985.199641203704</v>
      </c>
      <c r="G155" s="24" t="s">
        <v>171</v>
      </c>
      <c r="H155" s="35" t="s">
        <v>6991</v>
      </c>
      <c r="I155" s="10" t="s">
        <v>6992</v>
      </c>
    </row>
    <row r="156" spans="1:9" s="11" customFormat="1" ht="90">
      <c r="A156" s="4">
        <v>43559.94930555555</v>
      </c>
      <c r="B156" s="5" t="s">
        <v>15296</v>
      </c>
      <c r="C156" s="6" t="s">
        <v>6989</v>
      </c>
      <c r="D156" s="7" t="s">
        <v>7460</v>
      </c>
      <c r="E156" s="8" t="s">
        <v>13120</v>
      </c>
      <c r="F156" s="4">
        <v>41985.199641203704</v>
      </c>
      <c r="G156" s="24" t="s">
        <v>171</v>
      </c>
      <c r="H156" s="35" t="s">
        <v>6991</v>
      </c>
      <c r="I156" s="10" t="s">
        <v>6992</v>
      </c>
    </row>
    <row r="157" spans="1:9" s="11" customFormat="1" ht="90">
      <c r="A157" s="4">
        <v>43559.789583333331</v>
      </c>
      <c r="B157" s="5" t="s">
        <v>15296</v>
      </c>
      <c r="C157" s="6" t="s">
        <v>6989</v>
      </c>
      <c r="D157" s="7" t="s">
        <v>6990</v>
      </c>
      <c r="E157" s="8" t="s">
        <v>13120</v>
      </c>
      <c r="F157" s="4">
        <v>41985.199641203704</v>
      </c>
      <c r="G157" s="24" t="s">
        <v>171</v>
      </c>
      <c r="H157" s="35" t="s">
        <v>6991</v>
      </c>
      <c r="I157" s="10" t="s">
        <v>6992</v>
      </c>
    </row>
    <row r="158" spans="1:9" s="11" customFormat="1" ht="90">
      <c r="A158" s="4">
        <v>43559.444444444445</v>
      </c>
      <c r="B158" s="5" t="s">
        <v>15296</v>
      </c>
      <c r="C158" s="6" t="s">
        <v>6989</v>
      </c>
      <c r="D158" s="7" t="s">
        <v>7163</v>
      </c>
      <c r="E158" s="8" t="s">
        <v>13120</v>
      </c>
      <c r="F158" s="4">
        <v>41985.199641203704</v>
      </c>
      <c r="G158" s="24" t="s">
        <v>171</v>
      </c>
      <c r="H158" s="35" t="s">
        <v>6991</v>
      </c>
      <c r="I158" s="10" t="s">
        <v>6992</v>
      </c>
    </row>
    <row r="159" spans="1:9" s="11" customFormat="1" ht="90">
      <c r="A159" s="4">
        <v>43559.315972222219</v>
      </c>
      <c r="B159" s="5" t="s">
        <v>15296</v>
      </c>
      <c r="C159" s="6" t="s">
        <v>6989</v>
      </c>
      <c r="D159" s="7" t="s">
        <v>7163</v>
      </c>
      <c r="E159" s="8" t="s">
        <v>13120</v>
      </c>
      <c r="F159" s="4">
        <v>41985.199641203704</v>
      </c>
      <c r="G159" s="24" t="s">
        <v>171</v>
      </c>
      <c r="H159" s="35" t="s">
        <v>6991</v>
      </c>
      <c r="I159" s="10" t="s">
        <v>6992</v>
      </c>
    </row>
    <row r="160" spans="1:9" s="11" customFormat="1" ht="90">
      <c r="A160" s="4">
        <v>43559.287499999999</v>
      </c>
      <c r="B160" s="5" t="s">
        <v>15296</v>
      </c>
      <c r="C160" s="6" t="s">
        <v>6989</v>
      </c>
      <c r="D160" s="7" t="s">
        <v>6990</v>
      </c>
      <c r="E160" s="8" t="s">
        <v>13120</v>
      </c>
      <c r="F160" s="4">
        <v>41985.199641203704</v>
      </c>
      <c r="G160" s="24" t="s">
        <v>171</v>
      </c>
      <c r="H160" s="35" t="s">
        <v>6991</v>
      </c>
      <c r="I160" s="10" t="s">
        <v>6992</v>
      </c>
    </row>
    <row r="161" spans="1:9" s="11" customFormat="1" ht="90">
      <c r="A161" s="4">
        <v>43558.94930555555</v>
      </c>
      <c r="B161" s="5" t="s">
        <v>15296</v>
      </c>
      <c r="C161" s="6" t="s">
        <v>6989</v>
      </c>
      <c r="D161" s="7" t="s">
        <v>7460</v>
      </c>
      <c r="E161" s="8" t="s">
        <v>13120</v>
      </c>
      <c r="F161" s="4">
        <v>41985.199641203704</v>
      </c>
      <c r="G161" s="24" t="s">
        <v>171</v>
      </c>
      <c r="H161" s="35" t="s">
        <v>6991</v>
      </c>
      <c r="I161" s="10" t="s">
        <v>6992</v>
      </c>
    </row>
    <row r="162" spans="1:9" s="11" customFormat="1" ht="90">
      <c r="A162" s="4">
        <v>43558.789583333331</v>
      </c>
      <c r="B162" s="5" t="s">
        <v>15296</v>
      </c>
      <c r="C162" s="6" t="s">
        <v>6989</v>
      </c>
      <c r="D162" s="7" t="s">
        <v>6990</v>
      </c>
      <c r="E162" s="8" t="s">
        <v>13120</v>
      </c>
      <c r="F162" s="4">
        <v>41985.199641203704</v>
      </c>
      <c r="G162" s="24" t="s">
        <v>171</v>
      </c>
      <c r="H162" s="35" t="s">
        <v>6991</v>
      </c>
      <c r="I162" s="10" t="s">
        <v>6992</v>
      </c>
    </row>
    <row r="163" spans="1:9" s="11" customFormat="1" ht="90">
      <c r="A163" s="4">
        <v>43558.443749999999</v>
      </c>
      <c r="B163" s="5" t="s">
        <v>15296</v>
      </c>
      <c r="C163" s="6" t="s">
        <v>6989</v>
      </c>
      <c r="D163" s="7" t="s">
        <v>7163</v>
      </c>
      <c r="E163" s="8" t="s">
        <v>13120</v>
      </c>
      <c r="F163" s="4">
        <v>41985.199641203704</v>
      </c>
      <c r="G163" s="24" t="s">
        <v>171</v>
      </c>
      <c r="H163" s="35" t="s">
        <v>6991</v>
      </c>
      <c r="I163" s="10" t="s">
        <v>6992</v>
      </c>
    </row>
    <row r="164" spans="1:9" s="11" customFormat="1" ht="90">
      <c r="A164" s="4">
        <v>43558.315972222219</v>
      </c>
      <c r="B164" s="5" t="s">
        <v>15296</v>
      </c>
      <c r="C164" s="6" t="s">
        <v>6989</v>
      </c>
      <c r="D164" s="7" t="s">
        <v>7163</v>
      </c>
      <c r="E164" s="8" t="s">
        <v>13120</v>
      </c>
      <c r="F164" s="4">
        <v>41985.199641203704</v>
      </c>
      <c r="G164" s="24" t="s">
        <v>171</v>
      </c>
      <c r="H164" s="35" t="s">
        <v>6991</v>
      </c>
      <c r="I164" s="10" t="s">
        <v>6992</v>
      </c>
    </row>
    <row r="165" spans="1:9" s="11" customFormat="1" ht="90">
      <c r="A165" s="4">
        <v>43558.287499999999</v>
      </c>
      <c r="B165" s="5" t="s">
        <v>15296</v>
      </c>
      <c r="C165" s="6" t="s">
        <v>6989</v>
      </c>
      <c r="D165" s="7" t="s">
        <v>6990</v>
      </c>
      <c r="E165" s="8" t="s">
        <v>13120</v>
      </c>
      <c r="F165" s="4">
        <v>41985.199641203704</v>
      </c>
      <c r="G165" s="24" t="s">
        <v>171</v>
      </c>
      <c r="H165" s="35" t="s">
        <v>6991</v>
      </c>
      <c r="I165" s="10" t="s">
        <v>6992</v>
      </c>
    </row>
    <row r="166" spans="1:9" s="11" customFormat="1" ht="90">
      <c r="A166" s="4">
        <v>43557.94930555555</v>
      </c>
      <c r="B166" s="5" t="s">
        <v>15296</v>
      </c>
      <c r="C166" s="6" t="s">
        <v>6989</v>
      </c>
      <c r="D166" s="7" t="s">
        <v>7460</v>
      </c>
      <c r="E166" s="8" t="s">
        <v>13120</v>
      </c>
      <c r="F166" s="4">
        <v>41985.199641203704</v>
      </c>
      <c r="G166" s="24" t="s">
        <v>171</v>
      </c>
      <c r="H166" s="35" t="s">
        <v>6991</v>
      </c>
      <c r="I166" s="10" t="s">
        <v>6992</v>
      </c>
    </row>
    <row r="167" spans="1:9" s="11" customFormat="1" ht="90">
      <c r="A167" s="4">
        <v>43557.789583333331</v>
      </c>
      <c r="B167" s="5" t="s">
        <v>15296</v>
      </c>
      <c r="C167" s="6" t="s">
        <v>6989</v>
      </c>
      <c r="D167" s="7" t="s">
        <v>6990</v>
      </c>
      <c r="E167" s="8" t="s">
        <v>13120</v>
      </c>
      <c r="F167" s="4">
        <v>41985.199641203704</v>
      </c>
      <c r="G167" s="24" t="s">
        <v>171</v>
      </c>
      <c r="H167" s="35" t="s">
        <v>6991</v>
      </c>
      <c r="I167" s="10" t="s">
        <v>6992</v>
      </c>
    </row>
    <row r="168" spans="1:9" s="11" customFormat="1" ht="90">
      <c r="A168" s="4">
        <v>43557.443749999999</v>
      </c>
      <c r="B168" s="5" t="s">
        <v>15296</v>
      </c>
      <c r="C168" s="6" t="s">
        <v>6989</v>
      </c>
      <c r="D168" s="7" t="s">
        <v>7163</v>
      </c>
      <c r="E168" s="8" t="s">
        <v>13120</v>
      </c>
      <c r="F168" s="4">
        <v>41985.199641203704</v>
      </c>
      <c r="G168" s="24" t="s">
        <v>171</v>
      </c>
      <c r="H168" s="35" t="s">
        <v>6991</v>
      </c>
      <c r="I168" s="10" t="s">
        <v>6992</v>
      </c>
    </row>
    <row r="169" spans="1:9" s="11" customFormat="1" ht="90">
      <c r="A169" s="4">
        <v>43557.315972222219</v>
      </c>
      <c r="B169" s="5" t="s">
        <v>15296</v>
      </c>
      <c r="C169" s="6" t="s">
        <v>6989</v>
      </c>
      <c r="D169" s="7" t="s">
        <v>7163</v>
      </c>
      <c r="E169" s="8" t="s">
        <v>13120</v>
      </c>
      <c r="F169" s="4">
        <v>41985.199641203704</v>
      </c>
      <c r="G169" s="24" t="s">
        <v>171</v>
      </c>
      <c r="H169" s="35" t="s">
        <v>6991</v>
      </c>
      <c r="I169" s="10" t="s">
        <v>6992</v>
      </c>
    </row>
    <row r="170" spans="1:9" s="11" customFormat="1" ht="90">
      <c r="A170" s="4">
        <v>43557.286805555559</v>
      </c>
      <c r="B170" s="5" t="s">
        <v>15296</v>
      </c>
      <c r="C170" s="6" t="s">
        <v>6989</v>
      </c>
      <c r="D170" s="7" t="s">
        <v>6990</v>
      </c>
      <c r="E170" s="8" t="s">
        <v>13120</v>
      </c>
      <c r="F170" s="4">
        <v>41985.199641203704</v>
      </c>
      <c r="G170" s="24" t="s">
        <v>171</v>
      </c>
      <c r="H170" s="35" t="s">
        <v>6991</v>
      </c>
      <c r="I170" s="10" t="s">
        <v>6992</v>
      </c>
    </row>
    <row r="171" spans="1:9" s="11" customFormat="1" ht="90">
      <c r="A171" s="4">
        <v>43556.94930555555</v>
      </c>
      <c r="B171" s="5" t="s">
        <v>15296</v>
      </c>
      <c r="C171" s="6" t="s">
        <v>6989</v>
      </c>
      <c r="D171" s="7" t="s">
        <v>7460</v>
      </c>
      <c r="E171" s="8" t="s">
        <v>13120</v>
      </c>
      <c r="F171" s="4">
        <v>41985.199641203704</v>
      </c>
      <c r="G171" s="24" t="s">
        <v>171</v>
      </c>
      <c r="H171" s="35" t="s">
        <v>6991</v>
      </c>
      <c r="I171" s="10" t="s">
        <v>6992</v>
      </c>
    </row>
    <row r="172" spans="1:9" s="11" customFormat="1" ht="90">
      <c r="A172" s="4">
        <v>43556.789583333331</v>
      </c>
      <c r="B172" s="5" t="s">
        <v>15296</v>
      </c>
      <c r="C172" s="6" t="s">
        <v>6989</v>
      </c>
      <c r="D172" s="7" t="s">
        <v>6990</v>
      </c>
      <c r="E172" s="8" t="s">
        <v>13120</v>
      </c>
      <c r="F172" s="4">
        <v>41985.199641203704</v>
      </c>
      <c r="G172" s="24" t="s">
        <v>171</v>
      </c>
      <c r="H172" s="35" t="s">
        <v>6991</v>
      </c>
      <c r="I172" s="10" t="s">
        <v>6992</v>
      </c>
    </row>
    <row r="173" spans="1:9" s="11" customFormat="1" ht="60">
      <c r="A173" s="19">
        <v>43548.583125000005</v>
      </c>
      <c r="B173" s="20" t="s">
        <v>15297</v>
      </c>
      <c r="C173" s="21" t="s">
        <v>8270</v>
      </c>
      <c r="D173" s="22" t="s">
        <v>8271</v>
      </c>
      <c r="E173" s="23" t="s">
        <v>13011</v>
      </c>
      <c r="F173" s="19">
        <v>43437.394456018519</v>
      </c>
      <c r="G173" s="24" t="s">
        <v>171</v>
      </c>
      <c r="H173" s="35" t="s">
        <v>8272</v>
      </c>
      <c r="I173" s="25" t="s">
        <v>8273</v>
      </c>
    </row>
    <row r="174" spans="1:9" s="11" customFormat="1" ht="120">
      <c r="A174" s="12">
        <v>43570.324467592596</v>
      </c>
      <c r="B174" s="13" t="s">
        <v>15298</v>
      </c>
      <c r="C174" s="14" t="s">
        <v>4230</v>
      </c>
      <c r="D174" s="15" t="s">
        <v>4231</v>
      </c>
      <c r="E174" s="16" t="s">
        <v>13009</v>
      </c>
      <c r="F174" s="12">
        <v>40747.487847222219</v>
      </c>
      <c r="G174" s="17" t="s">
        <v>171</v>
      </c>
      <c r="H174" s="35" t="s">
        <v>4232</v>
      </c>
      <c r="I174" s="18" t="s">
        <v>4233</v>
      </c>
    </row>
    <row r="175" spans="1:9" s="11" customFormat="1" ht="120">
      <c r="A175" s="4">
        <v>43565.182094907403</v>
      </c>
      <c r="B175" s="5" t="s">
        <v>15299</v>
      </c>
      <c r="C175" s="6" t="s">
        <v>6251</v>
      </c>
      <c r="D175" s="7" t="s">
        <v>6252</v>
      </c>
      <c r="E175" s="8" t="s">
        <v>13130</v>
      </c>
      <c r="F175" s="4">
        <v>42577.290925925925</v>
      </c>
      <c r="G175" s="17" t="s">
        <v>171</v>
      </c>
      <c r="H175" s="35" t="s">
        <v>6253</v>
      </c>
      <c r="I175" s="10" t="s">
        <v>6254</v>
      </c>
    </row>
    <row r="176" spans="1:9" s="11" customFormat="1" ht="60">
      <c r="A176" s="12">
        <v>43576.398310185185</v>
      </c>
      <c r="B176" s="13" t="s">
        <v>15300</v>
      </c>
      <c r="C176" s="14" t="s">
        <v>1959</v>
      </c>
      <c r="D176" s="15" t="s">
        <v>1960</v>
      </c>
      <c r="E176" s="16" t="s">
        <v>13009</v>
      </c>
      <c r="F176" s="12">
        <v>40523.093206018515</v>
      </c>
      <c r="G176" s="17" t="s">
        <v>171</v>
      </c>
      <c r="H176" s="35" t="s">
        <v>1961</v>
      </c>
      <c r="I176" s="18" t="s">
        <v>1962</v>
      </c>
    </row>
    <row r="177" spans="1:9" s="11" customFormat="1" ht="60">
      <c r="A177" s="4">
        <v>43558.072731481487</v>
      </c>
      <c r="B177" s="5" t="s">
        <v>15301</v>
      </c>
      <c r="C177" s="6" t="s">
        <v>12331</v>
      </c>
      <c r="D177" s="7" t="s">
        <v>12332</v>
      </c>
      <c r="E177" s="8" t="s">
        <v>13027</v>
      </c>
      <c r="F177" s="4">
        <v>42334.280590277776</v>
      </c>
      <c r="G177" s="9" t="s">
        <v>171</v>
      </c>
      <c r="H177" s="35" t="s">
        <v>12333</v>
      </c>
      <c r="I177" s="10" t="s">
        <v>12334</v>
      </c>
    </row>
    <row r="178" spans="1:9" s="11" customFormat="1" ht="120">
      <c r="A178" s="19">
        <v>43550.059039351851</v>
      </c>
      <c r="B178" s="20" t="s">
        <v>15302</v>
      </c>
      <c r="C178" s="21" t="s">
        <v>872</v>
      </c>
      <c r="D178" s="22" t="s">
        <v>873</v>
      </c>
      <c r="E178" s="23" t="s">
        <v>13034</v>
      </c>
      <c r="F178" s="19">
        <v>39742.315729166665</v>
      </c>
      <c r="G178" s="17" t="s">
        <v>171</v>
      </c>
      <c r="H178" s="35" t="s">
        <v>874</v>
      </c>
      <c r="I178" s="25" t="s">
        <v>875</v>
      </c>
    </row>
    <row r="179" spans="1:9" s="11" customFormat="1" ht="120">
      <c r="A179" s="19">
        <v>43549.446539351848</v>
      </c>
      <c r="B179" s="20" t="s">
        <v>15302</v>
      </c>
      <c r="C179" s="21" t="s">
        <v>872</v>
      </c>
      <c r="D179" s="22" t="s">
        <v>1436</v>
      </c>
      <c r="E179" s="23" t="s">
        <v>13034</v>
      </c>
      <c r="F179" s="19">
        <v>39742.315729166665</v>
      </c>
      <c r="G179" s="17" t="s">
        <v>171</v>
      </c>
      <c r="H179" s="35" t="s">
        <v>874</v>
      </c>
      <c r="I179" s="25" t="s">
        <v>875</v>
      </c>
    </row>
    <row r="180" spans="1:9" s="11" customFormat="1" ht="120">
      <c r="A180" s="19">
        <v>43547.446550925924</v>
      </c>
      <c r="B180" s="20" t="s">
        <v>15302</v>
      </c>
      <c r="C180" s="21" t="s">
        <v>872</v>
      </c>
      <c r="D180" s="22" t="s">
        <v>4174</v>
      </c>
      <c r="E180" s="23" t="s">
        <v>13034</v>
      </c>
      <c r="F180" s="19">
        <v>39742.315729166665</v>
      </c>
      <c r="G180" s="17" t="s">
        <v>171</v>
      </c>
      <c r="H180" s="35" t="s">
        <v>874</v>
      </c>
      <c r="I180" s="25" t="s">
        <v>875</v>
      </c>
    </row>
    <row r="181" spans="1:9" s="11" customFormat="1" ht="120">
      <c r="A181" s="19">
        <v>43547.303495370375</v>
      </c>
      <c r="B181" s="20" t="s">
        <v>15302</v>
      </c>
      <c r="C181" s="21" t="s">
        <v>872</v>
      </c>
      <c r="D181" s="22" t="s">
        <v>2348</v>
      </c>
      <c r="E181" s="23" t="s">
        <v>13034</v>
      </c>
      <c r="F181" s="19">
        <v>39742.315729166665</v>
      </c>
      <c r="G181" s="17" t="s">
        <v>171</v>
      </c>
      <c r="H181" s="35" t="s">
        <v>874</v>
      </c>
      <c r="I181" s="25" t="s">
        <v>875</v>
      </c>
    </row>
    <row r="182" spans="1:9" s="11" customFormat="1" ht="120">
      <c r="A182" s="19">
        <v>43547.097939814819</v>
      </c>
      <c r="B182" s="20" t="s">
        <v>15302</v>
      </c>
      <c r="C182" s="21" t="s">
        <v>872</v>
      </c>
      <c r="D182" s="22" t="s">
        <v>8650</v>
      </c>
      <c r="E182" s="23" t="s">
        <v>13034</v>
      </c>
      <c r="F182" s="19">
        <v>39742.315729166665</v>
      </c>
      <c r="G182" s="17" t="s">
        <v>171</v>
      </c>
      <c r="H182" s="35" t="s">
        <v>874</v>
      </c>
      <c r="I182" s="25" t="s">
        <v>875</v>
      </c>
    </row>
    <row r="183" spans="1:9" s="11" customFormat="1" ht="120">
      <c r="A183" s="4">
        <v>43565.017384259263</v>
      </c>
      <c r="B183" s="5" t="s">
        <v>15302</v>
      </c>
      <c r="C183" s="6" t="s">
        <v>872</v>
      </c>
      <c r="D183" s="7" t="s">
        <v>4174</v>
      </c>
      <c r="E183" s="8" t="s">
        <v>13034</v>
      </c>
      <c r="F183" s="4">
        <v>39742.315729166665</v>
      </c>
      <c r="G183" s="17" t="s">
        <v>171</v>
      </c>
      <c r="H183" s="35" t="s">
        <v>874</v>
      </c>
      <c r="I183" s="10" t="s">
        <v>875</v>
      </c>
    </row>
    <row r="184" spans="1:9" s="11" customFormat="1" ht="120">
      <c r="A184" s="4">
        <v>43564.10628472222</v>
      </c>
      <c r="B184" s="5" t="s">
        <v>15302</v>
      </c>
      <c r="C184" s="6" t="s">
        <v>872</v>
      </c>
      <c r="D184" s="7" t="s">
        <v>2380</v>
      </c>
      <c r="E184" s="8" t="s">
        <v>13034</v>
      </c>
      <c r="F184" s="4">
        <v>39742.315729166665</v>
      </c>
      <c r="G184" s="17" t="s">
        <v>171</v>
      </c>
      <c r="H184" s="35" t="s">
        <v>874</v>
      </c>
      <c r="I184" s="10" t="s">
        <v>875</v>
      </c>
    </row>
    <row r="185" spans="1:9" s="11" customFormat="1" ht="120">
      <c r="A185" s="4">
        <v>43564.006979166668</v>
      </c>
      <c r="B185" s="5" t="s">
        <v>15302</v>
      </c>
      <c r="C185" s="6" t="s">
        <v>872</v>
      </c>
      <c r="D185" s="7" t="s">
        <v>2348</v>
      </c>
      <c r="E185" s="8" t="s">
        <v>13034</v>
      </c>
      <c r="F185" s="4">
        <v>39742.315729166665</v>
      </c>
      <c r="G185" s="17" t="s">
        <v>171</v>
      </c>
      <c r="H185" s="35" t="s">
        <v>874</v>
      </c>
      <c r="I185" s="10" t="s">
        <v>875</v>
      </c>
    </row>
    <row r="186" spans="1:9" s="11" customFormat="1" ht="120">
      <c r="A186" s="4">
        <v>43562.213206018518</v>
      </c>
      <c r="B186" s="5" t="s">
        <v>15302</v>
      </c>
      <c r="C186" s="6" t="s">
        <v>872</v>
      </c>
      <c r="D186" s="7" t="s">
        <v>10724</v>
      </c>
      <c r="E186" s="8" t="s">
        <v>13034</v>
      </c>
      <c r="F186" s="4">
        <v>39742.315729166665</v>
      </c>
      <c r="G186" s="17" t="s">
        <v>171</v>
      </c>
      <c r="H186" s="35" t="s">
        <v>874</v>
      </c>
      <c r="I186" s="10" t="s">
        <v>875</v>
      </c>
    </row>
    <row r="187" spans="1:9" s="11" customFormat="1" ht="120">
      <c r="A187" s="4">
        <v>43560.404872685191</v>
      </c>
      <c r="B187" s="5" t="s">
        <v>15302</v>
      </c>
      <c r="C187" s="6" t="s">
        <v>872</v>
      </c>
      <c r="D187" s="7" t="s">
        <v>1436</v>
      </c>
      <c r="E187" s="8" t="s">
        <v>13034</v>
      </c>
      <c r="F187" s="4">
        <v>39742.315729166665</v>
      </c>
      <c r="G187" s="17" t="s">
        <v>171</v>
      </c>
      <c r="H187" s="35" t="s">
        <v>874</v>
      </c>
      <c r="I187" s="10" t="s">
        <v>875</v>
      </c>
    </row>
    <row r="188" spans="1:9" s="11" customFormat="1" ht="120">
      <c r="A188" s="4">
        <v>43560.367372685185</v>
      </c>
      <c r="B188" s="5" t="s">
        <v>15302</v>
      </c>
      <c r="C188" s="6" t="s">
        <v>872</v>
      </c>
      <c r="D188" s="7" t="s">
        <v>873</v>
      </c>
      <c r="E188" s="8" t="s">
        <v>13034</v>
      </c>
      <c r="F188" s="4">
        <v>39742.315729166665</v>
      </c>
      <c r="G188" s="17" t="s">
        <v>171</v>
      </c>
      <c r="H188" s="35" t="s">
        <v>874</v>
      </c>
      <c r="I188" s="10" t="s">
        <v>875</v>
      </c>
    </row>
    <row r="189" spans="1:9" s="11" customFormat="1" ht="120">
      <c r="A189" s="4">
        <v>43559.261817129634</v>
      </c>
      <c r="B189" s="5" t="s">
        <v>15302</v>
      </c>
      <c r="C189" s="6" t="s">
        <v>872</v>
      </c>
      <c r="D189" s="7" t="s">
        <v>11898</v>
      </c>
      <c r="E189" s="8" t="s">
        <v>13034</v>
      </c>
      <c r="F189" s="4">
        <v>39742.315729166665</v>
      </c>
      <c r="G189" s="17" t="s">
        <v>171</v>
      </c>
      <c r="H189" s="35" t="s">
        <v>874</v>
      </c>
      <c r="I189" s="10" t="s">
        <v>875</v>
      </c>
    </row>
    <row r="190" spans="1:9" s="11" customFormat="1" ht="120">
      <c r="A190" s="4">
        <v>43559.106273148151</v>
      </c>
      <c r="B190" s="5" t="s">
        <v>15302</v>
      </c>
      <c r="C190" s="6" t="s">
        <v>872</v>
      </c>
      <c r="D190" s="7" t="s">
        <v>5098</v>
      </c>
      <c r="E190" s="8" t="s">
        <v>13034</v>
      </c>
      <c r="F190" s="4">
        <v>39742.315729166665</v>
      </c>
      <c r="G190" s="17" t="s">
        <v>171</v>
      </c>
      <c r="H190" s="35" t="s">
        <v>874</v>
      </c>
      <c r="I190" s="10" t="s">
        <v>875</v>
      </c>
    </row>
    <row r="191" spans="1:9" s="11" customFormat="1" ht="120">
      <c r="A191" s="4">
        <v>43557.017372685186</v>
      </c>
      <c r="B191" s="5" t="s">
        <v>15302</v>
      </c>
      <c r="C191" s="6" t="s">
        <v>872</v>
      </c>
      <c r="D191" s="7" t="s">
        <v>1436</v>
      </c>
      <c r="E191" s="8" t="s">
        <v>13034</v>
      </c>
      <c r="F191" s="4">
        <v>39742.315729166665</v>
      </c>
      <c r="G191" s="17" t="s">
        <v>171</v>
      </c>
      <c r="H191" s="35" t="s">
        <v>874</v>
      </c>
      <c r="I191" s="10" t="s">
        <v>875</v>
      </c>
    </row>
    <row r="192" spans="1:9" s="11" customFormat="1" ht="120">
      <c r="A192" s="12">
        <v>43579.190289351856</v>
      </c>
      <c r="B192" s="13" t="s">
        <v>15302</v>
      </c>
      <c r="C192" s="14" t="s">
        <v>872</v>
      </c>
      <c r="D192" s="15" t="s">
        <v>873</v>
      </c>
      <c r="E192" s="16" t="s">
        <v>13034</v>
      </c>
      <c r="F192" s="12">
        <v>39742.315729166665</v>
      </c>
      <c r="G192" s="17" t="s">
        <v>171</v>
      </c>
      <c r="H192" s="35" t="s">
        <v>874</v>
      </c>
      <c r="I192" s="18" t="s">
        <v>875</v>
      </c>
    </row>
    <row r="193" spans="1:9" s="11" customFormat="1" ht="120">
      <c r="A193" s="12">
        <v>43578.006944444445</v>
      </c>
      <c r="B193" s="13" t="s">
        <v>15302</v>
      </c>
      <c r="C193" s="14" t="s">
        <v>872</v>
      </c>
      <c r="D193" s="15" t="s">
        <v>1436</v>
      </c>
      <c r="E193" s="16" t="s">
        <v>13034</v>
      </c>
      <c r="F193" s="12">
        <v>39742.315729166665</v>
      </c>
      <c r="G193" s="17" t="s">
        <v>171</v>
      </c>
      <c r="H193" s="35" t="s">
        <v>874</v>
      </c>
      <c r="I193" s="18" t="s">
        <v>875</v>
      </c>
    </row>
    <row r="194" spans="1:9" s="11" customFormat="1" ht="120">
      <c r="A194" s="12">
        <v>43577.213206018518</v>
      </c>
      <c r="B194" s="13" t="s">
        <v>15302</v>
      </c>
      <c r="C194" s="14" t="s">
        <v>872</v>
      </c>
      <c r="D194" s="15" t="s">
        <v>1703</v>
      </c>
      <c r="E194" s="16" t="s">
        <v>13034</v>
      </c>
      <c r="F194" s="12">
        <v>39742.315729166665</v>
      </c>
      <c r="G194" s="17" t="s">
        <v>171</v>
      </c>
      <c r="H194" s="35" t="s">
        <v>874</v>
      </c>
      <c r="I194" s="18" t="s">
        <v>875</v>
      </c>
    </row>
    <row r="195" spans="1:9" s="11" customFormat="1" ht="120">
      <c r="A195" s="12">
        <v>43577.100358796291</v>
      </c>
      <c r="B195" s="13" t="s">
        <v>15302</v>
      </c>
      <c r="C195" s="14" t="s">
        <v>872</v>
      </c>
      <c r="D195" s="15" t="s">
        <v>1758</v>
      </c>
      <c r="E195" s="16" t="s">
        <v>13034</v>
      </c>
      <c r="F195" s="12">
        <v>39742.315729166665</v>
      </c>
      <c r="G195" s="17" t="s">
        <v>171</v>
      </c>
      <c r="H195" s="35" t="s">
        <v>874</v>
      </c>
      <c r="I195" s="18" t="s">
        <v>875</v>
      </c>
    </row>
    <row r="196" spans="1:9" s="11" customFormat="1" ht="120">
      <c r="A196" s="12">
        <v>43575.190289351856</v>
      </c>
      <c r="B196" s="13" t="s">
        <v>15302</v>
      </c>
      <c r="C196" s="14" t="s">
        <v>872</v>
      </c>
      <c r="D196" s="15" t="s">
        <v>2348</v>
      </c>
      <c r="E196" s="16" t="s">
        <v>13034</v>
      </c>
      <c r="F196" s="12">
        <v>39742.315729166665</v>
      </c>
      <c r="G196" s="17" t="s">
        <v>171</v>
      </c>
      <c r="H196" s="35" t="s">
        <v>874</v>
      </c>
      <c r="I196" s="18" t="s">
        <v>875</v>
      </c>
    </row>
    <row r="197" spans="1:9" s="11" customFormat="1" ht="120">
      <c r="A197" s="12">
        <v>43575.056261574078</v>
      </c>
      <c r="B197" s="13" t="s">
        <v>15302</v>
      </c>
      <c r="C197" s="14" t="s">
        <v>872</v>
      </c>
      <c r="D197" s="15" t="s">
        <v>2380</v>
      </c>
      <c r="E197" s="16" t="s">
        <v>13034</v>
      </c>
      <c r="F197" s="12">
        <v>39742.315729166665</v>
      </c>
      <c r="G197" s="17" t="s">
        <v>171</v>
      </c>
      <c r="H197" s="35" t="s">
        <v>874</v>
      </c>
      <c r="I197" s="18" t="s">
        <v>875</v>
      </c>
    </row>
    <row r="198" spans="1:9" s="11" customFormat="1" ht="120">
      <c r="A198" s="12">
        <v>43574.213206018518</v>
      </c>
      <c r="B198" s="13" t="s">
        <v>15302</v>
      </c>
      <c r="C198" s="14" t="s">
        <v>872</v>
      </c>
      <c r="D198" s="15" t="s">
        <v>2652</v>
      </c>
      <c r="E198" s="16" t="s">
        <v>13034</v>
      </c>
      <c r="F198" s="12">
        <v>39742.315729166665</v>
      </c>
      <c r="G198" s="17" t="s">
        <v>171</v>
      </c>
      <c r="H198" s="35" t="s">
        <v>874</v>
      </c>
      <c r="I198" s="18" t="s">
        <v>875</v>
      </c>
    </row>
    <row r="199" spans="1:9" s="11" customFormat="1" ht="120">
      <c r="A199" s="12">
        <v>43573.213206018518</v>
      </c>
      <c r="B199" s="13" t="s">
        <v>15302</v>
      </c>
      <c r="C199" s="14" t="s">
        <v>872</v>
      </c>
      <c r="D199" s="15" t="s">
        <v>1436</v>
      </c>
      <c r="E199" s="16" t="s">
        <v>13034</v>
      </c>
      <c r="F199" s="12">
        <v>39742.315729166665</v>
      </c>
      <c r="G199" s="17" t="s">
        <v>171</v>
      </c>
      <c r="H199" s="35" t="s">
        <v>874</v>
      </c>
      <c r="I199" s="18" t="s">
        <v>875</v>
      </c>
    </row>
    <row r="200" spans="1:9" s="11" customFormat="1" ht="120">
      <c r="A200" s="12">
        <v>43573.190289351856</v>
      </c>
      <c r="B200" s="13" t="s">
        <v>15302</v>
      </c>
      <c r="C200" s="14" t="s">
        <v>872</v>
      </c>
      <c r="D200" s="15" t="s">
        <v>873</v>
      </c>
      <c r="E200" s="16" t="s">
        <v>13034</v>
      </c>
      <c r="F200" s="12">
        <v>39742.315729166665</v>
      </c>
      <c r="G200" s="17" t="s">
        <v>171</v>
      </c>
      <c r="H200" s="35" t="s">
        <v>874</v>
      </c>
      <c r="I200" s="18" t="s">
        <v>875</v>
      </c>
    </row>
    <row r="201" spans="1:9" s="11" customFormat="1" ht="120">
      <c r="A201" s="12">
        <v>43573.106261574074</v>
      </c>
      <c r="B201" s="13" t="s">
        <v>15302</v>
      </c>
      <c r="C201" s="14" t="s">
        <v>872</v>
      </c>
      <c r="D201" s="15" t="s">
        <v>3005</v>
      </c>
      <c r="E201" s="16" t="s">
        <v>13034</v>
      </c>
      <c r="F201" s="12">
        <v>39742.315729166665</v>
      </c>
      <c r="G201" s="17" t="s">
        <v>171</v>
      </c>
      <c r="H201" s="35" t="s">
        <v>874</v>
      </c>
      <c r="I201" s="18" t="s">
        <v>875</v>
      </c>
    </row>
    <row r="202" spans="1:9" s="11" customFormat="1" ht="120">
      <c r="A202" s="12">
        <v>43572.113217592589</v>
      </c>
      <c r="B202" s="13" t="s">
        <v>15302</v>
      </c>
      <c r="C202" s="14" t="s">
        <v>872</v>
      </c>
      <c r="D202" s="15" t="s">
        <v>3425</v>
      </c>
      <c r="E202" s="16" t="s">
        <v>13034</v>
      </c>
      <c r="F202" s="12">
        <v>39742.315729166665</v>
      </c>
      <c r="G202" s="17" t="s">
        <v>171</v>
      </c>
      <c r="H202" s="35" t="s">
        <v>874</v>
      </c>
      <c r="I202" s="18" t="s">
        <v>875</v>
      </c>
    </row>
    <row r="203" spans="1:9" s="11" customFormat="1" ht="120">
      <c r="A203" s="12">
        <v>43570.40489583333</v>
      </c>
      <c r="B203" s="13" t="s">
        <v>15302</v>
      </c>
      <c r="C203" s="14" t="s">
        <v>872</v>
      </c>
      <c r="D203" s="15" t="s">
        <v>4174</v>
      </c>
      <c r="E203" s="16" t="s">
        <v>13034</v>
      </c>
      <c r="F203" s="12">
        <v>39742.315729166665</v>
      </c>
      <c r="G203" s="17" t="s">
        <v>171</v>
      </c>
      <c r="H203" s="35" t="s">
        <v>874</v>
      </c>
      <c r="I203" s="18" t="s">
        <v>875</v>
      </c>
    </row>
    <row r="204" spans="1:9" s="11" customFormat="1" ht="120">
      <c r="A204" s="12">
        <v>43570.367384259254</v>
      </c>
      <c r="B204" s="13" t="s">
        <v>15302</v>
      </c>
      <c r="C204" s="14" t="s">
        <v>872</v>
      </c>
      <c r="D204" s="15" t="s">
        <v>2348</v>
      </c>
      <c r="E204" s="16" t="s">
        <v>13034</v>
      </c>
      <c r="F204" s="12">
        <v>39742.315729166665</v>
      </c>
      <c r="G204" s="17" t="s">
        <v>171</v>
      </c>
      <c r="H204" s="35" t="s">
        <v>874</v>
      </c>
      <c r="I204" s="18" t="s">
        <v>875</v>
      </c>
    </row>
    <row r="205" spans="1:9" s="11" customFormat="1" ht="120">
      <c r="A205" s="12">
        <v>43570.190300925926</v>
      </c>
      <c r="B205" s="13" t="s">
        <v>15302</v>
      </c>
      <c r="C205" s="14" t="s">
        <v>872</v>
      </c>
      <c r="D205" s="15" t="s">
        <v>4301</v>
      </c>
      <c r="E205" s="16" t="s">
        <v>13034</v>
      </c>
      <c r="F205" s="12">
        <v>39742.315729166665</v>
      </c>
      <c r="G205" s="17" t="s">
        <v>171</v>
      </c>
      <c r="H205" s="35" t="s">
        <v>874</v>
      </c>
      <c r="I205" s="18" t="s">
        <v>875</v>
      </c>
    </row>
    <row r="206" spans="1:9" s="11" customFormat="1" ht="120">
      <c r="A206" s="12">
        <v>43569.190300925926</v>
      </c>
      <c r="B206" s="13" t="s">
        <v>15302</v>
      </c>
      <c r="C206" s="14" t="s">
        <v>872</v>
      </c>
      <c r="D206" s="15" t="s">
        <v>1436</v>
      </c>
      <c r="E206" s="16" t="s">
        <v>13034</v>
      </c>
      <c r="F206" s="12">
        <v>39742.315729166665</v>
      </c>
      <c r="G206" s="17" t="s">
        <v>171</v>
      </c>
      <c r="H206" s="35" t="s">
        <v>874</v>
      </c>
      <c r="I206" s="18" t="s">
        <v>875</v>
      </c>
    </row>
    <row r="207" spans="1:9" s="11" customFormat="1" ht="120">
      <c r="A207" s="12">
        <v>43569.017372685186</v>
      </c>
      <c r="B207" s="13" t="s">
        <v>15302</v>
      </c>
      <c r="C207" s="14" t="s">
        <v>872</v>
      </c>
      <c r="D207" s="15" t="s">
        <v>873</v>
      </c>
      <c r="E207" s="16" t="s">
        <v>13034</v>
      </c>
      <c r="F207" s="12">
        <v>39742.315729166665</v>
      </c>
      <c r="G207" s="17" t="s">
        <v>171</v>
      </c>
      <c r="H207" s="35" t="s">
        <v>874</v>
      </c>
      <c r="I207" s="18" t="s">
        <v>875</v>
      </c>
    </row>
    <row r="208" spans="1:9" s="11" customFormat="1" ht="120">
      <c r="A208" s="12">
        <v>43567.481261574074</v>
      </c>
      <c r="B208" s="13" t="s">
        <v>15302</v>
      </c>
      <c r="C208" s="14" t="s">
        <v>872</v>
      </c>
      <c r="D208" s="15" t="s">
        <v>5098</v>
      </c>
      <c r="E208" s="16" t="s">
        <v>13034</v>
      </c>
      <c r="F208" s="12">
        <v>39742.315729166665</v>
      </c>
      <c r="G208" s="17" t="s">
        <v>171</v>
      </c>
      <c r="H208" s="35" t="s">
        <v>874</v>
      </c>
      <c r="I208" s="18" t="s">
        <v>875</v>
      </c>
    </row>
    <row r="209" spans="1:9" s="11" customFormat="1" ht="120">
      <c r="A209" s="12">
        <v>43566.367384259254</v>
      </c>
      <c r="B209" s="13" t="s">
        <v>15302</v>
      </c>
      <c r="C209" s="14" t="s">
        <v>872</v>
      </c>
      <c r="D209" s="15" t="s">
        <v>873</v>
      </c>
      <c r="E209" s="16" t="s">
        <v>13034</v>
      </c>
      <c r="F209" s="12">
        <v>39742.315729166665</v>
      </c>
      <c r="G209" s="17" t="s">
        <v>171</v>
      </c>
      <c r="H209" s="35" t="s">
        <v>874</v>
      </c>
      <c r="I209" s="18" t="s">
        <v>875</v>
      </c>
    </row>
    <row r="210" spans="1:9" s="11" customFormat="1" ht="120">
      <c r="A210" s="12">
        <v>43566.261817129634</v>
      </c>
      <c r="B210" s="13" t="s">
        <v>15302</v>
      </c>
      <c r="C210" s="14" t="s">
        <v>872</v>
      </c>
      <c r="D210" s="15" t="s">
        <v>1436</v>
      </c>
      <c r="E210" s="16" t="s">
        <v>13034</v>
      </c>
      <c r="F210" s="12">
        <v>39742.315729166665</v>
      </c>
      <c r="G210" s="17" t="s">
        <v>171</v>
      </c>
      <c r="H210" s="35" t="s">
        <v>874</v>
      </c>
      <c r="I210" s="18" t="s">
        <v>875</v>
      </c>
    </row>
    <row r="211" spans="1:9" s="11" customFormat="1" ht="135">
      <c r="A211" s="19">
        <v>43551.07644675926</v>
      </c>
      <c r="B211" s="20" t="s">
        <v>15303</v>
      </c>
      <c r="C211" s="21" t="s">
        <v>7445</v>
      </c>
      <c r="D211" s="22" t="s">
        <v>7446</v>
      </c>
      <c r="E211" s="23" t="s">
        <v>13009</v>
      </c>
      <c r="F211" s="19">
        <v>40195.996099537035</v>
      </c>
      <c r="G211" s="24" t="s">
        <v>171</v>
      </c>
      <c r="H211" s="35" t="s">
        <v>7447</v>
      </c>
      <c r="I211" s="25" t="s">
        <v>7448</v>
      </c>
    </row>
    <row r="212" spans="1:9" s="11" customFormat="1" ht="120">
      <c r="A212" s="12">
        <v>43579.438599537039</v>
      </c>
      <c r="B212" s="13" t="s">
        <v>15304</v>
      </c>
      <c r="C212" s="14" t="s">
        <v>666</v>
      </c>
      <c r="D212" s="15" t="s">
        <v>667</v>
      </c>
      <c r="E212" s="16" t="s">
        <v>13032</v>
      </c>
      <c r="F212" s="12">
        <v>40302.427928240737</v>
      </c>
      <c r="G212" s="17" t="s">
        <v>171</v>
      </c>
      <c r="H212" s="35" t="s">
        <v>668</v>
      </c>
      <c r="I212" s="18" t="s">
        <v>669</v>
      </c>
    </row>
    <row r="213" spans="1:9" s="11" customFormat="1" ht="120">
      <c r="A213" s="19">
        <v>43550.299745370372</v>
      </c>
      <c r="B213" s="20" t="s">
        <v>15305</v>
      </c>
      <c r="C213" s="21" t="s">
        <v>7735</v>
      </c>
      <c r="D213" s="22" t="s">
        <v>7736</v>
      </c>
      <c r="E213" s="23" t="s">
        <v>13011</v>
      </c>
      <c r="F213" s="19">
        <v>39613.144976851851</v>
      </c>
      <c r="G213" s="17" t="s">
        <v>171</v>
      </c>
      <c r="H213" s="35" t="s">
        <v>7737</v>
      </c>
      <c r="I213" s="25" t="s">
        <v>7738</v>
      </c>
    </row>
    <row r="214" spans="1:9" s="11" customFormat="1" ht="75">
      <c r="A214" s="12">
        <v>43566.134895833333</v>
      </c>
      <c r="B214" s="13" t="s">
        <v>15306</v>
      </c>
      <c r="C214" s="14" t="s">
        <v>5771</v>
      </c>
      <c r="D214" s="15" t="s">
        <v>5772</v>
      </c>
      <c r="E214" s="16" t="s">
        <v>13032</v>
      </c>
      <c r="F214" s="12">
        <v>40881.10319444444</v>
      </c>
      <c r="G214" s="17" t="s">
        <v>171</v>
      </c>
      <c r="H214" s="35" t="s">
        <v>5773</v>
      </c>
      <c r="I214" s="18" t="s">
        <v>5774</v>
      </c>
    </row>
    <row r="215" spans="1:9" s="11" customFormat="1" ht="120">
      <c r="A215" s="19">
        <v>43545.259745370371</v>
      </c>
      <c r="B215" s="20" t="s">
        <v>15307</v>
      </c>
      <c r="C215" s="21" t="s">
        <v>9230</v>
      </c>
      <c r="D215" s="22" t="s">
        <v>9231</v>
      </c>
      <c r="E215" s="23" t="s">
        <v>13034</v>
      </c>
      <c r="F215" s="19">
        <v>41539.710486111115</v>
      </c>
      <c r="G215" s="24" t="s">
        <v>171</v>
      </c>
      <c r="H215" s="35" t="s">
        <v>9232</v>
      </c>
      <c r="I215" s="25" t="s">
        <v>9233</v>
      </c>
    </row>
    <row r="216" spans="1:9" s="11" customFormat="1" ht="150">
      <c r="A216" s="12">
        <v>43568.042766203704</v>
      </c>
      <c r="B216" s="13" t="s">
        <v>15308</v>
      </c>
      <c r="C216" s="14" t="s">
        <v>4890</v>
      </c>
      <c r="D216" s="15" t="s">
        <v>4891</v>
      </c>
      <c r="E216" s="16" t="s">
        <v>13011</v>
      </c>
      <c r="F216" s="12">
        <v>41022.007349537038</v>
      </c>
      <c r="G216" s="24" t="s">
        <v>171</v>
      </c>
      <c r="H216" s="35" t="s">
        <v>4892</v>
      </c>
      <c r="I216" s="18" t="s">
        <v>4893</v>
      </c>
    </row>
    <row r="217" spans="1:9" s="11" customFormat="1" ht="90">
      <c r="A217" s="12">
        <v>43578.118576388893</v>
      </c>
      <c r="B217" s="13" t="s">
        <v>15309</v>
      </c>
      <c r="C217" s="14" t="s">
        <v>1390</v>
      </c>
      <c r="D217" s="15" t="s">
        <v>1391</v>
      </c>
      <c r="E217" s="16" t="s">
        <v>13011</v>
      </c>
      <c r="F217" s="12">
        <v>43067.485324074078</v>
      </c>
      <c r="G217" s="24" t="s">
        <v>171</v>
      </c>
      <c r="H217" s="35" t="s">
        <v>1392</v>
      </c>
      <c r="I217" s="18" t="s">
        <v>1393</v>
      </c>
    </row>
    <row r="218" spans="1:9" s="11" customFormat="1" ht="120">
      <c r="A218" s="12">
        <v>43566.094259259262</v>
      </c>
      <c r="B218" s="13" t="s">
        <v>15310</v>
      </c>
      <c r="C218" s="14" t="s">
        <v>5799</v>
      </c>
      <c r="D218" s="15" t="s">
        <v>5800</v>
      </c>
      <c r="E218" s="16" t="s">
        <v>13009</v>
      </c>
      <c r="F218" s="12">
        <v>40914.279374999998</v>
      </c>
      <c r="G218" s="24" t="s">
        <v>171</v>
      </c>
      <c r="H218" s="35" t="s">
        <v>5801</v>
      </c>
      <c r="I218" s="18" t="s">
        <v>5802</v>
      </c>
    </row>
    <row r="219" spans="1:9" s="11" customFormat="1" ht="75">
      <c r="A219" s="19">
        <v>43548.450428240743</v>
      </c>
      <c r="B219" s="20" t="s">
        <v>15311</v>
      </c>
      <c r="C219" s="21" t="s">
        <v>4740</v>
      </c>
      <c r="D219" s="22" t="s">
        <v>8315</v>
      </c>
      <c r="E219" s="23" t="s">
        <v>13011</v>
      </c>
      <c r="F219" s="19">
        <v>43206.456296296295</v>
      </c>
      <c r="G219" s="24" t="s">
        <v>171</v>
      </c>
      <c r="H219" s="35" t="s">
        <v>4742</v>
      </c>
      <c r="I219" s="25" t="s">
        <v>4743</v>
      </c>
    </row>
    <row r="220" spans="1:9" s="11" customFormat="1" ht="75">
      <c r="A220" s="19">
        <v>43547.461145833338</v>
      </c>
      <c r="B220" s="20" t="s">
        <v>15311</v>
      </c>
      <c r="C220" s="21" t="s">
        <v>4740</v>
      </c>
      <c r="D220" s="22" t="s">
        <v>8537</v>
      </c>
      <c r="E220" s="23" t="s">
        <v>13130</v>
      </c>
      <c r="F220" s="19">
        <v>43206.456296296295</v>
      </c>
      <c r="G220" s="24" t="s">
        <v>171</v>
      </c>
      <c r="H220" s="35" t="s">
        <v>4742</v>
      </c>
      <c r="I220" s="25" t="s">
        <v>4743</v>
      </c>
    </row>
    <row r="221" spans="1:9" s="11" customFormat="1" ht="75">
      <c r="A221" s="12">
        <v>43568.479120370372</v>
      </c>
      <c r="B221" s="13" t="s">
        <v>15311</v>
      </c>
      <c r="C221" s="14" t="s">
        <v>4740</v>
      </c>
      <c r="D221" s="15" t="s">
        <v>4741</v>
      </c>
      <c r="E221" s="16" t="s">
        <v>13130</v>
      </c>
      <c r="F221" s="12">
        <v>43206.456296296295</v>
      </c>
      <c r="G221" s="24" t="s">
        <v>171</v>
      </c>
      <c r="H221" s="35" t="s">
        <v>4742</v>
      </c>
      <c r="I221" s="18" t="s">
        <v>4743</v>
      </c>
    </row>
    <row r="222" spans="1:9" s="11" customFormat="1" ht="120">
      <c r="A222" s="12">
        <v>43578.916851851856</v>
      </c>
      <c r="B222" s="13" t="s">
        <v>15312</v>
      </c>
      <c r="C222" s="14" t="s">
        <v>997</v>
      </c>
      <c r="D222" s="15" t="s">
        <v>998</v>
      </c>
      <c r="E222" s="16" t="s">
        <v>13018</v>
      </c>
      <c r="F222" s="12">
        <v>40843.330914351856</v>
      </c>
      <c r="G222" s="17" t="s">
        <v>171</v>
      </c>
      <c r="H222" s="35" t="s">
        <v>999</v>
      </c>
      <c r="I222" s="18" t="s">
        <v>1000</v>
      </c>
    </row>
    <row r="223" spans="1:9" s="11" customFormat="1" ht="105">
      <c r="A223" s="4">
        <v>43563.012777777782</v>
      </c>
      <c r="B223" s="5" t="s">
        <v>15313</v>
      </c>
      <c r="C223" s="6" t="s">
        <v>10507</v>
      </c>
      <c r="D223" s="7" t="s">
        <v>10508</v>
      </c>
      <c r="E223" s="8" t="s">
        <v>13013</v>
      </c>
      <c r="F223" s="4">
        <v>42296.478865740741</v>
      </c>
      <c r="G223" s="17" t="s">
        <v>171</v>
      </c>
      <c r="H223" s="35" t="s">
        <v>10509</v>
      </c>
      <c r="I223" s="10" t="s">
        <v>10510</v>
      </c>
    </row>
    <row r="224" spans="1:9" s="11" customFormat="1" ht="90">
      <c r="A224" s="4">
        <v>43561.055613425924</v>
      </c>
      <c r="B224" s="5" t="s">
        <v>15314</v>
      </c>
      <c r="C224" s="6" t="s">
        <v>11099</v>
      </c>
      <c r="D224" s="7" t="s">
        <v>11100</v>
      </c>
      <c r="E224" s="8" t="s">
        <v>13018</v>
      </c>
      <c r="F224" s="4">
        <v>40762.432569444441</v>
      </c>
      <c r="G224" s="17" t="s">
        <v>171</v>
      </c>
      <c r="H224" s="35" t="s">
        <v>11101</v>
      </c>
      <c r="I224" s="10" t="s">
        <v>11102</v>
      </c>
    </row>
    <row r="225" spans="1:9" s="11" customFormat="1" ht="90">
      <c r="A225" s="4">
        <v>43560.138981481483</v>
      </c>
      <c r="B225" s="5" t="s">
        <v>15314</v>
      </c>
      <c r="C225" s="6" t="s">
        <v>11099</v>
      </c>
      <c r="D225" s="7" t="s">
        <v>11602</v>
      </c>
      <c r="E225" s="8" t="s">
        <v>13018</v>
      </c>
      <c r="F225" s="4">
        <v>40762.432569444441</v>
      </c>
      <c r="G225" s="17" t="s">
        <v>171</v>
      </c>
      <c r="H225" s="35" t="s">
        <v>11101</v>
      </c>
      <c r="I225" s="10" t="s">
        <v>11102</v>
      </c>
    </row>
    <row r="226" spans="1:9" s="11" customFormat="1" ht="90">
      <c r="A226" s="4">
        <v>43559.559097222227</v>
      </c>
      <c r="B226" s="5" t="s">
        <v>15314</v>
      </c>
      <c r="C226" s="6" t="s">
        <v>11099</v>
      </c>
      <c r="D226" s="7" t="s">
        <v>11766</v>
      </c>
      <c r="E226" s="8" t="s">
        <v>13018</v>
      </c>
      <c r="F226" s="4">
        <v>40762.432569444441</v>
      </c>
      <c r="G226" s="17" t="s">
        <v>171</v>
      </c>
      <c r="H226" s="35" t="s">
        <v>11101</v>
      </c>
      <c r="I226" s="10" t="s">
        <v>11102</v>
      </c>
    </row>
    <row r="227" spans="1:9" s="11" customFormat="1" ht="90">
      <c r="A227" s="4">
        <v>43563.347210648149</v>
      </c>
      <c r="B227" s="5" t="s">
        <v>15315</v>
      </c>
      <c r="C227" s="6" t="s">
        <v>10351</v>
      </c>
      <c r="D227" s="7" t="s">
        <v>10352</v>
      </c>
      <c r="E227" s="8" t="s">
        <v>13027</v>
      </c>
      <c r="F227" s="4">
        <v>42928.762766203705</v>
      </c>
      <c r="G227" s="17" t="s">
        <v>171</v>
      </c>
      <c r="H227" s="35" t="s">
        <v>10353</v>
      </c>
      <c r="I227" s="10" t="s">
        <v>10354</v>
      </c>
    </row>
    <row r="228" spans="1:9" s="11" customFormat="1" ht="90">
      <c r="A228" s="4">
        <v>43563.308321759258</v>
      </c>
      <c r="B228" s="5" t="s">
        <v>15315</v>
      </c>
      <c r="C228" s="6" t="s">
        <v>10351</v>
      </c>
      <c r="D228" s="7" t="s">
        <v>10387</v>
      </c>
      <c r="E228" s="8" t="s">
        <v>13032</v>
      </c>
      <c r="F228" s="4">
        <v>42928.762766203705</v>
      </c>
      <c r="G228" s="17" t="s">
        <v>171</v>
      </c>
      <c r="H228" s="35" t="s">
        <v>10353</v>
      </c>
      <c r="I228" s="10" t="s">
        <v>10354</v>
      </c>
    </row>
    <row r="229" spans="1:9" s="11" customFormat="1" ht="90">
      <c r="A229" s="12">
        <v>43567.699513888889</v>
      </c>
      <c r="B229" s="13" t="s">
        <v>15316</v>
      </c>
      <c r="C229" s="14" t="s">
        <v>4993</v>
      </c>
      <c r="D229" s="15" t="s">
        <v>4994</v>
      </c>
      <c r="E229" s="16" t="s">
        <v>13013</v>
      </c>
      <c r="F229" s="12">
        <v>40994.642175925925</v>
      </c>
      <c r="G229" s="17" t="s">
        <v>171</v>
      </c>
      <c r="H229" s="35" t="s">
        <v>4995</v>
      </c>
      <c r="I229" s="18" t="s">
        <v>4996</v>
      </c>
    </row>
    <row r="230" spans="1:9" s="11" customFormat="1" ht="120">
      <c r="A230" s="4">
        <v>43564.229166666672</v>
      </c>
      <c r="B230" s="5" t="s">
        <v>15317</v>
      </c>
      <c r="C230" s="6" t="s">
        <v>3883</v>
      </c>
      <c r="D230" s="7" t="s">
        <v>3884</v>
      </c>
      <c r="E230" s="8" t="s">
        <v>13120</v>
      </c>
      <c r="F230" s="4">
        <v>40016.10774305556</v>
      </c>
      <c r="G230" s="17" t="s">
        <v>171</v>
      </c>
      <c r="H230" s="35" t="s">
        <v>3885</v>
      </c>
      <c r="I230" s="10" t="s">
        <v>3886</v>
      </c>
    </row>
    <row r="231" spans="1:9" s="11" customFormat="1" ht="60">
      <c r="A231" s="4">
        <v>43562.289479166662</v>
      </c>
      <c r="B231" s="5" t="s">
        <v>15318</v>
      </c>
      <c r="C231" s="6" t="s">
        <v>10712</v>
      </c>
      <c r="D231" s="7" t="s">
        <v>10713</v>
      </c>
      <c r="E231" s="8" t="s">
        <v>13013</v>
      </c>
      <c r="F231" s="4">
        <v>43335.187048611115</v>
      </c>
      <c r="G231" s="17" t="s">
        <v>171</v>
      </c>
      <c r="H231" s="35" t="s">
        <v>3885</v>
      </c>
      <c r="I231" s="30" t="s">
        <v>10714</v>
      </c>
    </row>
    <row r="232" spans="1:9" s="11" customFormat="1" ht="120">
      <c r="A232" s="4">
        <v>43560.296111111107</v>
      </c>
      <c r="B232" s="5" t="s">
        <v>15317</v>
      </c>
      <c r="C232" s="6" t="s">
        <v>3883</v>
      </c>
      <c r="D232" s="7" t="s">
        <v>11487</v>
      </c>
      <c r="E232" s="8" t="s">
        <v>13009</v>
      </c>
      <c r="F232" s="4">
        <v>40016.10774305556</v>
      </c>
      <c r="G232" s="17" t="s">
        <v>171</v>
      </c>
      <c r="H232" s="35" t="s">
        <v>3885</v>
      </c>
      <c r="I232" s="10" t="s">
        <v>3886</v>
      </c>
    </row>
    <row r="233" spans="1:9" s="11" customFormat="1" ht="120">
      <c r="A233" s="4">
        <v>43559.437743055554</v>
      </c>
      <c r="B233" s="5" t="s">
        <v>15319</v>
      </c>
      <c r="C233" s="6" t="s">
        <v>11839</v>
      </c>
      <c r="D233" s="7" t="s">
        <v>11840</v>
      </c>
      <c r="E233" s="8" t="s">
        <v>13009</v>
      </c>
      <c r="F233" s="4">
        <v>40465.062754629631</v>
      </c>
      <c r="G233" s="17" t="s">
        <v>171</v>
      </c>
      <c r="H233" s="35" t="s">
        <v>3885</v>
      </c>
      <c r="I233" s="10" t="s">
        <v>11841</v>
      </c>
    </row>
    <row r="234" spans="1:9" s="11" customFormat="1" ht="120">
      <c r="A234" s="4">
        <v>43559.333645833336</v>
      </c>
      <c r="B234" s="5" t="s">
        <v>15320</v>
      </c>
      <c r="C234" s="6" t="s">
        <v>11882</v>
      </c>
      <c r="D234" s="7" t="s">
        <v>11883</v>
      </c>
      <c r="E234" s="8" t="s">
        <v>13018</v>
      </c>
      <c r="F234" s="4">
        <v>43404.136307870373</v>
      </c>
      <c r="G234" s="17" t="s">
        <v>171</v>
      </c>
      <c r="H234" s="35" t="s">
        <v>3885</v>
      </c>
      <c r="I234" s="10" t="s">
        <v>11884</v>
      </c>
    </row>
    <row r="235" spans="1:9" s="11" customFormat="1" ht="90">
      <c r="A235" s="4">
        <v>43557.384467592594</v>
      </c>
      <c r="B235" s="5" t="s">
        <v>15321</v>
      </c>
      <c r="C235" s="6" t="s">
        <v>12531</v>
      </c>
      <c r="D235" s="7" t="s">
        <v>12532</v>
      </c>
      <c r="E235" s="8" t="s">
        <v>13009</v>
      </c>
      <c r="F235" s="4">
        <v>39835.683449074073</v>
      </c>
      <c r="G235" s="17" t="s">
        <v>171</v>
      </c>
      <c r="H235" s="35" t="s">
        <v>3885</v>
      </c>
      <c r="I235" s="26" t="s">
        <v>12533</v>
      </c>
    </row>
    <row r="236" spans="1:9" s="11" customFormat="1" ht="120">
      <c r="A236" s="12">
        <v>43571.045138888891</v>
      </c>
      <c r="B236" s="13" t="s">
        <v>15317</v>
      </c>
      <c r="C236" s="14" t="s">
        <v>3883</v>
      </c>
      <c r="D236" s="15" t="s">
        <v>3884</v>
      </c>
      <c r="E236" s="16" t="s">
        <v>13120</v>
      </c>
      <c r="F236" s="12">
        <v>40016.10774305556</v>
      </c>
      <c r="G236" s="17" t="s">
        <v>171</v>
      </c>
      <c r="H236" s="35" t="s">
        <v>3885</v>
      </c>
      <c r="I236" s="18" t="s">
        <v>3886</v>
      </c>
    </row>
    <row r="237" spans="1:9" s="11" customFormat="1" ht="120">
      <c r="A237" s="12">
        <v>43566.387453703705</v>
      </c>
      <c r="B237" s="13" t="s">
        <v>15322</v>
      </c>
      <c r="C237" s="14" t="s">
        <v>5570</v>
      </c>
      <c r="D237" s="15" t="s">
        <v>5571</v>
      </c>
      <c r="E237" s="16" t="s">
        <v>13009</v>
      </c>
      <c r="F237" s="12">
        <v>42205.223287037035</v>
      </c>
      <c r="G237" s="17" t="s">
        <v>171</v>
      </c>
      <c r="H237" s="35" t="s">
        <v>3885</v>
      </c>
      <c r="I237" s="18" t="s">
        <v>5572</v>
      </c>
    </row>
    <row r="238" spans="1:9" s="11" customFormat="1" ht="120">
      <c r="A238" s="12">
        <v>43570.958101851851</v>
      </c>
      <c r="B238" s="13" t="s">
        <v>15323</v>
      </c>
      <c r="C238" s="14" t="s">
        <v>3915</v>
      </c>
      <c r="D238" s="15" t="s">
        <v>3916</v>
      </c>
      <c r="E238" s="16" t="s">
        <v>13013</v>
      </c>
      <c r="F238" s="12">
        <v>41285.309618055559</v>
      </c>
      <c r="G238" s="17" t="s">
        <v>171</v>
      </c>
      <c r="H238" s="35" t="s">
        <v>3917</v>
      </c>
      <c r="I238" s="18" t="s">
        <v>3918</v>
      </c>
    </row>
    <row r="239" spans="1:9" s="11" customFormat="1" ht="120">
      <c r="A239" s="19">
        <v>43546.402245370366</v>
      </c>
      <c r="B239" s="20" t="s">
        <v>15324</v>
      </c>
      <c r="C239" s="21" t="s">
        <v>689</v>
      </c>
      <c r="D239" s="22" t="s">
        <v>8875</v>
      </c>
      <c r="E239" s="23" t="s">
        <v>13009</v>
      </c>
      <c r="F239" s="19">
        <v>42564.104664351849</v>
      </c>
      <c r="G239" s="17" t="s">
        <v>171</v>
      </c>
      <c r="H239" s="35" t="s">
        <v>691</v>
      </c>
      <c r="I239" s="25" t="s">
        <v>692</v>
      </c>
    </row>
    <row r="240" spans="1:9" s="11" customFormat="1" ht="105">
      <c r="A240" s="19">
        <v>43544.547222222223</v>
      </c>
      <c r="B240" s="20" t="s">
        <v>15325</v>
      </c>
      <c r="C240" s="21" t="s">
        <v>9417</v>
      </c>
      <c r="D240" s="22" t="s">
        <v>9418</v>
      </c>
      <c r="E240" s="23" t="s">
        <v>13027</v>
      </c>
      <c r="F240" s="19">
        <v>41701.266180555554</v>
      </c>
      <c r="G240" s="17" t="s">
        <v>171</v>
      </c>
      <c r="H240" s="35" t="s">
        <v>691</v>
      </c>
      <c r="I240" s="25" t="s">
        <v>9419</v>
      </c>
    </row>
    <row r="241" spans="1:9" s="11" customFormat="1" ht="30">
      <c r="A241" s="4">
        <v>43563.052604166667</v>
      </c>
      <c r="B241" s="5" t="s">
        <v>15326</v>
      </c>
      <c r="C241" s="6" t="s">
        <v>10483</v>
      </c>
      <c r="D241" s="7" t="s">
        <v>10484</v>
      </c>
      <c r="E241" s="8" t="s">
        <v>13013</v>
      </c>
      <c r="F241" s="4">
        <v>43131.506203703699</v>
      </c>
      <c r="G241" s="17" t="s">
        <v>171</v>
      </c>
      <c r="H241" s="35" t="s">
        <v>691</v>
      </c>
      <c r="I241" s="10" t="s">
        <v>10485</v>
      </c>
    </row>
    <row r="242" spans="1:9" s="11" customFormat="1" ht="120">
      <c r="A242" s="4">
        <v>43557.221863425926</v>
      </c>
      <c r="B242" s="5" t="s">
        <v>15324</v>
      </c>
      <c r="C242" s="6" t="s">
        <v>689</v>
      </c>
      <c r="D242" s="7" t="s">
        <v>12615</v>
      </c>
      <c r="E242" s="8" t="s">
        <v>13009</v>
      </c>
      <c r="F242" s="4">
        <v>42564.104664351849</v>
      </c>
      <c r="G242" s="17" t="s">
        <v>171</v>
      </c>
      <c r="H242" s="35" t="s">
        <v>691</v>
      </c>
      <c r="I242" s="10" t="s">
        <v>692</v>
      </c>
    </row>
    <row r="243" spans="1:9" s="11" customFormat="1" ht="120">
      <c r="A243" s="12">
        <v>43579.4065625</v>
      </c>
      <c r="B243" s="13" t="s">
        <v>15324</v>
      </c>
      <c r="C243" s="14" t="s">
        <v>689</v>
      </c>
      <c r="D243" s="15" t="s">
        <v>690</v>
      </c>
      <c r="E243" s="16" t="s">
        <v>13015</v>
      </c>
      <c r="F243" s="12">
        <v>42564.104664351849</v>
      </c>
      <c r="G243" s="17" t="s">
        <v>171</v>
      </c>
      <c r="H243" s="35" t="s">
        <v>691</v>
      </c>
      <c r="I243" s="18" t="s">
        <v>692</v>
      </c>
    </row>
    <row r="244" spans="1:9" s="11" customFormat="1" ht="120">
      <c r="A244" s="12">
        <v>43578.393055555556</v>
      </c>
      <c r="B244" s="13" t="s">
        <v>15324</v>
      </c>
      <c r="C244" s="14" t="s">
        <v>689</v>
      </c>
      <c r="D244" s="15" t="s">
        <v>1234</v>
      </c>
      <c r="E244" s="16" t="s">
        <v>13009</v>
      </c>
      <c r="F244" s="12">
        <v>42564.104664351849</v>
      </c>
      <c r="G244" s="17" t="s">
        <v>171</v>
      </c>
      <c r="H244" s="35" t="s">
        <v>691</v>
      </c>
      <c r="I244" s="18" t="s">
        <v>692</v>
      </c>
    </row>
    <row r="245" spans="1:9" s="11" customFormat="1" ht="120">
      <c r="A245" s="19">
        <v>43545.201423611114</v>
      </c>
      <c r="B245" s="20" t="s">
        <v>15327</v>
      </c>
      <c r="C245" s="21" t="s">
        <v>9257</v>
      </c>
      <c r="D245" s="22" t="s">
        <v>9258</v>
      </c>
      <c r="E245" s="23" t="s">
        <v>13018</v>
      </c>
      <c r="F245" s="19">
        <v>40324.266643518517</v>
      </c>
      <c r="G245" s="17" t="s">
        <v>171</v>
      </c>
      <c r="H245" s="35" t="s">
        <v>1780</v>
      </c>
      <c r="I245" s="25" t="s">
        <v>9259</v>
      </c>
    </row>
    <row r="246" spans="1:9" s="11" customFormat="1" ht="135">
      <c r="A246" s="12">
        <v>43577.0231712963</v>
      </c>
      <c r="B246" s="13" t="s">
        <v>15328</v>
      </c>
      <c r="C246" s="14" t="s">
        <v>1778</v>
      </c>
      <c r="D246" s="15" t="s">
        <v>1779</v>
      </c>
      <c r="E246" s="16" t="s">
        <v>13011</v>
      </c>
      <c r="F246" s="12">
        <v>40198.607800925922</v>
      </c>
      <c r="G246" s="17" t="s">
        <v>171</v>
      </c>
      <c r="H246" s="35" t="s">
        <v>1780</v>
      </c>
      <c r="I246" s="18" t="s">
        <v>1781</v>
      </c>
    </row>
    <row r="247" spans="1:9" s="11" customFormat="1" ht="135">
      <c r="A247" s="12">
        <v>43572.456643518519</v>
      </c>
      <c r="B247" s="13" t="s">
        <v>15329</v>
      </c>
      <c r="C247" s="14" t="s">
        <v>3231</v>
      </c>
      <c r="D247" s="15" t="s">
        <v>3232</v>
      </c>
      <c r="E247" s="16" t="s">
        <v>13027</v>
      </c>
      <c r="F247" s="12">
        <v>40098.324432870373</v>
      </c>
      <c r="G247" s="17" t="s">
        <v>171</v>
      </c>
      <c r="H247" s="35" t="s">
        <v>1780</v>
      </c>
      <c r="I247" s="18" t="s">
        <v>3233</v>
      </c>
    </row>
    <row r="248" spans="1:9" s="11" customFormat="1" ht="75">
      <c r="A248" s="12">
        <v>43572.084155092598</v>
      </c>
      <c r="B248" s="13" t="s">
        <v>15330</v>
      </c>
      <c r="C248" s="14" t="s">
        <v>3442</v>
      </c>
      <c r="D248" s="15" t="s">
        <v>3443</v>
      </c>
      <c r="E248" s="16" t="s">
        <v>13018</v>
      </c>
      <c r="F248" s="12">
        <v>39948.303611111114</v>
      </c>
      <c r="G248" s="17" t="s">
        <v>171</v>
      </c>
      <c r="H248" s="35" t="s">
        <v>1780</v>
      </c>
      <c r="I248" s="18" t="s">
        <v>3444</v>
      </c>
    </row>
    <row r="249" spans="1:9" s="11" customFormat="1" ht="105">
      <c r="A249" s="12">
        <v>43571.328032407408</v>
      </c>
      <c r="B249" s="13" t="s">
        <v>15331</v>
      </c>
      <c r="C249" s="14" t="s">
        <v>3728</v>
      </c>
      <c r="D249" s="15" t="s">
        <v>3729</v>
      </c>
      <c r="E249" s="16" t="s">
        <v>13032</v>
      </c>
      <c r="F249" s="12">
        <v>40682.119085648148</v>
      </c>
      <c r="G249" s="17" t="s">
        <v>171</v>
      </c>
      <c r="H249" s="35" t="s">
        <v>1780</v>
      </c>
      <c r="I249" s="18" t="s">
        <v>3730</v>
      </c>
    </row>
    <row r="250" spans="1:9" s="11" customFormat="1" ht="105">
      <c r="A250" s="4">
        <v>43557.579189814816</v>
      </c>
      <c r="B250" s="5" t="s">
        <v>15332</v>
      </c>
      <c r="C250" s="6" t="s">
        <v>12461</v>
      </c>
      <c r="D250" s="7" t="s">
        <v>12462</v>
      </c>
      <c r="E250" s="8" t="s">
        <v>13011</v>
      </c>
      <c r="F250" s="4">
        <v>43449.704085648147</v>
      </c>
      <c r="G250" s="17" t="s">
        <v>171</v>
      </c>
      <c r="H250" s="35" t="s">
        <v>12463</v>
      </c>
      <c r="I250" s="10" t="s">
        <v>12464</v>
      </c>
    </row>
    <row r="251" spans="1:9" s="11" customFormat="1" ht="75">
      <c r="A251" s="4">
        <v>43558.443900462968</v>
      </c>
      <c r="B251" s="5" t="s">
        <v>15333</v>
      </c>
      <c r="C251" s="6" t="s">
        <v>12184</v>
      </c>
      <c r="D251" s="7" t="s">
        <v>12185</v>
      </c>
      <c r="E251" s="8" t="s">
        <v>13013</v>
      </c>
      <c r="F251" s="4">
        <v>42775.146157407406</v>
      </c>
      <c r="G251" s="17" t="s">
        <v>171</v>
      </c>
      <c r="H251" s="35" t="s">
        <v>12186</v>
      </c>
      <c r="I251" s="10" t="s">
        <v>12187</v>
      </c>
    </row>
    <row r="252" spans="1:9" s="11" customFormat="1" ht="120">
      <c r="A252" s="19">
        <v>43546.126342592594</v>
      </c>
      <c r="B252" s="20" t="s">
        <v>15334</v>
      </c>
      <c r="C252" s="21" t="s">
        <v>8951</v>
      </c>
      <c r="D252" s="22" t="s">
        <v>8952</v>
      </c>
      <c r="E252" s="23" t="s">
        <v>15335</v>
      </c>
      <c r="F252" s="19">
        <v>40942.214479166665</v>
      </c>
      <c r="G252" s="24" t="s">
        <v>171</v>
      </c>
      <c r="H252" s="35" t="s">
        <v>3246</v>
      </c>
      <c r="I252" s="25" t="s">
        <v>8953</v>
      </c>
    </row>
    <row r="253" spans="1:9" s="11" customFormat="1" ht="90">
      <c r="A253" s="12">
        <v>43572.43850694444</v>
      </c>
      <c r="B253" s="13" t="s">
        <v>15336</v>
      </c>
      <c r="C253" s="14" t="s">
        <v>3244</v>
      </c>
      <c r="D253" s="15" t="s">
        <v>3245</v>
      </c>
      <c r="E253" s="16" t="s">
        <v>13009</v>
      </c>
      <c r="F253" s="12">
        <v>43206.130185185189</v>
      </c>
      <c r="G253" s="17" t="s">
        <v>171</v>
      </c>
      <c r="H253" s="35" t="s">
        <v>3246</v>
      </c>
      <c r="I253" s="18" t="s">
        <v>3247</v>
      </c>
    </row>
    <row r="254" spans="1:9" s="11" customFormat="1" ht="60">
      <c r="A254" s="12">
        <v>43566.266469907408</v>
      </c>
      <c r="B254" s="13" t="s">
        <v>15337</v>
      </c>
      <c r="C254" s="14" t="s">
        <v>5701</v>
      </c>
      <c r="D254" s="15" t="s">
        <v>5702</v>
      </c>
      <c r="E254" s="16" t="s">
        <v>13009</v>
      </c>
      <c r="F254" s="12">
        <v>39927.443414351852</v>
      </c>
      <c r="G254" s="17" t="s">
        <v>171</v>
      </c>
      <c r="H254" s="35" t="s">
        <v>3246</v>
      </c>
      <c r="I254" s="18" t="s">
        <v>5703</v>
      </c>
    </row>
    <row r="255" spans="1:9" s="11" customFormat="1" ht="75">
      <c r="A255" s="19">
        <v>43544.159756944442</v>
      </c>
      <c r="B255" s="20" t="s">
        <v>15338</v>
      </c>
      <c r="C255" s="21" t="s">
        <v>9594</v>
      </c>
      <c r="D255" s="22" t="s">
        <v>9595</v>
      </c>
      <c r="E255" s="23" t="s">
        <v>13034</v>
      </c>
      <c r="F255" s="19">
        <v>42395.294293981482</v>
      </c>
      <c r="G255" s="17" t="s">
        <v>171</v>
      </c>
      <c r="H255" s="35" t="s">
        <v>5693</v>
      </c>
      <c r="I255" s="25" t="s">
        <v>9596</v>
      </c>
    </row>
    <row r="256" spans="1:9" s="11" customFormat="1" ht="135">
      <c r="A256" s="4">
        <v>43565.303668981476</v>
      </c>
      <c r="B256" s="5" t="s">
        <v>15339</v>
      </c>
      <c r="C256" s="6" t="s">
        <v>6189</v>
      </c>
      <c r="D256" s="7" t="s">
        <v>6190</v>
      </c>
      <c r="E256" s="8" t="s">
        <v>13009</v>
      </c>
      <c r="F256" s="4">
        <v>41807.999618055554</v>
      </c>
      <c r="G256" s="17" t="s">
        <v>171</v>
      </c>
      <c r="H256" s="35" t="s">
        <v>5693</v>
      </c>
      <c r="I256" s="10" t="s">
        <v>6191</v>
      </c>
    </row>
    <row r="257" spans="1:9" s="11" customFormat="1" ht="30">
      <c r="A257" s="4">
        <v>43562.400636574079</v>
      </c>
      <c r="B257" s="5" t="s">
        <v>15340</v>
      </c>
      <c r="C257" s="6" t="s">
        <v>10688</v>
      </c>
      <c r="D257" s="7" t="s">
        <v>10689</v>
      </c>
      <c r="E257" s="8" t="s">
        <v>13009</v>
      </c>
      <c r="F257" s="4">
        <v>39468.126180555555</v>
      </c>
      <c r="G257" s="17" t="s">
        <v>171</v>
      </c>
      <c r="H257" s="35" t="s">
        <v>5693</v>
      </c>
      <c r="I257" s="10" t="s">
        <v>10690</v>
      </c>
    </row>
    <row r="258" spans="1:9" s="11" customFormat="1" ht="150">
      <c r="A258" s="12">
        <v>43566.277453703704</v>
      </c>
      <c r="B258" s="13" t="s">
        <v>15341</v>
      </c>
      <c r="C258" s="14" t="s">
        <v>5691</v>
      </c>
      <c r="D258" s="15" t="s">
        <v>5692</v>
      </c>
      <c r="E258" s="16" t="s">
        <v>13013</v>
      </c>
      <c r="F258" s="12">
        <v>40801.533043981479</v>
      </c>
      <c r="G258" s="17" t="s">
        <v>171</v>
      </c>
      <c r="H258" s="35" t="s">
        <v>5693</v>
      </c>
      <c r="I258" s="18" t="s">
        <v>5694</v>
      </c>
    </row>
    <row r="259" spans="1:9" s="11" customFormat="1" ht="105">
      <c r="A259" s="12">
        <v>43566.13989583333</v>
      </c>
      <c r="B259" s="13" t="s">
        <v>15342</v>
      </c>
      <c r="C259" s="14" t="s">
        <v>5766</v>
      </c>
      <c r="D259" s="15" t="s">
        <v>5767</v>
      </c>
      <c r="E259" s="16" t="s">
        <v>13011</v>
      </c>
      <c r="F259" s="12">
        <v>42256.500567129631</v>
      </c>
      <c r="G259" s="17" t="s">
        <v>171</v>
      </c>
      <c r="H259" s="35" t="s">
        <v>5693</v>
      </c>
      <c r="I259" s="18" t="s">
        <v>5768</v>
      </c>
    </row>
    <row r="260" spans="1:9" s="11" customFormat="1" ht="105">
      <c r="A260" s="4">
        <v>43562.916886574079</v>
      </c>
      <c r="B260" s="5" t="s">
        <v>15343</v>
      </c>
      <c r="C260" s="6" t="s">
        <v>10545</v>
      </c>
      <c r="D260" s="7" t="s">
        <v>10546</v>
      </c>
      <c r="E260" s="8" t="s">
        <v>15344</v>
      </c>
      <c r="F260" s="4">
        <v>41019.065127314811</v>
      </c>
      <c r="G260" s="17" t="s">
        <v>171</v>
      </c>
      <c r="H260" s="35" t="s">
        <v>10547</v>
      </c>
      <c r="I260" s="10" t="s">
        <v>10548</v>
      </c>
    </row>
    <row r="261" spans="1:9" s="11" customFormat="1" ht="120">
      <c r="A261" s="12">
        <v>43566.106435185182</v>
      </c>
      <c r="B261" s="13" t="s">
        <v>15345</v>
      </c>
      <c r="C261" s="14" t="s">
        <v>5788</v>
      </c>
      <c r="D261" s="15" t="s">
        <v>5789</v>
      </c>
      <c r="E261" s="16" t="s">
        <v>13009</v>
      </c>
      <c r="F261" s="12">
        <v>41935.20758101852</v>
      </c>
      <c r="G261" s="17" t="s">
        <v>171</v>
      </c>
      <c r="H261" s="35" t="s">
        <v>5790</v>
      </c>
      <c r="I261" s="18" t="s">
        <v>5791</v>
      </c>
    </row>
    <row r="262" spans="1:9" s="11" customFormat="1" ht="120">
      <c r="A262" s="4">
        <v>43563.091273148151</v>
      </c>
      <c r="B262" s="5" t="s">
        <v>15346</v>
      </c>
      <c r="C262" s="6" t="s">
        <v>10466</v>
      </c>
      <c r="D262" s="7" t="s">
        <v>10467</v>
      </c>
      <c r="E262" s="8" t="s">
        <v>13009</v>
      </c>
      <c r="F262" s="4">
        <v>40757.220937500002</v>
      </c>
      <c r="G262" s="9" t="s">
        <v>171</v>
      </c>
      <c r="H262" s="35" t="s">
        <v>10468</v>
      </c>
      <c r="I262" s="10" t="s">
        <v>10469</v>
      </c>
    </row>
    <row r="263" spans="1:9" s="11" customFormat="1" ht="105">
      <c r="A263" s="12">
        <v>43566.452349537038</v>
      </c>
      <c r="B263" s="13" t="s">
        <v>15347</v>
      </c>
      <c r="C263" s="14" t="s">
        <v>5516</v>
      </c>
      <c r="D263" s="15" t="s">
        <v>5517</v>
      </c>
      <c r="E263" s="16" t="s">
        <v>13013</v>
      </c>
      <c r="F263" s="12">
        <v>39981.419074074074</v>
      </c>
      <c r="G263" s="9" t="s">
        <v>171</v>
      </c>
      <c r="H263" s="35" t="s">
        <v>5518</v>
      </c>
      <c r="I263" s="18" t="s">
        <v>5519</v>
      </c>
    </row>
    <row r="264" spans="1:9" s="11" customFormat="1" ht="60">
      <c r="A264" s="12">
        <v>43571.308946759258</v>
      </c>
      <c r="B264" s="13" t="s">
        <v>15348</v>
      </c>
      <c r="C264" s="14" t="s">
        <v>3745</v>
      </c>
      <c r="D264" s="15" t="s">
        <v>3746</v>
      </c>
      <c r="E264" s="16" t="s">
        <v>13009</v>
      </c>
      <c r="F264" s="12">
        <v>42012.326932870375</v>
      </c>
      <c r="G264" s="9" t="s">
        <v>171</v>
      </c>
      <c r="H264" s="35" t="s">
        <v>3747</v>
      </c>
      <c r="I264" s="18" t="s">
        <v>3748</v>
      </c>
    </row>
    <row r="265" spans="1:9" s="11" customFormat="1" ht="135">
      <c r="A265" s="19">
        <v>43546.625081018516</v>
      </c>
      <c r="B265" s="20" t="s">
        <v>15349</v>
      </c>
      <c r="C265" s="21" t="s">
        <v>8786</v>
      </c>
      <c r="D265" s="22" t="s">
        <v>8787</v>
      </c>
      <c r="E265" s="23" t="s">
        <v>13034</v>
      </c>
      <c r="F265" s="19">
        <v>42555.449212962965</v>
      </c>
      <c r="G265" s="9" t="s">
        <v>171</v>
      </c>
      <c r="H265" s="35" t="s">
        <v>3820</v>
      </c>
      <c r="I265" s="25" t="s">
        <v>8788</v>
      </c>
    </row>
    <row r="266" spans="1:9" s="11" customFormat="1" ht="75">
      <c r="A266" s="12">
        <v>43571.169664351852</v>
      </c>
      <c r="B266" s="13" t="s">
        <v>15350</v>
      </c>
      <c r="C266" s="14" t="s">
        <v>3818</v>
      </c>
      <c r="D266" s="15" t="s">
        <v>3819</v>
      </c>
      <c r="E266" s="16" t="s">
        <v>13120</v>
      </c>
      <c r="F266" s="12">
        <v>42282.302118055552</v>
      </c>
      <c r="G266" s="9" t="s">
        <v>171</v>
      </c>
      <c r="H266" s="35" t="s">
        <v>3820</v>
      </c>
      <c r="I266" s="18" t="s">
        <v>3821</v>
      </c>
    </row>
    <row r="267" spans="1:9" s="11" customFormat="1" ht="105">
      <c r="A267" s="4">
        <v>43557.911886574075</v>
      </c>
      <c r="B267" s="5" t="s">
        <v>15351</v>
      </c>
      <c r="C267" s="6" t="s">
        <v>12365</v>
      </c>
      <c r="D267" s="7" t="s">
        <v>12366</v>
      </c>
      <c r="E267" s="8" t="s">
        <v>13027</v>
      </c>
      <c r="F267" s="4">
        <v>42464.623437499999</v>
      </c>
      <c r="G267" s="9" t="s">
        <v>171</v>
      </c>
      <c r="H267" s="35" t="s">
        <v>12367</v>
      </c>
      <c r="I267" s="10" t="s">
        <v>12368</v>
      </c>
    </row>
    <row r="268" spans="1:9" s="11" customFormat="1" ht="105">
      <c r="A268" s="4">
        <v>43557.494733796295</v>
      </c>
      <c r="B268" s="5" t="s">
        <v>15351</v>
      </c>
      <c r="C268" s="6" t="s">
        <v>12365</v>
      </c>
      <c r="D268" s="7" t="s">
        <v>12500</v>
      </c>
      <c r="E268" s="8" t="s">
        <v>13027</v>
      </c>
      <c r="F268" s="4">
        <v>42464.623437499999</v>
      </c>
      <c r="G268" s="9" t="s">
        <v>171</v>
      </c>
      <c r="H268" s="35" t="s">
        <v>12367</v>
      </c>
      <c r="I268" s="10" t="s">
        <v>12368</v>
      </c>
    </row>
    <row r="269" spans="1:9" s="11" customFormat="1" ht="120">
      <c r="A269" s="4">
        <v>43564.125</v>
      </c>
      <c r="B269" s="5" t="s">
        <v>15352</v>
      </c>
      <c r="C269" s="6" t="s">
        <v>6772</v>
      </c>
      <c r="D269" s="7" t="s">
        <v>6773</v>
      </c>
      <c r="E269" s="8" t="s">
        <v>13945</v>
      </c>
      <c r="F269" s="4">
        <v>41100.289571759262</v>
      </c>
      <c r="G269" s="9" t="s">
        <v>171</v>
      </c>
      <c r="H269" s="35" t="s">
        <v>6774</v>
      </c>
      <c r="I269" s="10" t="s">
        <v>6775</v>
      </c>
    </row>
    <row r="270" spans="1:9" s="11" customFormat="1">
      <c r="A270" s="4">
        <v>43564.60974537037</v>
      </c>
      <c r="B270" s="5" t="s">
        <v>15353</v>
      </c>
      <c r="C270" s="6" t="s">
        <v>1268</v>
      </c>
      <c r="D270" s="7" t="s">
        <v>6509</v>
      </c>
      <c r="E270" s="8" t="s">
        <v>13011</v>
      </c>
      <c r="F270" s="4">
        <v>39846.229490740741</v>
      </c>
      <c r="G270" s="24" t="s">
        <v>171</v>
      </c>
      <c r="H270" s="35" t="s">
        <v>6510</v>
      </c>
      <c r="I270" s="10" t="s">
        <v>6511</v>
      </c>
    </row>
    <row r="271" spans="1:9" s="11" customFormat="1" ht="120">
      <c r="A271" s="19">
        <v>43548.437638888892</v>
      </c>
      <c r="B271" s="20" t="s">
        <v>15354</v>
      </c>
      <c r="C271" s="21" t="s">
        <v>8319</v>
      </c>
      <c r="D271" s="22" t="s">
        <v>8320</v>
      </c>
      <c r="E271" s="23" t="s">
        <v>13034</v>
      </c>
      <c r="F271" s="19">
        <v>39680.52983796296</v>
      </c>
      <c r="G271" s="24" t="s">
        <v>171</v>
      </c>
      <c r="H271" s="35" t="s">
        <v>1358</v>
      </c>
      <c r="I271" s="25" t="s">
        <v>8321</v>
      </c>
    </row>
    <row r="272" spans="1:9" s="11" customFormat="1" ht="75">
      <c r="A272" s="19">
        <v>43548.414907407408</v>
      </c>
      <c r="B272" s="20" t="s">
        <v>15355</v>
      </c>
      <c r="C272" s="21" t="s">
        <v>8328</v>
      </c>
      <c r="D272" s="22" t="s">
        <v>8329</v>
      </c>
      <c r="E272" s="23" t="s">
        <v>13032</v>
      </c>
      <c r="F272" s="19">
        <v>41357.268391203703</v>
      </c>
      <c r="G272" s="24" t="s">
        <v>171</v>
      </c>
      <c r="H272" s="35" t="s">
        <v>1358</v>
      </c>
      <c r="I272" s="25" t="s">
        <v>8330</v>
      </c>
    </row>
    <row r="273" spans="1:9" s="11" customFormat="1" ht="105">
      <c r="A273" s="12">
        <v>43578.210011574076</v>
      </c>
      <c r="B273" s="13" t="s">
        <v>15356</v>
      </c>
      <c r="C273" s="14" t="s">
        <v>1356</v>
      </c>
      <c r="D273" s="15" t="s">
        <v>1357</v>
      </c>
      <c r="E273" s="16" t="s">
        <v>13011</v>
      </c>
      <c r="F273" s="12">
        <v>43578.181446759263</v>
      </c>
      <c r="G273" s="24" t="s">
        <v>171</v>
      </c>
      <c r="H273" s="35" t="s">
        <v>1358</v>
      </c>
      <c r="I273" s="18" t="s">
        <v>1359</v>
      </c>
    </row>
    <row r="274" spans="1:9" s="11" customFormat="1" ht="135">
      <c r="A274" s="12">
        <v>43578.23946759259</v>
      </c>
      <c r="B274" s="13" t="s">
        <v>15357</v>
      </c>
      <c r="C274" s="14" t="s">
        <v>1350</v>
      </c>
      <c r="D274" s="15" t="s">
        <v>1351</v>
      </c>
      <c r="E274" s="16" t="s">
        <v>13011</v>
      </c>
      <c r="F274" s="12">
        <v>40841.399004629631</v>
      </c>
      <c r="G274" s="17" t="s">
        <v>171</v>
      </c>
      <c r="H274" s="35" t="s">
        <v>1352</v>
      </c>
      <c r="I274" s="18" t="s">
        <v>1353</v>
      </c>
    </row>
    <row r="275" spans="1:9" s="11" customFormat="1" ht="90">
      <c r="A275" s="4">
        <v>43565.60628472222</v>
      </c>
      <c r="B275" s="5" t="s">
        <v>15358</v>
      </c>
      <c r="C275" s="6" t="s">
        <v>10173</v>
      </c>
      <c r="D275" s="7" t="s">
        <v>10174</v>
      </c>
      <c r="E275" s="8" t="s">
        <v>13756</v>
      </c>
      <c r="F275" s="4">
        <v>39844.468043981484</v>
      </c>
      <c r="G275" s="9" t="s">
        <v>171</v>
      </c>
      <c r="H275" s="35" t="s">
        <v>6530</v>
      </c>
      <c r="I275" s="10" t="s">
        <v>10175</v>
      </c>
    </row>
    <row r="276" spans="1:9" s="11" customFormat="1" ht="90">
      <c r="A276" s="4">
        <v>43564.749710648146</v>
      </c>
      <c r="B276" s="5" t="s">
        <v>15358</v>
      </c>
      <c r="C276" s="6" t="s">
        <v>10173</v>
      </c>
      <c r="D276" s="7" t="s">
        <v>10198</v>
      </c>
      <c r="E276" s="8" t="s">
        <v>13756</v>
      </c>
      <c r="F276" s="4">
        <v>39844.468043981484</v>
      </c>
      <c r="G276" s="9" t="s">
        <v>171</v>
      </c>
      <c r="H276" s="35" t="s">
        <v>6530</v>
      </c>
      <c r="I276" s="10" t="s">
        <v>10175</v>
      </c>
    </row>
    <row r="277" spans="1:9" s="11" customFormat="1" ht="120">
      <c r="A277" s="4">
        <v>43564.586099537039</v>
      </c>
      <c r="B277" s="5" t="s">
        <v>15359</v>
      </c>
      <c r="C277" s="6" t="s">
        <v>6528</v>
      </c>
      <c r="D277" s="7" t="s">
        <v>6529</v>
      </c>
      <c r="E277" s="8" t="s">
        <v>13009</v>
      </c>
      <c r="F277" s="4">
        <v>42227.758645833332</v>
      </c>
      <c r="G277" s="9" t="s">
        <v>171</v>
      </c>
      <c r="H277" s="35" t="s">
        <v>6530</v>
      </c>
      <c r="I277" s="10" t="s">
        <v>6531</v>
      </c>
    </row>
    <row r="278" spans="1:9" s="11" customFormat="1" ht="120">
      <c r="A278" s="19">
        <v>43546.4299537037</v>
      </c>
      <c r="B278" s="20" t="s">
        <v>15360</v>
      </c>
      <c r="C278" s="21" t="s">
        <v>8853</v>
      </c>
      <c r="D278" s="22" t="s">
        <v>8854</v>
      </c>
      <c r="E278" s="23" t="s">
        <v>13009</v>
      </c>
      <c r="F278" s="19">
        <v>41041.027673611112</v>
      </c>
      <c r="G278" s="24" t="s">
        <v>171</v>
      </c>
      <c r="H278" s="35" t="s">
        <v>8855</v>
      </c>
      <c r="I278" s="25" t="s">
        <v>8856</v>
      </c>
    </row>
    <row r="279" spans="1:9" s="11" customFormat="1" ht="75">
      <c r="A279" s="4">
        <v>43564.030347222222</v>
      </c>
      <c r="B279" s="5" t="s">
        <v>15361</v>
      </c>
      <c r="C279" s="6" t="s">
        <v>6823</v>
      </c>
      <c r="D279" s="7" t="s">
        <v>6824</v>
      </c>
      <c r="E279" s="8" t="s">
        <v>13009</v>
      </c>
      <c r="F279" s="4">
        <v>43044.318935185191</v>
      </c>
      <c r="G279" s="9" t="s">
        <v>171</v>
      </c>
      <c r="H279" s="35" t="s">
        <v>6825</v>
      </c>
      <c r="I279" s="10" t="s">
        <v>6826</v>
      </c>
    </row>
    <row r="280" spans="1:9" s="11" customFormat="1" ht="135">
      <c r="A280" s="12">
        <v>43580.14025462963</v>
      </c>
      <c r="B280" s="13" t="s">
        <v>15362</v>
      </c>
      <c r="C280" s="14" t="s">
        <v>238</v>
      </c>
      <c r="D280" s="15" t="s">
        <v>239</v>
      </c>
      <c r="E280" s="16" t="s">
        <v>13009</v>
      </c>
      <c r="F280" s="12">
        <v>39952.741400462961</v>
      </c>
      <c r="G280" s="17" t="s">
        <v>171</v>
      </c>
      <c r="H280" s="35" t="s">
        <v>240</v>
      </c>
      <c r="I280" s="18" t="s">
        <v>241</v>
      </c>
    </row>
    <row r="281" spans="1:9" s="11" customFormat="1" ht="75">
      <c r="A281" s="4">
        <v>43564.994525462964</v>
      </c>
      <c r="B281" s="5" t="s">
        <v>15363</v>
      </c>
      <c r="C281" s="6" t="s">
        <v>6347</v>
      </c>
      <c r="D281" s="7" t="s">
        <v>6348</v>
      </c>
      <c r="E281" s="8" t="s">
        <v>13011</v>
      </c>
      <c r="F281" s="4">
        <v>41898.44803240741</v>
      </c>
      <c r="G281" s="9" t="s">
        <v>171</v>
      </c>
      <c r="H281" s="35" t="s">
        <v>6349</v>
      </c>
      <c r="I281" s="10" t="s">
        <v>6350</v>
      </c>
    </row>
    <row r="282" spans="1:9" s="11" customFormat="1" ht="120">
      <c r="A282" s="19">
        <v>43549.160231481481</v>
      </c>
      <c r="B282" s="20" t="s">
        <v>15364</v>
      </c>
      <c r="C282" s="21" t="s">
        <v>8144</v>
      </c>
      <c r="D282" s="22" t="s">
        <v>8145</v>
      </c>
      <c r="E282" s="23" t="s">
        <v>13013</v>
      </c>
      <c r="F282" s="19">
        <v>43528.987951388888</v>
      </c>
      <c r="G282" s="9" t="s">
        <v>171</v>
      </c>
      <c r="H282" s="35" t="s">
        <v>8146</v>
      </c>
      <c r="I282" s="25" t="s">
        <v>8147</v>
      </c>
    </row>
    <row r="283" spans="1:9" s="11" customFormat="1" ht="120">
      <c r="A283" s="19">
        <v>43547.712789351848</v>
      </c>
      <c r="B283" s="20" t="s">
        <v>15364</v>
      </c>
      <c r="C283" s="21" t="s">
        <v>8144</v>
      </c>
      <c r="D283" s="22" t="s">
        <v>8480</v>
      </c>
      <c r="E283" s="23" t="s">
        <v>13013</v>
      </c>
      <c r="F283" s="19">
        <v>43528.987951388888</v>
      </c>
      <c r="G283" s="9" t="s">
        <v>171</v>
      </c>
      <c r="H283" s="35" t="s">
        <v>8146</v>
      </c>
      <c r="I283" s="25" t="s">
        <v>8147</v>
      </c>
    </row>
    <row r="284" spans="1:9" s="11" customFormat="1" ht="120">
      <c r="A284" s="19">
        <v>43551.58084490741</v>
      </c>
      <c r="B284" s="20" t="s">
        <v>15365</v>
      </c>
      <c r="C284" s="21" t="s">
        <v>7103</v>
      </c>
      <c r="D284" s="22" t="s">
        <v>7104</v>
      </c>
      <c r="E284" s="23" t="s">
        <v>13009</v>
      </c>
      <c r="F284" s="19">
        <v>40926.488391203704</v>
      </c>
      <c r="G284" s="9" t="s">
        <v>171</v>
      </c>
      <c r="H284" s="35" t="s">
        <v>7105</v>
      </c>
      <c r="I284" s="25" t="s">
        <v>7106</v>
      </c>
    </row>
    <row r="285" spans="1:9" s="11" customFormat="1" ht="120">
      <c r="A285" s="19">
        <v>43549.539351851854</v>
      </c>
      <c r="B285" s="20" t="s">
        <v>15365</v>
      </c>
      <c r="C285" s="21" t="s">
        <v>7103</v>
      </c>
      <c r="D285" s="22" t="s">
        <v>7992</v>
      </c>
      <c r="E285" s="23" t="s">
        <v>13009</v>
      </c>
      <c r="F285" s="19">
        <v>40926.488391203704</v>
      </c>
      <c r="G285" s="9" t="s">
        <v>171</v>
      </c>
      <c r="H285" s="35" t="s">
        <v>7105</v>
      </c>
      <c r="I285" s="25" t="s">
        <v>7106</v>
      </c>
    </row>
    <row r="286" spans="1:9" s="11" customFormat="1" ht="105">
      <c r="A286" s="19">
        <v>43551.648680555554</v>
      </c>
      <c r="B286" s="20" t="s">
        <v>15366</v>
      </c>
      <c r="C286" s="21" t="s">
        <v>370</v>
      </c>
      <c r="D286" s="22" t="s">
        <v>7075</v>
      </c>
      <c r="E286" s="23" t="s">
        <v>13013</v>
      </c>
      <c r="F286" s="19">
        <v>42795.278923611113</v>
      </c>
      <c r="G286" s="24" t="s">
        <v>171</v>
      </c>
      <c r="H286" s="35" t="s">
        <v>372</v>
      </c>
      <c r="I286" s="25" t="s">
        <v>373</v>
      </c>
    </row>
    <row r="287" spans="1:9" s="11" customFormat="1" ht="105">
      <c r="A287" s="19">
        <v>43551.457326388889</v>
      </c>
      <c r="B287" s="20" t="s">
        <v>15366</v>
      </c>
      <c r="C287" s="21" t="s">
        <v>370</v>
      </c>
      <c r="D287" s="22" t="s">
        <v>7190</v>
      </c>
      <c r="E287" s="23" t="s">
        <v>13013</v>
      </c>
      <c r="F287" s="19">
        <v>42795.278923611113</v>
      </c>
      <c r="G287" s="24" t="s">
        <v>171</v>
      </c>
      <c r="H287" s="35" t="s">
        <v>372</v>
      </c>
      <c r="I287" s="25" t="s">
        <v>373</v>
      </c>
    </row>
    <row r="288" spans="1:9" s="11" customFormat="1" ht="105">
      <c r="A288" s="19">
        <v>43551.068541666667</v>
      </c>
      <c r="B288" s="20" t="s">
        <v>15366</v>
      </c>
      <c r="C288" s="21" t="s">
        <v>370</v>
      </c>
      <c r="D288" s="22" t="s">
        <v>7449</v>
      </c>
      <c r="E288" s="23" t="s">
        <v>13013</v>
      </c>
      <c r="F288" s="19">
        <v>42795.278923611113</v>
      </c>
      <c r="G288" s="24" t="s">
        <v>171</v>
      </c>
      <c r="H288" s="35" t="s">
        <v>372</v>
      </c>
      <c r="I288" s="25" t="s">
        <v>373</v>
      </c>
    </row>
    <row r="289" spans="1:9" s="11" customFormat="1" ht="105">
      <c r="A289" s="19">
        <v>43550.136574074073</v>
      </c>
      <c r="B289" s="20" t="s">
        <v>15366</v>
      </c>
      <c r="C289" s="21" t="s">
        <v>370</v>
      </c>
      <c r="D289" s="22" t="s">
        <v>7822</v>
      </c>
      <c r="E289" s="23" t="s">
        <v>13013</v>
      </c>
      <c r="F289" s="19">
        <v>42795.278923611113</v>
      </c>
      <c r="G289" s="24" t="s">
        <v>171</v>
      </c>
      <c r="H289" s="35" t="s">
        <v>372</v>
      </c>
      <c r="I289" s="25" t="s">
        <v>373</v>
      </c>
    </row>
    <row r="290" spans="1:9" s="11" customFormat="1" ht="120">
      <c r="A290" s="19">
        <v>43550.034236111111</v>
      </c>
      <c r="B290" s="20" t="s">
        <v>15366</v>
      </c>
      <c r="C290" s="21" t="s">
        <v>370</v>
      </c>
      <c r="D290" s="22" t="s">
        <v>7855</v>
      </c>
      <c r="E290" s="23" t="s">
        <v>13013</v>
      </c>
      <c r="F290" s="19">
        <v>42795.278923611113</v>
      </c>
      <c r="G290" s="24" t="s">
        <v>171</v>
      </c>
      <c r="H290" s="35" t="s">
        <v>372</v>
      </c>
      <c r="I290" s="25" t="s">
        <v>373</v>
      </c>
    </row>
    <row r="291" spans="1:9" s="11" customFormat="1" ht="105">
      <c r="A291" s="19">
        <v>43549.13685185185</v>
      </c>
      <c r="B291" s="20" t="s">
        <v>15366</v>
      </c>
      <c r="C291" s="21" t="s">
        <v>370</v>
      </c>
      <c r="D291" s="22" t="s">
        <v>8149</v>
      </c>
      <c r="E291" s="23" t="s">
        <v>13013</v>
      </c>
      <c r="F291" s="19">
        <v>42795.278923611113</v>
      </c>
      <c r="G291" s="24" t="s">
        <v>171</v>
      </c>
      <c r="H291" s="35" t="s">
        <v>372</v>
      </c>
      <c r="I291" s="25" t="s">
        <v>373</v>
      </c>
    </row>
    <row r="292" spans="1:9" s="11" customFormat="1" ht="105">
      <c r="A292" s="19">
        <v>43548.689143518517</v>
      </c>
      <c r="B292" s="20" t="s">
        <v>15366</v>
      </c>
      <c r="C292" s="21" t="s">
        <v>370</v>
      </c>
      <c r="D292" s="22" t="s">
        <v>8246</v>
      </c>
      <c r="E292" s="23" t="s">
        <v>13013</v>
      </c>
      <c r="F292" s="19">
        <v>42795.278923611113</v>
      </c>
      <c r="G292" s="24" t="s">
        <v>171</v>
      </c>
      <c r="H292" s="35" t="s">
        <v>372</v>
      </c>
      <c r="I292" s="25" t="s">
        <v>373</v>
      </c>
    </row>
    <row r="293" spans="1:9" s="11" customFormat="1" ht="105">
      <c r="A293" s="19">
        <v>43548.422685185185</v>
      </c>
      <c r="B293" s="20" t="s">
        <v>15366</v>
      </c>
      <c r="C293" s="21" t="s">
        <v>370</v>
      </c>
      <c r="D293" s="22" t="s">
        <v>8326</v>
      </c>
      <c r="E293" s="23" t="s">
        <v>13013</v>
      </c>
      <c r="F293" s="19">
        <v>42795.278923611113</v>
      </c>
      <c r="G293" s="24" t="s">
        <v>171</v>
      </c>
      <c r="H293" s="35" t="s">
        <v>372</v>
      </c>
      <c r="I293" s="25" t="s">
        <v>373</v>
      </c>
    </row>
    <row r="294" spans="1:9" s="11" customFormat="1" ht="105">
      <c r="A294" s="19">
        <v>43546.642835648148</v>
      </c>
      <c r="B294" s="20" t="s">
        <v>15366</v>
      </c>
      <c r="C294" s="21" t="s">
        <v>370</v>
      </c>
      <c r="D294" s="22" t="s">
        <v>8784</v>
      </c>
      <c r="E294" s="23" t="s">
        <v>13013</v>
      </c>
      <c r="F294" s="19">
        <v>42795.278923611113</v>
      </c>
      <c r="G294" s="24" t="s">
        <v>171</v>
      </c>
      <c r="H294" s="35" t="s">
        <v>372</v>
      </c>
      <c r="I294" s="25" t="s">
        <v>373</v>
      </c>
    </row>
    <row r="295" spans="1:9" s="11" customFormat="1" ht="105">
      <c r="A295" s="19">
        <v>43546.401932870373</v>
      </c>
      <c r="B295" s="20" t="s">
        <v>15366</v>
      </c>
      <c r="C295" s="21" t="s">
        <v>370</v>
      </c>
      <c r="D295" s="22" t="s">
        <v>8876</v>
      </c>
      <c r="E295" s="23" t="s">
        <v>13013</v>
      </c>
      <c r="F295" s="19">
        <v>42795.278923611113</v>
      </c>
      <c r="G295" s="24" t="s">
        <v>171</v>
      </c>
      <c r="H295" s="35" t="s">
        <v>372</v>
      </c>
      <c r="I295" s="25" t="s">
        <v>373</v>
      </c>
    </row>
    <row r="296" spans="1:9" s="11" customFormat="1" ht="105">
      <c r="A296" s="19">
        <v>43545.354143518518</v>
      </c>
      <c r="B296" s="20" t="s">
        <v>15366</v>
      </c>
      <c r="C296" s="21" t="s">
        <v>370</v>
      </c>
      <c r="D296" s="22" t="s">
        <v>9177</v>
      </c>
      <c r="E296" s="23" t="s">
        <v>13013</v>
      </c>
      <c r="F296" s="19">
        <v>42795.278923611113</v>
      </c>
      <c r="G296" s="24" t="s">
        <v>171</v>
      </c>
      <c r="H296" s="35" t="s">
        <v>372</v>
      </c>
      <c r="I296" s="25" t="s">
        <v>373</v>
      </c>
    </row>
    <row r="297" spans="1:9" s="11" customFormat="1" ht="105">
      <c r="A297" s="19">
        <v>43544.937245370369</v>
      </c>
      <c r="B297" s="20" t="s">
        <v>15366</v>
      </c>
      <c r="C297" s="21" t="s">
        <v>370</v>
      </c>
      <c r="D297" s="22" t="s">
        <v>9317</v>
      </c>
      <c r="E297" s="23" t="s">
        <v>13013</v>
      </c>
      <c r="F297" s="19">
        <v>42795.278923611113</v>
      </c>
      <c r="G297" s="24" t="s">
        <v>171</v>
      </c>
      <c r="H297" s="35" t="s">
        <v>372</v>
      </c>
      <c r="I297" s="25" t="s">
        <v>373</v>
      </c>
    </row>
    <row r="298" spans="1:9" s="11" customFormat="1" ht="105">
      <c r="A298" s="19">
        <v>43544.613506944443</v>
      </c>
      <c r="B298" s="20" t="s">
        <v>15366</v>
      </c>
      <c r="C298" s="21" t="s">
        <v>370</v>
      </c>
      <c r="D298" s="22" t="s">
        <v>9399</v>
      </c>
      <c r="E298" s="23" t="s">
        <v>13013</v>
      </c>
      <c r="F298" s="19">
        <v>42795.278923611113</v>
      </c>
      <c r="G298" s="24" t="s">
        <v>171</v>
      </c>
      <c r="H298" s="35" t="s">
        <v>372</v>
      </c>
      <c r="I298" s="25" t="s">
        <v>373</v>
      </c>
    </row>
    <row r="299" spans="1:9" s="11" customFormat="1" ht="120">
      <c r="A299" s="19">
        <v>43544.014479166668</v>
      </c>
      <c r="B299" s="20" t="s">
        <v>15366</v>
      </c>
      <c r="C299" s="21" t="s">
        <v>370</v>
      </c>
      <c r="D299" s="22" t="s">
        <v>9638</v>
      </c>
      <c r="E299" s="23" t="s">
        <v>13013</v>
      </c>
      <c r="F299" s="19">
        <v>42795.278923611113</v>
      </c>
      <c r="G299" s="24" t="s">
        <v>171</v>
      </c>
      <c r="H299" s="35" t="s">
        <v>372</v>
      </c>
      <c r="I299" s="25" t="s">
        <v>373</v>
      </c>
    </row>
    <row r="300" spans="1:9" s="11" customFormat="1" ht="105">
      <c r="A300" s="19">
        <v>43544.013865740737</v>
      </c>
      <c r="B300" s="20" t="s">
        <v>15366</v>
      </c>
      <c r="C300" s="21" t="s">
        <v>370</v>
      </c>
      <c r="D300" s="22" t="s">
        <v>9639</v>
      </c>
      <c r="E300" s="23" t="s">
        <v>13013</v>
      </c>
      <c r="F300" s="19">
        <v>42795.278923611113</v>
      </c>
      <c r="G300" s="24" t="s">
        <v>171</v>
      </c>
      <c r="H300" s="35" t="s">
        <v>372</v>
      </c>
      <c r="I300" s="25" t="s">
        <v>373</v>
      </c>
    </row>
    <row r="301" spans="1:9" s="11" customFormat="1" ht="105">
      <c r="A301" s="19">
        <v>43543.271145833336</v>
      </c>
      <c r="B301" s="20" t="s">
        <v>15366</v>
      </c>
      <c r="C301" s="21" t="s">
        <v>370</v>
      </c>
      <c r="D301" s="22" t="s">
        <v>9880</v>
      </c>
      <c r="E301" s="23" t="s">
        <v>13013</v>
      </c>
      <c r="F301" s="19">
        <v>42795.278923611113</v>
      </c>
      <c r="G301" s="24" t="s">
        <v>171</v>
      </c>
      <c r="H301" s="35" t="s">
        <v>372</v>
      </c>
      <c r="I301" s="25" t="s">
        <v>373</v>
      </c>
    </row>
    <row r="302" spans="1:9" s="11" customFormat="1" ht="105">
      <c r="A302" s="19">
        <v>43543.037870370375</v>
      </c>
      <c r="B302" s="20" t="s">
        <v>15366</v>
      </c>
      <c r="C302" s="21" t="s">
        <v>370</v>
      </c>
      <c r="D302" s="22" t="s">
        <v>9958</v>
      </c>
      <c r="E302" s="23" t="s">
        <v>13013</v>
      </c>
      <c r="F302" s="19">
        <v>42795.278923611113</v>
      </c>
      <c r="G302" s="24" t="s">
        <v>171</v>
      </c>
      <c r="H302" s="35" t="s">
        <v>372</v>
      </c>
      <c r="I302" s="25" t="s">
        <v>373</v>
      </c>
    </row>
    <row r="303" spans="1:9" s="11" customFormat="1" ht="105">
      <c r="A303" s="19">
        <v>43543.035902777774</v>
      </c>
      <c r="B303" s="20" t="s">
        <v>15366</v>
      </c>
      <c r="C303" s="21" t="s">
        <v>370</v>
      </c>
      <c r="D303" s="22" t="s">
        <v>9959</v>
      </c>
      <c r="E303" s="23" t="s">
        <v>13013</v>
      </c>
      <c r="F303" s="19">
        <v>42795.278923611113</v>
      </c>
      <c r="G303" s="24" t="s">
        <v>171</v>
      </c>
      <c r="H303" s="35" t="s">
        <v>372</v>
      </c>
      <c r="I303" s="25" t="s">
        <v>373</v>
      </c>
    </row>
    <row r="304" spans="1:9" s="11" customFormat="1" ht="105">
      <c r="A304" s="19">
        <v>43542.641192129631</v>
      </c>
      <c r="B304" s="20" t="s">
        <v>15366</v>
      </c>
      <c r="C304" s="21" t="s">
        <v>370</v>
      </c>
      <c r="D304" s="22" t="s">
        <v>10054</v>
      </c>
      <c r="E304" s="23" t="s">
        <v>13013</v>
      </c>
      <c r="F304" s="19">
        <v>42795.278923611113</v>
      </c>
      <c r="G304" s="24" t="s">
        <v>171</v>
      </c>
      <c r="H304" s="35" t="s">
        <v>372</v>
      </c>
      <c r="I304" s="25" t="s">
        <v>373</v>
      </c>
    </row>
    <row r="305" spans="1:9" s="11" customFormat="1" ht="105">
      <c r="A305" s="4">
        <v>43565.82094907407</v>
      </c>
      <c r="B305" s="5" t="s">
        <v>15366</v>
      </c>
      <c r="C305" s="6" t="s">
        <v>370</v>
      </c>
      <c r="D305" s="7" t="s">
        <v>5888</v>
      </c>
      <c r="E305" s="8" t="s">
        <v>13013</v>
      </c>
      <c r="F305" s="4">
        <v>42795.278923611113</v>
      </c>
      <c r="G305" s="24" t="s">
        <v>171</v>
      </c>
      <c r="H305" s="35" t="s">
        <v>372</v>
      </c>
      <c r="I305" s="10" t="s">
        <v>373</v>
      </c>
    </row>
    <row r="306" spans="1:9" s="11" customFormat="1" ht="105">
      <c r="A306" s="4">
        <v>43565.478460648148</v>
      </c>
      <c r="B306" s="5" t="s">
        <v>15366</v>
      </c>
      <c r="C306" s="6" t="s">
        <v>370</v>
      </c>
      <c r="D306" s="7" t="s">
        <v>6065</v>
      </c>
      <c r="E306" s="8" t="s">
        <v>13013</v>
      </c>
      <c r="F306" s="4">
        <v>42795.278923611113</v>
      </c>
      <c r="G306" s="24" t="s">
        <v>171</v>
      </c>
      <c r="H306" s="35" t="s">
        <v>372</v>
      </c>
      <c r="I306" s="10" t="s">
        <v>373</v>
      </c>
    </row>
    <row r="307" spans="1:9" s="11" customFormat="1" ht="105">
      <c r="A307" s="4">
        <v>43564.481840277775</v>
      </c>
      <c r="B307" s="5" t="s">
        <v>15366</v>
      </c>
      <c r="C307" s="6" t="s">
        <v>370</v>
      </c>
      <c r="D307" s="7" t="s">
        <v>6586</v>
      </c>
      <c r="E307" s="8" t="s">
        <v>13013</v>
      </c>
      <c r="F307" s="4">
        <v>42795.278923611113</v>
      </c>
      <c r="G307" s="24" t="s">
        <v>171</v>
      </c>
      <c r="H307" s="35" t="s">
        <v>372</v>
      </c>
      <c r="I307" s="10" t="s">
        <v>373</v>
      </c>
    </row>
    <row r="308" spans="1:9" s="11" customFormat="1" ht="105">
      <c r="A308" s="4">
        <v>43563.50099537037</v>
      </c>
      <c r="B308" s="5" t="s">
        <v>15366</v>
      </c>
      <c r="C308" s="6" t="s">
        <v>370</v>
      </c>
      <c r="D308" s="7" t="s">
        <v>10258</v>
      </c>
      <c r="E308" s="8" t="s">
        <v>13013</v>
      </c>
      <c r="F308" s="4">
        <v>42795.278923611113</v>
      </c>
      <c r="G308" s="24" t="s">
        <v>171</v>
      </c>
      <c r="H308" s="35" t="s">
        <v>372</v>
      </c>
      <c r="I308" s="10" t="s">
        <v>373</v>
      </c>
    </row>
    <row r="309" spans="1:9" s="11" customFormat="1" ht="105">
      <c r="A309" s="4">
        <v>43562.788356481484</v>
      </c>
      <c r="B309" s="5" t="s">
        <v>15366</v>
      </c>
      <c r="C309" s="6" t="s">
        <v>370</v>
      </c>
      <c r="D309" s="7" t="s">
        <v>10584</v>
      </c>
      <c r="E309" s="8" t="s">
        <v>13013</v>
      </c>
      <c r="F309" s="4">
        <v>42795.278923611113</v>
      </c>
      <c r="G309" s="24" t="s">
        <v>171</v>
      </c>
      <c r="H309" s="35" t="s">
        <v>372</v>
      </c>
      <c r="I309" s="10" t="s">
        <v>373</v>
      </c>
    </row>
    <row r="310" spans="1:9" s="11" customFormat="1" ht="105">
      <c r="A310" s="4">
        <v>43562.786377314813</v>
      </c>
      <c r="B310" s="5" t="s">
        <v>15366</v>
      </c>
      <c r="C310" s="6" t="s">
        <v>370</v>
      </c>
      <c r="D310" s="7" t="s">
        <v>10586</v>
      </c>
      <c r="E310" s="8" t="s">
        <v>13013</v>
      </c>
      <c r="F310" s="4">
        <v>42795.278923611113</v>
      </c>
      <c r="G310" s="24" t="s">
        <v>171</v>
      </c>
      <c r="H310" s="35" t="s">
        <v>372</v>
      </c>
      <c r="I310" s="10" t="s">
        <v>373</v>
      </c>
    </row>
    <row r="311" spans="1:9" s="11" customFormat="1" ht="105">
      <c r="A311" s="4">
        <v>43562.06826388889</v>
      </c>
      <c r="B311" s="5" t="s">
        <v>15366</v>
      </c>
      <c r="C311" s="6" t="s">
        <v>370</v>
      </c>
      <c r="D311" s="7" t="s">
        <v>10760</v>
      </c>
      <c r="E311" s="8" t="s">
        <v>13013</v>
      </c>
      <c r="F311" s="4">
        <v>42795.278923611113</v>
      </c>
      <c r="G311" s="24" t="s">
        <v>171</v>
      </c>
      <c r="H311" s="35" t="s">
        <v>372</v>
      </c>
      <c r="I311" s="10" t="s">
        <v>373</v>
      </c>
    </row>
    <row r="312" spans="1:9" s="11" customFormat="1" ht="105">
      <c r="A312" s="4">
        <v>43562.067199074074</v>
      </c>
      <c r="B312" s="5" t="s">
        <v>15366</v>
      </c>
      <c r="C312" s="6" t="s">
        <v>370</v>
      </c>
      <c r="D312" s="7" t="s">
        <v>10761</v>
      </c>
      <c r="E312" s="8" t="s">
        <v>13013</v>
      </c>
      <c r="F312" s="4">
        <v>42795.278923611113</v>
      </c>
      <c r="G312" s="24" t="s">
        <v>171</v>
      </c>
      <c r="H312" s="35" t="s">
        <v>372</v>
      </c>
      <c r="I312" s="10" t="s">
        <v>373</v>
      </c>
    </row>
    <row r="313" spans="1:9" s="11" customFormat="1" ht="120">
      <c r="A313" s="4">
        <v>43562.066724537042</v>
      </c>
      <c r="B313" s="5" t="s">
        <v>15366</v>
      </c>
      <c r="C313" s="6" t="s">
        <v>370</v>
      </c>
      <c r="D313" s="7" t="s">
        <v>10762</v>
      </c>
      <c r="E313" s="8" t="s">
        <v>13013</v>
      </c>
      <c r="F313" s="4">
        <v>42795.278923611113</v>
      </c>
      <c r="G313" s="24" t="s">
        <v>171</v>
      </c>
      <c r="H313" s="35" t="s">
        <v>372</v>
      </c>
      <c r="I313" s="10" t="s">
        <v>373</v>
      </c>
    </row>
    <row r="314" spans="1:9" s="11" customFormat="1" ht="105">
      <c r="A314" s="4">
        <v>43561.384351851855</v>
      </c>
      <c r="B314" s="5" t="s">
        <v>15366</v>
      </c>
      <c r="C314" s="6" t="s">
        <v>370</v>
      </c>
      <c r="D314" s="7" t="s">
        <v>10992</v>
      </c>
      <c r="E314" s="8" t="s">
        <v>13013</v>
      </c>
      <c r="F314" s="4">
        <v>42795.278923611113</v>
      </c>
      <c r="G314" s="24" t="s">
        <v>171</v>
      </c>
      <c r="H314" s="35" t="s">
        <v>372</v>
      </c>
      <c r="I314" s="10" t="s">
        <v>373</v>
      </c>
    </row>
    <row r="315" spans="1:9" s="11" customFormat="1" ht="105">
      <c r="A315" s="4">
        <v>43561.034490740742</v>
      </c>
      <c r="B315" s="5" t="s">
        <v>15366</v>
      </c>
      <c r="C315" s="6" t="s">
        <v>370</v>
      </c>
      <c r="D315" s="7" t="s">
        <v>11109</v>
      </c>
      <c r="E315" s="8" t="s">
        <v>13013</v>
      </c>
      <c r="F315" s="4">
        <v>42795.278923611113</v>
      </c>
      <c r="G315" s="24" t="s">
        <v>171</v>
      </c>
      <c r="H315" s="35" t="s">
        <v>372</v>
      </c>
      <c r="I315" s="10" t="s">
        <v>373</v>
      </c>
    </row>
    <row r="316" spans="1:9" s="11" customFormat="1" ht="105">
      <c r="A316" s="4">
        <v>43560.972974537042</v>
      </c>
      <c r="B316" s="5" t="s">
        <v>15366</v>
      </c>
      <c r="C316" s="6" t="s">
        <v>370</v>
      </c>
      <c r="D316" s="7" t="s">
        <v>11120</v>
      </c>
      <c r="E316" s="8" t="s">
        <v>13013</v>
      </c>
      <c r="F316" s="4">
        <v>42795.278923611113</v>
      </c>
      <c r="G316" s="24" t="s">
        <v>171</v>
      </c>
      <c r="H316" s="35" t="s">
        <v>372</v>
      </c>
      <c r="I316" s="10" t="s">
        <v>373</v>
      </c>
    </row>
    <row r="317" spans="1:9" s="11" customFormat="1" ht="105">
      <c r="A317" s="4">
        <v>43560.41407407407</v>
      </c>
      <c r="B317" s="5" t="s">
        <v>15366</v>
      </c>
      <c r="C317" s="6" t="s">
        <v>370</v>
      </c>
      <c r="D317" s="7" t="s">
        <v>11401</v>
      </c>
      <c r="E317" s="8" t="s">
        <v>13013</v>
      </c>
      <c r="F317" s="4">
        <v>42795.278923611113</v>
      </c>
      <c r="G317" s="24" t="s">
        <v>171</v>
      </c>
      <c r="H317" s="35" t="s">
        <v>372</v>
      </c>
      <c r="I317" s="10" t="s">
        <v>373</v>
      </c>
    </row>
    <row r="318" spans="1:9" s="11" customFormat="1" ht="105">
      <c r="A318" s="4">
        <v>43560.165358796294</v>
      </c>
      <c r="B318" s="5" t="s">
        <v>15366</v>
      </c>
      <c r="C318" s="6" t="s">
        <v>370</v>
      </c>
      <c r="D318" s="7" t="s">
        <v>11583</v>
      </c>
      <c r="E318" s="8" t="s">
        <v>13013</v>
      </c>
      <c r="F318" s="4">
        <v>42795.278923611113</v>
      </c>
      <c r="G318" s="24" t="s">
        <v>171</v>
      </c>
      <c r="H318" s="35" t="s">
        <v>372</v>
      </c>
      <c r="I318" s="10" t="s">
        <v>373</v>
      </c>
    </row>
    <row r="319" spans="1:9" s="11" customFormat="1" ht="105">
      <c r="A319" s="4">
        <v>43560.035937499997</v>
      </c>
      <c r="B319" s="5" t="s">
        <v>15366</v>
      </c>
      <c r="C319" s="6" t="s">
        <v>370</v>
      </c>
      <c r="D319" s="7" t="s">
        <v>11634</v>
      </c>
      <c r="E319" s="8" t="s">
        <v>13013</v>
      </c>
      <c r="F319" s="4">
        <v>42795.278923611113</v>
      </c>
      <c r="G319" s="24" t="s">
        <v>171</v>
      </c>
      <c r="H319" s="35" t="s">
        <v>372</v>
      </c>
      <c r="I319" s="10" t="s">
        <v>373</v>
      </c>
    </row>
    <row r="320" spans="1:9" s="11" customFormat="1" ht="105">
      <c r="A320" s="4">
        <v>43558.24695601852</v>
      </c>
      <c r="B320" s="5" t="s">
        <v>15366</v>
      </c>
      <c r="C320" s="6" t="s">
        <v>370</v>
      </c>
      <c r="D320" s="7" t="s">
        <v>12269</v>
      </c>
      <c r="E320" s="8" t="s">
        <v>13013</v>
      </c>
      <c r="F320" s="4">
        <v>42795.278923611113</v>
      </c>
      <c r="G320" s="24" t="s">
        <v>171</v>
      </c>
      <c r="H320" s="35" t="s">
        <v>372</v>
      </c>
      <c r="I320" s="10" t="s">
        <v>373</v>
      </c>
    </row>
    <row r="321" spans="1:9" s="11" customFormat="1" ht="105">
      <c r="A321" s="4">
        <v>43558.040914351848</v>
      </c>
      <c r="B321" s="5" t="s">
        <v>15366</v>
      </c>
      <c r="C321" s="6" t="s">
        <v>370</v>
      </c>
      <c r="D321" s="7" t="s">
        <v>12340</v>
      </c>
      <c r="E321" s="8" t="s">
        <v>13013</v>
      </c>
      <c r="F321" s="4">
        <v>42795.278923611113</v>
      </c>
      <c r="G321" s="24" t="s">
        <v>171</v>
      </c>
      <c r="H321" s="35" t="s">
        <v>372</v>
      </c>
      <c r="I321" s="10" t="s">
        <v>373</v>
      </c>
    </row>
    <row r="322" spans="1:9" s="11" customFormat="1" ht="105">
      <c r="A322" s="4">
        <v>43557.928252314814</v>
      </c>
      <c r="B322" s="5" t="s">
        <v>15366</v>
      </c>
      <c r="C322" s="6" t="s">
        <v>370</v>
      </c>
      <c r="D322" s="7" t="s">
        <v>12362</v>
      </c>
      <c r="E322" s="8" t="s">
        <v>13013</v>
      </c>
      <c r="F322" s="4">
        <v>42795.278923611113</v>
      </c>
      <c r="G322" s="24" t="s">
        <v>171</v>
      </c>
      <c r="H322" s="35" t="s">
        <v>372</v>
      </c>
      <c r="I322" s="10" t="s">
        <v>373</v>
      </c>
    </row>
    <row r="323" spans="1:9" s="11" customFormat="1" ht="105">
      <c r="A323" s="4">
        <v>43557.91810185185</v>
      </c>
      <c r="B323" s="5" t="s">
        <v>15366</v>
      </c>
      <c r="C323" s="6" t="s">
        <v>370</v>
      </c>
      <c r="D323" s="7" t="s">
        <v>12363</v>
      </c>
      <c r="E323" s="8" t="s">
        <v>13013</v>
      </c>
      <c r="F323" s="4">
        <v>42795.278923611113</v>
      </c>
      <c r="G323" s="24" t="s">
        <v>171</v>
      </c>
      <c r="H323" s="35" t="s">
        <v>372</v>
      </c>
      <c r="I323" s="10" t="s">
        <v>373</v>
      </c>
    </row>
    <row r="324" spans="1:9" s="11" customFormat="1" ht="105">
      <c r="A324" s="4">
        <v>43557.913275462968</v>
      </c>
      <c r="B324" s="5" t="s">
        <v>15366</v>
      </c>
      <c r="C324" s="6" t="s">
        <v>370</v>
      </c>
      <c r="D324" s="7" t="s">
        <v>12364</v>
      </c>
      <c r="E324" s="8" t="s">
        <v>13013</v>
      </c>
      <c r="F324" s="4">
        <v>42795.278923611113</v>
      </c>
      <c r="G324" s="24" t="s">
        <v>171</v>
      </c>
      <c r="H324" s="35" t="s">
        <v>372</v>
      </c>
      <c r="I324" s="10" t="s">
        <v>373</v>
      </c>
    </row>
    <row r="325" spans="1:9" s="11" customFormat="1" ht="105">
      <c r="A325" s="4">
        <v>43557.318148148144</v>
      </c>
      <c r="B325" s="5" t="s">
        <v>15366</v>
      </c>
      <c r="C325" s="6" t="s">
        <v>370</v>
      </c>
      <c r="D325" s="7" t="s">
        <v>12563</v>
      </c>
      <c r="E325" s="8" t="s">
        <v>13013</v>
      </c>
      <c r="F325" s="4">
        <v>42795.278923611113</v>
      </c>
      <c r="G325" s="24" t="s">
        <v>171</v>
      </c>
      <c r="H325" s="35" t="s">
        <v>372</v>
      </c>
      <c r="I325" s="10" t="s">
        <v>373</v>
      </c>
    </row>
    <row r="326" spans="1:9" s="11" customFormat="1" ht="105">
      <c r="A326" s="4">
        <v>43557.159351851849</v>
      </c>
      <c r="B326" s="5" t="s">
        <v>15366</v>
      </c>
      <c r="C326" s="6" t="s">
        <v>370</v>
      </c>
      <c r="D326" s="7" t="s">
        <v>12636</v>
      </c>
      <c r="E326" s="8" t="s">
        <v>13013</v>
      </c>
      <c r="F326" s="4">
        <v>42795.278923611113</v>
      </c>
      <c r="G326" s="24" t="s">
        <v>171</v>
      </c>
      <c r="H326" s="35" t="s">
        <v>372</v>
      </c>
      <c r="I326" s="10" t="s">
        <v>373</v>
      </c>
    </row>
    <row r="327" spans="1:9" s="11" customFormat="1" ht="105">
      <c r="A327" s="4">
        <v>43557.034432870365</v>
      </c>
      <c r="B327" s="5" t="s">
        <v>15366</v>
      </c>
      <c r="C327" s="6" t="s">
        <v>370</v>
      </c>
      <c r="D327" s="7" t="s">
        <v>12674</v>
      </c>
      <c r="E327" s="8" t="s">
        <v>13013</v>
      </c>
      <c r="F327" s="4">
        <v>42795.278923611113</v>
      </c>
      <c r="G327" s="24" t="s">
        <v>171</v>
      </c>
      <c r="H327" s="35" t="s">
        <v>372</v>
      </c>
      <c r="I327" s="10" t="s">
        <v>373</v>
      </c>
    </row>
    <row r="328" spans="1:9" s="11" customFormat="1" ht="105">
      <c r="A328" s="4">
        <v>43556.917164351849</v>
      </c>
      <c r="B328" s="5" t="s">
        <v>15366</v>
      </c>
      <c r="C328" s="6" t="s">
        <v>370</v>
      </c>
      <c r="D328" s="7" t="s">
        <v>12706</v>
      </c>
      <c r="E328" s="8" t="s">
        <v>13013</v>
      </c>
      <c r="F328" s="4">
        <v>42795.278923611113</v>
      </c>
      <c r="G328" s="24" t="s">
        <v>171</v>
      </c>
      <c r="H328" s="35" t="s">
        <v>372</v>
      </c>
      <c r="I328" s="10" t="s">
        <v>373</v>
      </c>
    </row>
    <row r="329" spans="1:9" s="11" customFormat="1" ht="105">
      <c r="A329" s="12">
        <v>43579.976770833338</v>
      </c>
      <c r="B329" s="13" t="s">
        <v>15366</v>
      </c>
      <c r="C329" s="14" t="s">
        <v>370</v>
      </c>
      <c r="D329" s="15" t="s">
        <v>371</v>
      </c>
      <c r="E329" s="16" t="s">
        <v>13013</v>
      </c>
      <c r="F329" s="12">
        <v>42795.278923611113</v>
      </c>
      <c r="G329" s="24" t="s">
        <v>171</v>
      </c>
      <c r="H329" s="35" t="s">
        <v>372</v>
      </c>
      <c r="I329" s="18" t="s">
        <v>373</v>
      </c>
    </row>
    <row r="330" spans="1:9" s="11" customFormat="1" ht="105">
      <c r="A330" s="12">
        <v>43579.376886574071</v>
      </c>
      <c r="B330" s="13" t="s">
        <v>15366</v>
      </c>
      <c r="C330" s="14" t="s">
        <v>370</v>
      </c>
      <c r="D330" s="15" t="s">
        <v>717</v>
      </c>
      <c r="E330" s="16" t="s">
        <v>13013</v>
      </c>
      <c r="F330" s="12">
        <v>42795.278923611113</v>
      </c>
      <c r="G330" s="24" t="s">
        <v>171</v>
      </c>
      <c r="H330" s="35" t="s">
        <v>372</v>
      </c>
      <c r="I330" s="18" t="s">
        <v>373</v>
      </c>
    </row>
    <row r="331" spans="1:9" s="11" customFormat="1" ht="105">
      <c r="A331" s="12">
        <v>43578.538877314815</v>
      </c>
      <c r="B331" s="13" t="s">
        <v>15366</v>
      </c>
      <c r="C331" s="14" t="s">
        <v>370</v>
      </c>
      <c r="D331" s="15" t="s">
        <v>1155</v>
      </c>
      <c r="E331" s="16" t="s">
        <v>13013</v>
      </c>
      <c r="F331" s="12">
        <v>42795.278923611113</v>
      </c>
      <c r="G331" s="24" t="s">
        <v>171</v>
      </c>
      <c r="H331" s="35" t="s">
        <v>372</v>
      </c>
      <c r="I331" s="18" t="s">
        <v>373</v>
      </c>
    </row>
    <row r="332" spans="1:9" s="11" customFormat="1" ht="105">
      <c r="A332" s="12">
        <v>43577.69630787037</v>
      </c>
      <c r="B332" s="13" t="s">
        <v>15366</v>
      </c>
      <c r="C332" s="14" t="s">
        <v>370</v>
      </c>
      <c r="D332" s="15" t="s">
        <v>1519</v>
      </c>
      <c r="E332" s="16" t="s">
        <v>13013</v>
      </c>
      <c r="F332" s="12">
        <v>42795.278923611113</v>
      </c>
      <c r="G332" s="24" t="s">
        <v>171</v>
      </c>
      <c r="H332" s="35" t="s">
        <v>372</v>
      </c>
      <c r="I332" s="18" t="s">
        <v>373</v>
      </c>
    </row>
    <row r="333" spans="1:9" s="11" customFormat="1" ht="105">
      <c r="A333" s="12">
        <v>43577.230879629627</v>
      </c>
      <c r="B333" s="13" t="s">
        <v>15366</v>
      </c>
      <c r="C333" s="14" t="s">
        <v>370</v>
      </c>
      <c r="D333" s="15" t="s">
        <v>1698</v>
      </c>
      <c r="E333" s="16" t="s">
        <v>13013</v>
      </c>
      <c r="F333" s="12">
        <v>42795.278923611113</v>
      </c>
      <c r="G333" s="24" t="s">
        <v>171</v>
      </c>
      <c r="H333" s="35" t="s">
        <v>372</v>
      </c>
      <c r="I333" s="18" t="s">
        <v>373</v>
      </c>
    </row>
    <row r="334" spans="1:9" s="11" customFormat="1" ht="105">
      <c r="A334" s="12">
        <v>43576.987118055556</v>
      </c>
      <c r="B334" s="13" t="s">
        <v>15366</v>
      </c>
      <c r="C334" s="14" t="s">
        <v>370</v>
      </c>
      <c r="D334" s="15" t="s">
        <v>1787</v>
      </c>
      <c r="E334" s="16" t="s">
        <v>13013</v>
      </c>
      <c r="F334" s="12">
        <v>42795.278923611113</v>
      </c>
      <c r="G334" s="24" t="s">
        <v>171</v>
      </c>
      <c r="H334" s="35" t="s">
        <v>372</v>
      </c>
      <c r="I334" s="18" t="s">
        <v>373</v>
      </c>
    </row>
    <row r="335" spans="1:9" s="11" customFormat="1" ht="105">
      <c r="A335" s="12">
        <v>43576.468182870369</v>
      </c>
      <c r="B335" s="13" t="s">
        <v>15366</v>
      </c>
      <c r="C335" s="14" t="s">
        <v>370</v>
      </c>
      <c r="D335" s="15" t="s">
        <v>1935</v>
      </c>
      <c r="E335" s="16" t="s">
        <v>13013</v>
      </c>
      <c r="F335" s="12">
        <v>42795.278923611113</v>
      </c>
      <c r="G335" s="24" t="s">
        <v>171</v>
      </c>
      <c r="H335" s="35" t="s">
        <v>372</v>
      </c>
      <c r="I335" s="18" t="s">
        <v>373</v>
      </c>
    </row>
    <row r="336" spans="1:9" s="11" customFormat="1" ht="105">
      <c r="A336" s="12">
        <v>43575.520543981482</v>
      </c>
      <c r="B336" s="13" t="s">
        <v>15366</v>
      </c>
      <c r="C336" s="14" t="s">
        <v>370</v>
      </c>
      <c r="D336" s="15" t="s">
        <v>2172</v>
      </c>
      <c r="E336" s="16" t="s">
        <v>13013</v>
      </c>
      <c r="F336" s="12">
        <v>42795.278923611113</v>
      </c>
      <c r="G336" s="24" t="s">
        <v>171</v>
      </c>
      <c r="H336" s="35" t="s">
        <v>372</v>
      </c>
      <c r="I336" s="18" t="s">
        <v>373</v>
      </c>
    </row>
    <row r="337" spans="1:9" s="11" customFormat="1" ht="105">
      <c r="A337" s="12">
        <v>43575.517453703702</v>
      </c>
      <c r="B337" s="13" t="s">
        <v>15366</v>
      </c>
      <c r="C337" s="14" t="s">
        <v>370</v>
      </c>
      <c r="D337" s="15" t="s">
        <v>2173</v>
      </c>
      <c r="E337" s="16" t="s">
        <v>13013</v>
      </c>
      <c r="F337" s="12">
        <v>42795.278923611113</v>
      </c>
      <c r="G337" s="24" t="s">
        <v>171</v>
      </c>
      <c r="H337" s="35" t="s">
        <v>372</v>
      </c>
      <c r="I337" s="18" t="s">
        <v>373</v>
      </c>
    </row>
    <row r="338" spans="1:9" s="11" customFormat="1" ht="105">
      <c r="A338" s="12">
        <v>43574.719502314816</v>
      </c>
      <c r="B338" s="13" t="s">
        <v>15366</v>
      </c>
      <c r="C338" s="14" t="s">
        <v>370</v>
      </c>
      <c r="D338" s="15" t="s">
        <v>2473</v>
      </c>
      <c r="E338" s="16" t="s">
        <v>13013</v>
      </c>
      <c r="F338" s="12">
        <v>42795.278923611113</v>
      </c>
      <c r="G338" s="24" t="s">
        <v>171</v>
      </c>
      <c r="H338" s="35" t="s">
        <v>372</v>
      </c>
      <c r="I338" s="18" t="s">
        <v>373</v>
      </c>
    </row>
    <row r="339" spans="1:9" s="11" customFormat="1" ht="105">
      <c r="A339" s="12">
        <v>43573.975856481484</v>
      </c>
      <c r="B339" s="13" t="s">
        <v>15366</v>
      </c>
      <c r="C339" s="14" t="s">
        <v>370</v>
      </c>
      <c r="D339" s="15" t="s">
        <v>2698</v>
      </c>
      <c r="E339" s="16" t="s">
        <v>13013</v>
      </c>
      <c r="F339" s="12">
        <v>42795.278923611113</v>
      </c>
      <c r="G339" s="24" t="s">
        <v>171</v>
      </c>
      <c r="H339" s="35" t="s">
        <v>372</v>
      </c>
      <c r="I339" s="18" t="s">
        <v>373</v>
      </c>
    </row>
    <row r="340" spans="1:9" s="11" customFormat="1" ht="105">
      <c r="A340" s="12">
        <v>43573.616701388892</v>
      </c>
      <c r="B340" s="13" t="s">
        <v>15366</v>
      </c>
      <c r="C340" s="14" t="s">
        <v>370</v>
      </c>
      <c r="D340" s="15" t="s">
        <v>2808</v>
      </c>
      <c r="E340" s="16" t="s">
        <v>13013</v>
      </c>
      <c r="F340" s="12">
        <v>42795.278923611113</v>
      </c>
      <c r="G340" s="24" t="s">
        <v>171</v>
      </c>
      <c r="H340" s="35" t="s">
        <v>372</v>
      </c>
      <c r="I340" s="18" t="s">
        <v>373</v>
      </c>
    </row>
    <row r="341" spans="1:9" s="11" customFormat="1" ht="105">
      <c r="A341" s="12">
        <v>43572.39875</v>
      </c>
      <c r="B341" s="13" t="s">
        <v>15366</v>
      </c>
      <c r="C341" s="14" t="s">
        <v>370</v>
      </c>
      <c r="D341" s="15" t="s">
        <v>3269</v>
      </c>
      <c r="E341" s="16" t="s">
        <v>13013</v>
      </c>
      <c r="F341" s="12">
        <v>42795.278923611113</v>
      </c>
      <c r="G341" s="24" t="s">
        <v>171</v>
      </c>
      <c r="H341" s="35" t="s">
        <v>372</v>
      </c>
      <c r="I341" s="18" t="s">
        <v>373</v>
      </c>
    </row>
    <row r="342" spans="1:9" s="11" customFormat="1" ht="105">
      <c r="A342" s="12">
        <v>43572.197916666672</v>
      </c>
      <c r="B342" s="13" t="s">
        <v>15366</v>
      </c>
      <c r="C342" s="14" t="s">
        <v>370</v>
      </c>
      <c r="D342" s="15" t="s">
        <v>3378</v>
      </c>
      <c r="E342" s="16" t="s">
        <v>13013</v>
      </c>
      <c r="F342" s="12">
        <v>42795.278923611113</v>
      </c>
      <c r="G342" s="24" t="s">
        <v>171</v>
      </c>
      <c r="H342" s="35" t="s">
        <v>372</v>
      </c>
      <c r="I342" s="18" t="s">
        <v>373</v>
      </c>
    </row>
    <row r="343" spans="1:9" s="11" customFormat="1" ht="105">
      <c r="A343" s="12">
        <v>43571.760624999995</v>
      </c>
      <c r="B343" s="13" t="s">
        <v>15366</v>
      </c>
      <c r="C343" s="14" t="s">
        <v>370</v>
      </c>
      <c r="D343" s="15" t="s">
        <v>3558</v>
      </c>
      <c r="E343" s="16" t="s">
        <v>13013</v>
      </c>
      <c r="F343" s="12">
        <v>42795.278923611113</v>
      </c>
      <c r="G343" s="24" t="s">
        <v>171</v>
      </c>
      <c r="H343" s="35" t="s">
        <v>372</v>
      </c>
      <c r="I343" s="18" t="s">
        <v>373</v>
      </c>
    </row>
    <row r="344" spans="1:9" s="11" customFormat="1" ht="105">
      <c r="A344" s="12">
        <v>43571.398043981477</v>
      </c>
      <c r="B344" s="13" t="s">
        <v>15366</v>
      </c>
      <c r="C344" s="14" t="s">
        <v>370</v>
      </c>
      <c r="D344" s="15" t="s">
        <v>3686</v>
      </c>
      <c r="E344" s="16" t="s">
        <v>13013</v>
      </c>
      <c r="F344" s="12">
        <v>42795.278923611113</v>
      </c>
      <c r="G344" s="24" t="s">
        <v>171</v>
      </c>
      <c r="H344" s="35" t="s">
        <v>372</v>
      </c>
      <c r="I344" s="18" t="s">
        <v>373</v>
      </c>
    </row>
    <row r="345" spans="1:9" s="11" customFormat="1" ht="105">
      <c r="A345" s="12">
        <v>43571.120046296295</v>
      </c>
      <c r="B345" s="13" t="s">
        <v>15366</v>
      </c>
      <c r="C345" s="14" t="s">
        <v>370</v>
      </c>
      <c r="D345" s="15" t="s">
        <v>3843</v>
      </c>
      <c r="E345" s="16" t="s">
        <v>13013</v>
      </c>
      <c r="F345" s="12">
        <v>42795.278923611113</v>
      </c>
      <c r="G345" s="24" t="s">
        <v>171</v>
      </c>
      <c r="H345" s="35" t="s">
        <v>372</v>
      </c>
      <c r="I345" s="18" t="s">
        <v>373</v>
      </c>
    </row>
    <row r="346" spans="1:9" s="11" customFormat="1" ht="105">
      <c r="A346" s="12">
        <v>43570.980266203704</v>
      </c>
      <c r="B346" s="13" t="s">
        <v>15366</v>
      </c>
      <c r="C346" s="14" t="s">
        <v>370</v>
      </c>
      <c r="D346" s="15" t="s">
        <v>3911</v>
      </c>
      <c r="E346" s="16" t="s">
        <v>13013</v>
      </c>
      <c r="F346" s="12">
        <v>42795.278923611113</v>
      </c>
      <c r="G346" s="24" t="s">
        <v>171</v>
      </c>
      <c r="H346" s="35" t="s">
        <v>372</v>
      </c>
      <c r="I346" s="18" t="s">
        <v>373</v>
      </c>
    </row>
    <row r="347" spans="1:9" s="11" customFormat="1" ht="105">
      <c r="A347" s="12">
        <v>43570.782187500001</v>
      </c>
      <c r="B347" s="13" t="s">
        <v>15366</v>
      </c>
      <c r="C347" s="14" t="s">
        <v>370</v>
      </c>
      <c r="D347" s="15" t="s">
        <v>3978</v>
      </c>
      <c r="E347" s="16" t="s">
        <v>13013</v>
      </c>
      <c r="F347" s="12">
        <v>42795.278923611113</v>
      </c>
      <c r="G347" s="24" t="s">
        <v>171</v>
      </c>
      <c r="H347" s="35" t="s">
        <v>372</v>
      </c>
      <c r="I347" s="18" t="s">
        <v>373</v>
      </c>
    </row>
    <row r="348" spans="1:9" s="11" customFormat="1" ht="105">
      <c r="A348" s="12">
        <v>43570.409699074073</v>
      </c>
      <c r="B348" s="13" t="s">
        <v>15366</v>
      </c>
      <c r="C348" s="14" t="s">
        <v>370</v>
      </c>
      <c r="D348" s="15" t="s">
        <v>4173</v>
      </c>
      <c r="E348" s="16" t="s">
        <v>13013</v>
      </c>
      <c r="F348" s="12">
        <v>42795.278923611113</v>
      </c>
      <c r="G348" s="24" t="s">
        <v>171</v>
      </c>
      <c r="H348" s="35" t="s">
        <v>372</v>
      </c>
      <c r="I348" s="18" t="s">
        <v>373</v>
      </c>
    </row>
    <row r="349" spans="1:9" s="11" customFormat="1" ht="105">
      <c r="A349" s="12">
        <v>43569.730740740742</v>
      </c>
      <c r="B349" s="13" t="s">
        <v>15366</v>
      </c>
      <c r="C349" s="14" t="s">
        <v>370</v>
      </c>
      <c r="D349" s="15" t="s">
        <v>4422</v>
      </c>
      <c r="E349" s="16" t="s">
        <v>13013</v>
      </c>
      <c r="F349" s="12">
        <v>42795.278923611113</v>
      </c>
      <c r="G349" s="24" t="s">
        <v>171</v>
      </c>
      <c r="H349" s="35" t="s">
        <v>372</v>
      </c>
      <c r="I349" s="18" t="s">
        <v>373</v>
      </c>
    </row>
    <row r="350" spans="1:9" s="11" customFormat="1" ht="105">
      <c r="A350" s="12">
        <v>43568.034050925926</v>
      </c>
      <c r="B350" s="13" t="s">
        <v>15366</v>
      </c>
      <c r="C350" s="14" t="s">
        <v>370</v>
      </c>
      <c r="D350" s="15" t="s">
        <v>4894</v>
      </c>
      <c r="E350" s="16" t="s">
        <v>13013</v>
      </c>
      <c r="F350" s="12">
        <v>42795.278923611113</v>
      </c>
      <c r="G350" s="24" t="s">
        <v>171</v>
      </c>
      <c r="H350" s="35" t="s">
        <v>372</v>
      </c>
      <c r="I350" s="18" t="s">
        <v>373</v>
      </c>
    </row>
    <row r="351" spans="1:9" s="11" customFormat="1" ht="105">
      <c r="A351" s="12">
        <v>43568.016851851848</v>
      </c>
      <c r="B351" s="13" t="s">
        <v>15366</v>
      </c>
      <c r="C351" s="14" t="s">
        <v>370</v>
      </c>
      <c r="D351" s="15" t="s">
        <v>4899</v>
      </c>
      <c r="E351" s="16" t="s">
        <v>13013</v>
      </c>
      <c r="F351" s="12">
        <v>42795.278923611113</v>
      </c>
      <c r="G351" s="24" t="s">
        <v>171</v>
      </c>
      <c r="H351" s="35" t="s">
        <v>372</v>
      </c>
      <c r="I351" s="18" t="s">
        <v>373</v>
      </c>
    </row>
    <row r="352" spans="1:9" s="11" customFormat="1" ht="105">
      <c r="A352" s="12">
        <v>43568.015300925923</v>
      </c>
      <c r="B352" s="13" t="s">
        <v>15366</v>
      </c>
      <c r="C352" s="14" t="s">
        <v>370</v>
      </c>
      <c r="D352" s="15" t="s">
        <v>4900</v>
      </c>
      <c r="E352" s="16" t="s">
        <v>13013</v>
      </c>
      <c r="F352" s="12">
        <v>42795.278923611113</v>
      </c>
      <c r="G352" s="24" t="s">
        <v>171</v>
      </c>
      <c r="H352" s="35" t="s">
        <v>372</v>
      </c>
      <c r="I352" s="18" t="s">
        <v>373</v>
      </c>
    </row>
    <row r="353" spans="1:9" s="11" customFormat="1" ht="105">
      <c r="A353" s="12">
        <v>43566.810115740736</v>
      </c>
      <c r="B353" s="13" t="s">
        <v>15366</v>
      </c>
      <c r="C353" s="14" t="s">
        <v>370</v>
      </c>
      <c r="D353" s="15" t="s">
        <v>5338</v>
      </c>
      <c r="E353" s="16" t="s">
        <v>13013</v>
      </c>
      <c r="F353" s="12">
        <v>42795.278923611113</v>
      </c>
      <c r="G353" s="24" t="s">
        <v>171</v>
      </c>
      <c r="H353" s="35" t="s">
        <v>372</v>
      </c>
      <c r="I353" s="18" t="s">
        <v>373</v>
      </c>
    </row>
    <row r="354" spans="1:9" s="11" customFormat="1" ht="105">
      <c r="A354" s="12">
        <v>43566.808530092589</v>
      </c>
      <c r="B354" s="13" t="s">
        <v>15366</v>
      </c>
      <c r="C354" s="14" t="s">
        <v>370</v>
      </c>
      <c r="D354" s="15" t="s">
        <v>5339</v>
      </c>
      <c r="E354" s="16" t="s">
        <v>13013</v>
      </c>
      <c r="F354" s="12">
        <v>42795.278923611113</v>
      </c>
      <c r="G354" s="24" t="s">
        <v>171</v>
      </c>
      <c r="H354" s="35" t="s">
        <v>372</v>
      </c>
      <c r="I354" s="18" t="s">
        <v>373</v>
      </c>
    </row>
    <row r="355" spans="1:9" s="11" customFormat="1" ht="105">
      <c r="A355" s="12">
        <v>43566.620162037041</v>
      </c>
      <c r="B355" s="13" t="s">
        <v>15366</v>
      </c>
      <c r="C355" s="14" t="s">
        <v>370</v>
      </c>
      <c r="D355" s="15" t="s">
        <v>5395</v>
      </c>
      <c r="E355" s="16" t="s">
        <v>13013</v>
      </c>
      <c r="F355" s="12">
        <v>42795.278923611113</v>
      </c>
      <c r="G355" s="24" t="s">
        <v>171</v>
      </c>
      <c r="H355" s="35" t="s">
        <v>372</v>
      </c>
      <c r="I355" s="18" t="s">
        <v>373</v>
      </c>
    </row>
    <row r="356" spans="1:9" s="11" customFormat="1" ht="105">
      <c r="A356" s="12">
        <v>43566.030659722222</v>
      </c>
      <c r="B356" s="13" t="s">
        <v>15366</v>
      </c>
      <c r="C356" s="14" t="s">
        <v>370</v>
      </c>
      <c r="D356" s="15" t="s">
        <v>5814</v>
      </c>
      <c r="E356" s="16" t="s">
        <v>13013</v>
      </c>
      <c r="F356" s="12">
        <v>42795.278923611113</v>
      </c>
      <c r="G356" s="24" t="s">
        <v>171</v>
      </c>
      <c r="H356" s="35" t="s">
        <v>372</v>
      </c>
      <c r="I356" s="18" t="s">
        <v>373</v>
      </c>
    </row>
    <row r="357" spans="1:9" s="11" customFormat="1" ht="105">
      <c r="A357" s="12">
        <v>43565.850983796292</v>
      </c>
      <c r="B357" s="13" t="s">
        <v>15366</v>
      </c>
      <c r="C357" s="14" t="s">
        <v>370</v>
      </c>
      <c r="D357" s="15" t="s">
        <v>5876</v>
      </c>
      <c r="E357" s="16" t="s">
        <v>13013</v>
      </c>
      <c r="F357" s="12">
        <v>42795.278923611113</v>
      </c>
      <c r="G357" s="24" t="s">
        <v>171</v>
      </c>
      <c r="H357" s="35" t="s">
        <v>372</v>
      </c>
      <c r="I357" s="18" t="s">
        <v>373</v>
      </c>
    </row>
    <row r="358" spans="1:9" s="11" customFormat="1" ht="75">
      <c r="A358" s="4">
        <v>43563.427951388891</v>
      </c>
      <c r="B358" s="5" t="s">
        <v>15367</v>
      </c>
      <c r="C358" s="6" t="s">
        <v>5254</v>
      </c>
      <c r="D358" s="7" t="s">
        <v>10292</v>
      </c>
      <c r="E358" s="8" t="s">
        <v>13032</v>
      </c>
      <c r="F358" s="4">
        <v>42310.39775462963</v>
      </c>
      <c r="G358" s="9" t="s">
        <v>171</v>
      </c>
      <c r="H358" s="35" t="s">
        <v>5256</v>
      </c>
      <c r="I358" s="10" t="s">
        <v>5257</v>
      </c>
    </row>
    <row r="359" spans="1:9" s="11" customFormat="1" ht="75">
      <c r="A359" s="4">
        <v>43563.024201388893</v>
      </c>
      <c r="B359" s="5" t="s">
        <v>15367</v>
      </c>
      <c r="C359" s="6" t="s">
        <v>5254</v>
      </c>
      <c r="D359" s="7" t="s">
        <v>10501</v>
      </c>
      <c r="E359" s="8" t="s">
        <v>13011</v>
      </c>
      <c r="F359" s="4">
        <v>42310.39775462963</v>
      </c>
      <c r="G359" s="9" t="s">
        <v>171</v>
      </c>
      <c r="H359" s="35" t="s">
        <v>5256</v>
      </c>
      <c r="I359" s="10" t="s">
        <v>5257</v>
      </c>
    </row>
    <row r="360" spans="1:9" s="11" customFormat="1" ht="75">
      <c r="A360" s="4">
        <v>43559.502199074079</v>
      </c>
      <c r="B360" s="5" t="s">
        <v>15367</v>
      </c>
      <c r="C360" s="6" t="s">
        <v>5254</v>
      </c>
      <c r="D360" s="7" t="s">
        <v>11788</v>
      </c>
      <c r="E360" s="8" t="s">
        <v>13032</v>
      </c>
      <c r="F360" s="4">
        <v>42310.39775462963</v>
      </c>
      <c r="G360" s="9" t="s">
        <v>171</v>
      </c>
      <c r="H360" s="35" t="s">
        <v>5256</v>
      </c>
      <c r="I360" s="10" t="s">
        <v>5257</v>
      </c>
    </row>
    <row r="361" spans="1:9" s="11" customFormat="1" ht="75">
      <c r="A361" s="4">
        <v>43559.045092592598</v>
      </c>
      <c r="B361" s="5" t="s">
        <v>15367</v>
      </c>
      <c r="C361" s="6" t="s">
        <v>5254</v>
      </c>
      <c r="D361" s="7" t="s">
        <v>11960</v>
      </c>
      <c r="E361" s="8" t="s">
        <v>13032</v>
      </c>
      <c r="F361" s="4">
        <v>42310.39775462963</v>
      </c>
      <c r="G361" s="9" t="s">
        <v>171</v>
      </c>
      <c r="H361" s="35" t="s">
        <v>5256</v>
      </c>
      <c r="I361" s="10" t="s">
        <v>5257</v>
      </c>
    </row>
    <row r="362" spans="1:9" s="11" customFormat="1" ht="75">
      <c r="A362" s="4">
        <v>43557.100937499999</v>
      </c>
      <c r="B362" s="5" t="s">
        <v>15367</v>
      </c>
      <c r="C362" s="6" t="s">
        <v>5254</v>
      </c>
      <c r="D362" s="7" t="s">
        <v>12653</v>
      </c>
      <c r="E362" s="8" t="s">
        <v>13011</v>
      </c>
      <c r="F362" s="4">
        <v>42310.39775462963</v>
      </c>
      <c r="G362" s="9" t="s">
        <v>171</v>
      </c>
      <c r="H362" s="35" t="s">
        <v>5256</v>
      </c>
      <c r="I362" s="10" t="s">
        <v>5257</v>
      </c>
    </row>
    <row r="363" spans="1:9" s="11" customFormat="1" ht="75">
      <c r="A363" s="12">
        <v>43567.062824074077</v>
      </c>
      <c r="B363" s="13" t="s">
        <v>15367</v>
      </c>
      <c r="C363" s="14" t="s">
        <v>5254</v>
      </c>
      <c r="D363" s="15" t="s">
        <v>5255</v>
      </c>
      <c r="E363" s="16" t="s">
        <v>13032</v>
      </c>
      <c r="F363" s="12">
        <v>42310.39775462963</v>
      </c>
      <c r="G363" s="9" t="s">
        <v>171</v>
      </c>
      <c r="H363" s="35" t="s">
        <v>5256</v>
      </c>
      <c r="I363" s="18" t="s">
        <v>5257</v>
      </c>
    </row>
    <row r="364" spans="1:9" s="11" customFormat="1" ht="60">
      <c r="A364" s="19">
        <v>43548.246458333335</v>
      </c>
      <c r="B364" s="20" t="s">
        <v>15368</v>
      </c>
      <c r="C364" s="21" t="s">
        <v>8372</v>
      </c>
      <c r="D364" s="22" t="s">
        <v>8373</v>
      </c>
      <c r="E364" s="23" t="s">
        <v>13013</v>
      </c>
      <c r="F364" s="19">
        <v>42107.403078703705</v>
      </c>
      <c r="G364" s="9" t="s">
        <v>171</v>
      </c>
      <c r="H364" s="35" t="s">
        <v>8374</v>
      </c>
      <c r="I364" s="25" t="s">
        <v>8375</v>
      </c>
    </row>
    <row r="365" spans="1:9" s="11" customFormat="1" ht="75">
      <c r="A365" s="19">
        <v>43548.245949074073</v>
      </c>
      <c r="B365" s="20" t="s">
        <v>15368</v>
      </c>
      <c r="C365" s="21" t="s">
        <v>8372</v>
      </c>
      <c r="D365" s="22" t="s">
        <v>8376</v>
      </c>
      <c r="E365" s="23" t="s">
        <v>13013</v>
      </c>
      <c r="F365" s="19">
        <v>42107.403078703705</v>
      </c>
      <c r="G365" s="9" t="s">
        <v>171</v>
      </c>
      <c r="H365" s="35" t="s">
        <v>8374</v>
      </c>
      <c r="I365" s="25" t="s">
        <v>8375</v>
      </c>
    </row>
    <row r="366" spans="1:9" s="11" customFormat="1" ht="75">
      <c r="A366" s="19">
        <v>43548.24490740741</v>
      </c>
      <c r="B366" s="20" t="s">
        <v>15368</v>
      </c>
      <c r="C366" s="21" t="s">
        <v>8372</v>
      </c>
      <c r="D366" s="22" t="s">
        <v>8377</v>
      </c>
      <c r="E366" s="23" t="s">
        <v>13013</v>
      </c>
      <c r="F366" s="19">
        <v>42107.403078703705</v>
      </c>
      <c r="G366" s="9" t="s">
        <v>171</v>
      </c>
      <c r="H366" s="35" t="s">
        <v>8374</v>
      </c>
      <c r="I366" s="25" t="s">
        <v>8375</v>
      </c>
    </row>
    <row r="367" spans="1:9" s="11" customFormat="1" ht="45">
      <c r="A367" s="12">
        <v>43573.049212962964</v>
      </c>
      <c r="B367" s="13" t="s">
        <v>15369</v>
      </c>
      <c r="C367" s="14" t="s">
        <v>3016</v>
      </c>
      <c r="D367" s="15" t="s">
        <v>3017</v>
      </c>
      <c r="E367" s="16" t="s">
        <v>13011</v>
      </c>
      <c r="F367" s="12">
        <v>43451.526585648149</v>
      </c>
      <c r="G367" s="9" t="s">
        <v>171</v>
      </c>
      <c r="H367" s="35" t="s">
        <v>3018</v>
      </c>
      <c r="I367" s="18" t="s">
        <v>3019</v>
      </c>
    </row>
    <row r="368" spans="1:9" s="11" customFormat="1" ht="120">
      <c r="A368" s="12">
        <v>43574.599189814813</v>
      </c>
      <c r="B368" s="13" t="s">
        <v>15370</v>
      </c>
      <c r="C368" s="14" t="s">
        <v>2499</v>
      </c>
      <c r="D368" s="15" t="s">
        <v>2500</v>
      </c>
      <c r="E368" s="16" t="s">
        <v>13032</v>
      </c>
      <c r="F368" s="12">
        <v>40193.525023148148</v>
      </c>
      <c r="G368" s="9" t="s">
        <v>171</v>
      </c>
      <c r="H368" s="35" t="s">
        <v>2501</v>
      </c>
      <c r="I368" s="18" t="s">
        <v>2502</v>
      </c>
    </row>
    <row r="369" spans="1:9" s="11" customFormat="1" ht="120">
      <c r="A369" s="4">
        <v>43560.987395833334</v>
      </c>
      <c r="B369" s="5" t="s">
        <v>15371</v>
      </c>
      <c r="C369" s="6" t="s">
        <v>11112</v>
      </c>
      <c r="D369" s="7" t="s">
        <v>11113</v>
      </c>
      <c r="E369" s="8" t="s">
        <v>13011</v>
      </c>
      <c r="F369" s="4">
        <v>40355.412418981483</v>
      </c>
      <c r="G369" s="9" t="s">
        <v>171</v>
      </c>
      <c r="H369" s="35" t="s">
        <v>11114</v>
      </c>
      <c r="I369" s="10" t="s">
        <v>11115</v>
      </c>
    </row>
    <row r="370" spans="1:9" s="11" customFormat="1" ht="105">
      <c r="A370" s="19">
        <v>43549.444918981477</v>
      </c>
      <c r="B370" s="20" t="s">
        <v>15372</v>
      </c>
      <c r="C370" s="21" t="s">
        <v>8032</v>
      </c>
      <c r="D370" s="22" t="s">
        <v>8033</v>
      </c>
      <c r="E370" s="23" t="s">
        <v>13018</v>
      </c>
      <c r="F370" s="19">
        <v>41778.119004629625</v>
      </c>
      <c r="G370" s="24" t="s">
        <v>171</v>
      </c>
      <c r="H370" s="35" t="s">
        <v>8034</v>
      </c>
      <c r="I370" s="25" t="s">
        <v>8035</v>
      </c>
    </row>
    <row r="371" spans="1:9" s="11" customFormat="1" ht="105">
      <c r="A371" s="4">
        <v>43564.602314814816</v>
      </c>
      <c r="B371" s="5" t="s">
        <v>15373</v>
      </c>
      <c r="C371" s="6" t="s">
        <v>6513</v>
      </c>
      <c r="D371" s="7" t="s">
        <v>6514</v>
      </c>
      <c r="E371" s="8" t="s">
        <v>13006</v>
      </c>
      <c r="F371" s="4">
        <v>40680.599247685182</v>
      </c>
      <c r="G371" s="17" t="s">
        <v>171</v>
      </c>
      <c r="H371" s="35" t="s">
        <v>6515</v>
      </c>
      <c r="I371" s="10" t="s">
        <v>6516</v>
      </c>
    </row>
    <row r="372" spans="1:9" s="11" customFormat="1" ht="105">
      <c r="A372" s="4">
        <v>43563.580347222218</v>
      </c>
      <c r="B372" s="5" t="s">
        <v>15373</v>
      </c>
      <c r="C372" s="6" t="s">
        <v>6513</v>
      </c>
      <c r="D372" s="7" t="s">
        <v>6961</v>
      </c>
      <c r="E372" s="8" t="s">
        <v>13032</v>
      </c>
      <c r="F372" s="4">
        <v>40680.599247685182</v>
      </c>
      <c r="G372" s="17" t="s">
        <v>171</v>
      </c>
      <c r="H372" s="35" t="s">
        <v>6515</v>
      </c>
      <c r="I372" s="10" t="s">
        <v>6516</v>
      </c>
    </row>
    <row r="373" spans="1:9" s="11" customFormat="1" ht="105">
      <c r="A373" s="4">
        <v>43562.558391203704</v>
      </c>
      <c r="B373" s="5" t="s">
        <v>15374</v>
      </c>
      <c r="C373" s="6" t="s">
        <v>1590</v>
      </c>
      <c r="D373" s="7" t="s">
        <v>10652</v>
      </c>
      <c r="E373" s="8" t="s">
        <v>13011</v>
      </c>
      <c r="F373" s="4">
        <v>43313.417627314819</v>
      </c>
      <c r="G373" s="9" t="s">
        <v>171</v>
      </c>
      <c r="H373" s="35" t="s">
        <v>1592</v>
      </c>
      <c r="I373" s="10" t="s">
        <v>1593</v>
      </c>
    </row>
    <row r="374" spans="1:9" s="11" customFormat="1" ht="105">
      <c r="A374" s="12">
        <v>43577.516469907408</v>
      </c>
      <c r="B374" s="13" t="s">
        <v>15374</v>
      </c>
      <c r="C374" s="14" t="s">
        <v>1590</v>
      </c>
      <c r="D374" s="15" t="s">
        <v>1591</v>
      </c>
      <c r="E374" s="16" t="s">
        <v>13011</v>
      </c>
      <c r="F374" s="12">
        <v>43313.417627314819</v>
      </c>
      <c r="G374" s="9" t="s">
        <v>171</v>
      </c>
      <c r="H374" s="35" t="s">
        <v>1592</v>
      </c>
      <c r="I374" s="18" t="s">
        <v>1593</v>
      </c>
    </row>
    <row r="375" spans="1:9" s="11" customFormat="1" ht="105">
      <c r="A375" s="12">
        <v>43568.544293981482</v>
      </c>
      <c r="B375" s="13" t="s">
        <v>15374</v>
      </c>
      <c r="C375" s="14" t="s">
        <v>1590</v>
      </c>
      <c r="D375" s="15" t="s">
        <v>4710</v>
      </c>
      <c r="E375" s="16" t="s">
        <v>13011</v>
      </c>
      <c r="F375" s="12">
        <v>43313.417627314819</v>
      </c>
      <c r="G375" s="9" t="s">
        <v>171</v>
      </c>
      <c r="H375" s="35" t="s">
        <v>1592</v>
      </c>
      <c r="I375" s="18" t="s">
        <v>1593</v>
      </c>
    </row>
    <row r="376" spans="1:9" s="11" customFormat="1" ht="90">
      <c r="A376" s="19">
        <v>43544.3284837963</v>
      </c>
      <c r="B376" s="20" t="s">
        <v>15375</v>
      </c>
      <c r="C376" s="21" t="s">
        <v>9521</v>
      </c>
      <c r="D376" s="22" t="s">
        <v>9522</v>
      </c>
      <c r="E376" s="23" t="s">
        <v>13034</v>
      </c>
      <c r="F376" s="19">
        <v>42834.536805555559</v>
      </c>
      <c r="G376" s="17" t="s">
        <v>171</v>
      </c>
      <c r="H376" s="35" t="s">
        <v>2388</v>
      </c>
      <c r="I376" s="25" t="s">
        <v>9523</v>
      </c>
    </row>
    <row r="377" spans="1:9" s="11" customFormat="1" ht="135">
      <c r="A377" s="12">
        <v>43575.011469907404</v>
      </c>
      <c r="B377" s="13" t="s">
        <v>15376</v>
      </c>
      <c r="C377" s="14" t="s">
        <v>2386</v>
      </c>
      <c r="D377" s="15" t="s">
        <v>2387</v>
      </c>
      <c r="E377" s="16" t="s">
        <v>13011</v>
      </c>
      <c r="F377" s="12">
        <v>43259.383206018523</v>
      </c>
      <c r="G377" s="17" t="s">
        <v>171</v>
      </c>
      <c r="H377" s="35" t="s">
        <v>2388</v>
      </c>
      <c r="I377" s="18" t="s">
        <v>2389</v>
      </c>
    </row>
    <row r="378" spans="1:9" s="11" customFormat="1" ht="120">
      <c r="A378" s="12">
        <v>43569.005775462967</v>
      </c>
      <c r="B378" s="13" t="s">
        <v>15376</v>
      </c>
      <c r="C378" s="14" t="s">
        <v>2386</v>
      </c>
      <c r="D378" s="15" t="s">
        <v>4607</v>
      </c>
      <c r="E378" s="16" t="s">
        <v>13011</v>
      </c>
      <c r="F378" s="12">
        <v>43259.383206018523</v>
      </c>
      <c r="G378" s="17" t="s">
        <v>171</v>
      </c>
      <c r="H378" s="35" t="s">
        <v>2388</v>
      </c>
      <c r="I378" s="18" t="s">
        <v>2389</v>
      </c>
    </row>
    <row r="379" spans="1:9" s="11" customFormat="1" ht="90">
      <c r="A379" s="12">
        <v>43580.139884259261</v>
      </c>
      <c r="B379" s="13" t="s">
        <v>15377</v>
      </c>
      <c r="C379" s="14" t="s">
        <v>242</v>
      </c>
      <c r="D379" s="15" t="s">
        <v>243</v>
      </c>
      <c r="E379" s="16" t="s">
        <v>13009</v>
      </c>
      <c r="F379" s="12">
        <v>41221.395162037035</v>
      </c>
      <c r="G379" s="17" t="s">
        <v>171</v>
      </c>
      <c r="H379" s="35" t="s">
        <v>244</v>
      </c>
      <c r="I379" s="18" t="s">
        <v>245</v>
      </c>
    </row>
    <row r="380" spans="1:9" s="11" customFormat="1" ht="30">
      <c r="A380" s="19">
        <v>43547.443090277782</v>
      </c>
      <c r="B380" s="20" t="s">
        <v>15378</v>
      </c>
      <c r="C380" s="21" t="s">
        <v>8540</v>
      </c>
      <c r="D380" s="22" t="s">
        <v>8541</v>
      </c>
      <c r="E380" s="23" t="s">
        <v>13015</v>
      </c>
      <c r="F380" s="19">
        <v>39901.234768518516</v>
      </c>
      <c r="G380" s="24" t="s">
        <v>171</v>
      </c>
      <c r="H380" s="35" t="s">
        <v>8542</v>
      </c>
      <c r="I380" s="25" t="s">
        <v>8543</v>
      </c>
    </row>
    <row r="381" spans="1:9" s="11" customFormat="1" ht="105">
      <c r="A381" s="4">
        <v>43561.079861111109</v>
      </c>
      <c r="B381" s="5" t="s">
        <v>15379</v>
      </c>
      <c r="C381" s="6" t="s">
        <v>597</v>
      </c>
      <c r="D381" s="7" t="s">
        <v>11084</v>
      </c>
      <c r="E381" s="8" t="s">
        <v>13120</v>
      </c>
      <c r="F381" s="4">
        <v>42391.395983796298</v>
      </c>
      <c r="G381" s="17" t="s">
        <v>171</v>
      </c>
      <c r="H381" s="35" t="s">
        <v>599</v>
      </c>
      <c r="I381" s="10" t="s">
        <v>600</v>
      </c>
    </row>
    <row r="382" spans="1:9" s="11" customFormat="1" ht="105">
      <c r="A382" s="4">
        <v>43557</v>
      </c>
      <c r="B382" s="5" t="s">
        <v>15379</v>
      </c>
      <c r="C382" s="6" t="s">
        <v>597</v>
      </c>
      <c r="D382" s="7" t="s">
        <v>12684</v>
      </c>
      <c r="E382" s="8" t="s">
        <v>13120</v>
      </c>
      <c r="F382" s="4">
        <v>42391.395983796298</v>
      </c>
      <c r="G382" s="17" t="s">
        <v>171</v>
      </c>
      <c r="H382" s="35" t="s">
        <v>599</v>
      </c>
      <c r="I382" s="10" t="s">
        <v>600</v>
      </c>
    </row>
    <row r="383" spans="1:9" s="11" customFormat="1" ht="105">
      <c r="A383" s="12">
        <v>43579.533032407402</v>
      </c>
      <c r="B383" s="13" t="s">
        <v>15379</v>
      </c>
      <c r="C383" s="14" t="s">
        <v>597</v>
      </c>
      <c r="D383" s="15" t="s">
        <v>598</v>
      </c>
      <c r="E383" s="16" t="s">
        <v>13011</v>
      </c>
      <c r="F383" s="12">
        <v>42391.395983796298</v>
      </c>
      <c r="G383" s="17" t="s">
        <v>171</v>
      </c>
      <c r="H383" s="35" t="s">
        <v>599</v>
      </c>
      <c r="I383" s="18" t="s">
        <v>600</v>
      </c>
    </row>
    <row r="384" spans="1:9" s="11" customFormat="1" ht="105">
      <c r="A384" s="12">
        <v>43571.19027777778</v>
      </c>
      <c r="B384" s="13" t="s">
        <v>15379</v>
      </c>
      <c r="C384" s="14" t="s">
        <v>597</v>
      </c>
      <c r="D384" s="15" t="s">
        <v>3807</v>
      </c>
      <c r="E384" s="16" t="s">
        <v>13120</v>
      </c>
      <c r="F384" s="12">
        <v>42391.395983796298</v>
      </c>
      <c r="G384" s="17" t="s">
        <v>171</v>
      </c>
      <c r="H384" s="35" t="s">
        <v>599</v>
      </c>
      <c r="I384" s="18" t="s">
        <v>600</v>
      </c>
    </row>
    <row r="385" spans="1:9" s="11" customFormat="1" ht="90">
      <c r="A385" s="12">
        <v>43579.254872685182</v>
      </c>
      <c r="B385" s="13" t="s">
        <v>15380</v>
      </c>
      <c r="C385" s="14" t="s">
        <v>818</v>
      </c>
      <c r="D385" s="15" t="s">
        <v>819</v>
      </c>
      <c r="E385" s="16" t="s">
        <v>13011</v>
      </c>
      <c r="F385" s="12">
        <v>40604.550613425927</v>
      </c>
      <c r="G385" s="24" t="s">
        <v>171</v>
      </c>
      <c r="H385" s="35" t="s">
        <v>820</v>
      </c>
      <c r="I385" s="18" t="s">
        <v>821</v>
      </c>
    </row>
    <row r="386" spans="1:9" s="11" customFormat="1" ht="75">
      <c r="A386" s="19">
        <v>43548.634305555555</v>
      </c>
      <c r="B386" s="20" t="s">
        <v>15381</v>
      </c>
      <c r="C386" s="21" t="s">
        <v>574</v>
      </c>
      <c r="D386" s="22" t="s">
        <v>8266</v>
      </c>
      <c r="E386" s="23" t="s">
        <v>13015</v>
      </c>
      <c r="F386" s="19">
        <v>42071.565115740741</v>
      </c>
      <c r="G386" s="24" t="s">
        <v>171</v>
      </c>
      <c r="H386" s="35" t="s">
        <v>576</v>
      </c>
      <c r="I386" s="25" t="s">
        <v>577</v>
      </c>
    </row>
    <row r="387" spans="1:9" s="11" customFormat="1" ht="75">
      <c r="A387" s="19">
        <v>43547.677071759259</v>
      </c>
      <c r="B387" s="20" t="s">
        <v>15381</v>
      </c>
      <c r="C387" s="21" t="s">
        <v>574</v>
      </c>
      <c r="D387" s="22" t="s">
        <v>8488</v>
      </c>
      <c r="E387" s="23" t="s">
        <v>13015</v>
      </c>
      <c r="F387" s="19">
        <v>42071.565115740741</v>
      </c>
      <c r="G387" s="24" t="s">
        <v>171</v>
      </c>
      <c r="H387" s="35" t="s">
        <v>576</v>
      </c>
      <c r="I387" s="25" t="s">
        <v>577</v>
      </c>
    </row>
    <row r="388" spans="1:9" s="11" customFormat="1" ht="75">
      <c r="A388" s="4">
        <v>43561.662453703699</v>
      </c>
      <c r="B388" s="5" t="s">
        <v>15381</v>
      </c>
      <c r="C388" s="6" t="s">
        <v>574</v>
      </c>
      <c r="D388" s="7" t="s">
        <v>10875</v>
      </c>
      <c r="E388" s="8" t="s">
        <v>13015</v>
      </c>
      <c r="F388" s="4">
        <v>42071.565115740741</v>
      </c>
      <c r="G388" s="24" t="s">
        <v>171</v>
      </c>
      <c r="H388" s="35" t="s">
        <v>576</v>
      </c>
      <c r="I388" s="10" t="s">
        <v>577</v>
      </c>
    </row>
    <row r="389" spans="1:9" s="11" customFormat="1" ht="75">
      <c r="A389" s="4">
        <v>43556.620370370365</v>
      </c>
      <c r="B389" s="5" t="s">
        <v>15381</v>
      </c>
      <c r="C389" s="6" t="s">
        <v>574</v>
      </c>
      <c r="D389" s="7" t="s">
        <v>12783</v>
      </c>
      <c r="E389" s="8" t="s">
        <v>13015</v>
      </c>
      <c r="F389" s="4">
        <v>42071.565115740741</v>
      </c>
      <c r="G389" s="24" t="s">
        <v>171</v>
      </c>
      <c r="H389" s="35" t="s">
        <v>576</v>
      </c>
      <c r="I389" s="10" t="s">
        <v>577</v>
      </c>
    </row>
    <row r="390" spans="1:9" s="11" customFormat="1" ht="75">
      <c r="A390" s="12">
        <v>43579.570844907408</v>
      </c>
      <c r="B390" s="13" t="s">
        <v>15381</v>
      </c>
      <c r="C390" s="14" t="s">
        <v>574</v>
      </c>
      <c r="D390" s="15" t="s">
        <v>575</v>
      </c>
      <c r="E390" s="16" t="s">
        <v>13013</v>
      </c>
      <c r="F390" s="12">
        <v>42071.565115740741</v>
      </c>
      <c r="G390" s="24" t="s">
        <v>171</v>
      </c>
      <c r="H390" s="35" t="s">
        <v>576</v>
      </c>
      <c r="I390" s="18" t="s">
        <v>577</v>
      </c>
    </row>
    <row r="391" spans="1:9" s="11" customFormat="1" ht="75">
      <c r="A391" s="12">
        <v>43569.213564814811</v>
      </c>
      <c r="B391" s="13" t="s">
        <v>15381</v>
      </c>
      <c r="C391" s="14" t="s">
        <v>574</v>
      </c>
      <c r="D391" s="15" t="s">
        <v>4578</v>
      </c>
      <c r="E391" s="16" t="s">
        <v>13015</v>
      </c>
      <c r="F391" s="12">
        <v>42071.565115740741</v>
      </c>
      <c r="G391" s="24" t="s">
        <v>171</v>
      </c>
      <c r="H391" s="35" t="s">
        <v>576</v>
      </c>
      <c r="I391" s="18" t="s">
        <v>577</v>
      </c>
    </row>
    <row r="392" spans="1:9" s="11" customFormat="1" ht="75">
      <c r="A392" s="12">
        <v>43567.617141203707</v>
      </c>
      <c r="B392" s="13" t="s">
        <v>15381</v>
      </c>
      <c r="C392" s="14" t="s">
        <v>574</v>
      </c>
      <c r="D392" s="15" t="s">
        <v>5023</v>
      </c>
      <c r="E392" s="16" t="s">
        <v>13015</v>
      </c>
      <c r="F392" s="12">
        <v>42071.565115740741</v>
      </c>
      <c r="G392" s="24" t="s">
        <v>171</v>
      </c>
      <c r="H392" s="35" t="s">
        <v>576</v>
      </c>
      <c r="I392" s="18" t="s">
        <v>577</v>
      </c>
    </row>
    <row r="393" spans="1:9" s="11" customFormat="1" ht="135">
      <c r="A393" s="19">
        <v>43542.631793981476</v>
      </c>
      <c r="B393" s="20" t="s">
        <v>15382</v>
      </c>
      <c r="C393" s="21" t="s">
        <v>10055</v>
      </c>
      <c r="D393" s="22" t="s">
        <v>10056</v>
      </c>
      <c r="E393" s="23" t="s">
        <v>13013</v>
      </c>
      <c r="F393" s="19">
        <v>43090.710833333331</v>
      </c>
      <c r="G393" s="24" t="s">
        <v>171</v>
      </c>
      <c r="H393" s="35" t="s">
        <v>10057</v>
      </c>
      <c r="I393" s="25" t="s">
        <v>10058</v>
      </c>
    </row>
    <row r="394" spans="1:9" s="11" customFormat="1" ht="105">
      <c r="A394" s="12">
        <v>43566.110902777778</v>
      </c>
      <c r="B394" s="13" t="s">
        <v>15383</v>
      </c>
      <c r="C394" s="14" t="s">
        <v>5780</v>
      </c>
      <c r="D394" s="15" t="s">
        <v>5781</v>
      </c>
      <c r="E394" s="16" t="s">
        <v>13011</v>
      </c>
      <c r="F394" s="12">
        <v>39824.393043981479</v>
      </c>
      <c r="G394" s="17" t="s">
        <v>171</v>
      </c>
      <c r="H394" s="35" t="s">
        <v>5782</v>
      </c>
      <c r="I394" s="18" t="s">
        <v>5783</v>
      </c>
    </row>
    <row r="395" spans="1:9" s="11" customFormat="1" ht="105">
      <c r="A395" s="19">
        <v>43551.297048611115</v>
      </c>
      <c r="B395" s="20" t="s">
        <v>15384</v>
      </c>
      <c r="C395" s="21" t="s">
        <v>7334</v>
      </c>
      <c r="D395" s="22" t="s">
        <v>7335</v>
      </c>
      <c r="E395" s="23" t="s">
        <v>13009</v>
      </c>
      <c r="F395" s="19">
        <v>40279.352187500001</v>
      </c>
      <c r="G395" s="24" t="s">
        <v>171</v>
      </c>
      <c r="H395" s="35" t="s">
        <v>7336</v>
      </c>
      <c r="I395" s="25" t="s">
        <v>7337</v>
      </c>
    </row>
    <row r="396" spans="1:9" s="11" customFormat="1" ht="75">
      <c r="A396" s="12">
        <v>43570.380729166667</v>
      </c>
      <c r="B396" s="13" t="s">
        <v>15385</v>
      </c>
      <c r="C396" s="14" t="s">
        <v>4187</v>
      </c>
      <c r="D396" s="15" t="s">
        <v>4188</v>
      </c>
      <c r="E396" s="16" t="s">
        <v>13032</v>
      </c>
      <c r="F396" s="12">
        <v>40568.058009259257</v>
      </c>
      <c r="G396" s="24" t="s">
        <v>171</v>
      </c>
      <c r="H396" s="35" t="s">
        <v>4189</v>
      </c>
      <c r="I396" s="18" t="s">
        <v>4190</v>
      </c>
    </row>
    <row r="397" spans="1:9" s="11" customFormat="1" ht="45">
      <c r="A397" s="4">
        <v>43560.56040509259</v>
      </c>
      <c r="B397" s="5" t="s">
        <v>15386</v>
      </c>
      <c r="C397" s="6" t="s">
        <v>11285</v>
      </c>
      <c r="D397" s="7" t="s">
        <v>11286</v>
      </c>
      <c r="E397" s="8" t="s">
        <v>13011</v>
      </c>
      <c r="F397" s="4">
        <v>40579.582557870366</v>
      </c>
      <c r="G397" s="9" t="s">
        <v>171</v>
      </c>
      <c r="H397" s="35" t="s">
        <v>11287</v>
      </c>
      <c r="I397" s="10" t="s">
        <v>11288</v>
      </c>
    </row>
    <row r="398" spans="1:9" s="11" customFormat="1" ht="60">
      <c r="A398" s="19">
        <v>43545.402280092589</v>
      </c>
      <c r="B398" s="20" t="s">
        <v>15387</v>
      </c>
      <c r="C398" s="21" t="s">
        <v>9155</v>
      </c>
      <c r="D398" s="22" t="s">
        <v>9156</v>
      </c>
      <c r="E398" s="23" t="s">
        <v>13011</v>
      </c>
      <c r="F398" s="19">
        <v>40374.39984953704</v>
      </c>
      <c r="G398" s="9" t="s">
        <v>171</v>
      </c>
      <c r="H398" s="35" t="s">
        <v>9157</v>
      </c>
      <c r="I398" s="25" t="s">
        <v>9158</v>
      </c>
    </row>
    <row r="399" spans="1:9" s="11" customFormat="1" ht="105">
      <c r="A399" s="4">
        <v>43558.159618055557</v>
      </c>
      <c r="B399" s="5" t="s">
        <v>15388</v>
      </c>
      <c r="C399" s="6" t="s">
        <v>12309</v>
      </c>
      <c r="D399" s="7" t="s">
        <v>12310</v>
      </c>
      <c r="E399" s="8" t="s">
        <v>13013</v>
      </c>
      <c r="F399" s="4">
        <v>40247.219155092593</v>
      </c>
      <c r="G399" s="9" t="s">
        <v>171</v>
      </c>
      <c r="H399" s="35" t="s">
        <v>9157</v>
      </c>
      <c r="I399" s="10" t="s">
        <v>12311</v>
      </c>
    </row>
    <row r="400" spans="1:9" s="11" customFormat="1" ht="120">
      <c r="A400" s="4">
        <v>43560.143738425926</v>
      </c>
      <c r="B400" s="5" t="s">
        <v>15389</v>
      </c>
      <c r="C400" s="6" t="s">
        <v>11598</v>
      </c>
      <c r="D400" s="7" t="s">
        <v>11599</v>
      </c>
      <c r="E400" s="8" t="s">
        <v>13009</v>
      </c>
      <c r="F400" s="4">
        <v>40025.314502314817</v>
      </c>
      <c r="G400" s="9" t="s">
        <v>171</v>
      </c>
      <c r="H400" s="35" t="s">
        <v>11600</v>
      </c>
      <c r="I400" s="10" t="s">
        <v>11601</v>
      </c>
    </row>
    <row r="401" spans="1:9" s="11" customFormat="1" ht="120">
      <c r="A401" s="19">
        <v>43550.097962962958</v>
      </c>
      <c r="B401" s="20" t="s">
        <v>15390</v>
      </c>
      <c r="C401" s="21" t="s">
        <v>7838</v>
      </c>
      <c r="D401" s="22" t="s">
        <v>7839</v>
      </c>
      <c r="E401" s="23" t="s">
        <v>13013</v>
      </c>
      <c r="F401" s="19">
        <v>41691.097395833334</v>
      </c>
      <c r="G401" s="24" t="s">
        <v>171</v>
      </c>
      <c r="H401" s="35" t="s">
        <v>7840</v>
      </c>
      <c r="I401" s="25" t="s">
        <v>7841</v>
      </c>
    </row>
    <row r="402" spans="1:9" s="11" customFormat="1" ht="90">
      <c r="A402" s="4">
        <v>43559.813368055555</v>
      </c>
      <c r="B402" s="5" t="s">
        <v>15391</v>
      </c>
      <c r="C402" s="6" t="s">
        <v>11685</v>
      </c>
      <c r="D402" s="7" t="s">
        <v>11686</v>
      </c>
      <c r="E402" s="8" t="s">
        <v>13015</v>
      </c>
      <c r="F402" s="4">
        <v>40459.618854166663</v>
      </c>
      <c r="G402" s="9" t="s">
        <v>171</v>
      </c>
      <c r="H402" s="35" t="s">
        <v>11687</v>
      </c>
      <c r="I402" s="10" t="s">
        <v>11688</v>
      </c>
    </row>
    <row r="403" spans="1:9" s="11" customFormat="1" ht="90">
      <c r="A403" s="19">
        <v>43551.403055555551</v>
      </c>
      <c r="B403" s="20" t="s">
        <v>15392</v>
      </c>
      <c r="C403" s="21" t="s">
        <v>7232</v>
      </c>
      <c r="D403" s="22" t="s">
        <v>7233</v>
      </c>
      <c r="E403" s="23" t="s">
        <v>13011</v>
      </c>
      <c r="F403" s="19">
        <v>40809.53465277778</v>
      </c>
      <c r="G403" s="24" t="s">
        <v>171</v>
      </c>
      <c r="H403" s="35" t="s">
        <v>7234</v>
      </c>
      <c r="I403" s="25" t="s">
        <v>7235</v>
      </c>
    </row>
    <row r="404" spans="1:9" s="11" customFormat="1" ht="105">
      <c r="A404" s="12">
        <v>43578.970300925925</v>
      </c>
      <c r="B404" s="13" t="s">
        <v>15393</v>
      </c>
      <c r="C404" s="14" t="s">
        <v>985</v>
      </c>
      <c r="D404" s="15" t="s">
        <v>986</v>
      </c>
      <c r="E404" s="16" t="s">
        <v>13462</v>
      </c>
      <c r="F404" s="12">
        <v>39886.175555555557</v>
      </c>
      <c r="G404" s="17" t="s">
        <v>171</v>
      </c>
      <c r="H404" s="35" t="s">
        <v>987</v>
      </c>
      <c r="I404" s="18" t="s">
        <v>988</v>
      </c>
    </row>
    <row r="405" spans="1:9" s="11" customFormat="1" ht="120">
      <c r="A405" s="12">
        <v>43575.143043981487</v>
      </c>
      <c r="B405" s="13" t="s">
        <v>15394</v>
      </c>
      <c r="C405" s="14" t="s">
        <v>2354</v>
      </c>
      <c r="D405" s="15" t="s">
        <v>2355</v>
      </c>
      <c r="E405" s="16" t="s">
        <v>13009</v>
      </c>
      <c r="F405" s="12">
        <v>42568.199293981481</v>
      </c>
      <c r="G405" s="17" t="s">
        <v>171</v>
      </c>
      <c r="H405" s="35" t="s">
        <v>2356</v>
      </c>
      <c r="I405" s="18" t="s">
        <v>2357</v>
      </c>
    </row>
    <row r="406" spans="1:9" s="11" customFormat="1" ht="60">
      <c r="A406" s="19">
        <v>43548.472013888888</v>
      </c>
      <c r="B406" s="20" t="s">
        <v>15395</v>
      </c>
      <c r="C406" s="21" t="s">
        <v>4474</v>
      </c>
      <c r="D406" s="22" t="s">
        <v>8307</v>
      </c>
      <c r="E406" s="23" t="s">
        <v>13013</v>
      </c>
      <c r="F406" s="19">
        <v>43373.180613425924</v>
      </c>
      <c r="G406" s="17" t="s">
        <v>171</v>
      </c>
      <c r="H406" s="35" t="s">
        <v>4476</v>
      </c>
      <c r="I406" s="25" t="s">
        <v>4477</v>
      </c>
    </row>
    <row r="407" spans="1:9" s="11" customFormat="1" ht="60">
      <c r="A407" s="19">
        <v>43543.607245370367</v>
      </c>
      <c r="B407" s="20" t="s">
        <v>15395</v>
      </c>
      <c r="C407" s="21" t="s">
        <v>4474</v>
      </c>
      <c r="D407" s="22" t="s">
        <v>9741</v>
      </c>
      <c r="E407" s="23" t="s">
        <v>13013</v>
      </c>
      <c r="F407" s="19">
        <v>43373.180613425924</v>
      </c>
      <c r="G407" s="17" t="s">
        <v>171</v>
      </c>
      <c r="H407" s="35" t="s">
        <v>4476</v>
      </c>
      <c r="I407" s="25" t="s">
        <v>4477</v>
      </c>
    </row>
    <row r="408" spans="1:9" s="11" customFormat="1" ht="60">
      <c r="A408" s="19">
        <v>43543.59951388889</v>
      </c>
      <c r="B408" s="20" t="s">
        <v>15395</v>
      </c>
      <c r="C408" s="21" t="s">
        <v>4474</v>
      </c>
      <c r="D408" s="22" t="s">
        <v>9743</v>
      </c>
      <c r="E408" s="23" t="s">
        <v>13032</v>
      </c>
      <c r="F408" s="19">
        <v>43373.180613425924</v>
      </c>
      <c r="G408" s="17" t="s">
        <v>171</v>
      </c>
      <c r="H408" s="35" t="s">
        <v>4476</v>
      </c>
      <c r="I408" s="25" t="s">
        <v>4477</v>
      </c>
    </row>
    <row r="409" spans="1:9" s="11" customFormat="1" ht="60">
      <c r="A409" s="4">
        <v>43565.402754629627</v>
      </c>
      <c r="B409" s="5" t="s">
        <v>15395</v>
      </c>
      <c r="C409" s="6" t="s">
        <v>4474</v>
      </c>
      <c r="D409" s="7" t="s">
        <v>6113</v>
      </c>
      <c r="E409" s="8" t="s">
        <v>13013</v>
      </c>
      <c r="F409" s="4">
        <v>43373.180613425924</v>
      </c>
      <c r="G409" s="17" t="s">
        <v>171</v>
      </c>
      <c r="H409" s="35" t="s">
        <v>4476</v>
      </c>
      <c r="I409" s="10" t="s">
        <v>4477</v>
      </c>
    </row>
    <row r="410" spans="1:9" s="11" customFormat="1" ht="60">
      <c r="A410" s="4">
        <v>43565.380185185189</v>
      </c>
      <c r="B410" s="5" t="s">
        <v>15395</v>
      </c>
      <c r="C410" s="6" t="s">
        <v>4474</v>
      </c>
      <c r="D410" s="7" t="s">
        <v>6133</v>
      </c>
      <c r="E410" s="8" t="s">
        <v>13032</v>
      </c>
      <c r="F410" s="4">
        <v>43373.180613425924</v>
      </c>
      <c r="G410" s="17" t="s">
        <v>171</v>
      </c>
      <c r="H410" s="35" t="s">
        <v>4476</v>
      </c>
      <c r="I410" s="10" t="s">
        <v>4477</v>
      </c>
    </row>
    <row r="411" spans="1:9" s="11" customFormat="1" ht="75">
      <c r="A411" s="12">
        <v>43569.574872685189</v>
      </c>
      <c r="B411" s="13" t="s">
        <v>15395</v>
      </c>
      <c r="C411" s="14" t="s">
        <v>4474</v>
      </c>
      <c r="D411" s="15" t="s">
        <v>4475</v>
      </c>
      <c r="E411" s="16" t="s">
        <v>13013</v>
      </c>
      <c r="F411" s="12">
        <v>43373.180613425924</v>
      </c>
      <c r="G411" s="17" t="s">
        <v>171</v>
      </c>
      <c r="H411" s="35" t="s">
        <v>4476</v>
      </c>
      <c r="I411" s="18" t="s">
        <v>4477</v>
      </c>
    </row>
    <row r="412" spans="1:9" s="11" customFormat="1" ht="60">
      <c r="A412" s="12">
        <v>43569.573113425926</v>
      </c>
      <c r="B412" s="13" t="s">
        <v>15395</v>
      </c>
      <c r="C412" s="14" t="s">
        <v>4474</v>
      </c>
      <c r="D412" s="15" t="s">
        <v>4478</v>
      </c>
      <c r="E412" s="16" t="s">
        <v>13032</v>
      </c>
      <c r="F412" s="12">
        <v>43373.180613425924</v>
      </c>
      <c r="G412" s="17" t="s">
        <v>171</v>
      </c>
      <c r="H412" s="35" t="s">
        <v>4476</v>
      </c>
      <c r="I412" s="18" t="s">
        <v>4477</v>
      </c>
    </row>
    <row r="413" spans="1:9" s="11" customFormat="1" ht="60">
      <c r="A413" s="12">
        <v>43569.571076388893</v>
      </c>
      <c r="B413" s="13" t="s">
        <v>15395</v>
      </c>
      <c r="C413" s="14" t="s">
        <v>4474</v>
      </c>
      <c r="D413" s="15" t="s">
        <v>4478</v>
      </c>
      <c r="E413" s="16" t="s">
        <v>13032</v>
      </c>
      <c r="F413" s="12">
        <v>43373.180613425924</v>
      </c>
      <c r="G413" s="17" t="s">
        <v>171</v>
      </c>
      <c r="H413" s="35" t="s">
        <v>4476</v>
      </c>
      <c r="I413" s="18" t="s">
        <v>4477</v>
      </c>
    </row>
    <row r="414" spans="1:9" s="11" customFormat="1" ht="135">
      <c r="A414" s="4">
        <v>43560.06695601852</v>
      </c>
      <c r="B414" s="5" t="s">
        <v>15396</v>
      </c>
      <c r="C414" s="6" t="s">
        <v>11615</v>
      </c>
      <c r="D414" s="7" t="s">
        <v>11616</v>
      </c>
      <c r="E414" s="8" t="s">
        <v>13015</v>
      </c>
      <c r="F414" s="4">
        <v>43039.164895833332</v>
      </c>
      <c r="G414" s="9" t="s">
        <v>171</v>
      </c>
      <c r="H414" s="35" t="s">
        <v>11617</v>
      </c>
      <c r="I414" s="10" t="s">
        <v>11618</v>
      </c>
    </row>
    <row r="415" spans="1:9" s="11" customFormat="1" ht="105">
      <c r="A415" s="19">
        <v>43551.149479166663</v>
      </c>
      <c r="B415" s="20" t="s">
        <v>15397</v>
      </c>
      <c r="C415" s="21" t="s">
        <v>7416</v>
      </c>
      <c r="D415" s="28" t="s">
        <v>7417</v>
      </c>
      <c r="E415" s="23" t="s">
        <v>13009</v>
      </c>
      <c r="F415" s="19">
        <v>40800.236504629633</v>
      </c>
      <c r="G415" s="9" t="s">
        <v>171</v>
      </c>
      <c r="H415" s="35" t="s">
        <v>7418</v>
      </c>
      <c r="I415" s="25" t="s">
        <v>7419</v>
      </c>
    </row>
    <row r="416" spans="1:9" s="11" customFormat="1" ht="120">
      <c r="A416" s="12">
        <v>43580.134004629625</v>
      </c>
      <c r="B416" s="13" t="s">
        <v>15398</v>
      </c>
      <c r="C416" s="14" t="s">
        <v>261</v>
      </c>
      <c r="D416" s="15" t="s">
        <v>74</v>
      </c>
      <c r="E416" s="16" t="s">
        <v>13018</v>
      </c>
      <c r="F416" s="12">
        <v>41142.339363425926</v>
      </c>
      <c r="G416" s="9" t="s">
        <v>171</v>
      </c>
      <c r="H416" s="35" t="s">
        <v>262</v>
      </c>
      <c r="I416" s="18" t="s">
        <v>263</v>
      </c>
    </row>
    <row r="417" spans="1:9" s="11" customFormat="1" ht="135">
      <c r="A417" s="12">
        <v>43579.085057870368</v>
      </c>
      <c r="B417" s="13" t="s">
        <v>15399</v>
      </c>
      <c r="C417" s="14" t="s">
        <v>934</v>
      </c>
      <c r="D417" s="15" t="s">
        <v>935</v>
      </c>
      <c r="E417" s="16" t="s">
        <v>14370</v>
      </c>
      <c r="F417" s="12">
        <v>40664.948981481481</v>
      </c>
      <c r="G417" s="17" t="s">
        <v>171</v>
      </c>
      <c r="H417" s="35" t="s">
        <v>936</v>
      </c>
      <c r="I417" s="18" t="s">
        <v>937</v>
      </c>
    </row>
    <row r="418" spans="1:9" s="11" customFormat="1" ht="120">
      <c r="A418" s="4">
        <v>43560.466585648144</v>
      </c>
      <c r="B418" s="5" t="s">
        <v>15400</v>
      </c>
      <c r="C418" s="6" t="s">
        <v>11351</v>
      </c>
      <c r="D418" s="7" t="s">
        <v>11352</v>
      </c>
      <c r="E418" s="8" t="s">
        <v>13011</v>
      </c>
      <c r="F418" s="4">
        <v>41176.241435185184</v>
      </c>
      <c r="G418" s="17" t="s">
        <v>171</v>
      </c>
      <c r="H418" s="35" t="s">
        <v>11353</v>
      </c>
      <c r="I418" s="10" t="s">
        <v>11354</v>
      </c>
    </row>
    <row r="419" spans="1:9" s="11" customFormat="1" ht="135">
      <c r="A419" s="4">
        <v>43558.452083333337</v>
      </c>
      <c r="B419" s="5" t="s">
        <v>15401</v>
      </c>
      <c r="C419" s="6" t="s">
        <v>12176</v>
      </c>
      <c r="D419" s="7" t="s">
        <v>12177</v>
      </c>
      <c r="E419" s="8" t="s">
        <v>13011</v>
      </c>
      <c r="F419" s="4">
        <v>43128.964155092588</v>
      </c>
      <c r="G419" s="9" t="s">
        <v>171</v>
      </c>
      <c r="H419" s="35" t="s">
        <v>12178</v>
      </c>
      <c r="I419" s="10" t="s">
        <v>12179</v>
      </c>
    </row>
    <row r="420" spans="1:9" s="11" customFormat="1" ht="90">
      <c r="A420" s="19">
        <v>43551.602326388893</v>
      </c>
      <c r="B420" s="20" t="s">
        <v>15402</v>
      </c>
      <c r="C420" s="21" t="s">
        <v>7086</v>
      </c>
      <c r="D420" s="22" t="s">
        <v>7087</v>
      </c>
      <c r="E420" s="23" t="s">
        <v>13013</v>
      </c>
      <c r="F420" s="19">
        <v>42738.076620370368</v>
      </c>
      <c r="G420" s="24" t="s">
        <v>171</v>
      </c>
      <c r="H420" s="35" t="s">
        <v>7088</v>
      </c>
      <c r="I420" s="25" t="s">
        <v>7089</v>
      </c>
    </row>
    <row r="421" spans="1:9" s="11" customFormat="1" ht="135">
      <c r="A421" s="12">
        <v>43579.40457175926</v>
      </c>
      <c r="B421" s="13" t="s">
        <v>15403</v>
      </c>
      <c r="C421" s="14" t="s">
        <v>693</v>
      </c>
      <c r="D421" s="15" t="s">
        <v>694</v>
      </c>
      <c r="E421" s="16" t="s">
        <v>13013</v>
      </c>
      <c r="F421" s="12">
        <v>42919.107719907406</v>
      </c>
      <c r="G421" s="17" t="s">
        <v>171</v>
      </c>
      <c r="H421" s="35" t="s">
        <v>695</v>
      </c>
      <c r="I421" s="18" t="s">
        <v>696</v>
      </c>
    </row>
    <row r="422" spans="1:9" s="11" customFormat="1" ht="135">
      <c r="A422" s="12">
        <v>43578.36100694444</v>
      </c>
      <c r="B422" s="13" t="s">
        <v>15403</v>
      </c>
      <c r="C422" s="14" t="s">
        <v>693</v>
      </c>
      <c r="D422" s="15" t="s">
        <v>1272</v>
      </c>
      <c r="E422" s="16" t="s">
        <v>13013</v>
      </c>
      <c r="F422" s="12">
        <v>42919.107719907406</v>
      </c>
      <c r="G422" s="17" t="s">
        <v>171</v>
      </c>
      <c r="H422" s="35" t="s">
        <v>695</v>
      </c>
      <c r="I422" s="18" t="s">
        <v>696</v>
      </c>
    </row>
    <row r="423" spans="1:9" s="11" customFormat="1" ht="135">
      <c r="A423" s="12">
        <v>43576.471631944441</v>
      </c>
      <c r="B423" s="13" t="s">
        <v>15403</v>
      </c>
      <c r="C423" s="14" t="s">
        <v>693</v>
      </c>
      <c r="D423" s="15" t="s">
        <v>1934</v>
      </c>
      <c r="E423" s="16" t="s">
        <v>13013</v>
      </c>
      <c r="F423" s="12">
        <v>42919.107719907406</v>
      </c>
      <c r="G423" s="17" t="s">
        <v>171</v>
      </c>
      <c r="H423" s="35" t="s">
        <v>695</v>
      </c>
      <c r="I423" s="18" t="s">
        <v>696</v>
      </c>
    </row>
    <row r="424" spans="1:9" s="11" customFormat="1" ht="60">
      <c r="A424" s="12">
        <v>43566.242141203707</v>
      </c>
      <c r="B424" s="13" t="s">
        <v>15404</v>
      </c>
      <c r="C424" s="14" t="s">
        <v>5714</v>
      </c>
      <c r="D424" s="15" t="s">
        <v>5656</v>
      </c>
      <c r="E424" s="16" t="s">
        <v>13009</v>
      </c>
      <c r="F424" s="12">
        <v>40152.220648148148</v>
      </c>
      <c r="G424" s="17" t="s">
        <v>171</v>
      </c>
      <c r="H424" s="35" t="s">
        <v>5715</v>
      </c>
      <c r="I424" s="18" t="s">
        <v>5716</v>
      </c>
    </row>
    <row r="425" spans="1:9" s="11" customFormat="1" ht="120">
      <c r="A425" s="19">
        <v>43543.071620370371</v>
      </c>
      <c r="B425" s="20" t="s">
        <v>15405</v>
      </c>
      <c r="C425" s="21" t="s">
        <v>9950</v>
      </c>
      <c r="D425" s="22" t="s">
        <v>9951</v>
      </c>
      <c r="E425" s="23" t="s">
        <v>13009</v>
      </c>
      <c r="F425" s="19">
        <v>43229.925046296295</v>
      </c>
      <c r="G425" s="24" t="s">
        <v>171</v>
      </c>
      <c r="H425" s="35" t="s">
        <v>9952</v>
      </c>
      <c r="I425" s="25" t="s">
        <v>9953</v>
      </c>
    </row>
    <row r="426" spans="1:9" s="11" customFormat="1" ht="120">
      <c r="A426" s="19">
        <v>43544.098240740743</v>
      </c>
      <c r="B426" s="20" t="s">
        <v>15406</v>
      </c>
      <c r="C426" s="21" t="s">
        <v>9613</v>
      </c>
      <c r="D426" s="22" t="s">
        <v>9614</v>
      </c>
      <c r="E426" s="23" t="s">
        <v>13009</v>
      </c>
      <c r="F426" s="19">
        <v>40661.250451388885</v>
      </c>
      <c r="G426" s="24" t="s">
        <v>171</v>
      </c>
      <c r="H426" s="35" t="s">
        <v>9615</v>
      </c>
      <c r="I426" s="25" t="s">
        <v>9616</v>
      </c>
    </row>
    <row r="427" spans="1:9" s="11" customFormat="1" ht="135">
      <c r="A427" s="19">
        <v>43551.470289351855</v>
      </c>
      <c r="B427" s="20" t="s">
        <v>15407</v>
      </c>
      <c r="C427" s="21" t="s">
        <v>7171</v>
      </c>
      <c r="D427" s="22" t="s">
        <v>7172</v>
      </c>
      <c r="E427" s="23" t="s">
        <v>13011</v>
      </c>
      <c r="F427" s="19">
        <v>42806.39571759259</v>
      </c>
      <c r="G427" s="17" t="s">
        <v>171</v>
      </c>
      <c r="H427" s="35" t="s">
        <v>4863</v>
      </c>
      <c r="I427" s="25" t="s">
        <v>7173</v>
      </c>
    </row>
    <row r="428" spans="1:9" s="11" customFormat="1" ht="105">
      <c r="A428" s="12">
        <v>43568.14907407407</v>
      </c>
      <c r="B428" s="13" t="s">
        <v>15408</v>
      </c>
      <c r="C428" s="14" t="s">
        <v>4861</v>
      </c>
      <c r="D428" s="15" t="s">
        <v>4862</v>
      </c>
      <c r="E428" s="16" t="s">
        <v>13009</v>
      </c>
      <c r="F428" s="12">
        <v>42542.50708333333</v>
      </c>
      <c r="G428" s="17" t="s">
        <v>171</v>
      </c>
      <c r="H428" s="35" t="s">
        <v>4863</v>
      </c>
      <c r="I428" s="18" t="s">
        <v>4864</v>
      </c>
    </row>
    <row r="429" spans="1:9" s="11" customFormat="1" ht="135">
      <c r="A429" s="19">
        <v>43550.208692129629</v>
      </c>
      <c r="B429" s="20" t="s">
        <v>15409</v>
      </c>
      <c r="C429" s="21" t="s">
        <v>5297</v>
      </c>
      <c r="D429" s="22" t="s">
        <v>5298</v>
      </c>
      <c r="E429" s="23" t="s">
        <v>13034</v>
      </c>
      <c r="F429" s="19">
        <v>40112.81554398148</v>
      </c>
      <c r="G429" s="24" t="s">
        <v>171</v>
      </c>
      <c r="H429" s="35" t="s">
        <v>5299</v>
      </c>
      <c r="I429" s="25" t="s">
        <v>5300</v>
      </c>
    </row>
    <row r="430" spans="1:9" s="11" customFormat="1" ht="135">
      <c r="A430" s="12">
        <v>43566.958530092597</v>
      </c>
      <c r="B430" s="13" t="s">
        <v>15409</v>
      </c>
      <c r="C430" s="14" t="s">
        <v>5297</v>
      </c>
      <c r="D430" s="15" t="s">
        <v>5298</v>
      </c>
      <c r="E430" s="16" t="s">
        <v>13034</v>
      </c>
      <c r="F430" s="12">
        <v>40112.81554398148</v>
      </c>
      <c r="G430" s="24" t="s">
        <v>171</v>
      </c>
      <c r="H430" s="35" t="s">
        <v>5299</v>
      </c>
      <c r="I430" s="18" t="s">
        <v>5300</v>
      </c>
    </row>
    <row r="431" spans="1:9" s="11" customFormat="1" ht="90">
      <c r="A431" s="4">
        <v>43561.181168981479</v>
      </c>
      <c r="B431" s="5" t="s">
        <v>15410</v>
      </c>
      <c r="C431" s="6" t="s">
        <v>11041</v>
      </c>
      <c r="D431" s="7" t="s">
        <v>11042</v>
      </c>
      <c r="E431" s="8" t="s">
        <v>13011</v>
      </c>
      <c r="F431" s="4">
        <v>39866.227511574078</v>
      </c>
      <c r="G431" s="24" t="s">
        <v>171</v>
      </c>
      <c r="H431" s="35" t="s">
        <v>11043</v>
      </c>
      <c r="I431" s="10" t="s">
        <v>11044</v>
      </c>
    </row>
    <row r="432" spans="1:9" s="11" customFormat="1" ht="45">
      <c r="A432" s="4">
        <v>43560.750324074077</v>
      </c>
      <c r="B432" s="5" t="s">
        <v>15411</v>
      </c>
      <c r="C432" s="6" t="s">
        <v>11180</v>
      </c>
      <c r="D432" s="7" t="s">
        <v>11181</v>
      </c>
      <c r="E432" s="8" t="s">
        <v>13011</v>
      </c>
      <c r="F432" s="4">
        <v>39910.86278935185</v>
      </c>
      <c r="G432" s="24" t="s">
        <v>171</v>
      </c>
      <c r="H432" s="35" t="s">
        <v>11043</v>
      </c>
      <c r="I432" s="10" t="s">
        <v>11182</v>
      </c>
    </row>
    <row r="433" spans="1:9" s="11" customFormat="1" ht="105">
      <c r="A433" s="12">
        <v>43566.924849537041</v>
      </c>
      <c r="B433" s="13" t="s">
        <v>15412</v>
      </c>
      <c r="C433" s="14" t="s">
        <v>5303</v>
      </c>
      <c r="D433" s="15" t="s">
        <v>5304</v>
      </c>
      <c r="E433" s="16" t="s">
        <v>13032</v>
      </c>
      <c r="F433" s="12">
        <v>41809.571111111109</v>
      </c>
      <c r="G433" s="24" t="s">
        <v>171</v>
      </c>
      <c r="H433" s="35" t="s">
        <v>5305</v>
      </c>
      <c r="I433" s="18" t="s">
        <v>5306</v>
      </c>
    </row>
    <row r="434" spans="1:9" s="11" customFormat="1" ht="30">
      <c r="A434" s="12">
        <v>43568.450937500005</v>
      </c>
      <c r="B434" s="13" t="s">
        <v>15413</v>
      </c>
      <c r="C434" s="14" t="s">
        <v>4761</v>
      </c>
      <c r="D434" s="15" t="s">
        <v>4762</v>
      </c>
      <c r="E434" s="16" t="s">
        <v>13011</v>
      </c>
      <c r="F434" s="12">
        <v>40252.160740740743</v>
      </c>
      <c r="G434" s="17" t="s">
        <v>171</v>
      </c>
      <c r="H434" s="35" t="s">
        <v>4763</v>
      </c>
      <c r="I434" s="18" t="s">
        <v>4764</v>
      </c>
    </row>
    <row r="435" spans="1:9" s="11" customFormat="1" ht="105">
      <c r="A435" s="19">
        <v>43542.568472222221</v>
      </c>
      <c r="B435" s="20" t="s">
        <v>15414</v>
      </c>
      <c r="C435" s="21" t="s">
        <v>10099</v>
      </c>
      <c r="D435" s="22" t="s">
        <v>10100</v>
      </c>
      <c r="E435" s="23" t="s">
        <v>13013</v>
      </c>
      <c r="F435" s="19">
        <v>43460.223148148143</v>
      </c>
      <c r="G435" s="17" t="s">
        <v>171</v>
      </c>
      <c r="H435" s="35" t="s">
        <v>10101</v>
      </c>
      <c r="I435" s="25" t="s">
        <v>10102</v>
      </c>
    </row>
    <row r="436" spans="1:9" s="11" customFormat="1" ht="105">
      <c r="A436" s="4">
        <v>43561.208344907413</v>
      </c>
      <c r="B436" s="5" t="s">
        <v>15415</v>
      </c>
      <c r="C436" s="6" t="s">
        <v>11027</v>
      </c>
      <c r="D436" s="7" t="s">
        <v>11028</v>
      </c>
      <c r="E436" s="8" t="s">
        <v>13120</v>
      </c>
      <c r="F436" s="4">
        <v>40987.22079861111</v>
      </c>
      <c r="G436" s="17" t="s">
        <v>171</v>
      </c>
      <c r="H436" s="35" t="s">
        <v>11029</v>
      </c>
      <c r="I436" s="10" t="s">
        <v>11030</v>
      </c>
    </row>
    <row r="437" spans="1:9" s="11" customFormat="1" ht="75">
      <c r="A437" s="4">
        <v>43557.131562499999</v>
      </c>
      <c r="B437" s="5" t="s">
        <v>15416</v>
      </c>
      <c r="C437" s="6" t="s">
        <v>12645</v>
      </c>
      <c r="D437" s="7" t="s">
        <v>12646</v>
      </c>
      <c r="E437" s="8" t="s">
        <v>13034</v>
      </c>
      <c r="F437" s="4">
        <v>40595.531701388885</v>
      </c>
      <c r="G437" s="17" t="s">
        <v>171</v>
      </c>
      <c r="H437" s="35" t="s">
        <v>12647</v>
      </c>
      <c r="I437" s="10" t="s">
        <v>12648</v>
      </c>
    </row>
    <row r="438" spans="1:9" s="11" customFormat="1" ht="105">
      <c r="A438" s="19">
        <v>43544.220162037032</v>
      </c>
      <c r="B438" s="20" t="s">
        <v>15417</v>
      </c>
      <c r="C438" s="21" t="s">
        <v>907</v>
      </c>
      <c r="D438" s="22" t="s">
        <v>9577</v>
      </c>
      <c r="E438" s="23" t="s">
        <v>13015</v>
      </c>
      <c r="F438" s="19">
        <v>39874.450266203705</v>
      </c>
      <c r="G438" s="24" t="s">
        <v>171</v>
      </c>
      <c r="H438" s="35" t="s">
        <v>909</v>
      </c>
      <c r="I438" s="25" t="s">
        <v>910</v>
      </c>
    </row>
    <row r="439" spans="1:9" s="11" customFormat="1" ht="105">
      <c r="A439" s="12">
        <v>43579.159988425927</v>
      </c>
      <c r="B439" s="13" t="s">
        <v>15417</v>
      </c>
      <c r="C439" s="14" t="s">
        <v>907</v>
      </c>
      <c r="D439" s="15" t="s">
        <v>908</v>
      </c>
      <c r="E439" s="16" t="s">
        <v>13015</v>
      </c>
      <c r="F439" s="12">
        <v>39874.450266203705</v>
      </c>
      <c r="G439" s="24" t="s">
        <v>171</v>
      </c>
      <c r="H439" s="35" t="s">
        <v>909</v>
      </c>
      <c r="I439" s="18" t="s">
        <v>910</v>
      </c>
    </row>
    <row r="440" spans="1:9" s="11" customFormat="1" ht="75">
      <c r="A440" s="12">
        <v>43580.136562500003</v>
      </c>
      <c r="B440" s="13" t="s">
        <v>15418</v>
      </c>
      <c r="C440" s="14" t="s">
        <v>254</v>
      </c>
      <c r="D440" s="15" t="s">
        <v>255</v>
      </c>
      <c r="E440" s="16" t="s">
        <v>13009</v>
      </c>
      <c r="F440" s="12">
        <v>40696.348356481481</v>
      </c>
      <c r="G440" s="17" t="s">
        <v>171</v>
      </c>
      <c r="H440" s="35" t="s">
        <v>256</v>
      </c>
      <c r="I440" s="18" t="s">
        <v>257</v>
      </c>
    </row>
    <row r="441" spans="1:9" s="11" customFormat="1" ht="105">
      <c r="A441" s="19">
        <v>43544.283402777779</v>
      </c>
      <c r="B441" s="20" t="s">
        <v>15419</v>
      </c>
      <c r="C441" s="21" t="s">
        <v>9555</v>
      </c>
      <c r="D441" s="22" t="s">
        <v>9556</v>
      </c>
      <c r="E441" s="23" t="s">
        <v>13011</v>
      </c>
      <c r="F441" s="19">
        <v>40951.252083333333</v>
      </c>
      <c r="G441" s="24" t="s">
        <v>171</v>
      </c>
      <c r="H441" s="35" t="s">
        <v>3451</v>
      </c>
      <c r="I441" s="25" t="s">
        <v>9557</v>
      </c>
    </row>
    <row r="442" spans="1:9" s="11" customFormat="1" ht="45">
      <c r="A442" s="12">
        <v>43572.061967592592</v>
      </c>
      <c r="B442" s="13" t="s">
        <v>15420</v>
      </c>
      <c r="C442" s="14" t="s">
        <v>3449</v>
      </c>
      <c r="D442" s="15" t="s">
        <v>3450</v>
      </c>
      <c r="E442" s="16" t="s">
        <v>13032</v>
      </c>
      <c r="F442" s="12">
        <v>41352.316296296296</v>
      </c>
      <c r="G442" s="24" t="s">
        <v>171</v>
      </c>
      <c r="H442" s="35" t="s">
        <v>3451</v>
      </c>
      <c r="I442" s="18" t="s">
        <v>3452</v>
      </c>
    </row>
    <row r="443" spans="1:9" s="11" customFormat="1" ht="120">
      <c r="A443" s="12">
        <v>43569.213807870372</v>
      </c>
      <c r="B443" s="13" t="s">
        <v>15421</v>
      </c>
      <c r="C443" s="14" t="s">
        <v>4575</v>
      </c>
      <c r="D443" s="15" t="s">
        <v>4576</v>
      </c>
      <c r="E443" s="16" t="s">
        <v>13011</v>
      </c>
      <c r="F443" s="12">
        <v>41310.291539351849</v>
      </c>
      <c r="G443" s="24" t="s">
        <v>171</v>
      </c>
      <c r="H443" s="35" t="s">
        <v>3451</v>
      </c>
      <c r="I443" s="18" t="s">
        <v>4577</v>
      </c>
    </row>
    <row r="444" spans="1:9" s="11" customFormat="1" ht="45">
      <c r="A444" s="4">
        <v>43563.742627314816</v>
      </c>
      <c r="B444" s="5" t="s">
        <v>15422</v>
      </c>
      <c r="C444" s="6" t="s">
        <v>6901</v>
      </c>
      <c r="D444" s="7" t="s">
        <v>6902</v>
      </c>
      <c r="E444" s="8" t="s">
        <v>13011</v>
      </c>
      <c r="F444" s="4">
        <v>40893.193773148145</v>
      </c>
      <c r="G444" s="24" t="s">
        <v>171</v>
      </c>
      <c r="H444" s="35" t="s">
        <v>6903</v>
      </c>
      <c r="I444" s="10" t="s">
        <v>6904</v>
      </c>
    </row>
    <row r="445" spans="1:9" s="11" customFormat="1" ht="135">
      <c r="A445" s="19">
        <v>43549.602870370371</v>
      </c>
      <c r="B445" s="20" t="s">
        <v>15423</v>
      </c>
      <c r="C445" s="21" t="s">
        <v>7964</v>
      </c>
      <c r="D445" s="22" t="s">
        <v>7965</v>
      </c>
      <c r="E445" s="23" t="s">
        <v>13011</v>
      </c>
      <c r="F445" s="19">
        <v>41137.283032407409</v>
      </c>
      <c r="G445" s="24" t="s">
        <v>171</v>
      </c>
      <c r="H445" s="35" t="s">
        <v>750</v>
      </c>
      <c r="I445" s="25" t="s">
        <v>7966</v>
      </c>
    </row>
    <row r="446" spans="1:9" s="11" customFormat="1" ht="105">
      <c r="A446" s="4">
        <v>43564.2496875</v>
      </c>
      <c r="B446" s="5" t="s">
        <v>15424</v>
      </c>
      <c r="C446" s="6" t="s">
        <v>6719</v>
      </c>
      <c r="D446" s="7" t="s">
        <v>6720</v>
      </c>
      <c r="E446" s="8" t="s">
        <v>13009</v>
      </c>
      <c r="F446" s="4">
        <v>42647.655578703707</v>
      </c>
      <c r="G446" s="24" t="s">
        <v>171</v>
      </c>
      <c r="H446" s="35" t="s">
        <v>750</v>
      </c>
      <c r="I446" s="10" t="s">
        <v>6721</v>
      </c>
    </row>
    <row r="447" spans="1:9" s="11" customFormat="1" ht="105">
      <c r="A447" s="4">
        <v>43564.110173611116</v>
      </c>
      <c r="B447" s="5" t="s">
        <v>15425</v>
      </c>
      <c r="C447" s="6" t="s">
        <v>6781</v>
      </c>
      <c r="D447" s="7" t="s">
        <v>6782</v>
      </c>
      <c r="E447" s="8" t="s">
        <v>13009</v>
      </c>
      <c r="F447" s="4">
        <v>39855.154479166667</v>
      </c>
      <c r="G447" s="24" t="s">
        <v>171</v>
      </c>
      <c r="H447" s="35" t="s">
        <v>750</v>
      </c>
      <c r="I447" s="10" t="s">
        <v>6783</v>
      </c>
    </row>
    <row r="448" spans="1:9" s="11" customFormat="1" ht="90">
      <c r="A448" s="4">
        <v>43563.315879629634</v>
      </c>
      <c r="B448" s="5" t="s">
        <v>15426</v>
      </c>
      <c r="C448" s="6" t="s">
        <v>2328</v>
      </c>
      <c r="D448" s="7" t="s">
        <v>10380</v>
      </c>
      <c r="E448" s="8" t="s">
        <v>13009</v>
      </c>
      <c r="F448" s="4">
        <v>39912.234560185185</v>
      </c>
      <c r="G448" s="24" t="s">
        <v>171</v>
      </c>
      <c r="H448" s="35" t="s">
        <v>750</v>
      </c>
      <c r="I448" s="10" t="s">
        <v>2330</v>
      </c>
    </row>
    <row r="449" spans="1:9" s="11" customFormat="1" ht="120">
      <c r="A449" s="4">
        <v>43558.326319444444</v>
      </c>
      <c r="B449" s="5" t="s">
        <v>15427</v>
      </c>
      <c r="C449" s="6" t="s">
        <v>12240</v>
      </c>
      <c r="D449" s="7" t="s">
        <v>12241</v>
      </c>
      <c r="E449" s="8" t="s">
        <v>13009</v>
      </c>
      <c r="F449" s="4">
        <v>42257.331666666665</v>
      </c>
      <c r="G449" s="24" t="s">
        <v>171</v>
      </c>
      <c r="H449" s="35" t="s">
        <v>750</v>
      </c>
      <c r="I449" s="10" t="s">
        <v>12242</v>
      </c>
    </row>
    <row r="450" spans="1:9" s="11" customFormat="1" ht="30">
      <c r="A450" s="12">
        <v>43579.340092592596</v>
      </c>
      <c r="B450" s="13" t="s">
        <v>15428</v>
      </c>
      <c r="C450" s="13" t="s">
        <v>748</v>
      </c>
      <c r="D450" s="15" t="s">
        <v>749</v>
      </c>
      <c r="E450" s="16" t="s">
        <v>13120</v>
      </c>
      <c r="F450" s="12">
        <v>41242.30909722222</v>
      </c>
      <c r="G450" s="24" t="s">
        <v>171</v>
      </c>
      <c r="H450" s="35" t="s">
        <v>750</v>
      </c>
      <c r="I450" s="18" t="s">
        <v>751</v>
      </c>
    </row>
    <row r="451" spans="1:9" s="11" customFormat="1" ht="90">
      <c r="A451" s="12">
        <v>43575.250324074077</v>
      </c>
      <c r="B451" s="13" t="s">
        <v>15426</v>
      </c>
      <c r="C451" s="14" t="s">
        <v>2328</v>
      </c>
      <c r="D451" s="15" t="s">
        <v>2329</v>
      </c>
      <c r="E451" s="16" t="s">
        <v>13411</v>
      </c>
      <c r="F451" s="12">
        <v>39912.234560185185</v>
      </c>
      <c r="G451" s="24" t="s">
        <v>171</v>
      </c>
      <c r="H451" s="35" t="s">
        <v>750</v>
      </c>
      <c r="I451" s="18" t="s">
        <v>2330</v>
      </c>
    </row>
    <row r="452" spans="1:9" s="11" customFormat="1" ht="90">
      <c r="A452" s="12">
        <v>43573.325821759259</v>
      </c>
      <c r="B452" s="13" t="s">
        <v>15426</v>
      </c>
      <c r="C452" s="14" t="s">
        <v>2328</v>
      </c>
      <c r="D452" s="15" t="s">
        <v>2929</v>
      </c>
      <c r="E452" s="16" t="s">
        <v>13009</v>
      </c>
      <c r="F452" s="12">
        <v>39912.234560185185</v>
      </c>
      <c r="G452" s="24" t="s">
        <v>171</v>
      </c>
      <c r="H452" s="35" t="s">
        <v>750</v>
      </c>
      <c r="I452" s="18" t="s">
        <v>2330</v>
      </c>
    </row>
    <row r="453" spans="1:9" s="11" customFormat="1" ht="90">
      <c r="A453" s="12">
        <v>43572.297013888892</v>
      </c>
      <c r="B453" s="13" t="s">
        <v>15429</v>
      </c>
      <c r="C453" s="14" t="s">
        <v>3345</v>
      </c>
      <c r="D453" s="15" t="s">
        <v>3346</v>
      </c>
      <c r="E453" s="16" t="s">
        <v>13009</v>
      </c>
      <c r="F453" s="12">
        <v>43265.461643518516</v>
      </c>
      <c r="G453" s="24" t="s">
        <v>171</v>
      </c>
      <c r="H453" s="35" t="s">
        <v>750</v>
      </c>
      <c r="I453" s="18" t="s">
        <v>3347</v>
      </c>
    </row>
    <row r="454" spans="1:9" s="11" customFormat="1" ht="90">
      <c r="A454" s="12">
        <v>43571.19331018519</v>
      </c>
      <c r="B454" s="13" t="s">
        <v>15426</v>
      </c>
      <c r="C454" s="14" t="s">
        <v>2328</v>
      </c>
      <c r="D454" s="15" t="s">
        <v>3806</v>
      </c>
      <c r="E454" s="16" t="s">
        <v>13009</v>
      </c>
      <c r="F454" s="12">
        <v>39912.234560185185</v>
      </c>
      <c r="G454" s="24" t="s">
        <v>171</v>
      </c>
      <c r="H454" s="35" t="s">
        <v>750</v>
      </c>
      <c r="I454" s="18" t="s">
        <v>2330</v>
      </c>
    </row>
    <row r="455" spans="1:9" s="11" customFormat="1" ht="105">
      <c r="A455" s="12">
        <v>43566.461215277777</v>
      </c>
      <c r="B455" s="13" t="s">
        <v>15430</v>
      </c>
      <c r="C455" s="14" t="s">
        <v>5512</v>
      </c>
      <c r="D455" s="15" t="s">
        <v>5513</v>
      </c>
      <c r="E455" s="16" t="s">
        <v>13013</v>
      </c>
      <c r="F455" s="12">
        <v>43235.149282407408</v>
      </c>
      <c r="G455" s="24" t="s">
        <v>171</v>
      </c>
      <c r="H455" s="35" t="s">
        <v>750</v>
      </c>
      <c r="I455" s="18" t="s">
        <v>5514</v>
      </c>
    </row>
    <row r="456" spans="1:9" s="11" customFormat="1" ht="105">
      <c r="A456" s="4">
        <v>43563.736238425925</v>
      </c>
      <c r="B456" s="5" t="s">
        <v>15431</v>
      </c>
      <c r="C456" s="6" t="s">
        <v>6905</v>
      </c>
      <c r="D456" s="7" t="s">
        <v>6906</v>
      </c>
      <c r="E456" s="8" t="s">
        <v>13009</v>
      </c>
      <c r="F456" s="4">
        <v>41209.237025462964</v>
      </c>
      <c r="G456" s="24" t="s">
        <v>171</v>
      </c>
      <c r="H456" s="35" t="s">
        <v>2603</v>
      </c>
      <c r="I456" s="10" t="s">
        <v>6907</v>
      </c>
    </row>
    <row r="457" spans="1:9" s="11" customFormat="1" ht="75">
      <c r="A457" s="4">
        <v>43561.637048611112</v>
      </c>
      <c r="B457" s="5" t="s">
        <v>15432</v>
      </c>
      <c r="C457" s="6" t="s">
        <v>10891</v>
      </c>
      <c r="D457" s="7" t="s">
        <v>10892</v>
      </c>
      <c r="E457" s="8" t="s">
        <v>15433</v>
      </c>
      <c r="F457" s="4">
        <v>41859.140428240738</v>
      </c>
      <c r="G457" s="24" t="s">
        <v>171</v>
      </c>
      <c r="H457" s="35" t="s">
        <v>2603</v>
      </c>
      <c r="I457" s="10" t="s">
        <v>10893</v>
      </c>
    </row>
    <row r="458" spans="1:9" s="11" customFormat="1" ht="120">
      <c r="A458" s="4">
        <v>43560.477523148147</v>
      </c>
      <c r="B458" s="5" t="s">
        <v>15434</v>
      </c>
      <c r="C458" s="6" t="s">
        <v>11344</v>
      </c>
      <c r="D458" s="7" t="s">
        <v>11345</v>
      </c>
      <c r="E458" s="8" t="s">
        <v>13011</v>
      </c>
      <c r="F458" s="4">
        <v>39877.068206018521</v>
      </c>
      <c r="G458" s="24" t="s">
        <v>171</v>
      </c>
      <c r="H458" s="35" t="s">
        <v>2603</v>
      </c>
      <c r="I458" s="10" t="s">
        <v>11346</v>
      </c>
    </row>
    <row r="459" spans="1:9" s="11" customFormat="1" ht="135">
      <c r="A459" s="4">
        <v>43560.429479166662</v>
      </c>
      <c r="B459" s="5" t="s">
        <v>15435</v>
      </c>
      <c r="C459" s="6" t="s">
        <v>11381</v>
      </c>
      <c r="D459" s="7" t="s">
        <v>11382</v>
      </c>
      <c r="E459" s="8" t="s">
        <v>13011</v>
      </c>
      <c r="F459" s="4">
        <v>41932.109409722223</v>
      </c>
      <c r="G459" s="24" t="s">
        <v>171</v>
      </c>
      <c r="H459" s="35" t="s">
        <v>2603</v>
      </c>
      <c r="I459" s="10" t="s">
        <v>11383</v>
      </c>
    </row>
    <row r="460" spans="1:9" s="11" customFormat="1" ht="105">
      <c r="A460" s="4">
        <v>43560.291967592595</v>
      </c>
      <c r="B460" s="5" t="s">
        <v>15436</v>
      </c>
      <c r="C460" s="6" t="s">
        <v>2601</v>
      </c>
      <c r="D460" s="7" t="s">
        <v>11494</v>
      </c>
      <c r="E460" s="8" t="s">
        <v>13018</v>
      </c>
      <c r="F460" s="4">
        <v>40724.063113425924</v>
      </c>
      <c r="G460" s="24" t="s">
        <v>171</v>
      </c>
      <c r="H460" s="35" t="s">
        <v>2603</v>
      </c>
      <c r="I460" s="10" t="s">
        <v>2604</v>
      </c>
    </row>
    <row r="461" spans="1:9" s="11" customFormat="1" ht="120">
      <c r="A461" s="4">
        <v>43560.291608796295</v>
      </c>
      <c r="B461" s="5" t="s">
        <v>15437</v>
      </c>
      <c r="C461" s="6" t="s">
        <v>11495</v>
      </c>
      <c r="D461" s="7" t="s">
        <v>11496</v>
      </c>
      <c r="E461" s="8" t="s">
        <v>13009</v>
      </c>
      <c r="F461" s="4">
        <v>39815.25949074074</v>
      </c>
      <c r="G461" s="24" t="s">
        <v>171</v>
      </c>
      <c r="H461" s="35" t="s">
        <v>2603</v>
      </c>
      <c r="I461" s="10" t="s">
        <v>11497</v>
      </c>
    </row>
    <row r="462" spans="1:9" s="11" customFormat="1" ht="105">
      <c r="A462" s="12">
        <v>43574.312650462962</v>
      </c>
      <c r="B462" s="13" t="s">
        <v>15436</v>
      </c>
      <c r="C462" s="14" t="s">
        <v>2601</v>
      </c>
      <c r="D462" s="15" t="s">
        <v>2602</v>
      </c>
      <c r="E462" s="16" t="s">
        <v>13018</v>
      </c>
      <c r="F462" s="12">
        <v>40724.063113425924</v>
      </c>
      <c r="G462" s="24" t="s">
        <v>171</v>
      </c>
      <c r="H462" s="35" t="s">
        <v>2603</v>
      </c>
      <c r="I462" s="18" t="s">
        <v>2604</v>
      </c>
    </row>
    <row r="463" spans="1:9" s="11" customFormat="1" ht="135">
      <c r="A463" s="12">
        <v>43572.089224537034</v>
      </c>
      <c r="B463" s="13" t="s">
        <v>15438</v>
      </c>
      <c r="C463" s="14" t="s">
        <v>3439</v>
      </c>
      <c r="D463" s="15" t="s">
        <v>3440</v>
      </c>
      <c r="E463" s="16" t="s">
        <v>13034</v>
      </c>
      <c r="F463" s="12">
        <v>40384.35428240741</v>
      </c>
      <c r="G463" s="24" t="s">
        <v>171</v>
      </c>
      <c r="H463" s="35" t="s">
        <v>2603</v>
      </c>
      <c r="I463" s="18" t="s">
        <v>3441</v>
      </c>
    </row>
    <row r="464" spans="1:9" s="11" customFormat="1" ht="120">
      <c r="A464" s="12">
        <v>43569.291666666672</v>
      </c>
      <c r="B464" s="13" t="s">
        <v>15439</v>
      </c>
      <c r="C464" s="14" t="s">
        <v>4562</v>
      </c>
      <c r="D464" s="15" t="s">
        <v>4563</v>
      </c>
      <c r="E464" s="16" t="s">
        <v>13490</v>
      </c>
      <c r="F464" s="12">
        <v>39552.294803240744</v>
      </c>
      <c r="G464" s="24" t="s">
        <v>171</v>
      </c>
      <c r="H464" s="35" t="s">
        <v>2603</v>
      </c>
      <c r="I464" s="18" t="s">
        <v>4564</v>
      </c>
    </row>
    <row r="465" spans="1:9" s="11" customFormat="1" ht="30">
      <c r="A465" s="12">
        <v>43574.562048611115</v>
      </c>
      <c r="B465" s="13" t="s">
        <v>15440</v>
      </c>
      <c r="C465" s="14" t="s">
        <v>2510</v>
      </c>
      <c r="D465" s="15" t="s">
        <v>2511</v>
      </c>
      <c r="E465" s="16" t="s">
        <v>13011</v>
      </c>
      <c r="F465" s="12">
        <v>41380.36655092593</v>
      </c>
      <c r="G465" s="24" t="s">
        <v>171</v>
      </c>
      <c r="H465" s="35" t="s">
        <v>2512</v>
      </c>
      <c r="I465" s="18" t="s">
        <v>2513</v>
      </c>
    </row>
    <row r="466" spans="1:9" s="11" customFormat="1" ht="105">
      <c r="A466" s="4">
        <v>43560.37027777778</v>
      </c>
      <c r="B466" s="5" t="s">
        <v>15441</v>
      </c>
      <c r="C466" s="6" t="s">
        <v>11412</v>
      </c>
      <c r="D466" s="7" t="s">
        <v>11413</v>
      </c>
      <c r="E466" s="8" t="s">
        <v>13013</v>
      </c>
      <c r="F466" s="4">
        <v>40688.307453703703</v>
      </c>
      <c r="G466" s="24" t="s">
        <v>171</v>
      </c>
      <c r="H466" s="35" t="s">
        <v>11414</v>
      </c>
      <c r="I466" s="10" t="s">
        <v>11415</v>
      </c>
    </row>
    <row r="467" spans="1:9" s="11" customFormat="1" ht="90">
      <c r="A467" s="4">
        <v>43559.478333333333</v>
      </c>
      <c r="B467" s="5" t="s">
        <v>15442</v>
      </c>
      <c r="C467" s="6" t="s">
        <v>11792</v>
      </c>
      <c r="D467" s="7" t="s">
        <v>11793</v>
      </c>
      <c r="E467" s="8" t="s">
        <v>13015</v>
      </c>
      <c r="F467" s="4">
        <v>40319.145057870366</v>
      </c>
      <c r="G467" s="24" t="s">
        <v>171</v>
      </c>
      <c r="H467" s="35" t="s">
        <v>11794</v>
      </c>
      <c r="I467" s="10" t="s">
        <v>11795</v>
      </c>
    </row>
    <row r="468" spans="1:9" s="11" customFormat="1" ht="105">
      <c r="A468" s="12">
        <v>43572.366412037038</v>
      </c>
      <c r="B468" s="13" t="s">
        <v>15443</v>
      </c>
      <c r="C468" s="14" t="s">
        <v>3293</v>
      </c>
      <c r="D468" s="15" t="s">
        <v>3294</v>
      </c>
      <c r="E468" s="16" t="s">
        <v>13034</v>
      </c>
      <c r="F468" s="12">
        <v>40177.067280092597</v>
      </c>
      <c r="G468" s="17" t="s">
        <v>171</v>
      </c>
      <c r="H468" s="35" t="s">
        <v>3295</v>
      </c>
      <c r="I468" s="18" t="s">
        <v>3296</v>
      </c>
    </row>
    <row r="469" spans="1:9" s="11" customFormat="1" ht="120">
      <c r="A469" s="4">
        <v>43565.386666666665</v>
      </c>
      <c r="B469" s="5" t="s">
        <v>15444</v>
      </c>
      <c r="C469" s="6" t="s">
        <v>6121</v>
      </c>
      <c r="D469" s="7" t="s">
        <v>6122</v>
      </c>
      <c r="E469" s="8" t="s">
        <v>13013</v>
      </c>
      <c r="F469" s="4">
        <v>41613.611701388887</v>
      </c>
      <c r="G469" s="17" t="s">
        <v>171</v>
      </c>
      <c r="H469" s="35" t="s">
        <v>6123</v>
      </c>
      <c r="I469" s="10" t="s">
        <v>6124</v>
      </c>
    </row>
    <row r="470" spans="1:9" s="11" customFormat="1" ht="60">
      <c r="A470" s="19">
        <v>43542.575428240743</v>
      </c>
      <c r="B470" s="20" t="s">
        <v>15445</v>
      </c>
      <c r="C470" s="21" t="s">
        <v>10095</v>
      </c>
      <c r="D470" s="22" t="s">
        <v>10096</v>
      </c>
      <c r="E470" s="23" t="s">
        <v>13009</v>
      </c>
      <c r="F470" s="19">
        <v>40667.36136574074</v>
      </c>
      <c r="G470" s="24" t="s">
        <v>171</v>
      </c>
      <c r="H470" s="35" t="s">
        <v>10097</v>
      </c>
      <c r="I470" s="25" t="s">
        <v>10098</v>
      </c>
    </row>
    <row r="471" spans="1:9" s="11" customFormat="1" ht="120">
      <c r="A471" s="12">
        <v>43568.468703703707</v>
      </c>
      <c r="B471" s="13" t="s">
        <v>15446</v>
      </c>
      <c r="C471" s="14" t="s">
        <v>4748</v>
      </c>
      <c r="D471" s="15" t="s">
        <v>4749</v>
      </c>
      <c r="E471" s="16" t="s">
        <v>13011</v>
      </c>
      <c r="F471" s="12">
        <v>41795.158634259264</v>
      </c>
      <c r="G471" s="24" t="s">
        <v>171</v>
      </c>
      <c r="H471" s="35" t="s">
        <v>4750</v>
      </c>
      <c r="I471" s="18" t="s">
        <v>4751</v>
      </c>
    </row>
    <row r="472" spans="1:9" s="11" customFormat="1" ht="105">
      <c r="A472" s="4">
        <v>43557.048738425925</v>
      </c>
      <c r="B472" s="5" t="s">
        <v>15447</v>
      </c>
      <c r="C472" s="6" t="s">
        <v>12659</v>
      </c>
      <c r="D472" s="7" t="s">
        <v>12660</v>
      </c>
      <c r="E472" s="8" t="s">
        <v>13018</v>
      </c>
      <c r="F472" s="4">
        <v>40408.51053240741</v>
      </c>
      <c r="G472" s="24" t="s">
        <v>171</v>
      </c>
      <c r="H472" s="35" t="s">
        <v>12661</v>
      </c>
      <c r="I472" s="10" t="s">
        <v>12662</v>
      </c>
    </row>
    <row r="473" spans="1:9" s="11" customFormat="1" ht="75">
      <c r="A473" s="4">
        <v>43563.960775462961</v>
      </c>
      <c r="B473" s="5" t="s">
        <v>15448</v>
      </c>
      <c r="C473" s="6" t="s">
        <v>6841</v>
      </c>
      <c r="D473" s="7" t="s">
        <v>6842</v>
      </c>
      <c r="E473" s="8" t="s">
        <v>13462</v>
      </c>
      <c r="F473" s="4">
        <v>40189.187164351853</v>
      </c>
      <c r="G473" s="24" t="s">
        <v>171</v>
      </c>
      <c r="H473" s="35" t="s">
        <v>6843</v>
      </c>
      <c r="I473" s="10" t="s">
        <v>6844</v>
      </c>
    </row>
    <row r="474" spans="1:9" s="11" customFormat="1" ht="105">
      <c r="A474" s="19">
        <v>43543.371701388889</v>
      </c>
      <c r="B474" s="20" t="s">
        <v>15449</v>
      </c>
      <c r="C474" s="21" t="s">
        <v>9839</v>
      </c>
      <c r="D474" s="22" t="s">
        <v>9840</v>
      </c>
      <c r="E474" s="23" t="s">
        <v>13011</v>
      </c>
      <c r="F474" s="19">
        <v>42839.439537037033</v>
      </c>
      <c r="G474" s="24" t="s">
        <v>171</v>
      </c>
      <c r="H474" s="35" t="s">
        <v>9841</v>
      </c>
      <c r="I474" s="25" t="s">
        <v>9842</v>
      </c>
    </row>
    <row r="475" spans="1:9" s="11" customFormat="1" ht="90">
      <c r="A475" s="4">
        <v>43559.508136574077</v>
      </c>
      <c r="B475" s="5" t="s">
        <v>15450</v>
      </c>
      <c r="C475" s="6" t="s">
        <v>11785</v>
      </c>
      <c r="D475" s="7" t="s">
        <v>11786</v>
      </c>
      <c r="E475" s="8" t="s">
        <v>13011</v>
      </c>
      <c r="F475" s="4">
        <v>39965.335902777777</v>
      </c>
      <c r="G475" s="17" t="s">
        <v>171</v>
      </c>
      <c r="H475" s="35" t="s">
        <v>1989</v>
      </c>
      <c r="I475" s="10" t="s">
        <v>11787</v>
      </c>
    </row>
    <row r="476" spans="1:9" s="11" customFormat="1" ht="105">
      <c r="A476" s="4">
        <v>43559.14880787037</v>
      </c>
      <c r="B476" s="5" t="s">
        <v>15451</v>
      </c>
      <c r="C476" s="6" t="s">
        <v>11928</v>
      </c>
      <c r="D476" s="7" t="s">
        <v>11929</v>
      </c>
      <c r="E476" s="8" t="s">
        <v>13009</v>
      </c>
      <c r="F476" s="4">
        <v>40739.364571759259</v>
      </c>
      <c r="G476" s="17" t="s">
        <v>171</v>
      </c>
      <c r="H476" s="35" t="s">
        <v>1989</v>
      </c>
      <c r="I476" s="10" t="s">
        <v>11930</v>
      </c>
    </row>
    <row r="477" spans="1:9" s="11" customFormat="1" ht="90">
      <c r="A477" s="12">
        <v>43576.347384259258</v>
      </c>
      <c r="B477" s="13" t="s">
        <v>15452</v>
      </c>
      <c r="C477" s="14" t="s">
        <v>1987</v>
      </c>
      <c r="D477" s="15" t="s">
        <v>1988</v>
      </c>
      <c r="E477" s="16" t="s">
        <v>13013</v>
      </c>
      <c r="F477" s="12">
        <v>41004.535486111112</v>
      </c>
      <c r="G477" s="17" t="s">
        <v>171</v>
      </c>
      <c r="H477" s="35" t="s">
        <v>1989</v>
      </c>
      <c r="I477" s="18" t="s">
        <v>1990</v>
      </c>
    </row>
    <row r="478" spans="1:9" s="11" customFormat="1" ht="90">
      <c r="A478" s="12">
        <v>43573.287048611106</v>
      </c>
      <c r="B478" s="13" t="s">
        <v>15453</v>
      </c>
      <c r="C478" s="14" t="s">
        <v>2943</v>
      </c>
      <c r="D478" s="15" t="s">
        <v>2944</v>
      </c>
      <c r="E478" s="16" t="s">
        <v>13032</v>
      </c>
      <c r="F478" s="12">
        <v>41768.516631944447</v>
      </c>
      <c r="G478" s="17" t="s">
        <v>171</v>
      </c>
      <c r="H478" s="35" t="s">
        <v>1989</v>
      </c>
      <c r="I478" s="18" t="s">
        <v>2945</v>
      </c>
    </row>
    <row r="479" spans="1:9" s="11" customFormat="1" ht="105">
      <c r="A479" s="12">
        <v>43572.511828703704</v>
      </c>
      <c r="B479" s="13" t="s">
        <v>15454</v>
      </c>
      <c r="C479" s="14" t="s">
        <v>3200</v>
      </c>
      <c r="D479" s="15" t="s">
        <v>3201</v>
      </c>
      <c r="E479" s="16" t="s">
        <v>13034</v>
      </c>
      <c r="F479" s="12">
        <v>40965.531157407408</v>
      </c>
      <c r="G479" s="17" t="s">
        <v>171</v>
      </c>
      <c r="H479" s="35" t="s">
        <v>1989</v>
      </c>
      <c r="I479" s="18" t="s">
        <v>3202</v>
      </c>
    </row>
    <row r="480" spans="1:9" s="11" customFormat="1" ht="60">
      <c r="A480" s="12">
        <v>43570.678715277776</v>
      </c>
      <c r="B480" s="13" t="s">
        <v>15455</v>
      </c>
      <c r="C480" s="14" t="s">
        <v>3999</v>
      </c>
      <c r="D480" s="15" t="s">
        <v>4000</v>
      </c>
      <c r="E480" s="16" t="s">
        <v>13009</v>
      </c>
      <c r="F480" s="12">
        <v>42000.578773148147</v>
      </c>
      <c r="G480" s="17" t="s">
        <v>171</v>
      </c>
      <c r="H480" s="35" t="s">
        <v>1989</v>
      </c>
      <c r="I480" s="18" t="s">
        <v>4001</v>
      </c>
    </row>
    <row r="481" spans="1:9" s="11" customFormat="1" ht="105">
      <c r="A481" s="19">
        <v>43550.590543981481</v>
      </c>
      <c r="B481" s="20" t="s">
        <v>15456</v>
      </c>
      <c r="C481" s="21" t="s">
        <v>7599</v>
      </c>
      <c r="D481" s="22" t="s">
        <v>7600</v>
      </c>
      <c r="E481" s="23" t="s">
        <v>13011</v>
      </c>
      <c r="F481" s="19">
        <v>40871.128622685181</v>
      </c>
      <c r="G481" s="17" t="s">
        <v>171</v>
      </c>
      <c r="H481" s="35" t="s">
        <v>42</v>
      </c>
      <c r="I481" s="25" t="s">
        <v>7601</v>
      </c>
    </row>
    <row r="482" spans="1:9" s="11" customFormat="1" ht="105">
      <c r="A482" s="19">
        <v>43547.267326388886</v>
      </c>
      <c r="B482" s="20" t="s">
        <v>15457</v>
      </c>
      <c r="C482" s="21" t="s">
        <v>8610</v>
      </c>
      <c r="D482" s="22" t="s">
        <v>8611</v>
      </c>
      <c r="E482" s="23" t="s">
        <v>13015</v>
      </c>
      <c r="F482" s="19">
        <v>42901.384456018517</v>
      </c>
      <c r="G482" s="17" t="s">
        <v>171</v>
      </c>
      <c r="H482" s="35" t="s">
        <v>42</v>
      </c>
      <c r="I482" s="25" t="s">
        <v>8612</v>
      </c>
    </row>
    <row r="483" spans="1:9" s="11" customFormat="1" ht="135">
      <c r="A483" s="19">
        <v>43545.270416666666</v>
      </c>
      <c r="B483" s="20" t="s">
        <v>15458</v>
      </c>
      <c r="C483" s="21" t="s">
        <v>2988</v>
      </c>
      <c r="D483" s="22" t="s">
        <v>9224</v>
      </c>
      <c r="E483" s="23" t="s">
        <v>13013</v>
      </c>
      <c r="F483" s="19">
        <v>40674.150902777779</v>
      </c>
      <c r="G483" s="17" t="s">
        <v>171</v>
      </c>
      <c r="H483" s="35" t="s">
        <v>42</v>
      </c>
      <c r="I483" s="25" t="s">
        <v>2990</v>
      </c>
    </row>
    <row r="484" spans="1:9" s="11" customFormat="1" ht="105">
      <c r="A484" s="19">
        <v>43544.039490740739</v>
      </c>
      <c r="B484" s="20" t="s">
        <v>15458</v>
      </c>
      <c r="C484" s="21" t="s">
        <v>2988</v>
      </c>
      <c r="D484" s="22" t="s">
        <v>9630</v>
      </c>
      <c r="E484" s="23" t="s">
        <v>13009</v>
      </c>
      <c r="F484" s="19">
        <v>40674.150902777779</v>
      </c>
      <c r="G484" s="17" t="s">
        <v>171</v>
      </c>
      <c r="H484" s="35" t="s">
        <v>42</v>
      </c>
      <c r="I484" s="25" t="s">
        <v>2990</v>
      </c>
    </row>
    <row r="485" spans="1:9" s="11" customFormat="1" ht="75">
      <c r="A485" s="19">
        <v>43542.494027777779</v>
      </c>
      <c r="B485" s="20" t="s">
        <v>15459</v>
      </c>
      <c r="C485" s="21" t="s">
        <v>10142</v>
      </c>
      <c r="D485" s="22" t="s">
        <v>10143</v>
      </c>
      <c r="E485" s="23" t="s">
        <v>13009</v>
      </c>
      <c r="F485" s="19">
        <v>41772.943993055553</v>
      </c>
      <c r="G485" s="17" t="s">
        <v>171</v>
      </c>
      <c r="H485" s="35" t="s">
        <v>42</v>
      </c>
      <c r="I485" s="25" t="s">
        <v>10144</v>
      </c>
    </row>
    <row r="486" spans="1:9" s="11" customFormat="1" ht="105">
      <c r="A486" s="4">
        <v>43564.244351851856</v>
      </c>
      <c r="B486" s="5" t="s">
        <v>15458</v>
      </c>
      <c r="C486" s="6" t="s">
        <v>2988</v>
      </c>
      <c r="D486" s="7" t="s">
        <v>6724</v>
      </c>
      <c r="E486" s="8" t="s">
        <v>13013</v>
      </c>
      <c r="F486" s="4">
        <v>40674.150902777779</v>
      </c>
      <c r="G486" s="17" t="s">
        <v>171</v>
      </c>
      <c r="H486" s="35" t="s">
        <v>42</v>
      </c>
      <c r="I486" s="10" t="s">
        <v>2990</v>
      </c>
    </row>
    <row r="487" spans="1:9" s="11" customFormat="1" ht="60">
      <c r="A487" s="4">
        <v>43560.615532407406</v>
      </c>
      <c r="B487" s="5" t="s">
        <v>15460</v>
      </c>
      <c r="C487" s="6" t="s">
        <v>11249</v>
      </c>
      <c r="D487" s="7" t="s">
        <v>11250</v>
      </c>
      <c r="E487" s="8" t="s">
        <v>13011</v>
      </c>
      <c r="F487" s="4">
        <v>43417.20112268519</v>
      </c>
      <c r="G487" s="17" t="s">
        <v>171</v>
      </c>
      <c r="H487" s="35" t="s">
        <v>42</v>
      </c>
      <c r="I487" s="10"/>
    </row>
    <row r="488" spans="1:9" s="11" customFormat="1" ht="105">
      <c r="A488" s="4">
        <v>43559.44913194445</v>
      </c>
      <c r="B488" s="5" t="s">
        <v>15461</v>
      </c>
      <c r="C488" s="6" t="s">
        <v>11820</v>
      </c>
      <c r="D488" s="7" t="s">
        <v>11821</v>
      </c>
      <c r="E488" s="8" t="s">
        <v>13011</v>
      </c>
      <c r="F488" s="4">
        <v>40546.109895833331</v>
      </c>
      <c r="G488" s="17" t="s">
        <v>171</v>
      </c>
      <c r="H488" s="35" t="s">
        <v>42</v>
      </c>
      <c r="I488" s="10" t="s">
        <v>11822</v>
      </c>
    </row>
    <row r="489" spans="1:9" s="11" customFormat="1" ht="60">
      <c r="A489" s="12">
        <v>43580.832291666666</v>
      </c>
      <c r="B489" s="13" t="s">
        <v>15462</v>
      </c>
      <c r="C489" s="14" t="s">
        <v>40</v>
      </c>
      <c r="D489" s="15" t="s">
        <v>41</v>
      </c>
      <c r="E489" s="16" t="s">
        <v>13013</v>
      </c>
      <c r="F489" s="12">
        <v>43247.680023148147</v>
      </c>
      <c r="G489" s="17" t="s">
        <v>171</v>
      </c>
      <c r="H489" s="35" t="s">
        <v>42</v>
      </c>
      <c r="I489" s="18" t="s">
        <v>43</v>
      </c>
    </row>
    <row r="490" spans="1:9" s="11" customFormat="1" ht="120">
      <c r="A490" s="12">
        <v>43580.753622685181</v>
      </c>
      <c r="B490" s="13" t="s">
        <v>15463</v>
      </c>
      <c r="C490" s="14" t="s">
        <v>90</v>
      </c>
      <c r="D490" s="15" t="s">
        <v>91</v>
      </c>
      <c r="E490" s="16" t="s">
        <v>13018</v>
      </c>
      <c r="F490" s="12">
        <v>42466.704074074078</v>
      </c>
      <c r="G490" s="17" t="s">
        <v>171</v>
      </c>
      <c r="H490" s="35" t="s">
        <v>42</v>
      </c>
      <c r="I490" s="18" t="s">
        <v>92</v>
      </c>
    </row>
    <row r="491" spans="1:9" s="11" customFormat="1" ht="105">
      <c r="A491" s="12">
        <v>43580.010219907403</v>
      </c>
      <c r="B491" s="13" t="s">
        <v>15464</v>
      </c>
      <c r="C491" s="14" t="s">
        <v>333</v>
      </c>
      <c r="D491" s="15" t="s">
        <v>334</v>
      </c>
      <c r="E491" s="16" t="s">
        <v>13009</v>
      </c>
      <c r="F491" s="12">
        <v>43577.325185185182</v>
      </c>
      <c r="G491" s="17" t="s">
        <v>171</v>
      </c>
      <c r="H491" s="35" t="s">
        <v>42</v>
      </c>
      <c r="I491" s="18" t="s">
        <v>335</v>
      </c>
    </row>
    <row r="492" spans="1:9" s="11" customFormat="1" ht="105">
      <c r="A492" s="12">
        <v>43573.175810185188</v>
      </c>
      <c r="B492" s="13" t="s">
        <v>15458</v>
      </c>
      <c r="C492" s="14" t="s">
        <v>2988</v>
      </c>
      <c r="D492" s="15" t="s">
        <v>2989</v>
      </c>
      <c r="E492" s="16" t="s">
        <v>13013</v>
      </c>
      <c r="F492" s="12">
        <v>40674.150902777779</v>
      </c>
      <c r="G492" s="17" t="s">
        <v>171</v>
      </c>
      <c r="H492" s="35" t="s">
        <v>42</v>
      </c>
      <c r="I492" s="18" t="s">
        <v>2990</v>
      </c>
    </row>
    <row r="493" spans="1:9" s="11" customFormat="1" ht="120">
      <c r="A493" s="12">
        <v>43570.627951388888</v>
      </c>
      <c r="B493" s="13" t="s">
        <v>15458</v>
      </c>
      <c r="C493" s="14" t="s">
        <v>2988</v>
      </c>
      <c r="D493" s="15" t="s">
        <v>4017</v>
      </c>
      <c r="E493" s="16" t="s">
        <v>13013</v>
      </c>
      <c r="F493" s="12">
        <v>40674.150902777779</v>
      </c>
      <c r="G493" s="17" t="s">
        <v>171</v>
      </c>
      <c r="H493" s="35" t="s">
        <v>42</v>
      </c>
      <c r="I493" s="18" t="s">
        <v>2990</v>
      </c>
    </row>
    <row r="494" spans="1:9" s="11" customFormat="1" ht="105">
      <c r="A494" s="12">
        <v>43567.122928240744</v>
      </c>
      <c r="B494" s="13" t="s">
        <v>15458</v>
      </c>
      <c r="C494" s="14" t="s">
        <v>2988</v>
      </c>
      <c r="D494" s="15" t="s">
        <v>5230</v>
      </c>
      <c r="E494" s="16" t="s">
        <v>13013</v>
      </c>
      <c r="F494" s="12">
        <v>40674.150902777779</v>
      </c>
      <c r="G494" s="17" t="s">
        <v>171</v>
      </c>
      <c r="H494" s="35" t="s">
        <v>42</v>
      </c>
      <c r="I494" s="18" t="s">
        <v>2990</v>
      </c>
    </row>
    <row r="495" spans="1:9" s="11" customFormat="1" ht="135">
      <c r="A495" s="12">
        <v>43567.075671296298</v>
      </c>
      <c r="B495" s="13" t="s">
        <v>15458</v>
      </c>
      <c r="C495" s="14" t="s">
        <v>2988</v>
      </c>
      <c r="D495" s="15" t="s">
        <v>5250</v>
      </c>
      <c r="E495" s="16" t="s">
        <v>13013</v>
      </c>
      <c r="F495" s="12">
        <v>40674.150902777779</v>
      </c>
      <c r="G495" s="17" t="s">
        <v>171</v>
      </c>
      <c r="H495" s="35" t="s">
        <v>42</v>
      </c>
      <c r="I495" s="18" t="s">
        <v>2990</v>
      </c>
    </row>
    <row r="496" spans="1:9" s="11" customFormat="1" ht="105">
      <c r="A496" s="12">
        <v>43566.576886574076</v>
      </c>
      <c r="B496" s="13" t="s">
        <v>15458</v>
      </c>
      <c r="C496" s="14" t="s">
        <v>2988</v>
      </c>
      <c r="D496" s="15" t="s">
        <v>5435</v>
      </c>
      <c r="E496" s="16" t="s">
        <v>13013</v>
      </c>
      <c r="F496" s="12">
        <v>40674.150902777779</v>
      </c>
      <c r="G496" s="17" t="s">
        <v>171</v>
      </c>
      <c r="H496" s="35" t="s">
        <v>42</v>
      </c>
      <c r="I496" s="18" t="s">
        <v>2990</v>
      </c>
    </row>
    <row r="497" spans="1:9" s="11" customFormat="1" ht="105">
      <c r="A497" s="12">
        <v>43566.39707175926</v>
      </c>
      <c r="B497" s="13" t="s">
        <v>15458</v>
      </c>
      <c r="C497" s="14" t="s">
        <v>2988</v>
      </c>
      <c r="D497" s="15" t="s">
        <v>5564</v>
      </c>
      <c r="E497" s="16" t="s">
        <v>13013</v>
      </c>
      <c r="F497" s="12">
        <v>40674.150902777779</v>
      </c>
      <c r="G497" s="17" t="s">
        <v>171</v>
      </c>
      <c r="H497" s="35" t="s">
        <v>42</v>
      </c>
      <c r="I497" s="18" t="s">
        <v>2990</v>
      </c>
    </row>
    <row r="498" spans="1:9" s="11" customFormat="1" ht="105">
      <c r="A498" s="12">
        <v>43566.041956018518</v>
      </c>
      <c r="B498" s="13" t="s">
        <v>15458</v>
      </c>
      <c r="C498" s="14" t="s">
        <v>2988</v>
      </c>
      <c r="D498" s="15" t="s">
        <v>5812</v>
      </c>
      <c r="E498" s="16" t="s">
        <v>13013</v>
      </c>
      <c r="F498" s="12">
        <v>40674.150902777779</v>
      </c>
      <c r="G498" s="17" t="s">
        <v>171</v>
      </c>
      <c r="H498" s="35" t="s">
        <v>42</v>
      </c>
      <c r="I498" s="18" t="s">
        <v>2990</v>
      </c>
    </row>
    <row r="499" spans="1:9" s="11" customFormat="1" ht="30">
      <c r="A499" s="12">
        <v>43578.471354166672</v>
      </c>
      <c r="B499" s="13" t="s">
        <v>15465</v>
      </c>
      <c r="C499" s="14" t="s">
        <v>1181</v>
      </c>
      <c r="D499" s="15" t="s">
        <v>1164</v>
      </c>
      <c r="E499" s="16" t="s">
        <v>13009</v>
      </c>
      <c r="F499" s="12">
        <v>42098.196770833332</v>
      </c>
      <c r="G499" s="17" t="s">
        <v>171</v>
      </c>
      <c r="H499" s="35" t="s">
        <v>1182</v>
      </c>
      <c r="I499" s="18" t="s">
        <v>1183</v>
      </c>
    </row>
    <row r="500" spans="1:9" s="11" customFormat="1" ht="60">
      <c r="A500" s="12">
        <v>43566.328796296293</v>
      </c>
      <c r="B500" s="13" t="s">
        <v>15466</v>
      </c>
      <c r="C500" s="14" t="s">
        <v>5655</v>
      </c>
      <c r="D500" s="15" t="s">
        <v>5656</v>
      </c>
      <c r="E500" s="16" t="s">
        <v>13015</v>
      </c>
      <c r="F500" s="12">
        <v>41105.666458333333</v>
      </c>
      <c r="G500" s="17" t="s">
        <v>171</v>
      </c>
      <c r="H500" s="35" t="s">
        <v>5657</v>
      </c>
      <c r="I500" s="18" t="s">
        <v>5658</v>
      </c>
    </row>
    <row r="501" spans="1:9" s="11" customFormat="1" ht="90">
      <c r="A501" s="19">
        <v>43542.622858796298</v>
      </c>
      <c r="B501" s="20" t="s">
        <v>15467</v>
      </c>
      <c r="C501" s="21" t="s">
        <v>10068</v>
      </c>
      <c r="D501" s="22" t="s">
        <v>10069</v>
      </c>
      <c r="E501" s="23" t="s">
        <v>13009</v>
      </c>
      <c r="F501" s="19">
        <v>41009.394444444442</v>
      </c>
      <c r="G501" s="17" t="s">
        <v>171</v>
      </c>
      <c r="H501" s="35" t="s">
        <v>10070</v>
      </c>
      <c r="I501" s="25" t="s">
        <v>10071</v>
      </c>
    </row>
    <row r="502" spans="1:9" s="11" customFormat="1" ht="90">
      <c r="A502" s="12">
        <v>43567.26258101852</v>
      </c>
      <c r="B502" s="13" t="s">
        <v>15468</v>
      </c>
      <c r="C502" s="14" t="s">
        <v>5188</v>
      </c>
      <c r="D502" s="15" t="s">
        <v>5189</v>
      </c>
      <c r="E502" s="16" t="s">
        <v>13013</v>
      </c>
      <c r="F502" s="12">
        <v>42158.244849537034</v>
      </c>
      <c r="G502" s="17" t="s">
        <v>171</v>
      </c>
      <c r="H502" s="35" t="s">
        <v>5190</v>
      </c>
      <c r="I502" s="18" t="s">
        <v>5191</v>
      </c>
    </row>
    <row r="503" spans="1:9" s="11" customFormat="1" ht="120">
      <c r="A503" s="19">
        <v>43551.465486111112</v>
      </c>
      <c r="B503" s="20" t="s">
        <v>15469</v>
      </c>
      <c r="C503" s="21" t="s">
        <v>464</v>
      </c>
      <c r="D503" s="22" t="s">
        <v>465</v>
      </c>
      <c r="E503" s="23" t="s">
        <v>15470</v>
      </c>
      <c r="F503" s="19">
        <v>41193.439571759256</v>
      </c>
      <c r="G503" s="24" t="s">
        <v>171</v>
      </c>
      <c r="H503" s="35" t="s">
        <v>466</v>
      </c>
      <c r="I503" s="25" t="s">
        <v>7184</v>
      </c>
    </row>
    <row r="504" spans="1:9" s="11" customFormat="1" ht="105">
      <c r="A504" s="19">
        <v>43549.472025462965</v>
      </c>
      <c r="B504" s="20" t="s">
        <v>15471</v>
      </c>
      <c r="C504" s="21" t="s">
        <v>1999</v>
      </c>
      <c r="D504" s="22" t="s">
        <v>8016</v>
      </c>
      <c r="E504" s="23" t="s">
        <v>13011</v>
      </c>
      <c r="F504" s="19">
        <v>40018.061284722222</v>
      </c>
      <c r="G504" s="24" t="s">
        <v>171</v>
      </c>
      <c r="H504" s="35" t="s">
        <v>466</v>
      </c>
      <c r="I504" s="25" t="s">
        <v>2000</v>
      </c>
    </row>
    <row r="505" spans="1:9" s="11" customFormat="1" ht="105">
      <c r="A505" s="19">
        <v>43549.248819444445</v>
      </c>
      <c r="B505" s="20" t="s">
        <v>15472</v>
      </c>
      <c r="C505" s="21" t="s">
        <v>8116</v>
      </c>
      <c r="D505" s="22" t="s">
        <v>8117</v>
      </c>
      <c r="E505" s="23" t="s">
        <v>13034</v>
      </c>
      <c r="F505" s="19">
        <v>42452.675486111111</v>
      </c>
      <c r="G505" s="24" t="s">
        <v>171</v>
      </c>
      <c r="H505" s="35" t="s">
        <v>466</v>
      </c>
      <c r="I505" s="25" t="s">
        <v>8118</v>
      </c>
    </row>
    <row r="506" spans="1:9" s="11" customFormat="1" ht="105">
      <c r="A506" s="19">
        <v>43548.193483796298</v>
      </c>
      <c r="B506" s="20" t="s">
        <v>15471</v>
      </c>
      <c r="C506" s="21" t="s">
        <v>1999</v>
      </c>
      <c r="D506" s="22" t="s">
        <v>8390</v>
      </c>
      <c r="E506" s="23" t="s">
        <v>13009</v>
      </c>
      <c r="F506" s="19">
        <v>40018.061284722222</v>
      </c>
      <c r="G506" s="24" t="s">
        <v>171</v>
      </c>
      <c r="H506" s="35" t="s">
        <v>466</v>
      </c>
      <c r="I506" s="25" t="s">
        <v>2000</v>
      </c>
    </row>
    <row r="507" spans="1:9" s="11" customFormat="1" ht="105">
      <c r="A507" s="19">
        <v>43545.406273148154</v>
      </c>
      <c r="B507" s="20" t="s">
        <v>15473</v>
      </c>
      <c r="C507" s="21" t="s">
        <v>9148</v>
      </c>
      <c r="D507" s="22" t="s">
        <v>9149</v>
      </c>
      <c r="E507" s="23" t="s">
        <v>13411</v>
      </c>
      <c r="F507" s="19">
        <v>42423.354247685187</v>
      </c>
      <c r="G507" s="24" t="s">
        <v>171</v>
      </c>
      <c r="H507" s="35" t="s">
        <v>466</v>
      </c>
      <c r="I507" s="25" t="s">
        <v>9150</v>
      </c>
    </row>
    <row r="508" spans="1:9" s="11" customFormat="1" ht="75">
      <c r="A508" s="19">
        <v>43544.641423611116</v>
      </c>
      <c r="B508" s="20" t="s">
        <v>15474</v>
      </c>
      <c r="C508" s="21" t="s">
        <v>973</v>
      </c>
      <c r="D508" s="22" t="s">
        <v>9382</v>
      </c>
      <c r="E508" s="23" t="s">
        <v>13009</v>
      </c>
      <c r="F508" s="19">
        <v>42503.229861111111</v>
      </c>
      <c r="G508" s="24" t="s">
        <v>171</v>
      </c>
      <c r="H508" s="35" t="s">
        <v>466</v>
      </c>
      <c r="I508" s="25" t="s">
        <v>975</v>
      </c>
    </row>
    <row r="509" spans="1:9" s="11" customFormat="1" ht="90">
      <c r="A509" s="19">
        <v>43543.142361111109</v>
      </c>
      <c r="B509" s="20" t="s">
        <v>15475</v>
      </c>
      <c r="C509" s="21" t="s">
        <v>9929</v>
      </c>
      <c r="D509" s="22" t="s">
        <v>9930</v>
      </c>
      <c r="E509" s="23" t="s">
        <v>13032</v>
      </c>
      <c r="F509" s="19">
        <v>42993.522557870368</v>
      </c>
      <c r="G509" s="24" t="s">
        <v>171</v>
      </c>
      <c r="H509" s="35" t="s">
        <v>466</v>
      </c>
      <c r="I509" s="25" t="s">
        <v>9931</v>
      </c>
    </row>
    <row r="510" spans="1:9" s="11" customFormat="1" ht="120">
      <c r="A510" s="4">
        <v>43562.923784722225</v>
      </c>
      <c r="B510" s="5" t="s">
        <v>15469</v>
      </c>
      <c r="C510" s="6" t="s">
        <v>464</v>
      </c>
      <c r="D510" s="7" t="s">
        <v>10540</v>
      </c>
      <c r="E510" s="8" t="s">
        <v>15470</v>
      </c>
      <c r="F510" s="4">
        <v>41193.439571759256</v>
      </c>
      <c r="G510" s="24" t="s">
        <v>171</v>
      </c>
      <c r="H510" s="35" t="s">
        <v>466</v>
      </c>
      <c r="I510" s="10" t="s">
        <v>467</v>
      </c>
    </row>
    <row r="511" spans="1:9" s="11" customFormat="1" ht="45">
      <c r="A511" s="4">
        <v>43560.488449074073</v>
      </c>
      <c r="B511" s="5" t="s">
        <v>15476</v>
      </c>
      <c r="C511" s="6" t="s">
        <v>11335</v>
      </c>
      <c r="D511" s="7" t="s">
        <v>11336</v>
      </c>
      <c r="E511" s="8" t="s">
        <v>13011</v>
      </c>
      <c r="F511" s="4">
        <v>39962.112604166665</v>
      </c>
      <c r="G511" s="24" t="s">
        <v>171</v>
      </c>
      <c r="H511" s="35" t="s">
        <v>466</v>
      </c>
      <c r="I511" s="10" t="s">
        <v>11337</v>
      </c>
    </row>
    <row r="512" spans="1:9" s="11" customFormat="1" ht="120">
      <c r="A512" s="12">
        <v>43579.757407407407</v>
      </c>
      <c r="B512" s="13" t="s">
        <v>15469</v>
      </c>
      <c r="C512" s="14" t="s">
        <v>464</v>
      </c>
      <c r="D512" s="15" t="s">
        <v>465</v>
      </c>
      <c r="E512" s="16" t="s">
        <v>15470</v>
      </c>
      <c r="F512" s="12">
        <v>41193.439571759256</v>
      </c>
      <c r="G512" s="24" t="s">
        <v>171</v>
      </c>
      <c r="H512" s="35" t="s">
        <v>466</v>
      </c>
      <c r="I512" s="18" t="s">
        <v>467</v>
      </c>
    </row>
    <row r="513" spans="1:9" s="11" customFormat="1" ht="75">
      <c r="A513" s="12">
        <v>43578.996331018519</v>
      </c>
      <c r="B513" s="13" t="s">
        <v>15474</v>
      </c>
      <c r="C513" s="14" t="s">
        <v>973</v>
      </c>
      <c r="D513" s="15" t="s">
        <v>974</v>
      </c>
      <c r="E513" s="16" t="s">
        <v>13009</v>
      </c>
      <c r="F513" s="12">
        <v>42503.229861111111</v>
      </c>
      <c r="G513" s="24" t="s">
        <v>171</v>
      </c>
      <c r="H513" s="35" t="s">
        <v>466</v>
      </c>
      <c r="I513" s="18" t="s">
        <v>975</v>
      </c>
    </row>
    <row r="514" spans="1:9" s="11" customFormat="1" ht="105">
      <c r="A514" s="12">
        <v>43576.320798611108</v>
      </c>
      <c r="B514" s="13" t="s">
        <v>15471</v>
      </c>
      <c r="C514" s="14" t="s">
        <v>1999</v>
      </c>
      <c r="D514" s="15" t="s">
        <v>616</v>
      </c>
      <c r="E514" s="16" t="s">
        <v>13011</v>
      </c>
      <c r="F514" s="12">
        <v>40018.061284722222</v>
      </c>
      <c r="G514" s="24" t="s">
        <v>171</v>
      </c>
      <c r="H514" s="35" t="s">
        <v>466</v>
      </c>
      <c r="I514" s="18" t="s">
        <v>2000</v>
      </c>
    </row>
    <row r="515" spans="1:9" s="11" customFormat="1" ht="60">
      <c r="A515" s="12">
        <v>43575.060023148151</v>
      </c>
      <c r="B515" s="13" t="s">
        <v>15477</v>
      </c>
      <c r="C515" s="14" t="s">
        <v>2377</v>
      </c>
      <c r="D515" s="15" t="s">
        <v>2378</v>
      </c>
      <c r="E515" s="16" t="s">
        <v>13011</v>
      </c>
      <c r="F515" s="12">
        <v>42459.460625</v>
      </c>
      <c r="G515" s="24" t="s">
        <v>171</v>
      </c>
      <c r="H515" s="35" t="s">
        <v>466</v>
      </c>
      <c r="I515" s="18" t="s">
        <v>2379</v>
      </c>
    </row>
    <row r="516" spans="1:9" s="11" customFormat="1" ht="75">
      <c r="A516" s="12">
        <v>43574.134224537032</v>
      </c>
      <c r="B516" s="13" t="s">
        <v>15474</v>
      </c>
      <c r="C516" s="14" t="s">
        <v>973</v>
      </c>
      <c r="D516" s="15" t="s">
        <v>2671</v>
      </c>
      <c r="E516" s="16" t="s">
        <v>13009</v>
      </c>
      <c r="F516" s="12">
        <v>42503.229861111111</v>
      </c>
      <c r="G516" s="24" t="s">
        <v>171</v>
      </c>
      <c r="H516" s="35" t="s">
        <v>466</v>
      </c>
      <c r="I516" s="18" t="s">
        <v>975</v>
      </c>
    </row>
    <row r="517" spans="1:9" s="11" customFormat="1" ht="75">
      <c r="A517" s="12">
        <v>43571.608981481477</v>
      </c>
      <c r="B517" s="13" t="s">
        <v>15474</v>
      </c>
      <c r="C517" s="14" t="s">
        <v>973</v>
      </c>
      <c r="D517" s="15" t="s">
        <v>3615</v>
      </c>
      <c r="E517" s="16" t="s">
        <v>13009</v>
      </c>
      <c r="F517" s="12">
        <v>42503.229861111111</v>
      </c>
      <c r="G517" s="24" t="s">
        <v>171</v>
      </c>
      <c r="H517" s="35" t="s">
        <v>466</v>
      </c>
      <c r="I517" s="18" t="s">
        <v>975</v>
      </c>
    </row>
    <row r="518" spans="1:9" s="11" customFormat="1" ht="75">
      <c r="A518" s="12">
        <v>43570.05636574074</v>
      </c>
      <c r="B518" s="13" t="s">
        <v>15474</v>
      </c>
      <c r="C518" s="14" t="s">
        <v>973</v>
      </c>
      <c r="D518" s="15" t="s">
        <v>4353</v>
      </c>
      <c r="E518" s="16" t="s">
        <v>13009</v>
      </c>
      <c r="F518" s="12">
        <v>42503.229861111111</v>
      </c>
      <c r="G518" s="24" t="s">
        <v>171</v>
      </c>
      <c r="H518" s="35" t="s">
        <v>466</v>
      </c>
      <c r="I518" s="18" t="s">
        <v>975</v>
      </c>
    </row>
    <row r="519" spans="1:9" s="11" customFormat="1" ht="75">
      <c r="A519" s="12">
        <v>43567.438078703708</v>
      </c>
      <c r="B519" s="13" t="s">
        <v>15474</v>
      </c>
      <c r="C519" s="14" t="s">
        <v>973</v>
      </c>
      <c r="D519" s="15" t="s">
        <v>5106</v>
      </c>
      <c r="E519" s="16" t="s">
        <v>13009</v>
      </c>
      <c r="F519" s="12">
        <v>42503.229861111111</v>
      </c>
      <c r="G519" s="24" t="s">
        <v>171</v>
      </c>
      <c r="H519" s="35" t="s">
        <v>466</v>
      </c>
      <c r="I519" s="18" t="s">
        <v>975</v>
      </c>
    </row>
    <row r="520" spans="1:9" s="11" customFormat="1" ht="105">
      <c r="A520" s="19">
        <v>43550.472291666665</v>
      </c>
      <c r="B520" s="20" t="s">
        <v>15478</v>
      </c>
      <c r="C520" s="21" t="s">
        <v>7657</v>
      </c>
      <c r="D520" s="22" t="s">
        <v>7658</v>
      </c>
      <c r="E520" s="23" t="s">
        <v>13009</v>
      </c>
      <c r="F520" s="19">
        <v>41527.660590277781</v>
      </c>
      <c r="G520" s="9" t="s">
        <v>171</v>
      </c>
      <c r="H520" s="35" t="s">
        <v>7659</v>
      </c>
      <c r="I520" s="25" t="s">
        <v>7660</v>
      </c>
    </row>
    <row r="521" spans="1:9" s="11" customFormat="1" ht="105">
      <c r="A521" s="19">
        <v>43545.271898148145</v>
      </c>
      <c r="B521" s="20" t="s">
        <v>15478</v>
      </c>
      <c r="C521" s="21" t="s">
        <v>7657</v>
      </c>
      <c r="D521" s="22" t="s">
        <v>9222</v>
      </c>
      <c r="E521" s="23" t="s">
        <v>13009</v>
      </c>
      <c r="F521" s="19">
        <v>41527.660590277781</v>
      </c>
      <c r="G521" s="9" t="s">
        <v>171</v>
      </c>
      <c r="H521" s="35" t="s">
        <v>7659</v>
      </c>
      <c r="I521" s="25" t="s">
        <v>7660</v>
      </c>
    </row>
    <row r="522" spans="1:9" s="11" customFormat="1" ht="105">
      <c r="A522" s="4">
        <v>43563.305763888886</v>
      </c>
      <c r="B522" s="5" t="s">
        <v>15478</v>
      </c>
      <c r="C522" s="6" t="s">
        <v>7657</v>
      </c>
      <c r="D522" s="7" t="s">
        <v>10388</v>
      </c>
      <c r="E522" s="8" t="s">
        <v>13009</v>
      </c>
      <c r="F522" s="4">
        <v>41527.660590277781</v>
      </c>
      <c r="G522" s="9" t="s">
        <v>171</v>
      </c>
      <c r="H522" s="35" t="s">
        <v>7659</v>
      </c>
      <c r="I522" s="10" t="s">
        <v>7660</v>
      </c>
    </row>
    <row r="523" spans="1:9" s="11" customFormat="1" ht="105">
      <c r="A523" s="4">
        <v>43557.399583333332</v>
      </c>
      <c r="B523" s="5" t="s">
        <v>15478</v>
      </c>
      <c r="C523" s="6" t="s">
        <v>7657</v>
      </c>
      <c r="D523" s="7" t="s">
        <v>12528</v>
      </c>
      <c r="E523" s="8" t="s">
        <v>13009</v>
      </c>
      <c r="F523" s="4">
        <v>41527.660590277781</v>
      </c>
      <c r="G523" s="9" t="s">
        <v>171</v>
      </c>
      <c r="H523" s="35" t="s">
        <v>7659</v>
      </c>
      <c r="I523" s="10" t="s">
        <v>7660</v>
      </c>
    </row>
    <row r="524" spans="1:9" s="11" customFormat="1" ht="60">
      <c r="A524" s="4">
        <v>43562.112060185187</v>
      </c>
      <c r="B524" s="5" t="s">
        <v>15479</v>
      </c>
      <c r="C524" s="6" t="s">
        <v>10744</v>
      </c>
      <c r="D524" s="7" t="s">
        <v>10745</v>
      </c>
      <c r="E524" s="8" t="s">
        <v>13011</v>
      </c>
      <c r="F524" s="4">
        <v>41539.103148148148</v>
      </c>
      <c r="G524" s="9" t="s">
        <v>171</v>
      </c>
      <c r="H524" s="35" t="s">
        <v>4344</v>
      </c>
      <c r="I524" s="10" t="s">
        <v>10746</v>
      </c>
    </row>
    <row r="525" spans="1:9" s="11" customFormat="1" ht="45">
      <c r="A525" s="12">
        <v>43570.07335648148</v>
      </c>
      <c r="B525" s="13" t="s">
        <v>15480</v>
      </c>
      <c r="C525" s="14" t="s">
        <v>4343</v>
      </c>
      <c r="D525" s="15" t="s">
        <v>4338</v>
      </c>
      <c r="E525" s="16" t="s">
        <v>13009</v>
      </c>
      <c r="F525" s="12">
        <v>42115.180671296301</v>
      </c>
      <c r="G525" s="9" t="s">
        <v>171</v>
      </c>
      <c r="H525" s="35" t="s">
        <v>4344</v>
      </c>
      <c r="I525" s="18" t="s">
        <v>4345</v>
      </c>
    </row>
    <row r="526" spans="1:9" s="11" customFormat="1" ht="135">
      <c r="A526" s="19">
        <v>43544.345497685186</v>
      </c>
      <c r="B526" s="20" t="s">
        <v>15481</v>
      </c>
      <c r="C526" s="21" t="s">
        <v>9507</v>
      </c>
      <c r="D526" s="22" t="s">
        <v>9508</v>
      </c>
      <c r="E526" s="23" t="s">
        <v>13011</v>
      </c>
      <c r="F526" s="19">
        <v>42487.186192129629</v>
      </c>
      <c r="G526" s="9" t="s">
        <v>171</v>
      </c>
      <c r="H526" s="35" t="s">
        <v>9509</v>
      </c>
      <c r="I526" s="25" t="s">
        <v>9510</v>
      </c>
    </row>
    <row r="527" spans="1:9" s="11" customFormat="1" ht="60">
      <c r="A527" s="12">
        <v>43570.310555555552</v>
      </c>
      <c r="B527" s="13" t="s">
        <v>15482</v>
      </c>
      <c r="C527" s="14" t="s">
        <v>4239</v>
      </c>
      <c r="D527" s="15" t="s">
        <v>4240</v>
      </c>
      <c r="E527" s="16" t="s">
        <v>13011</v>
      </c>
      <c r="F527" s="12">
        <v>42365.707442129627</v>
      </c>
      <c r="G527" s="9" t="s">
        <v>171</v>
      </c>
      <c r="H527" s="35" t="s">
        <v>4241</v>
      </c>
      <c r="I527" s="18" t="s">
        <v>4242</v>
      </c>
    </row>
    <row r="528" spans="1:9" s="11" customFormat="1" ht="90">
      <c r="A528" s="4">
        <v>43559.637118055558</v>
      </c>
      <c r="B528" s="5" t="s">
        <v>15483</v>
      </c>
      <c r="C528" s="6" t="s">
        <v>11722</v>
      </c>
      <c r="D528" s="7" t="s">
        <v>11723</v>
      </c>
      <c r="E528" s="8" t="s">
        <v>15484</v>
      </c>
      <c r="F528" s="4">
        <v>43262.303206018521</v>
      </c>
      <c r="G528" s="9" t="s">
        <v>171</v>
      </c>
      <c r="H528" s="35" t="s">
        <v>11724</v>
      </c>
      <c r="I528" s="10" t="s">
        <v>11725</v>
      </c>
    </row>
    <row r="529" spans="1:9" s="11" customFormat="1" ht="75">
      <c r="A529" s="4">
        <v>43559.379861111112</v>
      </c>
      <c r="B529" s="5" t="s">
        <v>15485</v>
      </c>
      <c r="C529" s="6" t="s">
        <v>11858</v>
      </c>
      <c r="D529" s="7" t="s">
        <v>12992</v>
      </c>
      <c r="E529" s="8" t="s">
        <v>13011</v>
      </c>
      <c r="F529" s="4">
        <v>40135.265428240738</v>
      </c>
      <c r="G529" s="9" t="s">
        <v>171</v>
      </c>
      <c r="H529" s="35" t="s">
        <v>11859</v>
      </c>
      <c r="I529" s="10" t="s">
        <v>11860</v>
      </c>
    </row>
    <row r="530" spans="1:9" s="11" customFormat="1" ht="75">
      <c r="A530" s="19">
        <v>43542.449490740742</v>
      </c>
      <c r="B530" s="20" t="s">
        <v>15486</v>
      </c>
      <c r="C530" s="21" t="s">
        <v>10163</v>
      </c>
      <c r="D530" s="22" t="s">
        <v>12998</v>
      </c>
      <c r="E530" s="23" t="s">
        <v>13009</v>
      </c>
      <c r="F530" s="19">
        <v>40640.330833333333</v>
      </c>
      <c r="G530" s="24" t="s">
        <v>171</v>
      </c>
      <c r="H530" s="35" t="s">
        <v>10164</v>
      </c>
      <c r="I530" s="25" t="s">
        <v>10165</v>
      </c>
    </row>
    <row r="531" spans="1:9" s="11" customFormat="1" ht="60">
      <c r="A531" s="12">
        <v>43567.347002314811</v>
      </c>
      <c r="B531" s="13" t="s">
        <v>15487</v>
      </c>
      <c r="C531" s="14" t="s">
        <v>5145</v>
      </c>
      <c r="D531" s="15" t="s">
        <v>12792</v>
      </c>
      <c r="E531" s="16" t="s">
        <v>13011</v>
      </c>
      <c r="F531" s="12">
        <v>43311.438055555554</v>
      </c>
      <c r="G531" s="17" t="s">
        <v>171</v>
      </c>
      <c r="H531" s="35" t="s">
        <v>5146</v>
      </c>
      <c r="I531" s="18" t="s">
        <v>5147</v>
      </c>
    </row>
    <row r="532" spans="1:9" s="11" customFormat="1">
      <c r="A532" s="12">
        <v>43575.747511574074</v>
      </c>
      <c r="B532" s="13" t="s">
        <v>15488</v>
      </c>
      <c r="C532" s="14" t="s">
        <v>2133</v>
      </c>
      <c r="D532" s="15" t="s">
        <v>12793</v>
      </c>
      <c r="E532" s="16" t="s">
        <v>13011</v>
      </c>
      <c r="F532" s="12">
        <v>42058.029479166667</v>
      </c>
      <c r="G532" s="17" t="s">
        <v>171</v>
      </c>
      <c r="H532" s="35" t="s">
        <v>2134</v>
      </c>
      <c r="I532" s="18" t="s">
        <v>2135</v>
      </c>
    </row>
    <row r="533" spans="1:9" s="11" customFormat="1" ht="120">
      <c r="A533" s="19">
        <v>43545.194571759261</v>
      </c>
      <c r="B533" s="20" t="s">
        <v>15489</v>
      </c>
      <c r="C533" s="21" t="s">
        <v>9263</v>
      </c>
      <c r="D533" s="22" t="s">
        <v>12878</v>
      </c>
      <c r="E533" s="23" t="s">
        <v>13018</v>
      </c>
      <c r="F533" s="19">
        <v>42423.280057870375</v>
      </c>
      <c r="G533" s="24" t="s">
        <v>171</v>
      </c>
      <c r="H533" s="35" t="s">
        <v>9264</v>
      </c>
      <c r="I533" s="25" t="s">
        <v>9265</v>
      </c>
    </row>
    <row r="534" spans="1:9" s="11" customFormat="1" ht="105">
      <c r="A534" s="12">
        <v>43578.424155092594</v>
      </c>
      <c r="B534" s="13" t="s">
        <v>15490</v>
      </c>
      <c r="C534" s="14" t="s">
        <v>1209</v>
      </c>
      <c r="D534" s="15" t="s">
        <v>12882</v>
      </c>
      <c r="E534" s="16" t="s">
        <v>13032</v>
      </c>
      <c r="F534" s="12">
        <v>40488.568935185183</v>
      </c>
      <c r="G534" s="17" t="s">
        <v>171</v>
      </c>
      <c r="H534" s="35" t="s">
        <v>1210</v>
      </c>
      <c r="I534" s="18" t="s">
        <v>1211</v>
      </c>
    </row>
    <row r="535" spans="1:9" s="11" customFormat="1" ht="105">
      <c r="A535" s="12">
        <v>43568.103402777779</v>
      </c>
      <c r="B535" s="13" t="s">
        <v>15491</v>
      </c>
      <c r="C535" s="14" t="s">
        <v>4870</v>
      </c>
      <c r="D535" s="15" t="s">
        <v>12886</v>
      </c>
      <c r="E535" s="16" t="s">
        <v>13032</v>
      </c>
      <c r="F535" s="12">
        <v>41424.036412037036</v>
      </c>
      <c r="G535" s="17" t="s">
        <v>171</v>
      </c>
      <c r="H535" s="35" t="s">
        <v>4871</v>
      </c>
      <c r="I535" s="18" t="s">
        <v>4872</v>
      </c>
    </row>
    <row r="536" spans="1:9" s="11" customFormat="1" ht="60">
      <c r="A536" s="12">
        <v>43573.215555555551</v>
      </c>
      <c r="B536" s="13" t="s">
        <v>15492</v>
      </c>
      <c r="C536" s="14" t="s">
        <v>2971</v>
      </c>
      <c r="D536" s="15" t="s">
        <v>12891</v>
      </c>
      <c r="E536" s="16" t="s">
        <v>15493</v>
      </c>
      <c r="F536" s="12">
        <v>42753.53905092593</v>
      </c>
      <c r="G536" s="17" t="s">
        <v>171</v>
      </c>
      <c r="H536" s="35" t="s">
        <v>2972</v>
      </c>
      <c r="I536" s="18" t="s">
        <v>2973</v>
      </c>
    </row>
    <row r="537" spans="1:9" s="11" customFormat="1" ht="45">
      <c r="A537" s="4">
        <v>43563.47828703704</v>
      </c>
      <c r="B537" s="5" t="s">
        <v>15494</v>
      </c>
      <c r="C537" s="6" t="s">
        <v>10272</v>
      </c>
      <c r="D537" s="7" t="s">
        <v>12892</v>
      </c>
      <c r="E537" s="8" t="s">
        <v>13032</v>
      </c>
      <c r="F537" s="4">
        <v>40925.277013888888</v>
      </c>
      <c r="G537" s="17" t="s">
        <v>171</v>
      </c>
      <c r="H537" s="35" t="s">
        <v>5499</v>
      </c>
      <c r="I537" s="10"/>
    </row>
    <row r="538" spans="1:9" s="11" customFormat="1" ht="75">
      <c r="A538" s="12">
        <v>43566.48133101852</v>
      </c>
      <c r="B538" s="13" t="s">
        <v>15495</v>
      </c>
      <c r="C538" s="14" t="s">
        <v>5498</v>
      </c>
      <c r="D538" s="15" t="s">
        <v>12893</v>
      </c>
      <c r="E538" s="16" t="s">
        <v>13013</v>
      </c>
      <c r="F538" s="12">
        <v>43415.183819444443</v>
      </c>
      <c r="G538" s="17" t="s">
        <v>171</v>
      </c>
      <c r="H538" s="35" t="s">
        <v>5499</v>
      </c>
      <c r="I538" s="18" t="s">
        <v>5500</v>
      </c>
    </row>
    <row r="539" spans="1:9" s="11" customFormat="1" ht="60">
      <c r="A539" s="19">
        <v>43543.159375000003</v>
      </c>
      <c r="B539" s="20" t="s">
        <v>15496</v>
      </c>
      <c r="C539" s="21" t="s">
        <v>6263</v>
      </c>
      <c r="D539" s="22" t="s">
        <v>12894</v>
      </c>
      <c r="E539" s="23" t="s">
        <v>13011</v>
      </c>
      <c r="F539" s="19">
        <v>40959.290671296294</v>
      </c>
      <c r="G539" s="17" t="s">
        <v>171</v>
      </c>
      <c r="H539" s="35" t="s">
        <v>6264</v>
      </c>
      <c r="I539" s="25" t="s">
        <v>6265</v>
      </c>
    </row>
    <row r="540" spans="1:9" s="11" customFormat="1" ht="60">
      <c r="A540" s="4">
        <v>43565.154328703706</v>
      </c>
      <c r="B540" s="5" t="s">
        <v>15496</v>
      </c>
      <c r="C540" s="6" t="s">
        <v>6263</v>
      </c>
      <c r="D540" s="7" t="s">
        <v>12895</v>
      </c>
      <c r="E540" s="8" t="s">
        <v>13011</v>
      </c>
      <c r="F540" s="4">
        <v>40959.290671296294</v>
      </c>
      <c r="G540" s="17" t="s">
        <v>171</v>
      </c>
      <c r="H540" s="35" t="s">
        <v>6264</v>
      </c>
      <c r="I540" s="10" t="s">
        <v>6265</v>
      </c>
    </row>
    <row r="541" spans="1:9" s="11" customFormat="1" ht="60">
      <c r="A541" s="4">
        <v>43557.554768518516</v>
      </c>
      <c r="B541" s="5" t="s">
        <v>15496</v>
      </c>
      <c r="C541" s="6" t="s">
        <v>6263</v>
      </c>
      <c r="D541" s="7" t="s">
        <v>12896</v>
      </c>
      <c r="E541" s="8" t="s">
        <v>13011</v>
      </c>
      <c r="F541" s="4">
        <v>40959.290671296294</v>
      </c>
      <c r="G541" s="17" t="s">
        <v>171</v>
      </c>
      <c r="H541" s="35" t="s">
        <v>6264</v>
      </c>
      <c r="I541" s="10" t="s">
        <v>6265</v>
      </c>
    </row>
    <row r="542" spans="1:9" s="11" customFormat="1" ht="120">
      <c r="A542" s="4">
        <v>43565.311655092592</v>
      </c>
      <c r="B542" s="5" t="s">
        <v>15497</v>
      </c>
      <c r="C542" s="6" t="s">
        <v>5442</v>
      </c>
      <c r="D542" s="7" t="s">
        <v>12897</v>
      </c>
      <c r="E542" s="8" t="s">
        <v>13011</v>
      </c>
      <c r="F542" s="4">
        <v>43285.200497685189</v>
      </c>
      <c r="G542" s="17" t="s">
        <v>171</v>
      </c>
      <c r="H542" s="35" t="s">
        <v>5443</v>
      </c>
      <c r="I542" s="10" t="s">
        <v>10182</v>
      </c>
    </row>
    <row r="543" spans="1:9" s="11" customFormat="1" ht="120">
      <c r="A543" s="4">
        <v>43559.521238425921</v>
      </c>
      <c r="B543" s="5" t="s">
        <v>15497</v>
      </c>
      <c r="C543" s="6" t="s">
        <v>5442</v>
      </c>
      <c r="D543" s="7" t="s">
        <v>12898</v>
      </c>
      <c r="E543" s="8" t="s">
        <v>13130</v>
      </c>
      <c r="F543" s="4">
        <v>43285.200497685189</v>
      </c>
      <c r="G543" s="17" t="s">
        <v>171</v>
      </c>
      <c r="H543" s="35" t="s">
        <v>5443</v>
      </c>
      <c r="I543" s="10" t="s">
        <v>10182</v>
      </c>
    </row>
    <row r="544" spans="1:9" s="11" customFormat="1" ht="120">
      <c r="A544" s="12">
        <v>43566.561423611114</v>
      </c>
      <c r="B544" s="13" t="s">
        <v>15497</v>
      </c>
      <c r="C544" s="14" t="s">
        <v>5442</v>
      </c>
      <c r="D544" s="15" t="s">
        <v>12899</v>
      </c>
      <c r="E544" s="16" t="s">
        <v>13130</v>
      </c>
      <c r="F544" s="12">
        <v>43285.200497685189</v>
      </c>
      <c r="G544" s="17" t="s">
        <v>171</v>
      </c>
      <c r="H544" s="35" t="s">
        <v>5443</v>
      </c>
      <c r="I544" s="18" t="s">
        <v>5444</v>
      </c>
    </row>
    <row r="545" spans="1:9" s="11" customFormat="1" ht="120">
      <c r="A545" s="12">
        <v>43565.311655092592</v>
      </c>
      <c r="B545" s="13" t="s">
        <v>15497</v>
      </c>
      <c r="C545" s="14" t="s">
        <v>5442</v>
      </c>
      <c r="D545" s="15" t="s">
        <v>12897</v>
      </c>
      <c r="E545" s="16" t="s">
        <v>13011</v>
      </c>
      <c r="F545" s="12">
        <v>43285.200497685189</v>
      </c>
      <c r="G545" s="17" t="s">
        <v>171</v>
      </c>
      <c r="H545" s="35" t="s">
        <v>5443</v>
      </c>
      <c r="I545" s="18" t="s">
        <v>5444</v>
      </c>
    </row>
    <row r="546" spans="1:9" s="11" customFormat="1" ht="120">
      <c r="A546" s="4">
        <v>43556.975011574075</v>
      </c>
      <c r="B546" s="5" t="s">
        <v>15498</v>
      </c>
      <c r="C546" s="6" t="s">
        <v>12692</v>
      </c>
      <c r="D546" s="7" t="s">
        <v>12916</v>
      </c>
      <c r="E546" s="8" t="s">
        <v>13034</v>
      </c>
      <c r="F546" s="4">
        <v>39914.598912037036</v>
      </c>
      <c r="G546" s="9" t="s">
        <v>171</v>
      </c>
      <c r="H546" s="35" t="s">
        <v>12693</v>
      </c>
      <c r="I546" s="10" t="s">
        <v>12917</v>
      </c>
    </row>
    <row r="547" spans="1:9" s="11" customFormat="1" ht="60">
      <c r="A547" s="12">
        <v>43572.319432870368</v>
      </c>
      <c r="B547" s="13" t="s">
        <v>15499</v>
      </c>
      <c r="C547" s="14" t="s">
        <v>3333</v>
      </c>
      <c r="D547" s="15" t="s">
        <v>12936</v>
      </c>
      <c r="E547" s="16" t="s">
        <v>13027</v>
      </c>
      <c r="F547" s="12">
        <v>42085.622673611113</v>
      </c>
      <c r="G547" s="17" t="s">
        <v>171</v>
      </c>
      <c r="H547" s="35" t="s">
        <v>3334</v>
      </c>
      <c r="I547" s="18"/>
    </row>
    <row r="548" spans="1:9" s="11" customFormat="1" ht="105">
      <c r="A548" s="19">
        <v>43550.119097222225</v>
      </c>
      <c r="B548" s="20" t="s">
        <v>15500</v>
      </c>
      <c r="C548" s="21" t="s">
        <v>7823</v>
      </c>
      <c r="D548" s="22" t="s">
        <v>12940</v>
      </c>
      <c r="E548" s="23" t="s">
        <v>13013</v>
      </c>
      <c r="F548" s="19">
        <v>41222.265925925924</v>
      </c>
      <c r="G548" s="24" t="s">
        <v>171</v>
      </c>
      <c r="H548" s="35" t="s">
        <v>7824</v>
      </c>
      <c r="I548" s="25" t="s">
        <v>7825</v>
      </c>
    </row>
    <row r="549" spans="1:9" s="11" customFormat="1" ht="120">
      <c r="A549" s="19">
        <v>43547.018530092595</v>
      </c>
      <c r="B549" s="20" t="s">
        <v>15501</v>
      </c>
      <c r="C549" s="21" t="s">
        <v>1156</v>
      </c>
      <c r="D549" s="22" t="s">
        <v>12941</v>
      </c>
      <c r="E549" s="23" t="s">
        <v>13013</v>
      </c>
      <c r="F549" s="19">
        <v>42196.316574074073</v>
      </c>
      <c r="G549" s="24" t="s">
        <v>171</v>
      </c>
      <c r="H549" s="35" t="s">
        <v>1157</v>
      </c>
      <c r="I549" s="25" t="s">
        <v>1158</v>
      </c>
    </row>
    <row r="550" spans="1:9" s="11" customFormat="1" ht="120">
      <c r="A550" s="19">
        <v>43545.93346064815</v>
      </c>
      <c r="B550" s="20" t="s">
        <v>15501</v>
      </c>
      <c r="C550" s="21" t="s">
        <v>1156</v>
      </c>
      <c r="D550" s="22" t="s">
        <v>12942</v>
      </c>
      <c r="E550" s="23" t="s">
        <v>13013</v>
      </c>
      <c r="F550" s="19">
        <v>42196.316574074073</v>
      </c>
      <c r="G550" s="24" t="s">
        <v>171</v>
      </c>
      <c r="H550" s="35" t="s">
        <v>1157</v>
      </c>
      <c r="I550" s="25" t="s">
        <v>1158</v>
      </c>
    </row>
    <row r="551" spans="1:9" s="11" customFormat="1" ht="120">
      <c r="A551" s="19">
        <v>43543.991099537037</v>
      </c>
      <c r="B551" s="20" t="s">
        <v>15501</v>
      </c>
      <c r="C551" s="21" t="s">
        <v>1156</v>
      </c>
      <c r="D551" s="22" t="s">
        <v>12943</v>
      </c>
      <c r="E551" s="23" t="s">
        <v>13013</v>
      </c>
      <c r="F551" s="19">
        <v>42196.316574074073</v>
      </c>
      <c r="G551" s="24" t="s">
        <v>171</v>
      </c>
      <c r="H551" s="35" t="s">
        <v>1157</v>
      </c>
      <c r="I551" s="25" t="s">
        <v>1158</v>
      </c>
    </row>
    <row r="552" spans="1:9" s="11" customFormat="1" ht="120">
      <c r="A552" s="12">
        <v>43578.537719907406</v>
      </c>
      <c r="B552" s="13" t="s">
        <v>15501</v>
      </c>
      <c r="C552" s="14" t="s">
        <v>1156</v>
      </c>
      <c r="D552" s="15" t="s">
        <v>12944</v>
      </c>
      <c r="E552" s="16" t="s">
        <v>13013</v>
      </c>
      <c r="F552" s="12">
        <v>42196.316574074073</v>
      </c>
      <c r="G552" s="24" t="s">
        <v>171</v>
      </c>
      <c r="H552" s="35" t="s">
        <v>1157</v>
      </c>
      <c r="I552" s="18" t="s">
        <v>1158</v>
      </c>
    </row>
    <row r="553" spans="1:9" s="11" customFormat="1" ht="60">
      <c r="A553" s="19">
        <v>43545.562442129631</v>
      </c>
      <c r="B553" s="20" t="s">
        <v>15502</v>
      </c>
      <c r="C553" s="21" t="s">
        <v>9097</v>
      </c>
      <c r="D553" s="22" t="s">
        <v>12945</v>
      </c>
      <c r="E553" s="23" t="s">
        <v>13009</v>
      </c>
      <c r="F553" s="19">
        <v>43509.190810185188</v>
      </c>
      <c r="G553" s="24" t="s">
        <v>171</v>
      </c>
      <c r="H553" s="35" t="s">
        <v>2996</v>
      </c>
      <c r="I553" s="25" t="s">
        <v>12946</v>
      </c>
    </row>
    <row r="554" spans="1:9" s="11" customFormat="1" ht="45">
      <c r="A554" s="12">
        <v>43573.132164351853</v>
      </c>
      <c r="B554" s="13" t="s">
        <v>15503</v>
      </c>
      <c r="C554" s="14" t="s">
        <v>2995</v>
      </c>
      <c r="D554" s="15" t="s">
        <v>12947</v>
      </c>
      <c r="E554" s="16" t="s">
        <v>13009</v>
      </c>
      <c r="F554" s="12">
        <v>41566.195821759262</v>
      </c>
      <c r="G554" s="24" t="s">
        <v>171</v>
      </c>
      <c r="H554" s="35" t="s">
        <v>2996</v>
      </c>
      <c r="I554" s="18" t="s">
        <v>2997</v>
      </c>
    </row>
    <row r="555" spans="1:9" s="11" customFormat="1" ht="135">
      <c r="A555" s="4">
        <v>43563.593622685185</v>
      </c>
      <c r="B555" s="5" t="s">
        <v>15504</v>
      </c>
      <c r="C555" s="6" t="s">
        <v>6950</v>
      </c>
      <c r="D555" s="7" t="s">
        <v>12948</v>
      </c>
      <c r="E555" s="8" t="s">
        <v>13011</v>
      </c>
      <c r="F555" s="4">
        <v>42961.115706018521</v>
      </c>
      <c r="G555" s="9" t="s">
        <v>171</v>
      </c>
      <c r="H555" s="35" t="s">
        <v>6951</v>
      </c>
      <c r="I555" s="10" t="s">
        <v>6952</v>
      </c>
    </row>
    <row r="556" spans="1:9" s="11" customFormat="1" ht="60">
      <c r="A556" s="19">
        <v>43550.529189814813</v>
      </c>
      <c r="B556" s="20" t="s">
        <v>15505</v>
      </c>
      <c r="C556" s="21" t="s">
        <v>7627</v>
      </c>
      <c r="D556" s="22" t="s">
        <v>12949</v>
      </c>
      <c r="E556" s="23" t="s">
        <v>13011</v>
      </c>
      <c r="F556" s="19">
        <v>40957.071805555555</v>
      </c>
      <c r="G556" s="24" t="s">
        <v>171</v>
      </c>
      <c r="H556" s="35" t="s">
        <v>7628</v>
      </c>
      <c r="I556" s="25" t="s">
        <v>12950</v>
      </c>
    </row>
    <row r="557" spans="1:9" s="11" customFormat="1" ht="90">
      <c r="A557" s="19">
        <v>43551.311122685191</v>
      </c>
      <c r="B557" s="20" t="s">
        <v>15506</v>
      </c>
      <c r="C557" s="21" t="s">
        <v>1650</v>
      </c>
      <c r="D557" s="28" t="s">
        <v>12971</v>
      </c>
      <c r="E557" s="23" t="s">
        <v>13009</v>
      </c>
      <c r="F557" s="19">
        <v>43549.437152777777</v>
      </c>
      <c r="G557" s="24" t="s">
        <v>171</v>
      </c>
      <c r="H557" s="35" t="s">
        <v>1651</v>
      </c>
      <c r="I557" s="25" t="s">
        <v>12972</v>
      </c>
    </row>
    <row r="558" spans="1:9" s="11" customFormat="1" ht="90">
      <c r="A558" s="12">
        <v>43577.370509259257</v>
      </c>
      <c r="B558" s="13" t="s">
        <v>15506</v>
      </c>
      <c r="C558" s="14" t="s">
        <v>1650</v>
      </c>
      <c r="D558" s="15" t="s">
        <v>12973</v>
      </c>
      <c r="E558" s="16" t="s">
        <v>13009</v>
      </c>
      <c r="F558" s="12">
        <v>43549.437152777777</v>
      </c>
      <c r="G558" s="24" t="s">
        <v>171</v>
      </c>
      <c r="H558" s="35" t="s">
        <v>1651</v>
      </c>
      <c r="I558" s="18" t="s">
        <v>12972</v>
      </c>
    </row>
    <row r="559" spans="1:9" s="11" customFormat="1" ht="90">
      <c r="A559" s="12">
        <v>43574.344456018516</v>
      </c>
      <c r="B559" s="13" t="s">
        <v>15506</v>
      </c>
      <c r="C559" s="14" t="s">
        <v>1650</v>
      </c>
      <c r="D559" s="15" t="s">
        <v>12974</v>
      </c>
      <c r="E559" s="16" t="s">
        <v>13009</v>
      </c>
      <c r="F559" s="12">
        <v>43549.437152777777</v>
      </c>
      <c r="G559" s="24" t="s">
        <v>171</v>
      </c>
      <c r="H559" s="35" t="s">
        <v>1651</v>
      </c>
      <c r="I559" s="18" t="s">
        <v>12972</v>
      </c>
    </row>
    <row r="560" spans="1:9" s="11" customFormat="1" ht="90">
      <c r="A560" s="12">
        <v>43574.343703703707</v>
      </c>
      <c r="B560" s="13" t="s">
        <v>15506</v>
      </c>
      <c r="C560" s="14" t="s">
        <v>1650</v>
      </c>
      <c r="D560" s="15" t="s">
        <v>12975</v>
      </c>
      <c r="E560" s="16" t="s">
        <v>13009</v>
      </c>
      <c r="F560" s="12">
        <v>43549.437152777777</v>
      </c>
      <c r="G560" s="24" t="s">
        <v>171</v>
      </c>
      <c r="H560" s="35" t="s">
        <v>1651</v>
      </c>
      <c r="I560" s="18" t="s">
        <v>12972</v>
      </c>
    </row>
    <row r="561" spans="1:9" s="11" customFormat="1" ht="90">
      <c r="A561" s="12">
        <v>43574.186215277776</v>
      </c>
      <c r="B561" s="13" t="s">
        <v>15506</v>
      </c>
      <c r="C561" s="14" t="s">
        <v>1650</v>
      </c>
      <c r="D561" s="15" t="s">
        <v>12976</v>
      </c>
      <c r="E561" s="16" t="s">
        <v>13009</v>
      </c>
      <c r="F561" s="12">
        <v>43549.437152777777</v>
      </c>
      <c r="G561" s="24" t="s">
        <v>171</v>
      </c>
      <c r="H561" s="35" t="s">
        <v>1651</v>
      </c>
      <c r="I561" s="18" t="s">
        <v>12972</v>
      </c>
    </row>
    <row r="562" spans="1:9" s="11" customFormat="1" ht="90">
      <c r="A562" s="12">
        <v>43571.122384259259</v>
      </c>
      <c r="B562" s="13" t="s">
        <v>15506</v>
      </c>
      <c r="C562" s="14" t="s">
        <v>1650</v>
      </c>
      <c r="D562" s="15" t="s">
        <v>12977</v>
      </c>
      <c r="E562" s="16" t="s">
        <v>13009</v>
      </c>
      <c r="F562" s="12">
        <v>43549.437152777777</v>
      </c>
      <c r="G562" s="24" t="s">
        <v>171</v>
      </c>
      <c r="H562" s="35" t="s">
        <v>1651</v>
      </c>
      <c r="I562" s="18" t="s">
        <v>12972</v>
      </c>
    </row>
    <row r="563" spans="1:9" s="11" customFormat="1" ht="90">
      <c r="A563" s="12">
        <v>43570.406782407408</v>
      </c>
      <c r="B563" s="13" t="s">
        <v>15506</v>
      </c>
      <c r="C563" s="14" t="s">
        <v>1650</v>
      </c>
      <c r="D563" s="15" t="s">
        <v>12978</v>
      </c>
      <c r="E563" s="16" t="s">
        <v>13009</v>
      </c>
      <c r="F563" s="12">
        <v>43549.437152777777</v>
      </c>
      <c r="G563" s="24" t="s">
        <v>171</v>
      </c>
      <c r="H563" s="35" t="s">
        <v>1651</v>
      </c>
      <c r="I563" s="18" t="s">
        <v>12972</v>
      </c>
    </row>
    <row r="564" spans="1:9" s="11" customFormat="1" ht="75">
      <c r="A564" s="19">
        <v>43543.536678240736</v>
      </c>
      <c r="B564" s="20" t="s">
        <v>15507</v>
      </c>
      <c r="C564" s="21" t="s">
        <v>9765</v>
      </c>
      <c r="D564" s="22" t="s">
        <v>12979</v>
      </c>
      <c r="E564" s="23" t="s">
        <v>13032</v>
      </c>
      <c r="F564" s="19">
        <v>41079.478437500002</v>
      </c>
      <c r="G564" s="24" t="s">
        <v>171</v>
      </c>
      <c r="H564" s="35" t="s">
        <v>2981</v>
      </c>
      <c r="I564" s="25" t="s">
        <v>9766</v>
      </c>
    </row>
    <row r="565" spans="1:9" s="11" customFormat="1" ht="60">
      <c r="A565" s="12">
        <v>43573.208923611106</v>
      </c>
      <c r="B565" s="13" t="s">
        <v>15508</v>
      </c>
      <c r="C565" s="14" t="s">
        <v>2980</v>
      </c>
      <c r="D565" s="15" t="s">
        <v>12980</v>
      </c>
      <c r="E565" s="16" t="s">
        <v>14068</v>
      </c>
      <c r="F565" s="12">
        <v>41830.32885416667</v>
      </c>
      <c r="G565" s="24" t="s">
        <v>171</v>
      </c>
      <c r="H565" s="35" t="s">
        <v>2981</v>
      </c>
      <c r="I565" s="18" t="s">
        <v>2982</v>
      </c>
    </row>
    <row r="566" spans="1:9" s="11" customFormat="1" ht="105">
      <c r="A566" s="19">
        <v>43544.331284722226</v>
      </c>
      <c r="B566" s="20" t="s">
        <v>15509</v>
      </c>
      <c r="C566" s="21" t="s">
        <v>9518</v>
      </c>
      <c r="D566" s="22" t="s">
        <v>12984</v>
      </c>
      <c r="E566" s="23" t="s">
        <v>13009</v>
      </c>
      <c r="F566" s="19">
        <v>43389.30804398148</v>
      </c>
      <c r="G566" s="24" t="s">
        <v>171</v>
      </c>
      <c r="H566" s="35" t="s">
        <v>9519</v>
      </c>
      <c r="I566" s="25" t="s">
        <v>9520</v>
      </c>
    </row>
    <row r="567" spans="1:9" s="11" customFormat="1" ht="120">
      <c r="A567" s="19">
        <v>43551.362534722226</v>
      </c>
      <c r="B567" s="20" t="s">
        <v>15510</v>
      </c>
      <c r="C567" s="21" t="s">
        <v>7278</v>
      </c>
      <c r="D567" s="22" t="s">
        <v>7279</v>
      </c>
      <c r="E567" s="23" t="s">
        <v>13101</v>
      </c>
      <c r="F567" s="19">
        <v>43114.189259259263</v>
      </c>
      <c r="G567" s="24" t="s">
        <v>171</v>
      </c>
      <c r="H567" s="35" t="s">
        <v>171</v>
      </c>
      <c r="I567" s="25" t="s">
        <v>7280</v>
      </c>
    </row>
    <row r="568" spans="1:9" s="11" customFormat="1" ht="120">
      <c r="A568" s="19">
        <v>43548.197974537034</v>
      </c>
      <c r="B568" s="20" t="s">
        <v>15511</v>
      </c>
      <c r="C568" s="21" t="s">
        <v>8387</v>
      </c>
      <c r="D568" s="22" t="s">
        <v>8388</v>
      </c>
      <c r="E568" s="23" t="s">
        <v>13009</v>
      </c>
      <c r="F568" s="19">
        <v>40726.627557870372</v>
      </c>
      <c r="G568" s="24" t="s">
        <v>171</v>
      </c>
      <c r="H568" s="35" t="s">
        <v>171</v>
      </c>
      <c r="I568" s="25" t="s">
        <v>8389</v>
      </c>
    </row>
    <row r="569" spans="1:9" s="11" customFormat="1" ht="105">
      <c r="A569" s="4">
        <v>43565.057696759264</v>
      </c>
      <c r="B569" s="5" t="s">
        <v>15512</v>
      </c>
      <c r="C569" s="6" t="s">
        <v>6321</v>
      </c>
      <c r="D569" s="7" t="s">
        <v>6322</v>
      </c>
      <c r="E569" s="8" t="s">
        <v>13009</v>
      </c>
      <c r="F569" s="4">
        <v>39983.589270833334</v>
      </c>
      <c r="G569" s="9" t="s">
        <v>171</v>
      </c>
      <c r="H569" s="35" t="s">
        <v>171</v>
      </c>
      <c r="I569" s="10" t="s">
        <v>6323</v>
      </c>
    </row>
    <row r="570" spans="1:9" s="11" customFormat="1" ht="120">
      <c r="A570" s="4">
        <v>43564.446585648147</v>
      </c>
      <c r="B570" s="5" t="s">
        <v>15513</v>
      </c>
      <c r="C570" s="6" t="s">
        <v>6607</v>
      </c>
      <c r="D570" s="7" t="s">
        <v>6608</v>
      </c>
      <c r="E570" s="8" t="s">
        <v>13011</v>
      </c>
      <c r="F570" s="4">
        <v>39251.23600694444</v>
      </c>
      <c r="G570" s="9" t="s">
        <v>171</v>
      </c>
      <c r="H570" s="35" t="s">
        <v>171</v>
      </c>
      <c r="I570" s="10" t="s">
        <v>6609</v>
      </c>
    </row>
    <row r="571" spans="1:9" s="11" customFormat="1" ht="105">
      <c r="A571" s="12">
        <v>43580.649236111116</v>
      </c>
      <c r="B571" s="13" t="s">
        <v>15514</v>
      </c>
      <c r="C571" s="14" t="s">
        <v>169</v>
      </c>
      <c r="D571" s="15" t="s">
        <v>170</v>
      </c>
      <c r="E571" s="16" t="s">
        <v>13009</v>
      </c>
      <c r="F571" s="12">
        <v>43307.0075</v>
      </c>
      <c r="G571" s="17" t="s">
        <v>171</v>
      </c>
      <c r="H571" s="35" t="s">
        <v>171</v>
      </c>
      <c r="I571" s="18" t="s">
        <v>172</v>
      </c>
    </row>
    <row r="572" spans="1:9" s="11" customFormat="1" ht="105">
      <c r="A572" s="12">
        <v>43579.894768518519</v>
      </c>
      <c r="B572" s="13" t="s">
        <v>15515</v>
      </c>
      <c r="C572" s="14" t="s">
        <v>408</v>
      </c>
      <c r="D572" s="15" t="s">
        <v>409</v>
      </c>
      <c r="E572" s="16" t="s">
        <v>13013</v>
      </c>
      <c r="F572" s="12">
        <v>40782.628842592589</v>
      </c>
      <c r="G572" s="17" t="s">
        <v>171</v>
      </c>
      <c r="H572" s="35" t="s">
        <v>171</v>
      </c>
      <c r="I572" s="18" t="s">
        <v>410</v>
      </c>
    </row>
    <row r="573" spans="1:9" s="11" customFormat="1" ht="75">
      <c r="A573" s="12">
        <v>43577.594259259262</v>
      </c>
      <c r="B573" s="13" t="s">
        <v>15516</v>
      </c>
      <c r="C573" s="14" t="s">
        <v>1556</v>
      </c>
      <c r="D573" s="15" t="s">
        <v>1557</v>
      </c>
      <c r="E573" s="16" t="s">
        <v>13009</v>
      </c>
      <c r="F573" s="12">
        <v>43424.562673611115</v>
      </c>
      <c r="G573" s="17" t="s">
        <v>171</v>
      </c>
      <c r="H573" s="35" t="s">
        <v>171</v>
      </c>
      <c r="I573" s="18" t="s">
        <v>1558</v>
      </c>
    </row>
    <row r="574" spans="1:9" s="11" customFormat="1" ht="105">
      <c r="A574" s="12">
        <v>43577.137800925921</v>
      </c>
      <c r="B574" s="13" t="s">
        <v>15517</v>
      </c>
      <c r="C574" s="14" t="s">
        <v>1738</v>
      </c>
      <c r="D574" s="15" t="s">
        <v>1739</v>
      </c>
      <c r="E574" s="16" t="s">
        <v>13272</v>
      </c>
      <c r="F574" s="12">
        <v>40968.184976851851</v>
      </c>
      <c r="G574" s="17" t="s">
        <v>171</v>
      </c>
      <c r="H574" s="35" t="s">
        <v>171</v>
      </c>
      <c r="I574" s="18" t="s">
        <v>1740</v>
      </c>
    </row>
    <row r="575" spans="1:9" s="11" customFormat="1" ht="105">
      <c r="A575" s="12">
        <v>43571.269270833334</v>
      </c>
      <c r="B575" s="13" t="s">
        <v>15518</v>
      </c>
      <c r="C575" s="14" t="s">
        <v>3764</v>
      </c>
      <c r="D575" s="15" t="s">
        <v>3765</v>
      </c>
      <c r="E575" s="16" t="s">
        <v>13018</v>
      </c>
      <c r="F575" s="12">
        <v>41227.106817129628</v>
      </c>
      <c r="G575" s="17" t="s">
        <v>171</v>
      </c>
      <c r="H575" s="35" t="s">
        <v>171</v>
      </c>
      <c r="I575" s="18" t="s">
        <v>3766</v>
      </c>
    </row>
    <row r="576" spans="1:9" s="11" customFormat="1" ht="105">
      <c r="A576" s="12">
        <v>43565.951331018514</v>
      </c>
      <c r="B576" s="13" t="s">
        <v>15514</v>
      </c>
      <c r="C576" s="14" t="s">
        <v>5833</v>
      </c>
      <c r="D576" s="15" t="s">
        <v>5834</v>
      </c>
      <c r="E576" s="16" t="s">
        <v>13009</v>
      </c>
      <c r="F576" s="12">
        <v>43306.549166666664</v>
      </c>
      <c r="G576" s="17" t="s">
        <v>171</v>
      </c>
      <c r="H576" s="35" t="s">
        <v>171</v>
      </c>
      <c r="I576" s="18" t="s">
        <v>172</v>
      </c>
    </row>
    <row r="577" spans="1:9" s="11" customFormat="1" ht="90">
      <c r="A577" s="12">
        <v>43565.330775462964</v>
      </c>
      <c r="B577" s="13" t="s">
        <v>15519</v>
      </c>
      <c r="C577" s="14" t="s">
        <v>6168</v>
      </c>
      <c r="D577" s="15" t="s">
        <v>6169</v>
      </c>
      <c r="E577" s="16" t="s">
        <v>13009</v>
      </c>
      <c r="F577" s="12">
        <v>43001.412789351853</v>
      </c>
      <c r="G577" s="17" t="s">
        <v>171</v>
      </c>
      <c r="H577" s="35" t="s">
        <v>171</v>
      </c>
      <c r="I577" s="18" t="s">
        <v>6170</v>
      </c>
    </row>
    <row r="578" spans="1:9" s="11" customFormat="1" ht="60">
      <c r="A578" s="12">
        <v>43579.247685185182</v>
      </c>
      <c r="B578" s="13" t="s">
        <v>15520</v>
      </c>
      <c r="C578" s="14" t="s">
        <v>822</v>
      </c>
      <c r="D578" s="15" t="s">
        <v>823</v>
      </c>
      <c r="E578" s="16" t="s">
        <v>13027</v>
      </c>
      <c r="F578" s="12">
        <v>40988.407511574071</v>
      </c>
      <c r="G578" s="17" t="s">
        <v>171</v>
      </c>
      <c r="H578" s="35" t="s">
        <v>824</v>
      </c>
      <c r="I578" s="18" t="s">
        <v>825</v>
      </c>
    </row>
    <row r="579" spans="1:9" s="11" customFormat="1" ht="90">
      <c r="A579" s="12">
        <v>43579.348506944443</v>
      </c>
      <c r="B579" s="13" t="s">
        <v>15521</v>
      </c>
      <c r="C579" s="14" t="s">
        <v>738</v>
      </c>
      <c r="D579" s="15" t="s">
        <v>739</v>
      </c>
      <c r="E579" s="16" t="s">
        <v>13009</v>
      </c>
      <c r="F579" s="12">
        <v>39449.567986111113</v>
      </c>
      <c r="G579" s="17" t="s">
        <v>171</v>
      </c>
      <c r="H579" s="35" t="s">
        <v>740</v>
      </c>
      <c r="I579" s="18" t="s">
        <v>741</v>
      </c>
    </row>
    <row r="580" spans="1:9" s="11" customFormat="1" ht="105">
      <c r="A580" s="12">
        <v>43567.235949074078</v>
      </c>
      <c r="B580" s="13" t="s">
        <v>15522</v>
      </c>
      <c r="C580" s="14" t="s">
        <v>5207</v>
      </c>
      <c r="D580" s="15" t="s">
        <v>5208</v>
      </c>
      <c r="E580" s="16" t="s">
        <v>13009</v>
      </c>
      <c r="F580" s="12">
        <v>43370.293229166666</v>
      </c>
      <c r="G580" s="17" t="s">
        <v>171</v>
      </c>
      <c r="H580" s="35" t="s">
        <v>5209</v>
      </c>
      <c r="I580" s="18" t="s">
        <v>5210</v>
      </c>
    </row>
    <row r="581" spans="1:9" s="11" customFormat="1" ht="45">
      <c r="A581" s="12">
        <v>43576.422800925924</v>
      </c>
      <c r="B581" s="13" t="s">
        <v>15523</v>
      </c>
      <c r="C581" s="14" t="s">
        <v>1951</v>
      </c>
      <c r="D581" s="15" t="s">
        <v>1952</v>
      </c>
      <c r="E581" s="16" t="s">
        <v>13032</v>
      </c>
      <c r="F581" s="12">
        <v>39849.954386574071</v>
      </c>
      <c r="G581" s="17" t="s">
        <v>171</v>
      </c>
      <c r="H581" s="35" t="s">
        <v>1953</v>
      </c>
      <c r="I581" s="18" t="s">
        <v>1954</v>
      </c>
    </row>
    <row r="582" spans="1:9" s="11" customFormat="1" ht="120">
      <c r="A582" s="4">
        <v>43558.190694444449</v>
      </c>
      <c r="B582" s="5" t="s">
        <v>15524</v>
      </c>
      <c r="C582" s="6" t="s">
        <v>12288</v>
      </c>
      <c r="D582" s="7" t="s">
        <v>12289</v>
      </c>
      <c r="E582" s="8" t="s">
        <v>13009</v>
      </c>
      <c r="F582" s="4">
        <v>41682.34814814815</v>
      </c>
      <c r="G582" s="9" t="s">
        <v>171</v>
      </c>
      <c r="H582" s="35" t="s">
        <v>12290</v>
      </c>
      <c r="I582" s="10" t="s">
        <v>12291</v>
      </c>
    </row>
    <row r="583" spans="1:9" s="11" customFormat="1" ht="75">
      <c r="A583" s="19">
        <v>43547.472604166665</v>
      </c>
      <c r="B583" s="20" t="s">
        <v>15525</v>
      </c>
      <c r="C583" s="21" t="s">
        <v>8528</v>
      </c>
      <c r="D583" s="22" t="s">
        <v>8529</v>
      </c>
      <c r="E583" s="23" t="s">
        <v>13009</v>
      </c>
      <c r="F583" s="19">
        <v>39939.30300925926</v>
      </c>
      <c r="G583" s="17" t="s">
        <v>171</v>
      </c>
      <c r="H583" s="35" t="s">
        <v>8530</v>
      </c>
      <c r="I583" s="25" t="s">
        <v>8531</v>
      </c>
    </row>
    <row r="584" spans="1:9" s="11" customFormat="1" ht="75">
      <c r="A584" s="4">
        <v>43565.417488425926</v>
      </c>
      <c r="B584" s="5" t="s">
        <v>15526</v>
      </c>
      <c r="C584" s="6" t="s">
        <v>6100</v>
      </c>
      <c r="D584" s="7" t="s">
        <v>6101</v>
      </c>
      <c r="E584" s="8" t="s">
        <v>13034</v>
      </c>
      <c r="F584" s="4">
        <v>40565.485844907409</v>
      </c>
      <c r="G584" s="17" t="s">
        <v>171</v>
      </c>
      <c r="H584" s="35" t="s">
        <v>6102</v>
      </c>
      <c r="I584" s="10" t="s">
        <v>6103</v>
      </c>
    </row>
    <row r="585" spans="1:9" s="11" customFormat="1" ht="105">
      <c r="A585" s="19">
        <v>43550.577592592592</v>
      </c>
      <c r="B585" s="20" t="s">
        <v>15527</v>
      </c>
      <c r="C585" s="21" t="s">
        <v>1922</v>
      </c>
      <c r="D585" s="22" t="s">
        <v>7609</v>
      </c>
      <c r="E585" s="23" t="s">
        <v>13013</v>
      </c>
      <c r="F585" s="19">
        <v>43544.262858796297</v>
      </c>
      <c r="G585" s="17" t="s">
        <v>171</v>
      </c>
      <c r="H585" s="35" t="s">
        <v>941</v>
      </c>
      <c r="I585" s="25" t="s">
        <v>1924</v>
      </c>
    </row>
    <row r="586" spans="1:9" s="11" customFormat="1" ht="105">
      <c r="A586" s="19">
        <v>43547.364247685182</v>
      </c>
      <c r="B586" s="20" t="s">
        <v>15527</v>
      </c>
      <c r="C586" s="21" t="s">
        <v>1922</v>
      </c>
      <c r="D586" s="22" t="s">
        <v>8578</v>
      </c>
      <c r="E586" s="23" t="s">
        <v>13013</v>
      </c>
      <c r="F586" s="19">
        <v>43544.262858796297</v>
      </c>
      <c r="G586" s="17" t="s">
        <v>171</v>
      </c>
      <c r="H586" s="35" t="s">
        <v>941</v>
      </c>
      <c r="I586" s="25" t="s">
        <v>1924</v>
      </c>
    </row>
    <row r="587" spans="1:9" s="11" customFormat="1" ht="105">
      <c r="A587" s="19">
        <v>43546.160613425927</v>
      </c>
      <c r="B587" s="20" t="s">
        <v>15527</v>
      </c>
      <c r="C587" s="21" t="s">
        <v>1922</v>
      </c>
      <c r="D587" s="22" t="s">
        <v>8950</v>
      </c>
      <c r="E587" s="23" t="s">
        <v>13009</v>
      </c>
      <c r="F587" s="19">
        <v>43544.262858796297</v>
      </c>
      <c r="G587" s="17" t="s">
        <v>171</v>
      </c>
      <c r="H587" s="35" t="s">
        <v>941</v>
      </c>
      <c r="I587" s="25" t="s">
        <v>1924</v>
      </c>
    </row>
    <row r="588" spans="1:9" s="11" customFormat="1" ht="105">
      <c r="A588" s="19">
        <v>43545.051932870367</v>
      </c>
      <c r="B588" s="20" t="s">
        <v>15527</v>
      </c>
      <c r="C588" s="21" t="s">
        <v>1922</v>
      </c>
      <c r="D588" s="22" t="s">
        <v>9289</v>
      </c>
      <c r="E588" s="23" t="s">
        <v>13013</v>
      </c>
      <c r="F588" s="19">
        <v>43544.262858796297</v>
      </c>
      <c r="G588" s="17" t="s">
        <v>171</v>
      </c>
      <c r="H588" s="35" t="s">
        <v>941</v>
      </c>
      <c r="I588" s="25" t="s">
        <v>1924</v>
      </c>
    </row>
    <row r="589" spans="1:9" s="11" customFormat="1" ht="90">
      <c r="A589" s="19">
        <v>43544.139293981483</v>
      </c>
      <c r="B589" s="20" t="s">
        <v>15528</v>
      </c>
      <c r="C589" s="21" t="s">
        <v>939</v>
      </c>
      <c r="D589" s="22" t="s">
        <v>9604</v>
      </c>
      <c r="E589" s="23" t="s">
        <v>13013</v>
      </c>
      <c r="F589" s="19">
        <v>41176.810694444444</v>
      </c>
      <c r="G589" s="17" t="s">
        <v>171</v>
      </c>
      <c r="H589" s="35" t="s">
        <v>941</v>
      </c>
      <c r="I589" s="25" t="s">
        <v>9605</v>
      </c>
    </row>
    <row r="590" spans="1:9" s="11" customFormat="1" ht="90">
      <c r="A590" s="19">
        <v>43543.163958333331</v>
      </c>
      <c r="B590" s="20" t="s">
        <v>15528</v>
      </c>
      <c r="C590" s="21" t="s">
        <v>939</v>
      </c>
      <c r="D590" s="22" t="s">
        <v>9919</v>
      </c>
      <c r="E590" s="23" t="s">
        <v>13013</v>
      </c>
      <c r="F590" s="19">
        <v>41176.810694444444</v>
      </c>
      <c r="G590" s="17" t="s">
        <v>171</v>
      </c>
      <c r="H590" s="35" t="s">
        <v>941</v>
      </c>
      <c r="I590" s="25" t="s">
        <v>9605</v>
      </c>
    </row>
    <row r="591" spans="1:9" s="11" customFormat="1" ht="90">
      <c r="A591" s="19">
        <v>43543.15997685185</v>
      </c>
      <c r="B591" s="20" t="s">
        <v>15528</v>
      </c>
      <c r="C591" s="21" t="s">
        <v>939</v>
      </c>
      <c r="D591" s="22" t="s">
        <v>9921</v>
      </c>
      <c r="E591" s="23" t="s">
        <v>13009</v>
      </c>
      <c r="F591" s="19">
        <v>41176.810694444444</v>
      </c>
      <c r="G591" s="17" t="s">
        <v>171</v>
      </c>
      <c r="H591" s="35" t="s">
        <v>941</v>
      </c>
      <c r="I591" s="25" t="s">
        <v>9605</v>
      </c>
    </row>
    <row r="592" spans="1:9" s="11" customFormat="1" ht="105">
      <c r="A592" s="4">
        <v>43565.076898148152</v>
      </c>
      <c r="B592" s="5" t="s">
        <v>15527</v>
      </c>
      <c r="C592" s="6" t="s">
        <v>1922</v>
      </c>
      <c r="D592" s="7" t="s">
        <v>6302</v>
      </c>
      <c r="E592" s="8" t="s">
        <v>13013</v>
      </c>
      <c r="F592" s="4">
        <v>43544.262858796297</v>
      </c>
      <c r="G592" s="17" t="s">
        <v>171</v>
      </c>
      <c r="H592" s="35" t="s">
        <v>941</v>
      </c>
      <c r="I592" s="10" t="s">
        <v>1924</v>
      </c>
    </row>
    <row r="593" spans="1:9" s="11" customFormat="1" ht="105">
      <c r="A593" s="4">
        <v>43564.181620370371</v>
      </c>
      <c r="B593" s="5" t="s">
        <v>15527</v>
      </c>
      <c r="C593" s="6" t="s">
        <v>1922</v>
      </c>
      <c r="D593" s="7" t="s">
        <v>6754</v>
      </c>
      <c r="E593" s="8" t="s">
        <v>13013</v>
      </c>
      <c r="F593" s="4">
        <v>43544.262858796297</v>
      </c>
      <c r="G593" s="17" t="s">
        <v>171</v>
      </c>
      <c r="H593" s="35" t="s">
        <v>941</v>
      </c>
      <c r="I593" s="10" t="s">
        <v>1924</v>
      </c>
    </row>
    <row r="594" spans="1:9" s="11" customFormat="1" ht="105">
      <c r="A594" s="4">
        <v>43563.314895833333</v>
      </c>
      <c r="B594" s="5" t="s">
        <v>15527</v>
      </c>
      <c r="C594" s="6" t="s">
        <v>1922</v>
      </c>
      <c r="D594" s="7" t="s">
        <v>10385</v>
      </c>
      <c r="E594" s="8" t="s">
        <v>13013</v>
      </c>
      <c r="F594" s="4">
        <v>43544.262858796297</v>
      </c>
      <c r="G594" s="17" t="s">
        <v>171</v>
      </c>
      <c r="H594" s="35" t="s">
        <v>941</v>
      </c>
      <c r="I594" s="10" t="s">
        <v>1924</v>
      </c>
    </row>
    <row r="595" spans="1:9" s="11" customFormat="1" ht="105">
      <c r="A595" s="4">
        <v>43562.1793287037</v>
      </c>
      <c r="B595" s="5" t="s">
        <v>15527</v>
      </c>
      <c r="C595" s="6" t="s">
        <v>1922</v>
      </c>
      <c r="D595" s="7" t="s">
        <v>10735</v>
      </c>
      <c r="E595" s="8" t="s">
        <v>13013</v>
      </c>
      <c r="F595" s="4">
        <v>43544.262858796297</v>
      </c>
      <c r="G595" s="17" t="s">
        <v>171</v>
      </c>
      <c r="H595" s="35" t="s">
        <v>941</v>
      </c>
      <c r="I595" s="10" t="s">
        <v>1924</v>
      </c>
    </row>
    <row r="596" spans="1:9" s="11" customFormat="1" ht="105">
      <c r="A596" s="4">
        <v>43562.109768518523</v>
      </c>
      <c r="B596" s="5" t="s">
        <v>15527</v>
      </c>
      <c r="C596" s="6" t="s">
        <v>1922</v>
      </c>
      <c r="D596" s="7" t="s">
        <v>10747</v>
      </c>
      <c r="E596" s="8" t="s">
        <v>13013</v>
      </c>
      <c r="F596" s="4">
        <v>43544.262858796297</v>
      </c>
      <c r="G596" s="17" t="s">
        <v>171</v>
      </c>
      <c r="H596" s="35" t="s">
        <v>941</v>
      </c>
      <c r="I596" s="10" t="s">
        <v>1924</v>
      </c>
    </row>
    <row r="597" spans="1:9" s="11" customFormat="1" ht="105">
      <c r="A597" s="4">
        <v>43560.150659722218</v>
      </c>
      <c r="B597" s="5" t="s">
        <v>15527</v>
      </c>
      <c r="C597" s="6" t="s">
        <v>1922</v>
      </c>
      <c r="D597" s="7" t="s">
        <v>11589</v>
      </c>
      <c r="E597" s="8" t="s">
        <v>13013</v>
      </c>
      <c r="F597" s="4">
        <v>43544.262858796297</v>
      </c>
      <c r="G597" s="17" t="s">
        <v>171</v>
      </c>
      <c r="H597" s="35" t="s">
        <v>941</v>
      </c>
      <c r="I597" s="10" t="s">
        <v>1924</v>
      </c>
    </row>
    <row r="598" spans="1:9" s="11" customFormat="1" ht="105">
      <c r="A598" s="4">
        <v>43559.126504629632</v>
      </c>
      <c r="B598" s="5" t="s">
        <v>15527</v>
      </c>
      <c r="C598" s="6" t="s">
        <v>1922</v>
      </c>
      <c r="D598" s="7" t="s">
        <v>11938</v>
      </c>
      <c r="E598" s="8" t="s">
        <v>13013</v>
      </c>
      <c r="F598" s="4">
        <v>43544.262858796297</v>
      </c>
      <c r="G598" s="17" t="s">
        <v>171</v>
      </c>
      <c r="H598" s="35" t="s">
        <v>941</v>
      </c>
      <c r="I598" s="10" t="s">
        <v>1924</v>
      </c>
    </row>
    <row r="599" spans="1:9" s="11" customFormat="1" ht="75">
      <c r="A599" s="12">
        <v>43579.074652777781</v>
      </c>
      <c r="B599" s="13" t="s">
        <v>15528</v>
      </c>
      <c r="C599" s="14" t="s">
        <v>939</v>
      </c>
      <c r="D599" s="15" t="s">
        <v>940</v>
      </c>
      <c r="E599" s="16" t="s">
        <v>13013</v>
      </c>
      <c r="F599" s="12">
        <v>41176.810694444444</v>
      </c>
      <c r="G599" s="17" t="s">
        <v>171</v>
      </c>
      <c r="H599" s="35" t="s">
        <v>941</v>
      </c>
      <c r="I599" s="18" t="s">
        <v>942</v>
      </c>
    </row>
    <row r="600" spans="1:9" s="11" customFormat="1" ht="105">
      <c r="A600" s="12">
        <v>43576.513553240744</v>
      </c>
      <c r="B600" s="13" t="s">
        <v>15527</v>
      </c>
      <c r="C600" s="14" t="s">
        <v>1922</v>
      </c>
      <c r="D600" s="15" t="s">
        <v>1923</v>
      </c>
      <c r="E600" s="16" t="s">
        <v>13013</v>
      </c>
      <c r="F600" s="12">
        <v>43544.262858796297</v>
      </c>
      <c r="G600" s="17" t="s">
        <v>171</v>
      </c>
      <c r="H600" s="35" t="s">
        <v>941</v>
      </c>
      <c r="I600" s="18" t="s">
        <v>1924</v>
      </c>
    </row>
    <row r="601" spans="1:9" s="11" customFormat="1" ht="105">
      <c r="A601" s="12">
        <v>43571.472083333334</v>
      </c>
      <c r="B601" s="13" t="s">
        <v>15527</v>
      </c>
      <c r="C601" s="14" t="s">
        <v>1922</v>
      </c>
      <c r="D601" s="15" t="s">
        <v>3662</v>
      </c>
      <c r="E601" s="16" t="s">
        <v>13013</v>
      </c>
      <c r="F601" s="12">
        <v>43544.262858796297</v>
      </c>
      <c r="G601" s="17" t="s">
        <v>171</v>
      </c>
      <c r="H601" s="35" t="s">
        <v>941</v>
      </c>
      <c r="I601" s="18" t="s">
        <v>1924</v>
      </c>
    </row>
    <row r="602" spans="1:9" s="11" customFormat="1" ht="105">
      <c r="A602" s="12">
        <v>43569.177129629628</v>
      </c>
      <c r="B602" s="13" t="s">
        <v>15527</v>
      </c>
      <c r="C602" s="14" t="s">
        <v>1922</v>
      </c>
      <c r="D602" s="15" t="s">
        <v>4582</v>
      </c>
      <c r="E602" s="16" t="s">
        <v>13013</v>
      </c>
      <c r="F602" s="12">
        <v>43544.262858796297</v>
      </c>
      <c r="G602" s="17" t="s">
        <v>171</v>
      </c>
      <c r="H602" s="35" t="s">
        <v>941</v>
      </c>
      <c r="I602" s="18" t="s">
        <v>1924</v>
      </c>
    </row>
    <row r="603" spans="1:9" s="11" customFormat="1" ht="105">
      <c r="A603" s="12">
        <v>43567.165277777778</v>
      </c>
      <c r="B603" s="13" t="s">
        <v>15527</v>
      </c>
      <c r="C603" s="14" t="s">
        <v>1922</v>
      </c>
      <c r="D603" s="15" t="s">
        <v>5223</v>
      </c>
      <c r="E603" s="16" t="s">
        <v>13013</v>
      </c>
      <c r="F603" s="12">
        <v>43544.262858796297</v>
      </c>
      <c r="G603" s="17" t="s">
        <v>171</v>
      </c>
      <c r="H603" s="35" t="s">
        <v>941</v>
      </c>
      <c r="I603" s="18" t="s">
        <v>1924</v>
      </c>
    </row>
    <row r="604" spans="1:9" s="11" customFormat="1" ht="105">
      <c r="A604" s="12">
        <v>43567.042303240742</v>
      </c>
      <c r="B604" s="13" t="s">
        <v>15527</v>
      </c>
      <c r="C604" s="14" t="s">
        <v>1922</v>
      </c>
      <c r="D604" s="15" t="s">
        <v>5263</v>
      </c>
      <c r="E604" s="16" t="s">
        <v>13013</v>
      </c>
      <c r="F604" s="12">
        <v>43544.262858796297</v>
      </c>
      <c r="G604" s="17" t="s">
        <v>171</v>
      </c>
      <c r="H604" s="35" t="s">
        <v>941</v>
      </c>
      <c r="I604" s="18" t="s">
        <v>1924</v>
      </c>
    </row>
    <row r="605" spans="1:9" s="11" customFormat="1" ht="105">
      <c r="A605" s="12">
        <v>43566.244016203702</v>
      </c>
      <c r="B605" s="13" t="s">
        <v>15527</v>
      </c>
      <c r="C605" s="14" t="s">
        <v>1922</v>
      </c>
      <c r="D605" s="15" t="s">
        <v>5713</v>
      </c>
      <c r="E605" s="16" t="s">
        <v>13013</v>
      </c>
      <c r="F605" s="12">
        <v>43544.262858796297</v>
      </c>
      <c r="G605" s="17" t="s">
        <v>171</v>
      </c>
      <c r="H605" s="35" t="s">
        <v>941</v>
      </c>
      <c r="I605" s="18" t="s">
        <v>1924</v>
      </c>
    </row>
    <row r="606" spans="1:9" s="11" customFormat="1" ht="90">
      <c r="A606" s="12">
        <v>43576.000486111108</v>
      </c>
      <c r="B606" s="13" t="s">
        <v>15529</v>
      </c>
      <c r="C606" s="14" t="s">
        <v>2076</v>
      </c>
      <c r="D606" s="15" t="s">
        <v>2077</v>
      </c>
      <c r="E606" s="16" t="s">
        <v>13018</v>
      </c>
      <c r="F606" s="12">
        <v>43463.278958333336</v>
      </c>
      <c r="G606" s="17" t="s">
        <v>171</v>
      </c>
      <c r="H606" s="35" t="s">
        <v>2078</v>
      </c>
      <c r="I606" s="18" t="s">
        <v>2079</v>
      </c>
    </row>
    <row r="607" spans="1:9" s="11" customFormat="1" ht="120">
      <c r="A607" s="12">
        <v>43572.222824074073</v>
      </c>
      <c r="B607" s="13" t="s">
        <v>15530</v>
      </c>
      <c r="C607" s="14" t="s">
        <v>3370</v>
      </c>
      <c r="D607" s="15" t="s">
        <v>3371</v>
      </c>
      <c r="E607" s="16" t="s">
        <v>13032</v>
      </c>
      <c r="F607" s="12">
        <v>39889.274224537039</v>
      </c>
      <c r="G607" s="17" t="s">
        <v>171</v>
      </c>
      <c r="H607" s="35" t="s">
        <v>3372</v>
      </c>
      <c r="I607" s="18" t="s">
        <v>3373</v>
      </c>
    </row>
    <row r="608" spans="1:9" s="11" customFormat="1" ht="105">
      <c r="A608" s="19">
        <v>43546.122060185182</v>
      </c>
      <c r="B608" s="20" t="s">
        <v>15531</v>
      </c>
      <c r="C608" s="21" t="s">
        <v>8954</v>
      </c>
      <c r="D608" s="22" t="s">
        <v>8955</v>
      </c>
      <c r="E608" s="23" t="s">
        <v>13009</v>
      </c>
      <c r="F608" s="19">
        <v>40069.284247685187</v>
      </c>
      <c r="G608" s="24" t="s">
        <v>171</v>
      </c>
      <c r="H608" s="35" t="s">
        <v>8956</v>
      </c>
      <c r="I608" s="25" t="s">
        <v>8957</v>
      </c>
    </row>
    <row r="609" spans="1:9" s="11" customFormat="1" ht="45">
      <c r="A609" s="12">
        <v>43575.438368055555</v>
      </c>
      <c r="B609" s="13" t="s">
        <v>15532</v>
      </c>
      <c r="C609" s="14" t="s">
        <v>2221</v>
      </c>
      <c r="D609" s="15" t="s">
        <v>2222</v>
      </c>
      <c r="E609" s="16" t="s">
        <v>13011</v>
      </c>
      <c r="F609" s="12">
        <v>43470.151388888888</v>
      </c>
      <c r="G609" s="17" t="s">
        <v>171</v>
      </c>
      <c r="H609" s="35" t="s">
        <v>2223</v>
      </c>
      <c r="I609" s="18" t="s">
        <v>2224</v>
      </c>
    </row>
    <row r="610" spans="1:9" s="11" customFormat="1" ht="45">
      <c r="A610" s="12">
        <v>43569.339282407411</v>
      </c>
      <c r="B610" s="13" t="s">
        <v>15532</v>
      </c>
      <c r="C610" s="14" t="s">
        <v>2221</v>
      </c>
      <c r="D610" s="15" t="s">
        <v>4544</v>
      </c>
      <c r="E610" s="16" t="s">
        <v>13011</v>
      </c>
      <c r="F610" s="12">
        <v>43470.151388888888</v>
      </c>
      <c r="G610" s="17" t="s">
        <v>171</v>
      </c>
      <c r="H610" s="35" t="s">
        <v>2223</v>
      </c>
      <c r="I610" s="18" t="s">
        <v>2224</v>
      </c>
    </row>
    <row r="611" spans="1:9" s="11" customFormat="1" ht="75">
      <c r="A611" s="19">
        <v>43547.469537037032</v>
      </c>
      <c r="B611" s="20" t="s">
        <v>15533</v>
      </c>
      <c r="C611" s="21" t="s">
        <v>8533</v>
      </c>
      <c r="D611" s="22" t="s">
        <v>8534</v>
      </c>
      <c r="E611" s="23" t="s">
        <v>13009</v>
      </c>
      <c r="F611" s="19">
        <v>41807.13113425926</v>
      </c>
      <c r="G611" s="24" t="s">
        <v>171</v>
      </c>
      <c r="H611" s="35" t="s">
        <v>8535</v>
      </c>
      <c r="I611" s="25" t="s">
        <v>8536</v>
      </c>
    </row>
    <row r="612" spans="1:9" s="11" customFormat="1" ht="105">
      <c r="A612" s="4">
        <v>43564.04415509259</v>
      </c>
      <c r="B612" s="5" t="s">
        <v>15534</v>
      </c>
      <c r="C612" s="6" t="s">
        <v>6810</v>
      </c>
      <c r="D612" s="7" t="s">
        <v>6811</v>
      </c>
      <c r="E612" s="8" t="s">
        <v>13015</v>
      </c>
      <c r="F612" s="4">
        <v>39950.194212962961</v>
      </c>
      <c r="G612" s="17" t="s">
        <v>171</v>
      </c>
      <c r="H612" s="35" t="s">
        <v>6812</v>
      </c>
      <c r="I612" s="10" t="s">
        <v>6813</v>
      </c>
    </row>
    <row r="613" spans="1:9" s="11" customFormat="1" ht="90">
      <c r="A613" s="19">
        <v>43551.187581018516</v>
      </c>
      <c r="B613" s="20" t="s">
        <v>15535</v>
      </c>
      <c r="C613" s="21" t="s">
        <v>224</v>
      </c>
      <c r="D613" s="22" t="s">
        <v>225</v>
      </c>
      <c r="E613" s="23" t="s">
        <v>13027</v>
      </c>
      <c r="F613" s="19">
        <v>41745.097812499997</v>
      </c>
      <c r="G613" s="17" t="s">
        <v>171</v>
      </c>
      <c r="H613" s="35" t="s">
        <v>226</v>
      </c>
      <c r="I613" s="25" t="s">
        <v>227</v>
      </c>
    </row>
    <row r="614" spans="1:9" s="11" customFormat="1" ht="90">
      <c r="A614" s="19">
        <v>43550.187557870369</v>
      </c>
      <c r="B614" s="20" t="s">
        <v>15535</v>
      </c>
      <c r="C614" s="21" t="s">
        <v>224</v>
      </c>
      <c r="D614" s="22" t="s">
        <v>225</v>
      </c>
      <c r="E614" s="23" t="s">
        <v>13027</v>
      </c>
      <c r="F614" s="19">
        <v>41745.097812499997</v>
      </c>
      <c r="G614" s="17" t="s">
        <v>171</v>
      </c>
      <c r="H614" s="35" t="s">
        <v>226</v>
      </c>
      <c r="I614" s="25" t="s">
        <v>227</v>
      </c>
    </row>
    <row r="615" spans="1:9" s="11" customFormat="1" ht="90">
      <c r="A615" s="19">
        <v>43549.187615740739</v>
      </c>
      <c r="B615" s="20" t="s">
        <v>15535</v>
      </c>
      <c r="C615" s="21" t="s">
        <v>224</v>
      </c>
      <c r="D615" s="22" t="s">
        <v>225</v>
      </c>
      <c r="E615" s="23" t="s">
        <v>13027</v>
      </c>
      <c r="F615" s="19">
        <v>41745.097812499997</v>
      </c>
      <c r="G615" s="17" t="s">
        <v>171</v>
      </c>
      <c r="H615" s="35" t="s">
        <v>226</v>
      </c>
      <c r="I615" s="25" t="s">
        <v>227</v>
      </c>
    </row>
    <row r="616" spans="1:9" s="11" customFormat="1" ht="90">
      <c r="A616" s="19">
        <v>43548.187569444446</v>
      </c>
      <c r="B616" s="20" t="s">
        <v>15535</v>
      </c>
      <c r="C616" s="21" t="s">
        <v>224</v>
      </c>
      <c r="D616" s="22" t="s">
        <v>225</v>
      </c>
      <c r="E616" s="23" t="s">
        <v>13027</v>
      </c>
      <c r="F616" s="19">
        <v>41745.097812499997</v>
      </c>
      <c r="G616" s="17" t="s">
        <v>171</v>
      </c>
      <c r="H616" s="35" t="s">
        <v>226</v>
      </c>
      <c r="I616" s="25" t="s">
        <v>227</v>
      </c>
    </row>
    <row r="617" spans="1:9" s="11" customFormat="1" ht="90">
      <c r="A617" s="19">
        <v>43547.187581018516</v>
      </c>
      <c r="B617" s="20" t="s">
        <v>15535</v>
      </c>
      <c r="C617" s="21" t="s">
        <v>224</v>
      </c>
      <c r="D617" s="22" t="s">
        <v>225</v>
      </c>
      <c r="E617" s="23" t="s">
        <v>13027</v>
      </c>
      <c r="F617" s="19">
        <v>41745.097812499997</v>
      </c>
      <c r="G617" s="17" t="s">
        <v>171</v>
      </c>
      <c r="H617" s="35" t="s">
        <v>226</v>
      </c>
      <c r="I617" s="25" t="s">
        <v>227</v>
      </c>
    </row>
    <row r="618" spans="1:9" s="11" customFormat="1" ht="90">
      <c r="A618" s="19">
        <v>43546.190405092595</v>
      </c>
      <c r="B618" s="20" t="s">
        <v>15535</v>
      </c>
      <c r="C618" s="21" t="s">
        <v>224</v>
      </c>
      <c r="D618" s="22" t="s">
        <v>225</v>
      </c>
      <c r="E618" s="23" t="s">
        <v>13027</v>
      </c>
      <c r="F618" s="19">
        <v>41745.097812499997</v>
      </c>
      <c r="G618" s="17" t="s">
        <v>171</v>
      </c>
      <c r="H618" s="35" t="s">
        <v>226</v>
      </c>
      <c r="I618" s="25" t="s">
        <v>227</v>
      </c>
    </row>
    <row r="619" spans="1:9" s="11" customFormat="1" ht="90">
      <c r="A619" s="19">
        <v>43545.187592592592</v>
      </c>
      <c r="B619" s="20" t="s">
        <v>15535</v>
      </c>
      <c r="C619" s="21" t="s">
        <v>224</v>
      </c>
      <c r="D619" s="22" t="s">
        <v>225</v>
      </c>
      <c r="E619" s="23" t="s">
        <v>13027</v>
      </c>
      <c r="F619" s="19">
        <v>41745.097812499997</v>
      </c>
      <c r="G619" s="17" t="s">
        <v>171</v>
      </c>
      <c r="H619" s="35" t="s">
        <v>226</v>
      </c>
      <c r="I619" s="25" t="s">
        <v>227</v>
      </c>
    </row>
    <row r="620" spans="1:9" s="11" customFormat="1" ht="90">
      <c r="A620" s="19">
        <v>43544.187719907408</v>
      </c>
      <c r="B620" s="20" t="s">
        <v>15535</v>
      </c>
      <c r="C620" s="21" t="s">
        <v>224</v>
      </c>
      <c r="D620" s="22" t="s">
        <v>225</v>
      </c>
      <c r="E620" s="23" t="s">
        <v>13027</v>
      </c>
      <c r="F620" s="19">
        <v>41745.097812499997</v>
      </c>
      <c r="G620" s="17" t="s">
        <v>171</v>
      </c>
      <c r="H620" s="35" t="s">
        <v>226</v>
      </c>
      <c r="I620" s="25" t="s">
        <v>227</v>
      </c>
    </row>
    <row r="621" spans="1:9" s="11" customFormat="1" ht="90">
      <c r="A621" s="19">
        <v>43543.187650462962</v>
      </c>
      <c r="B621" s="20" t="s">
        <v>15535</v>
      </c>
      <c r="C621" s="21" t="s">
        <v>224</v>
      </c>
      <c r="D621" s="22" t="s">
        <v>225</v>
      </c>
      <c r="E621" s="23" t="s">
        <v>13027</v>
      </c>
      <c r="F621" s="19">
        <v>41745.097812499997</v>
      </c>
      <c r="G621" s="17" t="s">
        <v>171</v>
      </c>
      <c r="H621" s="35" t="s">
        <v>226</v>
      </c>
      <c r="I621" s="25" t="s">
        <v>227</v>
      </c>
    </row>
    <row r="622" spans="1:9" s="11" customFormat="1" ht="90">
      <c r="A622" s="4">
        <v>43565.146226851852</v>
      </c>
      <c r="B622" s="5" t="s">
        <v>15535</v>
      </c>
      <c r="C622" s="6" t="s">
        <v>224</v>
      </c>
      <c r="D622" s="7" t="s">
        <v>225</v>
      </c>
      <c r="E622" s="8" t="s">
        <v>13027</v>
      </c>
      <c r="F622" s="4">
        <v>41745.097812499997</v>
      </c>
      <c r="G622" s="17" t="s">
        <v>171</v>
      </c>
      <c r="H622" s="35" t="s">
        <v>226</v>
      </c>
      <c r="I622" s="10" t="s">
        <v>227</v>
      </c>
    </row>
    <row r="623" spans="1:9" s="11" customFormat="1" ht="90">
      <c r="A623" s="4">
        <v>43564.146192129629</v>
      </c>
      <c r="B623" s="5" t="s">
        <v>15535</v>
      </c>
      <c r="C623" s="6" t="s">
        <v>224</v>
      </c>
      <c r="D623" s="7" t="s">
        <v>225</v>
      </c>
      <c r="E623" s="8" t="s">
        <v>13027</v>
      </c>
      <c r="F623" s="4">
        <v>41745.097812499997</v>
      </c>
      <c r="G623" s="17" t="s">
        <v>171</v>
      </c>
      <c r="H623" s="35" t="s">
        <v>226</v>
      </c>
      <c r="I623" s="10" t="s">
        <v>227</v>
      </c>
    </row>
    <row r="624" spans="1:9" s="11" customFormat="1" ht="90">
      <c r="A624" s="4">
        <v>43563.146145833336</v>
      </c>
      <c r="B624" s="5" t="s">
        <v>15535</v>
      </c>
      <c r="C624" s="6" t="s">
        <v>224</v>
      </c>
      <c r="D624" s="7" t="s">
        <v>225</v>
      </c>
      <c r="E624" s="8" t="s">
        <v>13027</v>
      </c>
      <c r="F624" s="4">
        <v>41745.097812499997</v>
      </c>
      <c r="G624" s="17" t="s">
        <v>171</v>
      </c>
      <c r="H624" s="35" t="s">
        <v>226</v>
      </c>
      <c r="I624" s="10" t="s">
        <v>227</v>
      </c>
    </row>
    <row r="625" spans="1:9" s="11" customFormat="1" ht="90">
      <c r="A625" s="4">
        <v>43562.146481481483</v>
      </c>
      <c r="B625" s="5" t="s">
        <v>15535</v>
      </c>
      <c r="C625" s="6" t="s">
        <v>224</v>
      </c>
      <c r="D625" s="7" t="s">
        <v>225</v>
      </c>
      <c r="E625" s="8" t="s">
        <v>13027</v>
      </c>
      <c r="F625" s="4">
        <v>41745.097812499997</v>
      </c>
      <c r="G625" s="17" t="s">
        <v>171</v>
      </c>
      <c r="H625" s="35" t="s">
        <v>226</v>
      </c>
      <c r="I625" s="10" t="s">
        <v>227</v>
      </c>
    </row>
    <row r="626" spans="1:9" s="11" customFormat="1" ht="90">
      <c r="A626" s="4">
        <v>43561.146284722221</v>
      </c>
      <c r="B626" s="5" t="s">
        <v>15535</v>
      </c>
      <c r="C626" s="6" t="s">
        <v>224</v>
      </c>
      <c r="D626" s="7" t="s">
        <v>225</v>
      </c>
      <c r="E626" s="8" t="s">
        <v>13027</v>
      </c>
      <c r="F626" s="4">
        <v>41745.097812499997</v>
      </c>
      <c r="G626" s="17" t="s">
        <v>171</v>
      </c>
      <c r="H626" s="35" t="s">
        <v>226</v>
      </c>
      <c r="I626" s="10" t="s">
        <v>227</v>
      </c>
    </row>
    <row r="627" spans="1:9" s="11" customFormat="1" ht="90">
      <c r="A627" s="4">
        <v>43560.146354166667</v>
      </c>
      <c r="B627" s="5" t="s">
        <v>15535</v>
      </c>
      <c r="C627" s="6" t="s">
        <v>224</v>
      </c>
      <c r="D627" s="7" t="s">
        <v>225</v>
      </c>
      <c r="E627" s="8" t="s">
        <v>13027</v>
      </c>
      <c r="F627" s="4">
        <v>41745.097812499997</v>
      </c>
      <c r="G627" s="17" t="s">
        <v>171</v>
      </c>
      <c r="H627" s="35" t="s">
        <v>226</v>
      </c>
      <c r="I627" s="10" t="s">
        <v>227</v>
      </c>
    </row>
    <row r="628" spans="1:9" s="11" customFormat="1" ht="90">
      <c r="A628" s="4">
        <v>43559.146122685182</v>
      </c>
      <c r="B628" s="5" t="s">
        <v>15535</v>
      </c>
      <c r="C628" s="6" t="s">
        <v>224</v>
      </c>
      <c r="D628" s="7" t="s">
        <v>225</v>
      </c>
      <c r="E628" s="8" t="s">
        <v>13027</v>
      </c>
      <c r="F628" s="4">
        <v>41745.097812499997</v>
      </c>
      <c r="G628" s="17" t="s">
        <v>171</v>
      </c>
      <c r="H628" s="35" t="s">
        <v>226</v>
      </c>
      <c r="I628" s="10" t="s">
        <v>227</v>
      </c>
    </row>
    <row r="629" spans="1:9" s="11" customFormat="1" ht="90">
      <c r="A629" s="4">
        <v>43558.146030092597</v>
      </c>
      <c r="B629" s="5" t="s">
        <v>15535</v>
      </c>
      <c r="C629" s="6" t="s">
        <v>224</v>
      </c>
      <c r="D629" s="7" t="s">
        <v>225</v>
      </c>
      <c r="E629" s="8" t="s">
        <v>13027</v>
      </c>
      <c r="F629" s="4">
        <v>41745.097812499997</v>
      </c>
      <c r="G629" s="17" t="s">
        <v>171</v>
      </c>
      <c r="H629" s="35" t="s">
        <v>226</v>
      </c>
      <c r="I629" s="10" t="s">
        <v>227</v>
      </c>
    </row>
    <row r="630" spans="1:9" s="11" customFormat="1" ht="90">
      <c r="A630" s="4">
        <v>43557.145960648151</v>
      </c>
      <c r="B630" s="5" t="s">
        <v>15535</v>
      </c>
      <c r="C630" s="6" t="s">
        <v>224</v>
      </c>
      <c r="D630" s="7" t="s">
        <v>225</v>
      </c>
      <c r="E630" s="8" t="s">
        <v>13027</v>
      </c>
      <c r="F630" s="4">
        <v>41745.097812499997</v>
      </c>
      <c r="G630" s="17" t="s">
        <v>171</v>
      </c>
      <c r="H630" s="35" t="s">
        <v>226</v>
      </c>
      <c r="I630" s="10" t="s">
        <v>227</v>
      </c>
    </row>
    <row r="631" spans="1:9" s="11" customFormat="1" ht="90">
      <c r="A631" s="12">
        <v>43580.146319444444</v>
      </c>
      <c r="B631" s="13" t="s">
        <v>15535</v>
      </c>
      <c r="C631" s="14" t="s">
        <v>224</v>
      </c>
      <c r="D631" s="15" t="s">
        <v>225</v>
      </c>
      <c r="E631" s="16" t="s">
        <v>13027</v>
      </c>
      <c r="F631" s="12">
        <v>41745.097812499997</v>
      </c>
      <c r="G631" s="17" t="s">
        <v>171</v>
      </c>
      <c r="H631" s="35" t="s">
        <v>226</v>
      </c>
      <c r="I631" s="18" t="s">
        <v>227</v>
      </c>
    </row>
    <row r="632" spans="1:9" s="11" customFormat="1" ht="90">
      <c r="A632" s="12">
        <v>43579.146030092597</v>
      </c>
      <c r="B632" s="13" t="s">
        <v>15535</v>
      </c>
      <c r="C632" s="14" t="s">
        <v>224</v>
      </c>
      <c r="D632" s="15" t="s">
        <v>225</v>
      </c>
      <c r="E632" s="16" t="s">
        <v>13027</v>
      </c>
      <c r="F632" s="12">
        <v>41745.097812499997</v>
      </c>
      <c r="G632" s="17" t="s">
        <v>171</v>
      </c>
      <c r="H632" s="35" t="s">
        <v>226</v>
      </c>
      <c r="I632" s="18" t="s">
        <v>227</v>
      </c>
    </row>
    <row r="633" spans="1:9" s="11" customFormat="1" ht="90">
      <c r="A633" s="12">
        <v>43578.146481481483</v>
      </c>
      <c r="B633" s="13" t="s">
        <v>15535</v>
      </c>
      <c r="C633" s="14" t="s">
        <v>224</v>
      </c>
      <c r="D633" s="15" t="s">
        <v>225</v>
      </c>
      <c r="E633" s="16" t="s">
        <v>13027</v>
      </c>
      <c r="F633" s="12">
        <v>41745.097812499997</v>
      </c>
      <c r="G633" s="17" t="s">
        <v>171</v>
      </c>
      <c r="H633" s="35" t="s">
        <v>226</v>
      </c>
      <c r="I633" s="18" t="s">
        <v>227</v>
      </c>
    </row>
    <row r="634" spans="1:9" s="11" customFormat="1" ht="90">
      <c r="A634" s="12">
        <v>43577.146307870367</v>
      </c>
      <c r="B634" s="13" t="s">
        <v>15535</v>
      </c>
      <c r="C634" s="14" t="s">
        <v>224</v>
      </c>
      <c r="D634" s="15" t="s">
        <v>225</v>
      </c>
      <c r="E634" s="16" t="s">
        <v>13027</v>
      </c>
      <c r="F634" s="12">
        <v>41745.097812499997</v>
      </c>
      <c r="G634" s="17" t="s">
        <v>171</v>
      </c>
      <c r="H634" s="35" t="s">
        <v>226</v>
      </c>
      <c r="I634" s="18" t="s">
        <v>227</v>
      </c>
    </row>
    <row r="635" spans="1:9" s="11" customFormat="1" ht="90">
      <c r="A635" s="12">
        <v>43576.146192129629</v>
      </c>
      <c r="B635" s="13" t="s">
        <v>15535</v>
      </c>
      <c r="C635" s="14" t="s">
        <v>224</v>
      </c>
      <c r="D635" s="15" t="s">
        <v>225</v>
      </c>
      <c r="E635" s="16" t="s">
        <v>13027</v>
      </c>
      <c r="F635" s="12">
        <v>41745.097812499997</v>
      </c>
      <c r="G635" s="17" t="s">
        <v>171</v>
      </c>
      <c r="H635" s="35" t="s">
        <v>226</v>
      </c>
      <c r="I635" s="18" t="s">
        <v>227</v>
      </c>
    </row>
    <row r="636" spans="1:9" s="11" customFormat="1" ht="90">
      <c r="A636" s="12">
        <v>43575.146099537036</v>
      </c>
      <c r="B636" s="13" t="s">
        <v>15535</v>
      </c>
      <c r="C636" s="14" t="s">
        <v>224</v>
      </c>
      <c r="D636" s="15" t="s">
        <v>225</v>
      </c>
      <c r="E636" s="16" t="s">
        <v>13027</v>
      </c>
      <c r="F636" s="12">
        <v>41745.097812499997</v>
      </c>
      <c r="G636" s="17" t="s">
        <v>171</v>
      </c>
      <c r="H636" s="35" t="s">
        <v>226</v>
      </c>
      <c r="I636" s="18" t="s">
        <v>227</v>
      </c>
    </row>
    <row r="637" spans="1:9" s="11" customFormat="1" ht="90">
      <c r="A637" s="12">
        <v>43574.146157407406</v>
      </c>
      <c r="B637" s="13" t="s">
        <v>15535</v>
      </c>
      <c r="C637" s="14" t="s">
        <v>224</v>
      </c>
      <c r="D637" s="15" t="s">
        <v>225</v>
      </c>
      <c r="E637" s="16" t="s">
        <v>13027</v>
      </c>
      <c r="F637" s="12">
        <v>41745.097812499997</v>
      </c>
      <c r="G637" s="17" t="s">
        <v>171</v>
      </c>
      <c r="H637" s="35" t="s">
        <v>226</v>
      </c>
      <c r="I637" s="18" t="s">
        <v>227</v>
      </c>
    </row>
    <row r="638" spans="1:9" s="11" customFormat="1" ht="90">
      <c r="A638" s="12">
        <v>43573.146319444444</v>
      </c>
      <c r="B638" s="13" t="s">
        <v>15535</v>
      </c>
      <c r="C638" s="14" t="s">
        <v>224</v>
      </c>
      <c r="D638" s="15" t="s">
        <v>225</v>
      </c>
      <c r="E638" s="16" t="s">
        <v>13027</v>
      </c>
      <c r="F638" s="12">
        <v>41745.097812499997</v>
      </c>
      <c r="G638" s="17" t="s">
        <v>171</v>
      </c>
      <c r="H638" s="35" t="s">
        <v>226</v>
      </c>
      <c r="I638" s="18" t="s">
        <v>227</v>
      </c>
    </row>
    <row r="639" spans="1:9" s="11" customFormat="1" ht="90">
      <c r="A639" s="12">
        <v>43572.146215277782</v>
      </c>
      <c r="B639" s="13" t="s">
        <v>15535</v>
      </c>
      <c r="C639" s="14" t="s">
        <v>224</v>
      </c>
      <c r="D639" s="15" t="s">
        <v>225</v>
      </c>
      <c r="E639" s="16" t="s">
        <v>13027</v>
      </c>
      <c r="F639" s="12">
        <v>41745.097812499997</v>
      </c>
      <c r="G639" s="17" t="s">
        <v>171</v>
      </c>
      <c r="H639" s="35" t="s">
        <v>226</v>
      </c>
      <c r="I639" s="18" t="s">
        <v>227</v>
      </c>
    </row>
    <row r="640" spans="1:9" s="11" customFormat="1" ht="90">
      <c r="A640" s="12">
        <v>43571.146400462967</v>
      </c>
      <c r="B640" s="13" t="s">
        <v>15535</v>
      </c>
      <c r="C640" s="14" t="s">
        <v>224</v>
      </c>
      <c r="D640" s="15" t="s">
        <v>225</v>
      </c>
      <c r="E640" s="16" t="s">
        <v>13027</v>
      </c>
      <c r="F640" s="12">
        <v>41745.097812499997</v>
      </c>
      <c r="G640" s="17" t="s">
        <v>171</v>
      </c>
      <c r="H640" s="35" t="s">
        <v>226</v>
      </c>
      <c r="I640" s="18" t="s">
        <v>227</v>
      </c>
    </row>
    <row r="641" spans="1:9" s="11" customFormat="1" ht="90">
      <c r="A641" s="12">
        <v>43570.146412037036</v>
      </c>
      <c r="B641" s="13" t="s">
        <v>15535</v>
      </c>
      <c r="C641" s="14" t="s">
        <v>224</v>
      </c>
      <c r="D641" s="15" t="s">
        <v>225</v>
      </c>
      <c r="E641" s="16" t="s">
        <v>13027</v>
      </c>
      <c r="F641" s="12">
        <v>41745.097812499997</v>
      </c>
      <c r="G641" s="17" t="s">
        <v>171</v>
      </c>
      <c r="H641" s="35" t="s">
        <v>226</v>
      </c>
      <c r="I641" s="18" t="s">
        <v>227</v>
      </c>
    </row>
    <row r="642" spans="1:9" s="11" customFormat="1" ht="90">
      <c r="A642" s="12">
        <v>43569.146180555559</v>
      </c>
      <c r="B642" s="13" t="s">
        <v>15535</v>
      </c>
      <c r="C642" s="14" t="s">
        <v>224</v>
      </c>
      <c r="D642" s="15" t="s">
        <v>225</v>
      </c>
      <c r="E642" s="16" t="s">
        <v>13027</v>
      </c>
      <c r="F642" s="12">
        <v>41745.097812499997</v>
      </c>
      <c r="G642" s="17" t="s">
        <v>171</v>
      </c>
      <c r="H642" s="35" t="s">
        <v>226</v>
      </c>
      <c r="I642" s="18" t="s">
        <v>227</v>
      </c>
    </row>
    <row r="643" spans="1:9" s="11" customFormat="1" ht="90">
      <c r="A643" s="12">
        <v>43568.146377314813</v>
      </c>
      <c r="B643" s="13" t="s">
        <v>15535</v>
      </c>
      <c r="C643" s="14" t="s">
        <v>224</v>
      </c>
      <c r="D643" s="15" t="s">
        <v>225</v>
      </c>
      <c r="E643" s="16" t="s">
        <v>13027</v>
      </c>
      <c r="F643" s="12">
        <v>41745.097812499997</v>
      </c>
      <c r="G643" s="17" t="s">
        <v>171</v>
      </c>
      <c r="H643" s="35" t="s">
        <v>226</v>
      </c>
      <c r="I643" s="18" t="s">
        <v>227</v>
      </c>
    </row>
    <row r="644" spans="1:9" s="11" customFormat="1" ht="90">
      <c r="A644" s="12">
        <v>43567.145925925928</v>
      </c>
      <c r="B644" s="13" t="s">
        <v>15535</v>
      </c>
      <c r="C644" s="14" t="s">
        <v>224</v>
      </c>
      <c r="D644" s="15" t="s">
        <v>225</v>
      </c>
      <c r="E644" s="16" t="s">
        <v>13027</v>
      </c>
      <c r="F644" s="12">
        <v>41745.097812499997</v>
      </c>
      <c r="G644" s="17" t="s">
        <v>171</v>
      </c>
      <c r="H644" s="35" t="s">
        <v>226</v>
      </c>
      <c r="I644" s="18" t="s">
        <v>227</v>
      </c>
    </row>
    <row r="645" spans="1:9" s="11" customFormat="1" ht="90">
      <c r="A645" s="12">
        <v>43566.146562499998</v>
      </c>
      <c r="B645" s="13" t="s">
        <v>15535</v>
      </c>
      <c r="C645" s="14" t="s">
        <v>224</v>
      </c>
      <c r="D645" s="15" t="s">
        <v>225</v>
      </c>
      <c r="E645" s="16" t="s">
        <v>13027</v>
      </c>
      <c r="F645" s="12">
        <v>41745.097812499997</v>
      </c>
      <c r="G645" s="17" t="s">
        <v>171</v>
      </c>
      <c r="H645" s="35" t="s">
        <v>226</v>
      </c>
      <c r="I645" s="18" t="s">
        <v>227</v>
      </c>
    </row>
    <row r="646" spans="1:9" s="11" customFormat="1" ht="150">
      <c r="A646" s="12">
        <v>43579.041805555556</v>
      </c>
      <c r="B646" s="13" t="s">
        <v>15536</v>
      </c>
      <c r="C646" s="14" t="s">
        <v>960</v>
      </c>
      <c r="D646" s="15" t="s">
        <v>961</v>
      </c>
      <c r="E646" s="16" t="s">
        <v>14476</v>
      </c>
      <c r="F646" s="12">
        <v>39517.212685185186</v>
      </c>
      <c r="G646" s="17" t="s">
        <v>171</v>
      </c>
      <c r="H646" s="35" t="s">
        <v>962</v>
      </c>
      <c r="I646" s="18" t="s">
        <v>963</v>
      </c>
    </row>
    <row r="647" spans="1:9" s="11" customFormat="1" ht="105">
      <c r="A647" s="12">
        <v>43579.222719907411</v>
      </c>
      <c r="B647" s="13" t="s">
        <v>15537</v>
      </c>
      <c r="C647" s="14" t="s">
        <v>844</v>
      </c>
      <c r="D647" s="15" t="s">
        <v>845</v>
      </c>
      <c r="E647" s="16" t="s">
        <v>13009</v>
      </c>
      <c r="F647" s="12">
        <v>43579.192245370374</v>
      </c>
      <c r="G647" s="17" t="s">
        <v>171</v>
      </c>
      <c r="H647" s="35" t="s">
        <v>846</v>
      </c>
      <c r="I647" s="18" t="s">
        <v>847</v>
      </c>
    </row>
    <row r="648" spans="1:9" s="11" customFormat="1" ht="135">
      <c r="A648" s="19">
        <v>43549.601145833338</v>
      </c>
      <c r="B648" s="20" t="s">
        <v>15538</v>
      </c>
      <c r="C648" s="21" t="s">
        <v>6273</v>
      </c>
      <c r="D648" s="22" t="s">
        <v>7967</v>
      </c>
      <c r="E648" s="23" t="s">
        <v>13011</v>
      </c>
      <c r="F648" s="19">
        <v>43168.351527777777</v>
      </c>
      <c r="G648" s="17" t="s">
        <v>171</v>
      </c>
      <c r="H648" s="35" t="s">
        <v>6275</v>
      </c>
      <c r="I648" s="25" t="s">
        <v>6276</v>
      </c>
    </row>
    <row r="649" spans="1:9" s="11" customFormat="1" ht="135">
      <c r="A649" s="4">
        <v>43565.10732638889</v>
      </c>
      <c r="B649" s="5" t="s">
        <v>15538</v>
      </c>
      <c r="C649" s="6" t="s">
        <v>6273</v>
      </c>
      <c r="D649" s="7" t="s">
        <v>6274</v>
      </c>
      <c r="E649" s="8" t="s">
        <v>13011</v>
      </c>
      <c r="F649" s="4">
        <v>43168.351527777777</v>
      </c>
      <c r="G649" s="17" t="s">
        <v>171</v>
      </c>
      <c r="H649" s="35" t="s">
        <v>6275</v>
      </c>
      <c r="I649" s="10" t="s">
        <v>6276</v>
      </c>
    </row>
    <row r="650" spans="1:9" s="11" customFormat="1" ht="135">
      <c r="A650" s="4">
        <v>43563.538969907408</v>
      </c>
      <c r="B650" s="5" t="s">
        <v>15538</v>
      </c>
      <c r="C650" s="6" t="s">
        <v>6273</v>
      </c>
      <c r="D650" s="7" t="s">
        <v>10244</v>
      </c>
      <c r="E650" s="8" t="s">
        <v>13011</v>
      </c>
      <c r="F650" s="4">
        <v>43168.351527777777</v>
      </c>
      <c r="G650" s="17" t="s">
        <v>171</v>
      </c>
      <c r="H650" s="35" t="s">
        <v>6275</v>
      </c>
      <c r="I650" s="10" t="s">
        <v>6276</v>
      </c>
    </row>
    <row r="651" spans="1:9" s="11" customFormat="1" ht="90">
      <c r="A651" s="19">
        <v>43551.292627314819</v>
      </c>
      <c r="B651" s="20" t="s">
        <v>15539</v>
      </c>
      <c r="C651" s="21" t="s">
        <v>7342</v>
      </c>
      <c r="D651" s="22" t="s">
        <v>7343</v>
      </c>
      <c r="E651" s="23" t="s">
        <v>13018</v>
      </c>
      <c r="F651" s="19">
        <v>39778.21365740741</v>
      </c>
      <c r="G651" s="17" t="s">
        <v>171</v>
      </c>
      <c r="H651" s="35" t="s">
        <v>377</v>
      </c>
      <c r="I651" s="25" t="s">
        <v>7344</v>
      </c>
    </row>
    <row r="652" spans="1:9" s="11" customFormat="1" ht="120">
      <c r="A652" s="19">
        <v>43549.441655092596</v>
      </c>
      <c r="B652" s="20" t="s">
        <v>15540</v>
      </c>
      <c r="C652" s="21" t="s">
        <v>8036</v>
      </c>
      <c r="D652" s="22" t="s">
        <v>8037</v>
      </c>
      <c r="E652" s="23" t="s">
        <v>13009</v>
      </c>
      <c r="F652" s="19">
        <v>40648.280289351853</v>
      </c>
      <c r="G652" s="17" t="s">
        <v>171</v>
      </c>
      <c r="H652" s="35" t="s">
        <v>377</v>
      </c>
      <c r="I652" s="25" t="s">
        <v>8038</v>
      </c>
    </row>
    <row r="653" spans="1:9" s="11" customFormat="1" ht="60">
      <c r="A653" s="19">
        <v>43549.123043981483</v>
      </c>
      <c r="B653" s="20" t="s">
        <v>15540</v>
      </c>
      <c r="C653" s="21" t="s">
        <v>8036</v>
      </c>
      <c r="D653" s="22" t="s">
        <v>8160</v>
      </c>
      <c r="E653" s="23" t="s">
        <v>13009</v>
      </c>
      <c r="F653" s="19">
        <v>40648.280289351853</v>
      </c>
      <c r="G653" s="17" t="s">
        <v>171</v>
      </c>
      <c r="H653" s="35" t="s">
        <v>377</v>
      </c>
      <c r="I653" s="25" t="s">
        <v>8038</v>
      </c>
    </row>
    <row r="654" spans="1:9" s="11" customFormat="1" ht="90">
      <c r="A654" s="19">
        <v>43546.210162037038</v>
      </c>
      <c r="B654" s="20" t="s">
        <v>15541</v>
      </c>
      <c r="C654" s="21" t="s">
        <v>8933</v>
      </c>
      <c r="D654" s="22" t="s">
        <v>8934</v>
      </c>
      <c r="E654" s="23" t="s">
        <v>13013</v>
      </c>
      <c r="F654" s="19">
        <v>41046.47587962963</v>
      </c>
      <c r="G654" s="17" t="s">
        <v>171</v>
      </c>
      <c r="H654" s="35" t="s">
        <v>377</v>
      </c>
      <c r="I654" s="25" t="s">
        <v>8935</v>
      </c>
    </row>
    <row r="655" spans="1:9" s="11" customFormat="1" ht="120">
      <c r="A655" s="4">
        <v>43564.949988425928</v>
      </c>
      <c r="B655" s="5" t="s">
        <v>15542</v>
      </c>
      <c r="C655" s="6" t="s">
        <v>6372</v>
      </c>
      <c r="D655" s="7" t="s">
        <v>6373</v>
      </c>
      <c r="E655" s="8" t="s">
        <v>13011</v>
      </c>
      <c r="F655" s="4">
        <v>41044.343217592592</v>
      </c>
      <c r="G655" s="17" t="s">
        <v>171</v>
      </c>
      <c r="H655" s="35" t="s">
        <v>6374</v>
      </c>
      <c r="I655" s="10" t="s">
        <v>6375</v>
      </c>
    </row>
    <row r="656" spans="1:9" s="11" customFormat="1" ht="60">
      <c r="A656" s="4">
        <v>43561.071747685186</v>
      </c>
      <c r="B656" s="5" t="s">
        <v>15540</v>
      </c>
      <c r="C656" s="6" t="s">
        <v>8036</v>
      </c>
      <c r="D656" s="7" t="s">
        <v>11088</v>
      </c>
      <c r="E656" s="8" t="s">
        <v>13009</v>
      </c>
      <c r="F656" s="4">
        <v>40648.280289351853</v>
      </c>
      <c r="G656" s="17" t="s">
        <v>171</v>
      </c>
      <c r="H656" s="35" t="s">
        <v>377</v>
      </c>
      <c r="I656" s="10" t="s">
        <v>8038</v>
      </c>
    </row>
    <row r="657" spans="1:9" s="11" customFormat="1" ht="75">
      <c r="A657" s="12">
        <v>43579.957071759258</v>
      </c>
      <c r="B657" s="13" t="s">
        <v>15543</v>
      </c>
      <c r="C657" s="14" t="s">
        <v>375</v>
      </c>
      <c r="D657" s="15" t="s">
        <v>376</v>
      </c>
      <c r="E657" s="16" t="s">
        <v>13009</v>
      </c>
      <c r="F657" s="12">
        <v>41025.093946759262</v>
      </c>
      <c r="G657" s="17" t="s">
        <v>171</v>
      </c>
      <c r="H657" s="35" t="s">
        <v>377</v>
      </c>
      <c r="I657" s="18" t="s">
        <v>378</v>
      </c>
    </row>
    <row r="658" spans="1:9" s="11" customFormat="1" ht="60">
      <c r="A658" s="4">
        <v>43558.496157407411</v>
      </c>
      <c r="B658" s="5" t="s">
        <v>15544</v>
      </c>
      <c r="C658" s="6" t="s">
        <v>12161</v>
      </c>
      <c r="D658" s="7" t="s">
        <v>12162</v>
      </c>
      <c r="E658" s="8" t="s">
        <v>13011</v>
      </c>
      <c r="F658" s="4">
        <v>42224.279803240745</v>
      </c>
      <c r="G658" s="17" t="s">
        <v>171</v>
      </c>
      <c r="H658" s="35" t="s">
        <v>12163</v>
      </c>
      <c r="I658" s="10" t="s">
        <v>12164</v>
      </c>
    </row>
    <row r="659" spans="1:9" s="11" customFormat="1" ht="60">
      <c r="A659" s="4">
        <v>43556.708414351851</v>
      </c>
      <c r="B659" s="5" t="s">
        <v>15545</v>
      </c>
      <c r="C659" s="6" t="s">
        <v>12765</v>
      </c>
      <c r="D659" s="7" t="s">
        <v>1456</v>
      </c>
      <c r="E659" s="8" t="s">
        <v>13230</v>
      </c>
      <c r="F659" s="4">
        <v>42985.059016203704</v>
      </c>
      <c r="G659" s="17" t="s">
        <v>171</v>
      </c>
      <c r="H659" s="35" t="s">
        <v>2082</v>
      </c>
      <c r="I659" s="10" t="s">
        <v>12766</v>
      </c>
    </row>
    <row r="660" spans="1:9" s="11" customFormat="1" ht="135">
      <c r="A660" s="12">
        <v>43575.993101851855</v>
      </c>
      <c r="B660" s="13" t="s">
        <v>15546</v>
      </c>
      <c r="C660" s="14" t="s">
        <v>2080</v>
      </c>
      <c r="D660" s="15" t="s">
        <v>2081</v>
      </c>
      <c r="E660" s="16" t="s">
        <v>13018</v>
      </c>
      <c r="F660" s="12">
        <v>40211.102754629632</v>
      </c>
      <c r="G660" s="17" t="s">
        <v>171</v>
      </c>
      <c r="H660" s="35" t="s">
        <v>2082</v>
      </c>
      <c r="I660" s="18" t="s">
        <v>2083</v>
      </c>
    </row>
    <row r="661" spans="1:9" s="11" customFormat="1" ht="90">
      <c r="A661" s="4">
        <v>43558.917037037041</v>
      </c>
      <c r="B661" s="5" t="s">
        <v>15547</v>
      </c>
      <c r="C661" s="6" t="s">
        <v>11997</v>
      </c>
      <c r="D661" s="7" t="s">
        <v>1456</v>
      </c>
      <c r="E661" s="8" t="s">
        <v>13230</v>
      </c>
      <c r="F661" s="4">
        <v>40719.268703703703</v>
      </c>
      <c r="G661" s="17" t="s">
        <v>171</v>
      </c>
      <c r="H661" s="35" t="s">
        <v>11998</v>
      </c>
      <c r="I661" s="10" t="s">
        <v>11999</v>
      </c>
    </row>
    <row r="662" spans="1:9" s="11" customFormat="1" ht="135">
      <c r="A662" s="19">
        <v>43545.461747685185</v>
      </c>
      <c r="B662" s="20" t="s">
        <v>15548</v>
      </c>
      <c r="C662" s="21" t="s">
        <v>9127</v>
      </c>
      <c r="D662" s="22" t="s">
        <v>9128</v>
      </c>
      <c r="E662" s="23" t="s">
        <v>13349</v>
      </c>
      <c r="F662" s="19">
        <v>41211.453263888892</v>
      </c>
      <c r="G662" s="17" t="s">
        <v>171</v>
      </c>
      <c r="H662" s="35" t="s">
        <v>9129</v>
      </c>
      <c r="I662" s="25" t="s">
        <v>9130</v>
      </c>
    </row>
    <row r="663" spans="1:9" s="11" customFormat="1" ht="45">
      <c r="A663" s="4">
        <v>43559.989965277782</v>
      </c>
      <c r="B663" s="5" t="s">
        <v>15549</v>
      </c>
      <c r="C663" s="6" t="s">
        <v>11642</v>
      </c>
      <c r="D663" s="7" t="s">
        <v>11643</v>
      </c>
      <c r="E663" s="8" t="s">
        <v>13032</v>
      </c>
      <c r="F663" s="4">
        <v>39919.03701388889</v>
      </c>
      <c r="G663" s="17" t="s">
        <v>171</v>
      </c>
      <c r="H663" s="35" t="s">
        <v>1457</v>
      </c>
      <c r="I663" s="10" t="s">
        <v>11644</v>
      </c>
    </row>
    <row r="664" spans="1:9" s="11" customFormat="1" ht="165">
      <c r="A664" s="4">
        <v>43559.562627314815</v>
      </c>
      <c r="B664" s="5" t="s">
        <v>15550</v>
      </c>
      <c r="C664" s="6" t="s">
        <v>1455</v>
      </c>
      <c r="D664" s="7" t="s">
        <v>1456</v>
      </c>
      <c r="E664" s="8" t="s">
        <v>13034</v>
      </c>
      <c r="F664" s="4">
        <v>41942.595578703702</v>
      </c>
      <c r="G664" s="17" t="s">
        <v>171</v>
      </c>
      <c r="H664" s="35" t="s">
        <v>1457</v>
      </c>
      <c r="I664" s="10" t="s">
        <v>11760</v>
      </c>
    </row>
    <row r="665" spans="1:9" s="11" customFormat="1" ht="120">
      <c r="A665" s="12">
        <v>43577.932939814811</v>
      </c>
      <c r="B665" s="13" t="s">
        <v>15550</v>
      </c>
      <c r="C665" s="14" t="s">
        <v>1455</v>
      </c>
      <c r="D665" s="15" t="s">
        <v>1456</v>
      </c>
      <c r="E665" s="16" t="s">
        <v>13230</v>
      </c>
      <c r="F665" s="12">
        <v>41942.595578703702</v>
      </c>
      <c r="G665" s="17" t="s">
        <v>171</v>
      </c>
      <c r="H665" s="35" t="s">
        <v>1457</v>
      </c>
      <c r="I665" s="18" t="s">
        <v>1458</v>
      </c>
    </row>
    <row r="666" spans="1:9" s="11" customFormat="1" ht="45">
      <c r="A666" s="4">
        <v>43559.606238425928</v>
      </c>
      <c r="B666" s="5" t="s">
        <v>15551</v>
      </c>
      <c r="C666" s="6" t="s">
        <v>11741</v>
      </c>
      <c r="D666" s="7" t="s">
        <v>11742</v>
      </c>
      <c r="E666" s="8" t="s">
        <v>13009</v>
      </c>
      <c r="F666" s="4">
        <v>41940.417048611111</v>
      </c>
      <c r="G666" s="9" t="s">
        <v>171</v>
      </c>
      <c r="H666" s="35" t="s">
        <v>11743</v>
      </c>
      <c r="I666" s="10" t="s">
        <v>11744</v>
      </c>
    </row>
    <row r="667" spans="1:9" s="11" customFormat="1" ht="75">
      <c r="A667" s="4">
        <v>43559.267754629633</v>
      </c>
      <c r="B667" s="5" t="s">
        <v>15552</v>
      </c>
      <c r="C667" s="6" t="s">
        <v>11894</v>
      </c>
      <c r="D667" s="7" t="s">
        <v>11895</v>
      </c>
      <c r="E667" s="8" t="s">
        <v>13756</v>
      </c>
      <c r="F667" s="4">
        <v>41095.079247685186</v>
      </c>
      <c r="G667" s="9" t="s">
        <v>171</v>
      </c>
      <c r="H667" s="35" t="s">
        <v>11896</v>
      </c>
      <c r="I667" s="10" t="s">
        <v>11897</v>
      </c>
    </row>
    <row r="668" spans="1:9" s="11" customFormat="1" ht="75">
      <c r="A668" s="19">
        <v>43547.119687500002</v>
      </c>
      <c r="B668" s="20" t="s">
        <v>15553</v>
      </c>
      <c r="C668" s="21" t="s">
        <v>8646</v>
      </c>
      <c r="D668" s="22" t="s">
        <v>8647</v>
      </c>
      <c r="E668" s="23" t="s">
        <v>13009</v>
      </c>
      <c r="F668" s="19">
        <v>41271.1328125</v>
      </c>
      <c r="G668" s="17" t="s">
        <v>171</v>
      </c>
      <c r="H668" s="35" t="s">
        <v>8648</v>
      </c>
      <c r="I668" s="25" t="s">
        <v>8649</v>
      </c>
    </row>
    <row r="669" spans="1:9" s="11" customFormat="1" ht="135">
      <c r="A669" s="12">
        <v>43568.913043981476</v>
      </c>
      <c r="B669" s="13" t="s">
        <v>15554</v>
      </c>
      <c r="C669" s="14" t="s">
        <v>4631</v>
      </c>
      <c r="D669" s="15" t="s">
        <v>4632</v>
      </c>
      <c r="E669" s="16" t="s">
        <v>13032</v>
      </c>
      <c r="F669" s="12">
        <v>40002.454965277779</v>
      </c>
      <c r="G669" s="17" t="s">
        <v>171</v>
      </c>
      <c r="H669" s="35" t="s">
        <v>4633</v>
      </c>
      <c r="I669" s="18" t="s">
        <v>4634</v>
      </c>
    </row>
    <row r="670" spans="1:9" s="11" customFormat="1" ht="105">
      <c r="A670" s="12">
        <v>43568.426076388889</v>
      </c>
      <c r="B670" s="13" t="s">
        <v>15555</v>
      </c>
      <c r="C670" s="14" t="s">
        <v>4775</v>
      </c>
      <c r="D670" s="15" t="s">
        <v>4776</v>
      </c>
      <c r="E670" s="16" t="s">
        <v>13009</v>
      </c>
      <c r="F670" s="12">
        <v>39906.072048611109</v>
      </c>
      <c r="G670" s="17" t="s">
        <v>171</v>
      </c>
      <c r="H670" s="35" t="s">
        <v>4777</v>
      </c>
      <c r="I670" s="18" t="s">
        <v>4778</v>
      </c>
    </row>
    <row r="671" spans="1:9" s="11" customFormat="1" ht="45">
      <c r="A671" s="4">
        <v>43558.1715162037</v>
      </c>
      <c r="B671" s="5" t="s">
        <v>15556</v>
      </c>
      <c r="C671" s="6" t="s">
        <v>12302</v>
      </c>
      <c r="D671" s="7" t="s">
        <v>12303</v>
      </c>
      <c r="E671" s="8" t="s">
        <v>13120</v>
      </c>
      <c r="F671" s="4">
        <v>40494.413043981483</v>
      </c>
      <c r="G671" s="9" t="s">
        <v>171</v>
      </c>
      <c r="H671" s="35" t="s">
        <v>2055</v>
      </c>
      <c r="I671" s="10" t="s">
        <v>12304</v>
      </c>
    </row>
    <row r="672" spans="1:9" s="11" customFormat="1" ht="75">
      <c r="A672" s="12">
        <v>43576.087557870371</v>
      </c>
      <c r="B672" s="13" t="s">
        <v>15557</v>
      </c>
      <c r="C672" s="14" t="s">
        <v>2053</v>
      </c>
      <c r="D672" s="15" t="s">
        <v>2054</v>
      </c>
      <c r="E672" s="16" t="s">
        <v>13015</v>
      </c>
      <c r="F672" s="12">
        <v>42122.105590277773</v>
      </c>
      <c r="G672" s="9" t="s">
        <v>171</v>
      </c>
      <c r="H672" s="35" t="s">
        <v>2055</v>
      </c>
      <c r="I672" s="18" t="s">
        <v>2056</v>
      </c>
    </row>
    <row r="673" spans="1:9" s="11" customFormat="1" ht="45">
      <c r="A673" s="12">
        <v>43575.576516203699</v>
      </c>
      <c r="B673" s="13" t="s">
        <v>15558</v>
      </c>
      <c r="C673" s="14" t="s">
        <v>2164</v>
      </c>
      <c r="D673" s="15" t="s">
        <v>2165</v>
      </c>
      <c r="E673" s="16" t="s">
        <v>13013</v>
      </c>
      <c r="F673" s="12">
        <v>40744.111122685186</v>
      </c>
      <c r="G673" s="9" t="s">
        <v>171</v>
      </c>
      <c r="H673" s="35" t="s">
        <v>2055</v>
      </c>
      <c r="I673" s="18" t="s">
        <v>2166</v>
      </c>
    </row>
    <row r="674" spans="1:9" s="11" customFormat="1" ht="90">
      <c r="A674" s="12">
        <v>43572.542488425926</v>
      </c>
      <c r="B674" s="13" t="s">
        <v>15559</v>
      </c>
      <c r="C674" s="14" t="s">
        <v>3171</v>
      </c>
      <c r="D674" s="15" t="s">
        <v>3172</v>
      </c>
      <c r="E674" s="16" t="s">
        <v>13006</v>
      </c>
      <c r="F674" s="12">
        <v>41084.235289351855</v>
      </c>
      <c r="G674" s="9" t="s">
        <v>171</v>
      </c>
      <c r="H674" s="35" t="s">
        <v>2055</v>
      </c>
      <c r="I674" s="18" t="s">
        <v>3173</v>
      </c>
    </row>
    <row r="675" spans="1:9" s="11" customFormat="1" ht="105">
      <c r="A675" s="12">
        <v>43572.500914351855</v>
      </c>
      <c r="B675" s="13" t="s">
        <v>15560</v>
      </c>
      <c r="C675" s="14" t="s">
        <v>3214</v>
      </c>
      <c r="D675" s="15" t="s">
        <v>3172</v>
      </c>
      <c r="E675" s="16" t="s">
        <v>13006</v>
      </c>
      <c r="F675" s="12">
        <v>41084.224999999999</v>
      </c>
      <c r="G675" s="9" t="s">
        <v>171</v>
      </c>
      <c r="H675" s="35" t="s">
        <v>2055</v>
      </c>
      <c r="I675" s="18" t="s">
        <v>3215</v>
      </c>
    </row>
    <row r="676" spans="1:9" s="11" customFormat="1" ht="120">
      <c r="A676" s="12">
        <v>43572.334201388891</v>
      </c>
      <c r="B676" s="13" t="s">
        <v>15561</v>
      </c>
      <c r="C676" s="14" t="s">
        <v>3324</v>
      </c>
      <c r="D676" s="15" t="s">
        <v>3172</v>
      </c>
      <c r="E676" s="16" t="s">
        <v>13006</v>
      </c>
      <c r="F676" s="12">
        <v>41142.43550925926</v>
      </c>
      <c r="G676" s="9" t="s">
        <v>171</v>
      </c>
      <c r="H676" s="35" t="s">
        <v>2055</v>
      </c>
      <c r="I676" s="18" t="s">
        <v>3325</v>
      </c>
    </row>
    <row r="677" spans="1:9" s="11" customFormat="1" ht="105">
      <c r="A677" s="4">
        <v>43559.477812500001</v>
      </c>
      <c r="B677" s="5" t="s">
        <v>15562</v>
      </c>
      <c r="C677" s="6" t="s">
        <v>11796</v>
      </c>
      <c r="D677" s="7" t="s">
        <v>11797</v>
      </c>
      <c r="E677" s="8" t="s">
        <v>13013</v>
      </c>
      <c r="F677" s="4">
        <v>40658.088414351849</v>
      </c>
      <c r="G677" s="9" t="s">
        <v>171</v>
      </c>
      <c r="H677" s="35" t="s">
        <v>4588</v>
      </c>
      <c r="I677" s="10" t="s">
        <v>11798</v>
      </c>
    </row>
    <row r="678" spans="1:9" s="11" customFormat="1" ht="120">
      <c r="A678" s="12">
        <v>43569.164317129631</v>
      </c>
      <c r="B678" s="13" t="s">
        <v>15563</v>
      </c>
      <c r="C678" s="14" t="s">
        <v>4586</v>
      </c>
      <c r="D678" s="15" t="s">
        <v>4587</v>
      </c>
      <c r="E678" s="16" t="s">
        <v>13011</v>
      </c>
      <c r="F678" s="12">
        <v>40943.13071759259</v>
      </c>
      <c r="G678" s="9" t="s">
        <v>171</v>
      </c>
      <c r="H678" s="35" t="s">
        <v>4588</v>
      </c>
      <c r="I678" s="18" t="s">
        <v>4589</v>
      </c>
    </row>
    <row r="679" spans="1:9" s="11" customFormat="1" ht="105">
      <c r="A679" s="12">
        <v>43567.069988425923</v>
      </c>
      <c r="B679" s="13" t="s">
        <v>15564</v>
      </c>
      <c r="C679" s="14" t="s">
        <v>5251</v>
      </c>
      <c r="D679" s="15" t="s">
        <v>5252</v>
      </c>
      <c r="E679" s="16" t="s">
        <v>13009</v>
      </c>
      <c r="F679" s="12">
        <v>43564.196956018517</v>
      </c>
      <c r="G679" s="9" t="s">
        <v>171</v>
      </c>
      <c r="H679" s="35" t="s">
        <v>4588</v>
      </c>
      <c r="I679" s="18" t="s">
        <v>5253</v>
      </c>
    </row>
    <row r="680" spans="1:9" s="11" customFormat="1" ht="60">
      <c r="A680" s="19">
        <v>43551.278587962966</v>
      </c>
      <c r="B680" s="20" t="s">
        <v>15565</v>
      </c>
      <c r="C680" s="21" t="s">
        <v>7355</v>
      </c>
      <c r="D680" s="22" t="s">
        <v>7356</v>
      </c>
      <c r="E680" s="23" t="s">
        <v>13009</v>
      </c>
      <c r="F680" s="19">
        <v>42515.260069444441</v>
      </c>
      <c r="G680" s="9" t="s">
        <v>171</v>
      </c>
      <c r="H680" s="35" t="s">
        <v>5684</v>
      </c>
      <c r="I680" s="25" t="s">
        <v>7357</v>
      </c>
    </row>
    <row r="681" spans="1:9" s="11" customFormat="1" ht="45">
      <c r="A681" s="19">
        <v>43545.597685185188</v>
      </c>
      <c r="B681" s="20" t="s">
        <v>15566</v>
      </c>
      <c r="C681" s="21" t="s">
        <v>9085</v>
      </c>
      <c r="D681" s="22" t="s">
        <v>9086</v>
      </c>
      <c r="E681" s="23" t="s">
        <v>13011</v>
      </c>
      <c r="F681" s="19">
        <v>39857.223020833335</v>
      </c>
      <c r="G681" s="9" t="s">
        <v>171</v>
      </c>
      <c r="H681" s="35" t="s">
        <v>5684</v>
      </c>
      <c r="I681" s="25" t="s">
        <v>9087</v>
      </c>
    </row>
    <row r="682" spans="1:9" s="11" customFormat="1" ht="90">
      <c r="A682" s="12">
        <v>43566.285833333328</v>
      </c>
      <c r="B682" s="13" t="s">
        <v>15567</v>
      </c>
      <c r="C682" s="14" t="s">
        <v>5682</v>
      </c>
      <c r="D682" s="15" t="s">
        <v>5683</v>
      </c>
      <c r="E682" s="16" t="s">
        <v>13009</v>
      </c>
      <c r="F682" s="12">
        <v>40642.142581018517</v>
      </c>
      <c r="G682" s="9" t="s">
        <v>171</v>
      </c>
      <c r="H682" s="35" t="s">
        <v>5684</v>
      </c>
      <c r="I682" s="18" t="s">
        <v>5685</v>
      </c>
    </row>
    <row r="683" spans="1:9" s="11" customFormat="1" ht="135">
      <c r="A683" s="12">
        <v>43569.604386574079</v>
      </c>
      <c r="B683" s="13" t="s">
        <v>15568</v>
      </c>
      <c r="C683" s="14" t="s">
        <v>4462</v>
      </c>
      <c r="D683" s="15" t="s">
        <v>4463</v>
      </c>
      <c r="E683" s="16" t="s">
        <v>13032</v>
      </c>
      <c r="F683" s="12">
        <v>42377.540474537032</v>
      </c>
      <c r="G683" s="17" t="s">
        <v>171</v>
      </c>
      <c r="H683" s="35" t="s">
        <v>4464</v>
      </c>
      <c r="I683" s="18" t="s">
        <v>4465</v>
      </c>
    </row>
    <row r="684" spans="1:9" s="11" customFormat="1" ht="135">
      <c r="A684" s="12">
        <v>43569.207245370373</v>
      </c>
      <c r="B684" s="13" t="s">
        <v>15568</v>
      </c>
      <c r="C684" s="14" t="s">
        <v>4462</v>
      </c>
      <c r="D684" s="15" t="s">
        <v>4579</v>
      </c>
      <c r="E684" s="16" t="s">
        <v>13032</v>
      </c>
      <c r="F684" s="12">
        <v>42377.540474537032</v>
      </c>
      <c r="G684" s="17" t="s">
        <v>171</v>
      </c>
      <c r="H684" s="35" t="s">
        <v>4464</v>
      </c>
      <c r="I684" s="18" t="s">
        <v>4465</v>
      </c>
    </row>
    <row r="685" spans="1:9" s="11" customFormat="1" ht="60">
      <c r="A685" s="19">
        <v>43551.369351851856</v>
      </c>
      <c r="B685" s="20" t="s">
        <v>15569</v>
      </c>
      <c r="C685" s="21" t="s">
        <v>7270</v>
      </c>
      <c r="D685" s="22" t="s">
        <v>7271</v>
      </c>
      <c r="E685" s="23" t="s">
        <v>13027</v>
      </c>
      <c r="F685" s="19">
        <v>42309.571180555555</v>
      </c>
      <c r="G685" s="9" t="s">
        <v>171</v>
      </c>
      <c r="H685" s="35" t="s">
        <v>7272</v>
      </c>
      <c r="I685" s="25" t="s">
        <v>7273</v>
      </c>
    </row>
    <row r="686" spans="1:9" s="11" customFormat="1" ht="60">
      <c r="A686" s="19">
        <v>43549.161099537036</v>
      </c>
      <c r="B686" s="20" t="s">
        <v>15569</v>
      </c>
      <c r="C686" s="21" t="s">
        <v>7270</v>
      </c>
      <c r="D686" s="22" t="s">
        <v>8143</v>
      </c>
      <c r="E686" s="23" t="s">
        <v>13027</v>
      </c>
      <c r="F686" s="19">
        <v>42309.571180555555</v>
      </c>
      <c r="G686" s="9" t="s">
        <v>171</v>
      </c>
      <c r="H686" s="35" t="s">
        <v>7272</v>
      </c>
      <c r="I686" s="25" t="s">
        <v>7273</v>
      </c>
    </row>
    <row r="687" spans="1:9" s="11" customFormat="1" ht="60">
      <c r="A687" s="19">
        <v>43546.119259259256</v>
      </c>
      <c r="B687" s="20" t="s">
        <v>15569</v>
      </c>
      <c r="C687" s="21" t="s">
        <v>7270</v>
      </c>
      <c r="D687" s="22" t="s">
        <v>8958</v>
      </c>
      <c r="E687" s="23" t="s">
        <v>13027</v>
      </c>
      <c r="F687" s="19">
        <v>42309.571180555555</v>
      </c>
      <c r="G687" s="9" t="s">
        <v>171</v>
      </c>
      <c r="H687" s="35" t="s">
        <v>7272</v>
      </c>
      <c r="I687" s="25" t="s">
        <v>7273</v>
      </c>
    </row>
    <row r="688" spans="1:9" s="11" customFormat="1" ht="60">
      <c r="A688" s="19">
        <v>43544.119409722218</v>
      </c>
      <c r="B688" s="20" t="s">
        <v>15569</v>
      </c>
      <c r="C688" s="21" t="s">
        <v>7270</v>
      </c>
      <c r="D688" s="22" t="s">
        <v>9610</v>
      </c>
      <c r="E688" s="23" t="s">
        <v>13027</v>
      </c>
      <c r="F688" s="19">
        <v>42309.571180555555</v>
      </c>
      <c r="G688" s="9" t="s">
        <v>171</v>
      </c>
      <c r="H688" s="35" t="s">
        <v>7272</v>
      </c>
      <c r="I688" s="25" t="s">
        <v>7273</v>
      </c>
    </row>
    <row r="689" spans="1:9" s="11" customFormat="1" ht="60">
      <c r="A689" s="19">
        <v>43543.161215277782</v>
      </c>
      <c r="B689" s="20" t="s">
        <v>15569</v>
      </c>
      <c r="C689" s="21" t="s">
        <v>7270</v>
      </c>
      <c r="D689" s="22" t="s">
        <v>9920</v>
      </c>
      <c r="E689" s="23" t="s">
        <v>13027</v>
      </c>
      <c r="F689" s="19">
        <v>42309.571180555555</v>
      </c>
      <c r="G689" s="9" t="s">
        <v>171</v>
      </c>
      <c r="H689" s="35" t="s">
        <v>7272</v>
      </c>
      <c r="I689" s="25" t="s">
        <v>7273</v>
      </c>
    </row>
    <row r="690" spans="1:9" s="11" customFormat="1" ht="60">
      <c r="A690" s="4">
        <v>43559.494594907403</v>
      </c>
      <c r="B690" s="5" t="s">
        <v>15569</v>
      </c>
      <c r="C690" s="6" t="s">
        <v>7270</v>
      </c>
      <c r="D690" s="7" t="s">
        <v>11789</v>
      </c>
      <c r="E690" s="8" t="s">
        <v>13027</v>
      </c>
      <c r="F690" s="4">
        <v>42309.571180555555</v>
      </c>
      <c r="G690" s="9" t="s">
        <v>171</v>
      </c>
      <c r="H690" s="35" t="s">
        <v>7272</v>
      </c>
      <c r="I690" s="10" t="s">
        <v>7273</v>
      </c>
    </row>
    <row r="691" spans="1:9" s="11" customFormat="1" ht="60">
      <c r="A691" s="19">
        <v>43550.09175925926</v>
      </c>
      <c r="B691" s="20" t="s">
        <v>15570</v>
      </c>
      <c r="C691" s="21" t="s">
        <v>7842</v>
      </c>
      <c r="D691" s="22" t="s">
        <v>7843</v>
      </c>
      <c r="E691" s="23" t="s">
        <v>13009</v>
      </c>
      <c r="F691" s="19">
        <v>41287.2033912037</v>
      </c>
      <c r="G691" s="24" t="s">
        <v>171</v>
      </c>
      <c r="H691" s="35" t="s">
        <v>7844</v>
      </c>
      <c r="I691" s="25" t="s">
        <v>7845</v>
      </c>
    </row>
    <row r="692" spans="1:9" s="11" customFormat="1" ht="60">
      <c r="A692" s="19">
        <v>43548.019328703704</v>
      </c>
      <c r="B692" s="20" t="s">
        <v>15570</v>
      </c>
      <c r="C692" s="21" t="s">
        <v>7842</v>
      </c>
      <c r="D692" s="22" t="s">
        <v>8432</v>
      </c>
      <c r="E692" s="23" t="s">
        <v>13009</v>
      </c>
      <c r="F692" s="19">
        <v>41287.2033912037</v>
      </c>
      <c r="G692" s="24" t="s">
        <v>171</v>
      </c>
      <c r="H692" s="35" t="s">
        <v>7844</v>
      </c>
      <c r="I692" s="25" t="s">
        <v>7845</v>
      </c>
    </row>
    <row r="693" spans="1:9" s="11" customFormat="1" ht="120">
      <c r="A693" s="4">
        <v>43564.347881944443</v>
      </c>
      <c r="B693" s="5" t="s">
        <v>15571</v>
      </c>
      <c r="C693" s="6" t="s">
        <v>16</v>
      </c>
      <c r="D693" s="7" t="s">
        <v>6669</v>
      </c>
      <c r="E693" s="8" t="s">
        <v>13009</v>
      </c>
      <c r="F693" s="4">
        <v>40807.077361111107</v>
      </c>
      <c r="G693" s="17" t="s">
        <v>171</v>
      </c>
      <c r="H693" s="35" t="s">
        <v>18</v>
      </c>
      <c r="I693" s="10" t="s">
        <v>19</v>
      </c>
    </row>
    <row r="694" spans="1:9" s="11" customFormat="1" ht="120">
      <c r="A694" s="12">
        <v>43580.847280092596</v>
      </c>
      <c r="B694" s="13" t="s">
        <v>15571</v>
      </c>
      <c r="C694" s="14" t="s">
        <v>16</v>
      </c>
      <c r="D694" s="15" t="s">
        <v>17</v>
      </c>
      <c r="E694" s="16" t="s">
        <v>13034</v>
      </c>
      <c r="F694" s="12">
        <v>40807.535694444443</v>
      </c>
      <c r="G694" s="17" t="s">
        <v>171</v>
      </c>
      <c r="H694" s="35" t="s">
        <v>18</v>
      </c>
      <c r="I694" s="18" t="s">
        <v>19</v>
      </c>
    </row>
    <row r="695" spans="1:9" s="11" customFormat="1" ht="120">
      <c r="A695" s="12">
        <v>43572.212175925924</v>
      </c>
      <c r="B695" s="13" t="s">
        <v>15571</v>
      </c>
      <c r="C695" s="14" t="s">
        <v>16</v>
      </c>
      <c r="D695" s="15" t="s">
        <v>3374</v>
      </c>
      <c r="E695" s="16" t="s">
        <v>13009</v>
      </c>
      <c r="F695" s="12">
        <v>40807.077361111107</v>
      </c>
      <c r="G695" s="17" t="s">
        <v>171</v>
      </c>
      <c r="H695" s="35" t="s">
        <v>18</v>
      </c>
      <c r="I695" s="18" t="s">
        <v>19</v>
      </c>
    </row>
    <row r="696" spans="1:9" s="11" customFormat="1" ht="120">
      <c r="A696" s="12">
        <v>43571.364641203705</v>
      </c>
      <c r="B696" s="13" t="s">
        <v>15571</v>
      </c>
      <c r="C696" s="14" t="s">
        <v>16</v>
      </c>
      <c r="D696" s="15" t="s">
        <v>3707</v>
      </c>
      <c r="E696" s="16" t="s">
        <v>13034</v>
      </c>
      <c r="F696" s="12">
        <v>40807.077361111107</v>
      </c>
      <c r="G696" s="17" t="s">
        <v>171</v>
      </c>
      <c r="H696" s="35" t="s">
        <v>18</v>
      </c>
      <c r="I696" s="18" t="s">
        <v>19</v>
      </c>
    </row>
    <row r="697" spans="1:9" s="11" customFormat="1" ht="75">
      <c r="A697" s="19">
        <v>43543.120046296295</v>
      </c>
      <c r="B697" s="20" t="s">
        <v>15572</v>
      </c>
      <c r="C697" s="20" t="s">
        <v>9933</v>
      </c>
      <c r="D697" s="22" t="s">
        <v>12867</v>
      </c>
      <c r="E697" s="23" t="s">
        <v>13032</v>
      </c>
      <c r="F697" s="19">
        <v>41984.252754629633</v>
      </c>
      <c r="G697" s="17" t="s">
        <v>171</v>
      </c>
      <c r="H697" s="35" t="s">
        <v>9934</v>
      </c>
      <c r="I697" s="25" t="s">
        <v>9935</v>
      </c>
    </row>
    <row r="698" spans="1:9" s="11" customFormat="1" ht="60">
      <c r="A698" s="12">
        <v>43572.414907407408</v>
      </c>
      <c r="B698" s="13" t="s">
        <v>15573</v>
      </c>
      <c r="C698" s="14" t="s">
        <v>3261</v>
      </c>
      <c r="D698" s="15" t="s">
        <v>3262</v>
      </c>
      <c r="E698" s="16" t="s">
        <v>13009</v>
      </c>
      <c r="F698" s="12">
        <v>42266.249652777777</v>
      </c>
      <c r="G698" s="17" t="s">
        <v>171</v>
      </c>
      <c r="H698" s="35" t="s">
        <v>3263</v>
      </c>
      <c r="I698" s="18"/>
    </row>
    <row r="699" spans="1:9" s="11" customFormat="1" ht="120">
      <c r="A699" s="19">
        <v>43544.168981481482</v>
      </c>
      <c r="B699" s="20" t="s">
        <v>15574</v>
      </c>
      <c r="C699" s="21" t="s">
        <v>9582</v>
      </c>
      <c r="D699" s="22" t="s">
        <v>9583</v>
      </c>
      <c r="E699" s="23" t="s">
        <v>13009</v>
      </c>
      <c r="F699" s="19">
        <v>40755.059502314813</v>
      </c>
      <c r="G699" s="24" t="s">
        <v>171</v>
      </c>
      <c r="H699" s="35" t="s">
        <v>9584</v>
      </c>
      <c r="I699" s="25" t="s">
        <v>9585</v>
      </c>
    </row>
    <row r="700" spans="1:9" s="11" customFormat="1" ht="90">
      <c r="A700" s="4">
        <v>43557.047893518524</v>
      </c>
      <c r="B700" s="5" t="s">
        <v>15575</v>
      </c>
      <c r="C700" s="6" t="s">
        <v>12667</v>
      </c>
      <c r="D700" s="7" t="s">
        <v>12668</v>
      </c>
      <c r="E700" s="8" t="s">
        <v>13009</v>
      </c>
      <c r="F700" s="4">
        <v>40346.073657407411</v>
      </c>
      <c r="G700" s="9" t="s">
        <v>171</v>
      </c>
      <c r="H700" s="35" t="s">
        <v>12669</v>
      </c>
      <c r="I700" s="10" t="s">
        <v>12670</v>
      </c>
    </row>
    <row r="701" spans="1:9" s="11" customFormat="1" ht="90">
      <c r="A701" s="4">
        <v>43557.173495370371</v>
      </c>
      <c r="B701" s="5" t="s">
        <v>15576</v>
      </c>
      <c r="C701" s="6" t="s">
        <v>12624</v>
      </c>
      <c r="D701" s="7" t="s">
        <v>12625</v>
      </c>
      <c r="E701" s="8" t="s">
        <v>13009</v>
      </c>
      <c r="F701" s="4">
        <v>43557.159189814818</v>
      </c>
      <c r="G701" s="9" t="s">
        <v>171</v>
      </c>
      <c r="H701" s="35" t="s">
        <v>12626</v>
      </c>
      <c r="I701" s="10" t="s">
        <v>12627</v>
      </c>
    </row>
    <row r="702" spans="1:9" s="11" customFormat="1" ht="90">
      <c r="A702" s="19">
        <v>43547.414131944446</v>
      </c>
      <c r="B702" s="20" t="s">
        <v>15577</v>
      </c>
      <c r="C702" s="21" t="s">
        <v>8558</v>
      </c>
      <c r="D702" s="22" t="s">
        <v>8559</v>
      </c>
      <c r="E702" s="23" t="s">
        <v>13013</v>
      </c>
      <c r="F702" s="19">
        <v>42001.109849537039</v>
      </c>
      <c r="G702" s="24" t="s">
        <v>171</v>
      </c>
      <c r="H702" s="35" t="s">
        <v>8560</v>
      </c>
      <c r="I702" s="25" t="s">
        <v>8561</v>
      </c>
    </row>
    <row r="703" spans="1:9" s="11" customFormat="1" ht="45">
      <c r="A703" s="12">
        <v>43580.831990740742</v>
      </c>
      <c r="B703" s="13" t="s">
        <v>15578</v>
      </c>
      <c r="C703" s="14" t="s">
        <v>44</v>
      </c>
      <c r="D703" s="15" t="s">
        <v>45</v>
      </c>
      <c r="E703" s="16" t="s">
        <v>13011</v>
      </c>
      <c r="F703" s="12">
        <v>41703.715752314813</v>
      </c>
      <c r="G703" s="17" t="s">
        <v>171</v>
      </c>
      <c r="H703" s="35" t="s">
        <v>46</v>
      </c>
      <c r="I703" s="18" t="s">
        <v>47</v>
      </c>
    </row>
    <row r="704" spans="1:9" s="11" customFormat="1" ht="120">
      <c r="A704" s="4">
        <v>43565.059571759259</v>
      </c>
      <c r="B704" s="5" t="s">
        <v>15579</v>
      </c>
      <c r="C704" s="6" t="s">
        <v>6313</v>
      </c>
      <c r="D704" s="7" t="s">
        <v>6314</v>
      </c>
      <c r="E704" s="8" t="s">
        <v>13034</v>
      </c>
      <c r="F704" s="4">
        <v>42495.349108796298</v>
      </c>
      <c r="G704" s="17" t="s">
        <v>171</v>
      </c>
      <c r="H704" s="35" t="s">
        <v>6315</v>
      </c>
      <c r="I704" s="10" t="s">
        <v>6316</v>
      </c>
    </row>
    <row r="705" spans="1:9" s="11" customFormat="1" ht="135">
      <c r="A705" s="4">
        <v>43558.585138888884</v>
      </c>
      <c r="B705" s="5" t="s">
        <v>15580</v>
      </c>
      <c r="C705" s="6" t="s">
        <v>12120</v>
      </c>
      <c r="D705" s="7" t="s">
        <v>12121</v>
      </c>
      <c r="E705" s="8" t="s">
        <v>13011</v>
      </c>
      <c r="F705" s="4">
        <v>42816.475127314814</v>
      </c>
      <c r="G705" s="17" t="s">
        <v>171</v>
      </c>
      <c r="H705" s="35" t="s">
        <v>6315</v>
      </c>
      <c r="I705" s="10" t="s">
        <v>12122</v>
      </c>
    </row>
    <row r="706" spans="1:9" s="11" customFormat="1" ht="90">
      <c r="A706" s="19">
        <v>43549.111747685187</v>
      </c>
      <c r="B706" s="20" t="s">
        <v>15581</v>
      </c>
      <c r="C706" s="21" t="s">
        <v>8164</v>
      </c>
      <c r="D706" s="22" t="s">
        <v>8165</v>
      </c>
      <c r="E706" s="23" t="s">
        <v>13009</v>
      </c>
      <c r="F706" s="19">
        <v>40670.364363425928</v>
      </c>
      <c r="G706" s="24" t="s">
        <v>171</v>
      </c>
      <c r="H706" s="35" t="s">
        <v>8166</v>
      </c>
      <c r="I706" s="25" t="s">
        <v>8167</v>
      </c>
    </row>
    <row r="707" spans="1:9" s="11" customFormat="1" ht="90">
      <c r="A707" s="19">
        <v>43546.287361111114</v>
      </c>
      <c r="B707" s="20" t="s">
        <v>15581</v>
      </c>
      <c r="C707" s="21" t="s">
        <v>8164</v>
      </c>
      <c r="D707" s="22" t="s">
        <v>8918</v>
      </c>
      <c r="E707" s="23" t="s">
        <v>13009</v>
      </c>
      <c r="F707" s="19">
        <v>40670.364363425928</v>
      </c>
      <c r="G707" s="24" t="s">
        <v>171</v>
      </c>
      <c r="H707" s="35" t="s">
        <v>8166</v>
      </c>
      <c r="I707" s="25" t="s">
        <v>8167</v>
      </c>
    </row>
    <row r="708" spans="1:9" s="11" customFormat="1" ht="60">
      <c r="A708" s="12">
        <v>43571.057962962965</v>
      </c>
      <c r="B708" s="13" t="s">
        <v>15582</v>
      </c>
      <c r="C708" s="14" t="s">
        <v>3872</v>
      </c>
      <c r="D708" s="15" t="s">
        <v>3873</v>
      </c>
      <c r="E708" s="16" t="s">
        <v>13120</v>
      </c>
      <c r="F708" s="12">
        <v>41841.135046296295</v>
      </c>
      <c r="G708" s="17" t="s">
        <v>171</v>
      </c>
      <c r="H708" s="35" t="s">
        <v>3874</v>
      </c>
      <c r="I708" s="18" t="s">
        <v>3875</v>
      </c>
    </row>
    <row r="709" spans="1:9" s="11" customFormat="1" ht="30">
      <c r="A709" s="19">
        <v>43551.677673611106</v>
      </c>
      <c r="B709" s="20" t="s">
        <v>15583</v>
      </c>
      <c r="C709" s="21" t="s">
        <v>143</v>
      </c>
      <c r="D709" s="22" t="s">
        <v>7057</v>
      </c>
      <c r="E709" s="23" t="s">
        <v>13027</v>
      </c>
      <c r="F709" s="19">
        <v>42695.878634259258</v>
      </c>
      <c r="G709" s="17" t="s">
        <v>171</v>
      </c>
      <c r="H709" s="35" t="s">
        <v>145</v>
      </c>
      <c r="I709" s="25" t="s">
        <v>146</v>
      </c>
    </row>
    <row r="710" spans="1:9" s="11" customFormat="1" ht="30">
      <c r="A710" s="12">
        <v>43580.669062500005</v>
      </c>
      <c r="B710" s="13" t="s">
        <v>15583</v>
      </c>
      <c r="C710" s="14" t="s">
        <v>143</v>
      </c>
      <c r="D710" s="15" t="s">
        <v>144</v>
      </c>
      <c r="E710" s="16" t="s">
        <v>13027</v>
      </c>
      <c r="F710" s="12">
        <v>42696.378634259258</v>
      </c>
      <c r="G710" s="17" t="s">
        <v>171</v>
      </c>
      <c r="H710" s="35" t="s">
        <v>145</v>
      </c>
      <c r="I710" s="18" t="s">
        <v>146</v>
      </c>
    </row>
    <row r="711" spans="1:9" s="11" customFormat="1" ht="75">
      <c r="A711" s="4">
        <v>43561.051296296297</v>
      </c>
      <c r="B711" s="5" t="s">
        <v>15584</v>
      </c>
      <c r="C711" s="6" t="s">
        <v>11103</v>
      </c>
      <c r="D711" s="7" t="s">
        <v>11104</v>
      </c>
      <c r="E711" s="8" t="s">
        <v>13009</v>
      </c>
      <c r="F711" s="4">
        <v>40133.486354166671</v>
      </c>
      <c r="G711" s="17" t="s">
        <v>171</v>
      </c>
      <c r="H711" s="35" t="s">
        <v>11105</v>
      </c>
      <c r="I711" s="10" t="s">
        <v>11106</v>
      </c>
    </row>
    <row r="712" spans="1:9" s="11" customFormat="1" ht="75">
      <c r="A712" s="4">
        <v>43560.016331018516</v>
      </c>
      <c r="B712" s="5" t="s">
        <v>15584</v>
      </c>
      <c r="C712" s="6" t="s">
        <v>11103</v>
      </c>
      <c r="D712" s="7" t="s">
        <v>11635</v>
      </c>
      <c r="E712" s="8" t="s">
        <v>13009</v>
      </c>
      <c r="F712" s="4">
        <v>40133.486354166671</v>
      </c>
      <c r="G712" s="17" t="s">
        <v>171</v>
      </c>
      <c r="H712" s="35" t="s">
        <v>11105</v>
      </c>
      <c r="I712" s="10" t="s">
        <v>11106</v>
      </c>
    </row>
    <row r="713" spans="1:9" s="11" customFormat="1" ht="90">
      <c r="A713" s="4">
        <v>43563.22351851852</v>
      </c>
      <c r="B713" s="5" t="s">
        <v>15585</v>
      </c>
      <c r="C713" s="6" t="s">
        <v>10426</v>
      </c>
      <c r="D713" s="7" t="s">
        <v>10427</v>
      </c>
      <c r="E713" s="8" t="s">
        <v>13027</v>
      </c>
      <c r="F713" s="4">
        <v>40563.26626157407</v>
      </c>
      <c r="G713" s="17" t="s">
        <v>171</v>
      </c>
      <c r="H713" s="35" t="s">
        <v>10428</v>
      </c>
      <c r="I713" s="10" t="s">
        <v>10429</v>
      </c>
    </row>
    <row r="714" spans="1:9" s="11" customFormat="1" ht="105">
      <c r="A714" s="12">
        <v>43572.538217592592</v>
      </c>
      <c r="B714" s="13" t="s">
        <v>15586</v>
      </c>
      <c r="C714" s="14" t="s">
        <v>3174</v>
      </c>
      <c r="D714" s="15" t="s">
        <v>3175</v>
      </c>
      <c r="E714" s="16" t="s">
        <v>13011</v>
      </c>
      <c r="F714" s="12">
        <v>39837.08017361111</v>
      </c>
      <c r="G714" s="17" t="s">
        <v>171</v>
      </c>
      <c r="H714" s="35" t="s">
        <v>3176</v>
      </c>
      <c r="I714" s="18" t="s">
        <v>3177</v>
      </c>
    </row>
    <row r="715" spans="1:9" s="11" customFormat="1" ht="105">
      <c r="A715" s="12">
        <v>43571.994120370371</v>
      </c>
      <c r="B715" s="13" t="s">
        <v>15587</v>
      </c>
      <c r="C715" s="14" t="s">
        <v>3469</v>
      </c>
      <c r="D715" s="15" t="s">
        <v>3470</v>
      </c>
      <c r="E715" s="16" t="s">
        <v>13009</v>
      </c>
      <c r="F715" s="12">
        <v>40611.499143518522</v>
      </c>
      <c r="G715" s="17" t="s">
        <v>171</v>
      </c>
      <c r="H715" s="35" t="s">
        <v>3471</v>
      </c>
      <c r="I715" s="18" t="s">
        <v>3472</v>
      </c>
    </row>
    <row r="716" spans="1:9" s="11" customFormat="1" ht="45">
      <c r="A716" s="12">
        <v>43575.407013888893</v>
      </c>
      <c r="B716" s="13" t="s">
        <v>15588</v>
      </c>
      <c r="C716" s="14" t="s">
        <v>2227</v>
      </c>
      <c r="D716" s="15" t="s">
        <v>2228</v>
      </c>
      <c r="E716" s="16" t="s">
        <v>13130</v>
      </c>
      <c r="F716" s="12">
        <v>39786.409780092596</v>
      </c>
      <c r="G716" s="17" t="s">
        <v>171</v>
      </c>
      <c r="H716" s="35" t="s">
        <v>2229</v>
      </c>
      <c r="I716" s="18"/>
    </row>
    <row r="717" spans="1:9" s="11" customFormat="1" ht="105">
      <c r="A717" s="4">
        <v>43557.144768518519</v>
      </c>
      <c r="B717" s="5" t="s">
        <v>15589</v>
      </c>
      <c r="C717" s="6" t="s">
        <v>12637</v>
      </c>
      <c r="D717" s="7" t="s">
        <v>12638</v>
      </c>
      <c r="E717" s="8" t="s">
        <v>13006</v>
      </c>
      <c r="F717" s="4">
        <v>40337.27920138889</v>
      </c>
      <c r="G717" s="9" t="s">
        <v>171</v>
      </c>
      <c r="H717" s="35" t="s">
        <v>12639</v>
      </c>
      <c r="I717" s="10" t="s">
        <v>12640</v>
      </c>
    </row>
    <row r="718" spans="1:9" s="11" customFormat="1" ht="105">
      <c r="A718" s="4">
        <v>43557.144629629634</v>
      </c>
      <c r="B718" s="5" t="s">
        <v>15589</v>
      </c>
      <c r="C718" s="6" t="s">
        <v>12637</v>
      </c>
      <c r="D718" s="7" t="s">
        <v>12641</v>
      </c>
      <c r="E718" s="8" t="s">
        <v>13009</v>
      </c>
      <c r="F718" s="4">
        <v>40337.27920138889</v>
      </c>
      <c r="G718" s="9" t="s">
        <v>171</v>
      </c>
      <c r="H718" s="35" t="s">
        <v>12639</v>
      </c>
      <c r="I718" s="10" t="s">
        <v>12640</v>
      </c>
    </row>
    <row r="719" spans="1:9" s="11" customFormat="1" ht="75">
      <c r="A719" s="19">
        <v>43546.659687499996</v>
      </c>
      <c r="B719" s="20" t="s">
        <v>15590</v>
      </c>
      <c r="C719" s="21" t="s">
        <v>8769</v>
      </c>
      <c r="D719" s="22" t="s">
        <v>8770</v>
      </c>
      <c r="E719" s="23" t="s">
        <v>13032</v>
      </c>
      <c r="F719" s="19">
        <v>40461.415196759262</v>
      </c>
      <c r="G719" s="17" t="s">
        <v>171</v>
      </c>
      <c r="H719" s="35" t="s">
        <v>3419</v>
      </c>
      <c r="I719" s="25" t="s">
        <v>8771</v>
      </c>
    </row>
    <row r="720" spans="1:9" s="11" customFormat="1" ht="120">
      <c r="A720" s="4">
        <v>43565.179236111115</v>
      </c>
      <c r="B720" s="5" t="s">
        <v>15591</v>
      </c>
      <c r="C720" s="6" t="s">
        <v>3417</v>
      </c>
      <c r="D720" s="7" t="s">
        <v>6255</v>
      </c>
      <c r="E720" s="8" t="s">
        <v>13282</v>
      </c>
      <c r="F720" s="4">
        <v>41365.085717592592</v>
      </c>
      <c r="G720" s="17" t="s">
        <v>171</v>
      </c>
      <c r="H720" s="35" t="s">
        <v>3419</v>
      </c>
      <c r="I720" s="10" t="s">
        <v>3420</v>
      </c>
    </row>
    <row r="721" spans="1:9" s="11" customFormat="1" ht="120">
      <c r="A721" s="4">
        <v>43563.283368055556</v>
      </c>
      <c r="B721" s="5" t="s">
        <v>15591</v>
      </c>
      <c r="C721" s="6" t="s">
        <v>3417</v>
      </c>
      <c r="D721" s="7" t="s">
        <v>10410</v>
      </c>
      <c r="E721" s="8" t="s">
        <v>13282</v>
      </c>
      <c r="F721" s="4">
        <v>41365.085717592592</v>
      </c>
      <c r="G721" s="17" t="s">
        <v>171</v>
      </c>
      <c r="H721" s="35" t="s">
        <v>3419</v>
      </c>
      <c r="I721" s="10" t="s">
        <v>3420</v>
      </c>
    </row>
    <row r="722" spans="1:9" s="11" customFormat="1" ht="120">
      <c r="A722" s="4">
        <v>43563.108356481476</v>
      </c>
      <c r="B722" s="5" t="s">
        <v>15591</v>
      </c>
      <c r="C722" s="6" t="s">
        <v>3417</v>
      </c>
      <c r="D722" s="7" t="s">
        <v>10458</v>
      </c>
      <c r="E722" s="8" t="s">
        <v>13282</v>
      </c>
      <c r="F722" s="4">
        <v>41365.085717592592</v>
      </c>
      <c r="G722" s="17" t="s">
        <v>171</v>
      </c>
      <c r="H722" s="35" t="s">
        <v>3419</v>
      </c>
      <c r="I722" s="10" t="s">
        <v>3420</v>
      </c>
    </row>
    <row r="723" spans="1:9" s="11" customFormat="1" ht="120">
      <c r="A723" s="4">
        <v>43559.401423611111</v>
      </c>
      <c r="B723" s="5" t="s">
        <v>15591</v>
      </c>
      <c r="C723" s="6" t="s">
        <v>3417</v>
      </c>
      <c r="D723" s="7" t="s">
        <v>11851</v>
      </c>
      <c r="E723" s="8" t="s">
        <v>13282</v>
      </c>
      <c r="F723" s="4">
        <v>41365.085717592592</v>
      </c>
      <c r="G723" s="17" t="s">
        <v>171</v>
      </c>
      <c r="H723" s="35" t="s">
        <v>3419</v>
      </c>
      <c r="I723" s="10" t="s">
        <v>3420</v>
      </c>
    </row>
    <row r="724" spans="1:9" s="11" customFormat="1" ht="120">
      <c r="A724" s="4">
        <v>43558.41951388889</v>
      </c>
      <c r="B724" s="5" t="s">
        <v>15591</v>
      </c>
      <c r="C724" s="6" t="s">
        <v>3417</v>
      </c>
      <c r="D724" s="7" t="s">
        <v>12202</v>
      </c>
      <c r="E724" s="8" t="s">
        <v>13282</v>
      </c>
      <c r="F724" s="4">
        <v>41365.085717592592</v>
      </c>
      <c r="G724" s="17" t="s">
        <v>171</v>
      </c>
      <c r="H724" s="35" t="s">
        <v>3419</v>
      </c>
      <c r="I724" s="10" t="s">
        <v>3420</v>
      </c>
    </row>
    <row r="725" spans="1:9" s="11" customFormat="1" ht="120">
      <c r="A725" s="12">
        <v>43572.12363425926</v>
      </c>
      <c r="B725" s="13" t="s">
        <v>15591</v>
      </c>
      <c r="C725" s="14" t="s">
        <v>3417</v>
      </c>
      <c r="D725" s="15" t="s">
        <v>3418</v>
      </c>
      <c r="E725" s="16" t="s">
        <v>13282</v>
      </c>
      <c r="F725" s="12">
        <v>41365.085717592592</v>
      </c>
      <c r="G725" s="17" t="s">
        <v>171</v>
      </c>
      <c r="H725" s="35" t="s">
        <v>3419</v>
      </c>
      <c r="I725" s="18" t="s">
        <v>3420</v>
      </c>
    </row>
    <row r="726" spans="1:9" s="11" customFormat="1" ht="120">
      <c r="A726" s="12">
        <v>43570.184062500004</v>
      </c>
      <c r="B726" s="13" t="s">
        <v>15591</v>
      </c>
      <c r="C726" s="14" t="s">
        <v>3417</v>
      </c>
      <c r="D726" s="15" t="s">
        <v>4304</v>
      </c>
      <c r="E726" s="16" t="s">
        <v>13282</v>
      </c>
      <c r="F726" s="12">
        <v>41365.085717592592</v>
      </c>
      <c r="G726" s="17" t="s">
        <v>171</v>
      </c>
      <c r="H726" s="35" t="s">
        <v>3419</v>
      </c>
      <c r="I726" s="18" t="s">
        <v>3420</v>
      </c>
    </row>
    <row r="727" spans="1:9" s="11" customFormat="1" ht="75">
      <c r="A727" s="19">
        <v>43551.334513888884</v>
      </c>
      <c r="B727" s="20" t="s">
        <v>15592</v>
      </c>
      <c r="C727" s="21" t="s">
        <v>7307</v>
      </c>
      <c r="D727" s="22" t="s">
        <v>7308</v>
      </c>
      <c r="E727" s="23" t="s">
        <v>15593</v>
      </c>
      <c r="F727" s="19">
        <v>41566.448587962965</v>
      </c>
      <c r="G727" s="24" t="s">
        <v>171</v>
      </c>
      <c r="H727" s="35" t="s">
        <v>7309</v>
      </c>
      <c r="I727" s="25" t="s">
        <v>7310</v>
      </c>
    </row>
    <row r="728" spans="1:9" s="11" customFormat="1" ht="105">
      <c r="A728" s="12">
        <v>43566.275000000001</v>
      </c>
      <c r="B728" s="13" t="s">
        <v>15594</v>
      </c>
      <c r="C728" s="14" t="s">
        <v>5695</v>
      </c>
      <c r="D728" s="15" t="s">
        <v>5696</v>
      </c>
      <c r="E728" s="16" t="s">
        <v>13032</v>
      </c>
      <c r="F728" s="12">
        <v>42582.293865740736</v>
      </c>
      <c r="G728" s="17" t="s">
        <v>171</v>
      </c>
      <c r="H728" s="35" t="s">
        <v>5697</v>
      </c>
      <c r="I728" s="18" t="s">
        <v>5698</v>
      </c>
    </row>
    <row r="729" spans="1:9" s="11" customFormat="1" ht="75">
      <c r="A729" s="19">
        <v>43550.110231481478</v>
      </c>
      <c r="B729" s="20" t="s">
        <v>15595</v>
      </c>
      <c r="C729" s="21" t="s">
        <v>7826</v>
      </c>
      <c r="D729" s="22" t="s">
        <v>7827</v>
      </c>
      <c r="E729" s="23" t="s">
        <v>13011</v>
      </c>
      <c r="F729" s="19">
        <v>40569.081296296295</v>
      </c>
      <c r="G729" s="17" t="s">
        <v>171</v>
      </c>
      <c r="H729" s="35" t="s">
        <v>3212</v>
      </c>
      <c r="I729" s="25" t="s">
        <v>7828</v>
      </c>
    </row>
    <row r="730" spans="1:9" s="11" customFormat="1" ht="105">
      <c r="A730" s="19">
        <v>43543.010752314818</v>
      </c>
      <c r="B730" s="20" t="s">
        <v>15596</v>
      </c>
      <c r="C730" s="21" t="s">
        <v>9962</v>
      </c>
      <c r="D730" s="22" t="s">
        <v>9963</v>
      </c>
      <c r="E730" s="23" t="s">
        <v>13013</v>
      </c>
      <c r="F730" s="19">
        <v>40688.440127314811</v>
      </c>
      <c r="G730" s="17" t="s">
        <v>171</v>
      </c>
      <c r="H730" s="35" t="s">
        <v>3212</v>
      </c>
      <c r="I730" s="25" t="s">
        <v>9964</v>
      </c>
    </row>
    <row r="731" spans="1:9" s="11" customFormat="1" ht="75">
      <c r="A731" s="4">
        <v>43563.592986111107</v>
      </c>
      <c r="B731" s="5" t="s">
        <v>15597</v>
      </c>
      <c r="C731" s="6" t="s">
        <v>6953</v>
      </c>
      <c r="D731" s="7" t="s">
        <v>6954</v>
      </c>
      <c r="E731" s="8" t="s">
        <v>13130</v>
      </c>
      <c r="F731" s="4">
        <v>41038.679270833338</v>
      </c>
      <c r="G731" s="17" t="s">
        <v>171</v>
      </c>
      <c r="H731" s="35" t="s">
        <v>3212</v>
      </c>
      <c r="I731" s="10" t="s">
        <v>6955</v>
      </c>
    </row>
    <row r="732" spans="1:9" s="11" customFormat="1" ht="105">
      <c r="A732" s="4">
        <v>43563.539201388892</v>
      </c>
      <c r="B732" s="5" t="s">
        <v>15598</v>
      </c>
      <c r="C732" s="6" t="s">
        <v>5269</v>
      </c>
      <c r="D732" s="32" t="s">
        <v>10243</v>
      </c>
      <c r="E732" s="8" t="s">
        <v>13011</v>
      </c>
      <c r="F732" s="4">
        <v>41970.323229166665</v>
      </c>
      <c r="G732" s="17" t="s">
        <v>171</v>
      </c>
      <c r="H732" s="35" t="s">
        <v>3212</v>
      </c>
      <c r="I732" s="10" t="s">
        <v>5271</v>
      </c>
    </row>
    <row r="733" spans="1:9" s="11" customFormat="1" ht="30">
      <c r="A733" s="4">
        <v>43561.598668981482</v>
      </c>
      <c r="B733" s="5" t="s">
        <v>15599</v>
      </c>
      <c r="C733" s="6" t="s">
        <v>10909</v>
      </c>
      <c r="D733" s="7" t="s">
        <v>10910</v>
      </c>
      <c r="E733" s="8" t="s">
        <v>13013</v>
      </c>
      <c r="F733" s="4">
        <v>42680.194988425923</v>
      </c>
      <c r="G733" s="17" t="s">
        <v>171</v>
      </c>
      <c r="H733" s="35" t="s">
        <v>3212</v>
      </c>
      <c r="I733" s="10" t="s">
        <v>10911</v>
      </c>
    </row>
    <row r="734" spans="1:9" s="11" customFormat="1" ht="120">
      <c r="A734" s="4">
        <v>43560.614594907413</v>
      </c>
      <c r="B734" s="5" t="s">
        <v>15600</v>
      </c>
      <c r="C734" s="6" t="s">
        <v>5231</v>
      </c>
      <c r="D734" s="7" t="s">
        <v>11254</v>
      </c>
      <c r="E734" s="8" t="s">
        <v>13411</v>
      </c>
      <c r="F734" s="4">
        <v>39875.382418981484</v>
      </c>
      <c r="G734" s="17" t="s">
        <v>171</v>
      </c>
      <c r="H734" s="35" t="s">
        <v>3212</v>
      </c>
      <c r="I734" s="10" t="s">
        <v>5233</v>
      </c>
    </row>
    <row r="735" spans="1:9" s="11" customFormat="1" ht="45">
      <c r="A735" s="4">
        <v>43560.426886574074</v>
      </c>
      <c r="B735" s="5" t="s">
        <v>15601</v>
      </c>
      <c r="C735" s="6" t="s">
        <v>11386</v>
      </c>
      <c r="D735" s="7" t="s">
        <v>11387</v>
      </c>
      <c r="E735" s="8" t="s">
        <v>13013</v>
      </c>
      <c r="F735" s="4">
        <v>42686.56894675926</v>
      </c>
      <c r="G735" s="17" t="s">
        <v>171</v>
      </c>
      <c r="H735" s="35" t="s">
        <v>3212</v>
      </c>
      <c r="I735" s="10" t="s">
        <v>11388</v>
      </c>
    </row>
    <row r="736" spans="1:9" s="11" customFormat="1" ht="105">
      <c r="A736" s="4">
        <v>43560.228761574079</v>
      </c>
      <c r="B736" s="5" t="s">
        <v>15598</v>
      </c>
      <c r="C736" s="6" t="s">
        <v>5269</v>
      </c>
      <c r="D736" s="7" t="s">
        <v>11551</v>
      </c>
      <c r="E736" s="8" t="s">
        <v>13011</v>
      </c>
      <c r="F736" s="4">
        <v>41970.323229166665</v>
      </c>
      <c r="G736" s="17" t="s">
        <v>171</v>
      </c>
      <c r="H736" s="35" t="s">
        <v>3212</v>
      </c>
      <c r="I736" s="10" t="s">
        <v>5271</v>
      </c>
    </row>
    <row r="737" spans="1:9" s="11" customFormat="1" ht="90">
      <c r="A737" s="4">
        <v>43560.224305555559</v>
      </c>
      <c r="B737" s="5" t="s">
        <v>15602</v>
      </c>
      <c r="C737" s="6" t="s">
        <v>11556</v>
      </c>
      <c r="D737" s="7" t="s">
        <v>11557</v>
      </c>
      <c r="E737" s="8" t="s">
        <v>13009</v>
      </c>
      <c r="F737" s="4">
        <v>40964.356539351851</v>
      </c>
      <c r="G737" s="17" t="s">
        <v>171</v>
      </c>
      <c r="H737" s="35" t="s">
        <v>3212</v>
      </c>
      <c r="I737" s="10" t="s">
        <v>11558</v>
      </c>
    </row>
    <row r="738" spans="1:9" s="11" customFormat="1" ht="120">
      <c r="A738" s="4">
        <v>43560.153831018513</v>
      </c>
      <c r="B738" s="5" t="s">
        <v>15600</v>
      </c>
      <c r="C738" s="6" t="s">
        <v>5231</v>
      </c>
      <c r="D738" s="7" t="s">
        <v>11588</v>
      </c>
      <c r="E738" s="8" t="s">
        <v>13411</v>
      </c>
      <c r="F738" s="4">
        <v>39875.382418981484</v>
      </c>
      <c r="G738" s="17" t="s">
        <v>171</v>
      </c>
      <c r="H738" s="35" t="s">
        <v>3212</v>
      </c>
      <c r="I738" s="10" t="s">
        <v>5233</v>
      </c>
    </row>
    <row r="739" spans="1:9" s="11" customFormat="1" ht="105">
      <c r="A739" s="4">
        <v>43560.058657407411</v>
      </c>
      <c r="B739" s="5" t="s">
        <v>15598</v>
      </c>
      <c r="C739" s="6" t="s">
        <v>5269</v>
      </c>
      <c r="D739" s="7" t="s">
        <v>11622</v>
      </c>
      <c r="E739" s="8" t="s">
        <v>13011</v>
      </c>
      <c r="F739" s="4">
        <v>41970.323229166665</v>
      </c>
      <c r="G739" s="17" t="s">
        <v>171</v>
      </c>
      <c r="H739" s="35" t="s">
        <v>3212</v>
      </c>
      <c r="I739" s="10" t="s">
        <v>5271</v>
      </c>
    </row>
    <row r="740" spans="1:9" s="11" customFormat="1" ht="105">
      <c r="A740" s="4">
        <v>43560.053993055553</v>
      </c>
      <c r="B740" s="5" t="s">
        <v>15598</v>
      </c>
      <c r="C740" s="6" t="s">
        <v>5269</v>
      </c>
      <c r="D740" s="7" t="s">
        <v>11628</v>
      </c>
      <c r="E740" s="8" t="s">
        <v>13011</v>
      </c>
      <c r="F740" s="4">
        <v>41970.323229166665</v>
      </c>
      <c r="G740" s="17" t="s">
        <v>171</v>
      </c>
      <c r="H740" s="35" t="s">
        <v>3212</v>
      </c>
      <c r="I740" s="10" t="s">
        <v>5271</v>
      </c>
    </row>
    <row r="741" spans="1:9" s="11" customFormat="1" ht="120">
      <c r="A741" s="4">
        <v>43559.379675925928</v>
      </c>
      <c r="B741" s="5" t="s">
        <v>15603</v>
      </c>
      <c r="C741" s="6" t="s">
        <v>11861</v>
      </c>
      <c r="D741" s="7" t="s">
        <v>11862</v>
      </c>
      <c r="E741" s="8" t="s">
        <v>13011</v>
      </c>
      <c r="F741" s="4">
        <v>43204.512881944444</v>
      </c>
      <c r="G741" s="17" t="s">
        <v>171</v>
      </c>
      <c r="H741" s="35" t="s">
        <v>3212</v>
      </c>
      <c r="I741" s="10" t="s">
        <v>11863</v>
      </c>
    </row>
    <row r="742" spans="1:9" s="11" customFormat="1" ht="120">
      <c r="A742" s="12">
        <v>43572.502696759257</v>
      </c>
      <c r="B742" s="13" t="s">
        <v>15604</v>
      </c>
      <c r="C742" s="14" t="s">
        <v>3210</v>
      </c>
      <c r="D742" s="15" t="s">
        <v>3211</v>
      </c>
      <c r="E742" s="16" t="s">
        <v>13009</v>
      </c>
      <c r="F742" s="12">
        <v>40160.308206018519</v>
      </c>
      <c r="G742" s="17" t="s">
        <v>171</v>
      </c>
      <c r="H742" s="35" t="s">
        <v>3212</v>
      </c>
      <c r="I742" s="18" t="s">
        <v>3213</v>
      </c>
    </row>
    <row r="743" spans="1:9" s="11" customFormat="1" ht="75">
      <c r="A743" s="12">
        <v>43572.102083333331</v>
      </c>
      <c r="B743" s="13" t="s">
        <v>15605</v>
      </c>
      <c r="C743" s="14" t="s">
        <v>3426</v>
      </c>
      <c r="D743" s="15" t="s">
        <v>3427</v>
      </c>
      <c r="E743" s="16" t="s">
        <v>13349</v>
      </c>
      <c r="F743" s="12">
        <v>42824.138715277775</v>
      </c>
      <c r="G743" s="17" t="s">
        <v>171</v>
      </c>
      <c r="H743" s="35" t="s">
        <v>3212</v>
      </c>
      <c r="I743" s="18" t="s">
        <v>3428</v>
      </c>
    </row>
    <row r="744" spans="1:9" s="11" customFormat="1" ht="120">
      <c r="A744" s="12">
        <v>43567.120266203703</v>
      </c>
      <c r="B744" s="13" t="s">
        <v>15600</v>
      </c>
      <c r="C744" s="14" t="s">
        <v>5231</v>
      </c>
      <c r="D744" s="15" t="s">
        <v>5232</v>
      </c>
      <c r="E744" s="16" t="s">
        <v>13411</v>
      </c>
      <c r="F744" s="12">
        <v>39875.382418981484</v>
      </c>
      <c r="G744" s="17" t="s">
        <v>171</v>
      </c>
      <c r="H744" s="35" t="s">
        <v>3212</v>
      </c>
      <c r="I744" s="18" t="s">
        <v>5233</v>
      </c>
    </row>
    <row r="745" spans="1:9" s="11" customFormat="1" ht="105">
      <c r="A745" s="12">
        <v>43567.022581018522</v>
      </c>
      <c r="B745" s="13" t="s">
        <v>15598</v>
      </c>
      <c r="C745" s="14" t="s">
        <v>5269</v>
      </c>
      <c r="D745" s="15" t="s">
        <v>5270</v>
      </c>
      <c r="E745" s="16" t="s">
        <v>13011</v>
      </c>
      <c r="F745" s="12">
        <v>41970.323229166665</v>
      </c>
      <c r="G745" s="17" t="s">
        <v>171</v>
      </c>
      <c r="H745" s="35" t="s">
        <v>3212</v>
      </c>
      <c r="I745" s="18" t="s">
        <v>5271</v>
      </c>
    </row>
    <row r="746" spans="1:9" s="11" customFormat="1" ht="105">
      <c r="A746" s="12">
        <v>43566.136354166665</v>
      </c>
      <c r="B746" s="13" t="s">
        <v>15606</v>
      </c>
      <c r="C746" s="14" t="s">
        <v>5769</v>
      </c>
      <c r="D746" s="15" t="s">
        <v>5656</v>
      </c>
      <c r="E746" s="16" t="s">
        <v>13009</v>
      </c>
      <c r="F746" s="12">
        <v>41599.253877314812</v>
      </c>
      <c r="G746" s="17" t="s">
        <v>171</v>
      </c>
      <c r="H746" s="35" t="s">
        <v>3212</v>
      </c>
      <c r="I746" s="18" t="s">
        <v>5770</v>
      </c>
    </row>
    <row r="747" spans="1:9" s="11" customFormat="1" ht="45">
      <c r="A747" s="12">
        <v>43572.327060185184</v>
      </c>
      <c r="B747" s="13" t="s">
        <v>15607</v>
      </c>
      <c r="C747" s="14" t="s">
        <v>3329</v>
      </c>
      <c r="D747" s="15" t="s">
        <v>3330</v>
      </c>
      <c r="E747" s="16" t="s">
        <v>13011</v>
      </c>
      <c r="F747" s="12">
        <v>39149.258020833331</v>
      </c>
      <c r="G747" s="17" t="s">
        <v>171</v>
      </c>
      <c r="H747" s="35" t="s">
        <v>3331</v>
      </c>
      <c r="I747" s="18" t="s">
        <v>3332</v>
      </c>
    </row>
    <row r="748" spans="1:9" s="11" customFormat="1" ht="105">
      <c r="A748" s="4">
        <v>43557.293263888889</v>
      </c>
      <c r="B748" s="5" t="s">
        <v>15608</v>
      </c>
      <c r="C748" s="6" t="s">
        <v>12577</v>
      </c>
      <c r="D748" s="7" t="s">
        <v>12966</v>
      </c>
      <c r="E748" s="8" t="s">
        <v>13015</v>
      </c>
      <c r="F748" s="4">
        <v>39889.755694444444</v>
      </c>
      <c r="G748" s="17" t="s">
        <v>171</v>
      </c>
      <c r="H748" s="35" t="s">
        <v>12578</v>
      </c>
      <c r="I748" s="10" t="s">
        <v>12579</v>
      </c>
    </row>
    <row r="749" spans="1:9" s="11" customFormat="1" ht="105">
      <c r="A749" s="12">
        <v>43577.425150462965</v>
      </c>
      <c r="B749" s="13" t="s">
        <v>15609</v>
      </c>
      <c r="C749" s="14" t="s">
        <v>1640</v>
      </c>
      <c r="D749" s="15" t="s">
        <v>12807</v>
      </c>
      <c r="E749" s="16" t="s">
        <v>13011</v>
      </c>
      <c r="F749" s="12">
        <v>41469.016423611109</v>
      </c>
      <c r="G749" s="17" t="s">
        <v>171</v>
      </c>
      <c r="H749" s="35" t="s">
        <v>12808</v>
      </c>
      <c r="I749" s="18" t="s">
        <v>1641</v>
      </c>
    </row>
    <row r="750" spans="1:9" s="11" customFormat="1" ht="90">
      <c r="A750" s="12">
        <v>43579.49998842593</v>
      </c>
      <c r="B750" s="13" t="s">
        <v>15610</v>
      </c>
      <c r="C750" s="14" t="s">
        <v>617</v>
      </c>
      <c r="D750" s="15" t="s">
        <v>618</v>
      </c>
      <c r="E750" s="16" t="s">
        <v>13443</v>
      </c>
      <c r="F750" s="12">
        <v>41017.617893518516</v>
      </c>
      <c r="G750" s="17" t="s">
        <v>171</v>
      </c>
      <c r="H750" s="35" t="s">
        <v>619</v>
      </c>
      <c r="I750" s="18" t="s">
        <v>620</v>
      </c>
    </row>
    <row r="751" spans="1:9" s="11" customFormat="1" ht="45">
      <c r="A751" s="12">
        <v>43574.561041666668</v>
      </c>
      <c r="B751" s="13" t="s">
        <v>15611</v>
      </c>
      <c r="C751" s="14" t="s">
        <v>2514</v>
      </c>
      <c r="D751" s="15" t="s">
        <v>2515</v>
      </c>
      <c r="E751" s="16" t="s">
        <v>13032</v>
      </c>
      <c r="F751" s="12">
        <v>40240.230810185181</v>
      </c>
      <c r="G751" s="17" t="s">
        <v>171</v>
      </c>
      <c r="H751" s="35" t="s">
        <v>2516</v>
      </c>
      <c r="I751" s="18" t="s">
        <v>2517</v>
      </c>
    </row>
    <row r="752" spans="1:9" s="11" customFormat="1" ht="45">
      <c r="A752" s="12">
        <v>43575.088344907403</v>
      </c>
      <c r="B752" s="13" t="s">
        <v>15612</v>
      </c>
      <c r="C752" s="14" t="s">
        <v>2368</v>
      </c>
      <c r="D752" s="15" t="s">
        <v>2369</v>
      </c>
      <c r="E752" s="16" t="s">
        <v>13011</v>
      </c>
      <c r="F752" s="12">
        <v>40954.117291666669</v>
      </c>
      <c r="G752" s="17" t="s">
        <v>171</v>
      </c>
      <c r="H752" s="35" t="s">
        <v>2370</v>
      </c>
      <c r="I752" s="18" t="s">
        <v>2371</v>
      </c>
    </row>
    <row r="753" spans="1:9" s="11" customFormat="1" ht="120">
      <c r="A753" s="12">
        <v>43575.105347222227</v>
      </c>
      <c r="B753" s="13" t="s">
        <v>15613</v>
      </c>
      <c r="C753" s="14" t="s">
        <v>2359</v>
      </c>
      <c r="D753" s="15" t="s">
        <v>2360</v>
      </c>
      <c r="E753" s="16" t="s">
        <v>13011</v>
      </c>
      <c r="F753" s="12">
        <v>40769.592407407406</v>
      </c>
      <c r="G753" s="17" t="s">
        <v>171</v>
      </c>
      <c r="H753" s="35" t="s">
        <v>2361</v>
      </c>
      <c r="I753" s="18" t="s">
        <v>2362</v>
      </c>
    </row>
    <row r="754" spans="1:9" s="11" customFormat="1" ht="60">
      <c r="A754" s="19">
        <v>43551.009722222225</v>
      </c>
      <c r="B754" s="20" t="s">
        <v>15614</v>
      </c>
      <c r="C754" s="21" t="s">
        <v>1765</v>
      </c>
      <c r="D754" s="22" t="s">
        <v>7453</v>
      </c>
      <c r="E754" s="23" t="s">
        <v>13018</v>
      </c>
      <c r="F754" s="19">
        <v>41626.99759259259</v>
      </c>
      <c r="G754" s="17" t="s">
        <v>171</v>
      </c>
      <c r="H754" s="35" t="s">
        <v>1767</v>
      </c>
      <c r="I754" s="25" t="s">
        <v>1768</v>
      </c>
    </row>
    <row r="755" spans="1:9" s="11" customFormat="1" ht="60">
      <c r="A755" s="4">
        <v>43565.085520833338</v>
      </c>
      <c r="B755" s="5" t="s">
        <v>15614</v>
      </c>
      <c r="C755" s="6" t="s">
        <v>1765</v>
      </c>
      <c r="D755" s="7" t="s">
        <v>6294</v>
      </c>
      <c r="E755" s="8" t="s">
        <v>13018</v>
      </c>
      <c r="F755" s="4">
        <v>41626.99759259259</v>
      </c>
      <c r="G755" s="17" t="s">
        <v>171</v>
      </c>
      <c r="H755" s="35" t="s">
        <v>1767</v>
      </c>
      <c r="I755" s="10" t="s">
        <v>1768</v>
      </c>
    </row>
    <row r="756" spans="1:9" s="11" customFormat="1" ht="60">
      <c r="A756" s="4">
        <v>43562.967407407406</v>
      </c>
      <c r="B756" s="5" t="s">
        <v>15614</v>
      </c>
      <c r="C756" s="6" t="s">
        <v>1765</v>
      </c>
      <c r="D756" s="7" t="s">
        <v>6294</v>
      </c>
      <c r="E756" s="8" t="s">
        <v>13018</v>
      </c>
      <c r="F756" s="4">
        <v>41626.99759259259</v>
      </c>
      <c r="G756" s="17" t="s">
        <v>171</v>
      </c>
      <c r="H756" s="35" t="s">
        <v>1767</v>
      </c>
      <c r="I756" s="10" t="s">
        <v>1768</v>
      </c>
    </row>
    <row r="757" spans="1:9" s="11" customFormat="1" ht="60">
      <c r="A757" s="4">
        <v>43558.022048611107</v>
      </c>
      <c r="B757" s="5" t="s">
        <v>15614</v>
      </c>
      <c r="C757" s="6" t="s">
        <v>1765</v>
      </c>
      <c r="D757" s="7" t="s">
        <v>7453</v>
      </c>
      <c r="E757" s="8" t="s">
        <v>13018</v>
      </c>
      <c r="F757" s="4">
        <v>41626.99759259259</v>
      </c>
      <c r="G757" s="17" t="s">
        <v>171</v>
      </c>
      <c r="H757" s="35" t="s">
        <v>1767</v>
      </c>
      <c r="I757" s="10" t="s">
        <v>1768</v>
      </c>
    </row>
    <row r="758" spans="1:9" s="11" customFormat="1" ht="60">
      <c r="A758" s="12">
        <v>43577.037407407406</v>
      </c>
      <c r="B758" s="13" t="s">
        <v>15614</v>
      </c>
      <c r="C758" s="14" t="s">
        <v>1765</v>
      </c>
      <c r="D758" s="15" t="s">
        <v>1766</v>
      </c>
      <c r="E758" s="16" t="s">
        <v>13018</v>
      </c>
      <c r="F758" s="12">
        <v>41626.99759259259</v>
      </c>
      <c r="G758" s="17" t="s">
        <v>171</v>
      </c>
      <c r="H758" s="35" t="s">
        <v>1767</v>
      </c>
      <c r="I758" s="18" t="s">
        <v>1768</v>
      </c>
    </row>
    <row r="759" spans="1:9" s="11" customFormat="1" ht="60">
      <c r="A759" s="12">
        <v>43570.103078703702</v>
      </c>
      <c r="B759" s="13" t="s">
        <v>15614</v>
      </c>
      <c r="C759" s="14" t="s">
        <v>1765</v>
      </c>
      <c r="D759" s="15" t="s">
        <v>4332</v>
      </c>
      <c r="E759" s="16" t="s">
        <v>13018</v>
      </c>
      <c r="F759" s="12">
        <v>41626.99759259259</v>
      </c>
      <c r="G759" s="17" t="s">
        <v>171</v>
      </c>
      <c r="H759" s="35" t="s">
        <v>1767</v>
      </c>
      <c r="I759" s="18" t="s">
        <v>1768</v>
      </c>
    </row>
    <row r="760" spans="1:9" s="11" customFormat="1" ht="60">
      <c r="A760" s="12">
        <v>43566.04524305556</v>
      </c>
      <c r="B760" s="13" t="s">
        <v>15614</v>
      </c>
      <c r="C760" s="14" t="s">
        <v>1765</v>
      </c>
      <c r="D760" s="15" t="s">
        <v>4332</v>
      </c>
      <c r="E760" s="16" t="s">
        <v>13018</v>
      </c>
      <c r="F760" s="12">
        <v>41626.99759259259</v>
      </c>
      <c r="G760" s="17" t="s">
        <v>171</v>
      </c>
      <c r="H760" s="35" t="s">
        <v>1767</v>
      </c>
      <c r="I760" s="18" t="s">
        <v>1768</v>
      </c>
    </row>
    <row r="761" spans="1:9" s="11" customFormat="1" ht="90">
      <c r="A761" s="12">
        <v>43566.247384259259</v>
      </c>
      <c r="B761" s="13" t="s">
        <v>15615</v>
      </c>
      <c r="C761" s="14" t="s">
        <v>5709</v>
      </c>
      <c r="D761" s="15" t="s">
        <v>5710</v>
      </c>
      <c r="E761" s="16" t="s">
        <v>13009</v>
      </c>
      <c r="F761" s="12">
        <v>42458.990983796291</v>
      </c>
      <c r="G761" s="17" t="s">
        <v>171</v>
      </c>
      <c r="H761" s="35" t="s">
        <v>5711</v>
      </c>
      <c r="I761" s="18" t="s">
        <v>5712</v>
      </c>
    </row>
    <row r="762" spans="1:9" s="11" customFormat="1" ht="105">
      <c r="A762" s="19">
        <v>43548.118564814809</v>
      </c>
      <c r="B762" s="20" t="s">
        <v>15616</v>
      </c>
      <c r="C762" s="21" t="s">
        <v>8406</v>
      </c>
      <c r="D762" s="22" t="s">
        <v>8407</v>
      </c>
      <c r="E762" s="23" t="s">
        <v>13006</v>
      </c>
      <c r="F762" s="19">
        <v>39926.251967592594</v>
      </c>
      <c r="G762" s="17" t="s">
        <v>171</v>
      </c>
      <c r="H762" s="35" t="s">
        <v>8408</v>
      </c>
      <c r="I762" s="25" t="s">
        <v>8409</v>
      </c>
    </row>
    <row r="763" spans="1:9" s="11" customFormat="1" ht="105">
      <c r="A763" s="19">
        <v>43548.118020833332</v>
      </c>
      <c r="B763" s="20" t="s">
        <v>15616</v>
      </c>
      <c r="C763" s="21" t="s">
        <v>8406</v>
      </c>
      <c r="D763" s="22" t="s">
        <v>8410</v>
      </c>
      <c r="E763" s="23" t="s">
        <v>13032</v>
      </c>
      <c r="F763" s="19">
        <v>39926.251967592594</v>
      </c>
      <c r="G763" s="17" t="s">
        <v>171</v>
      </c>
      <c r="H763" s="35" t="s">
        <v>8408</v>
      </c>
      <c r="I763" s="25" t="s">
        <v>8409</v>
      </c>
    </row>
    <row r="764" spans="1:9" s="11" customFormat="1" ht="60">
      <c r="A764" s="19">
        <v>43545.538530092592</v>
      </c>
      <c r="B764" s="20" t="s">
        <v>15617</v>
      </c>
      <c r="C764" s="21" t="s">
        <v>9101</v>
      </c>
      <c r="D764" s="22" t="s">
        <v>9102</v>
      </c>
      <c r="E764" s="23" t="s">
        <v>13009</v>
      </c>
      <c r="F764" s="19">
        <v>42900.100543981476</v>
      </c>
      <c r="G764" s="17" t="s">
        <v>171</v>
      </c>
      <c r="H764" s="35" t="s">
        <v>3299</v>
      </c>
      <c r="I764" s="29" t="s">
        <v>9103</v>
      </c>
    </row>
    <row r="765" spans="1:9" s="11" customFormat="1" ht="60">
      <c r="A765" s="19">
        <v>43545.537291666667</v>
      </c>
      <c r="B765" s="20" t="s">
        <v>15617</v>
      </c>
      <c r="C765" s="21" t="s">
        <v>9101</v>
      </c>
      <c r="D765" s="22" t="s">
        <v>9104</v>
      </c>
      <c r="E765" s="23" t="s">
        <v>13009</v>
      </c>
      <c r="F765" s="19">
        <v>42900.100543981476</v>
      </c>
      <c r="G765" s="17" t="s">
        <v>171</v>
      </c>
      <c r="H765" s="35" t="s">
        <v>3299</v>
      </c>
      <c r="I765" s="29" t="s">
        <v>9103</v>
      </c>
    </row>
    <row r="766" spans="1:9" s="11" customFormat="1" ht="60">
      <c r="A766" s="19">
        <v>43545.534629629634</v>
      </c>
      <c r="B766" s="20" t="s">
        <v>15617</v>
      </c>
      <c r="C766" s="21" t="s">
        <v>9101</v>
      </c>
      <c r="D766" s="22" t="s">
        <v>9105</v>
      </c>
      <c r="E766" s="23" t="s">
        <v>13009</v>
      </c>
      <c r="F766" s="19">
        <v>42900.100543981476</v>
      </c>
      <c r="G766" s="17" t="s">
        <v>171</v>
      </c>
      <c r="H766" s="35" t="s">
        <v>3299</v>
      </c>
      <c r="I766" s="29" t="s">
        <v>9103</v>
      </c>
    </row>
    <row r="767" spans="1:9" s="11" customFormat="1" ht="105">
      <c r="A767" s="12">
        <v>43572.360451388886</v>
      </c>
      <c r="B767" s="13" t="s">
        <v>15618</v>
      </c>
      <c r="C767" s="14" t="s">
        <v>3297</v>
      </c>
      <c r="D767" s="15" t="s">
        <v>3298</v>
      </c>
      <c r="E767" s="16" t="s">
        <v>13032</v>
      </c>
      <c r="F767" s="12">
        <v>42905.338703703703</v>
      </c>
      <c r="G767" s="17" t="s">
        <v>171</v>
      </c>
      <c r="H767" s="35" t="s">
        <v>3299</v>
      </c>
      <c r="I767" s="18" t="s">
        <v>3300</v>
      </c>
    </row>
    <row r="768" spans="1:9" s="11" customFormat="1" ht="75">
      <c r="A768" s="12">
        <v>43571.947476851856</v>
      </c>
      <c r="B768" s="13" t="s">
        <v>15619</v>
      </c>
      <c r="C768" s="14" t="s">
        <v>3487</v>
      </c>
      <c r="D768" s="15" t="s">
        <v>3488</v>
      </c>
      <c r="E768" s="16" t="s">
        <v>13009</v>
      </c>
      <c r="F768" s="12">
        <v>39757.376168981486</v>
      </c>
      <c r="G768" s="17" t="s">
        <v>171</v>
      </c>
      <c r="H768" s="35" t="s">
        <v>3299</v>
      </c>
      <c r="I768" s="18" t="s">
        <v>3489</v>
      </c>
    </row>
    <row r="769" spans="1:9" s="11" customFormat="1" ht="60">
      <c r="A769" s="12">
        <v>43575.446736111116</v>
      </c>
      <c r="B769" s="13" t="s">
        <v>15620</v>
      </c>
      <c r="C769" s="14" t="s">
        <v>2217</v>
      </c>
      <c r="D769" s="15" t="s">
        <v>2218</v>
      </c>
      <c r="E769" s="16" t="s">
        <v>13009</v>
      </c>
      <c r="F769" s="12">
        <v>39740.672083333331</v>
      </c>
      <c r="G769" s="17" t="s">
        <v>171</v>
      </c>
      <c r="H769" s="35" t="s">
        <v>2219</v>
      </c>
      <c r="I769" s="18" t="s">
        <v>2220</v>
      </c>
    </row>
    <row r="770" spans="1:9" s="11" customFormat="1" ht="150">
      <c r="A770" s="19">
        <v>43551.695775462962</v>
      </c>
      <c r="B770" s="20" t="s">
        <v>15621</v>
      </c>
      <c r="C770" s="21" t="s">
        <v>7042</v>
      </c>
      <c r="D770" s="22" t="s">
        <v>7043</v>
      </c>
      <c r="E770" s="23" t="s">
        <v>13011</v>
      </c>
      <c r="F770" s="19">
        <v>41246.650254629625</v>
      </c>
      <c r="G770" s="24" t="s">
        <v>171</v>
      </c>
      <c r="H770" s="35" t="s">
        <v>7044</v>
      </c>
      <c r="I770" s="25" t="s">
        <v>7045</v>
      </c>
    </row>
    <row r="771" spans="1:9" s="11" customFormat="1" ht="75">
      <c r="A771" s="19">
        <v>43551.12232638889</v>
      </c>
      <c r="B771" s="20" t="s">
        <v>15622</v>
      </c>
      <c r="C771" s="21" t="s">
        <v>324</v>
      </c>
      <c r="D771" s="22" t="s">
        <v>7435</v>
      </c>
      <c r="E771" s="23" t="s">
        <v>13009</v>
      </c>
      <c r="F771" s="19">
        <v>43035.203402777777</v>
      </c>
      <c r="G771" s="9" t="s">
        <v>171</v>
      </c>
      <c r="H771" s="35" t="s">
        <v>326</v>
      </c>
      <c r="I771" s="25" t="s">
        <v>327</v>
      </c>
    </row>
    <row r="772" spans="1:9" s="11" customFormat="1" ht="75">
      <c r="A772" s="19">
        <v>43550.979594907403</v>
      </c>
      <c r="B772" s="20" t="s">
        <v>15622</v>
      </c>
      <c r="C772" s="21" t="s">
        <v>324</v>
      </c>
      <c r="D772" s="22" t="s">
        <v>7468</v>
      </c>
      <c r="E772" s="23" t="s">
        <v>13009</v>
      </c>
      <c r="F772" s="19">
        <v>43035.203402777777</v>
      </c>
      <c r="G772" s="9" t="s">
        <v>171</v>
      </c>
      <c r="H772" s="35" t="s">
        <v>326</v>
      </c>
      <c r="I772" s="25" t="s">
        <v>327</v>
      </c>
    </row>
    <row r="773" spans="1:9" s="11" customFormat="1" ht="75">
      <c r="A773" s="19">
        <v>43550.153368055559</v>
      </c>
      <c r="B773" s="20" t="s">
        <v>15622</v>
      </c>
      <c r="C773" s="21" t="s">
        <v>324</v>
      </c>
      <c r="D773" s="22" t="s">
        <v>7814</v>
      </c>
      <c r="E773" s="23" t="s">
        <v>13009</v>
      </c>
      <c r="F773" s="19">
        <v>43035.203402777777</v>
      </c>
      <c r="G773" s="9" t="s">
        <v>171</v>
      </c>
      <c r="H773" s="35" t="s">
        <v>326</v>
      </c>
      <c r="I773" s="25" t="s">
        <v>327</v>
      </c>
    </row>
    <row r="774" spans="1:9" s="11" customFormat="1" ht="75">
      <c r="A774" s="19">
        <v>43549.974525462967</v>
      </c>
      <c r="B774" s="20" t="s">
        <v>15622</v>
      </c>
      <c r="C774" s="21" t="s">
        <v>324</v>
      </c>
      <c r="D774" s="22" t="s">
        <v>7865</v>
      </c>
      <c r="E774" s="23" t="s">
        <v>13009</v>
      </c>
      <c r="F774" s="19">
        <v>43035.203402777777</v>
      </c>
      <c r="G774" s="9" t="s">
        <v>171</v>
      </c>
      <c r="H774" s="35" t="s">
        <v>326</v>
      </c>
      <c r="I774" s="25" t="s">
        <v>327</v>
      </c>
    </row>
    <row r="775" spans="1:9" s="11" customFormat="1" ht="75">
      <c r="A775" s="19">
        <v>43549.10319444444</v>
      </c>
      <c r="B775" s="20" t="s">
        <v>15622</v>
      </c>
      <c r="C775" s="21" t="s">
        <v>324</v>
      </c>
      <c r="D775" s="22" t="s">
        <v>8171</v>
      </c>
      <c r="E775" s="23" t="s">
        <v>13009</v>
      </c>
      <c r="F775" s="19">
        <v>43035.203402777777</v>
      </c>
      <c r="G775" s="9" t="s">
        <v>171</v>
      </c>
      <c r="H775" s="35" t="s">
        <v>326</v>
      </c>
      <c r="I775" s="25" t="s">
        <v>327</v>
      </c>
    </row>
    <row r="776" spans="1:9" s="11" customFormat="1" ht="75">
      <c r="A776" s="19">
        <v>43548.981365740736</v>
      </c>
      <c r="B776" s="20" t="s">
        <v>15622</v>
      </c>
      <c r="C776" s="21" t="s">
        <v>324</v>
      </c>
      <c r="D776" s="22" t="s">
        <v>8190</v>
      </c>
      <c r="E776" s="23" t="s">
        <v>13009</v>
      </c>
      <c r="F776" s="19">
        <v>43035.203402777777</v>
      </c>
      <c r="G776" s="9" t="s">
        <v>171</v>
      </c>
      <c r="H776" s="35" t="s">
        <v>326</v>
      </c>
      <c r="I776" s="25" t="s">
        <v>327</v>
      </c>
    </row>
    <row r="777" spans="1:9" s="11" customFormat="1" ht="75">
      <c r="A777" s="19">
        <v>43548.964872685188</v>
      </c>
      <c r="B777" s="20" t="s">
        <v>15622</v>
      </c>
      <c r="C777" s="21" t="s">
        <v>324</v>
      </c>
      <c r="D777" s="22" t="s">
        <v>8194</v>
      </c>
      <c r="E777" s="23" t="s">
        <v>13009</v>
      </c>
      <c r="F777" s="19">
        <v>43035.203402777777</v>
      </c>
      <c r="G777" s="9" t="s">
        <v>171</v>
      </c>
      <c r="H777" s="35" t="s">
        <v>326</v>
      </c>
      <c r="I777" s="25" t="s">
        <v>327</v>
      </c>
    </row>
    <row r="778" spans="1:9" s="11" customFormat="1" ht="75">
      <c r="A778" s="19">
        <v>43545.515821759254</v>
      </c>
      <c r="B778" s="20" t="s">
        <v>15622</v>
      </c>
      <c r="C778" s="21" t="s">
        <v>324</v>
      </c>
      <c r="D778" s="22" t="s">
        <v>9117</v>
      </c>
      <c r="E778" s="23" t="s">
        <v>13013</v>
      </c>
      <c r="F778" s="19">
        <v>43035.203402777777</v>
      </c>
      <c r="G778" s="9" t="s">
        <v>171</v>
      </c>
      <c r="H778" s="35" t="s">
        <v>326</v>
      </c>
      <c r="I778" s="25" t="s">
        <v>327</v>
      </c>
    </row>
    <row r="779" spans="1:9" s="11" customFormat="1" ht="75">
      <c r="A779" s="19">
        <v>43545.248599537037</v>
      </c>
      <c r="B779" s="20" t="s">
        <v>15622</v>
      </c>
      <c r="C779" s="21" t="s">
        <v>324</v>
      </c>
      <c r="D779" s="22" t="s">
        <v>9240</v>
      </c>
      <c r="E779" s="23" t="s">
        <v>13013</v>
      </c>
      <c r="F779" s="19">
        <v>43035.203402777777</v>
      </c>
      <c r="G779" s="9" t="s">
        <v>171</v>
      </c>
      <c r="H779" s="35" t="s">
        <v>326</v>
      </c>
      <c r="I779" s="25" t="s">
        <v>327</v>
      </c>
    </row>
    <row r="780" spans="1:9" s="11" customFormat="1" ht="75">
      <c r="A780" s="19">
        <v>43543.07298611111</v>
      </c>
      <c r="B780" s="20" t="s">
        <v>15622</v>
      </c>
      <c r="C780" s="21" t="s">
        <v>324</v>
      </c>
      <c r="D780" s="22" t="s">
        <v>9942</v>
      </c>
      <c r="E780" s="23" t="s">
        <v>13009</v>
      </c>
      <c r="F780" s="19">
        <v>43035.203402777777</v>
      </c>
      <c r="G780" s="9" t="s">
        <v>171</v>
      </c>
      <c r="H780" s="35" t="s">
        <v>326</v>
      </c>
      <c r="I780" s="25" t="s">
        <v>327</v>
      </c>
    </row>
    <row r="781" spans="1:9" s="11" customFormat="1" ht="75">
      <c r="A781" s="19">
        <v>43543.034375000003</v>
      </c>
      <c r="B781" s="20" t="s">
        <v>15622</v>
      </c>
      <c r="C781" s="21" t="s">
        <v>324</v>
      </c>
      <c r="D781" s="22" t="s">
        <v>9960</v>
      </c>
      <c r="E781" s="23" t="s">
        <v>13009</v>
      </c>
      <c r="F781" s="19">
        <v>43035.203402777777</v>
      </c>
      <c r="G781" s="9" t="s">
        <v>171</v>
      </c>
      <c r="H781" s="35" t="s">
        <v>326</v>
      </c>
      <c r="I781" s="25" t="s">
        <v>327</v>
      </c>
    </row>
    <row r="782" spans="1:9" s="11" customFormat="1" ht="75">
      <c r="A782" s="4">
        <v>43564.989780092597</v>
      </c>
      <c r="B782" s="5" t="s">
        <v>15622</v>
      </c>
      <c r="C782" s="6" t="s">
        <v>324</v>
      </c>
      <c r="D782" s="7" t="s">
        <v>6352</v>
      </c>
      <c r="E782" s="8" t="s">
        <v>13009</v>
      </c>
      <c r="F782" s="4">
        <v>43035.203402777777</v>
      </c>
      <c r="G782" s="9" t="s">
        <v>171</v>
      </c>
      <c r="H782" s="35" t="s">
        <v>326</v>
      </c>
      <c r="I782" s="10" t="s">
        <v>327</v>
      </c>
    </row>
    <row r="783" spans="1:9" s="11" customFormat="1" ht="75">
      <c r="A783" s="4">
        <v>43564.946747685186</v>
      </c>
      <c r="B783" s="5" t="s">
        <v>15622</v>
      </c>
      <c r="C783" s="6" t="s">
        <v>324</v>
      </c>
      <c r="D783" s="7" t="s">
        <v>6377</v>
      </c>
      <c r="E783" s="8" t="s">
        <v>13009</v>
      </c>
      <c r="F783" s="4">
        <v>43035.203402777777</v>
      </c>
      <c r="G783" s="9" t="s">
        <v>171</v>
      </c>
      <c r="H783" s="35" t="s">
        <v>326</v>
      </c>
      <c r="I783" s="10" t="s">
        <v>327</v>
      </c>
    </row>
    <row r="784" spans="1:9" s="11" customFormat="1" ht="75">
      <c r="A784" s="4">
        <v>43564.13145833333</v>
      </c>
      <c r="B784" s="5" t="s">
        <v>15622</v>
      </c>
      <c r="C784" s="6" t="s">
        <v>324</v>
      </c>
      <c r="D784" s="7" t="s">
        <v>6770</v>
      </c>
      <c r="E784" s="8" t="s">
        <v>13009</v>
      </c>
      <c r="F784" s="4">
        <v>43035.203402777777</v>
      </c>
      <c r="G784" s="9" t="s">
        <v>171</v>
      </c>
      <c r="H784" s="35" t="s">
        <v>326</v>
      </c>
      <c r="I784" s="10" t="s">
        <v>327</v>
      </c>
    </row>
    <row r="785" spans="1:9" s="11" customFormat="1" ht="75">
      <c r="A785" s="4">
        <v>43564.052754629629</v>
      </c>
      <c r="B785" s="5" t="s">
        <v>15622</v>
      </c>
      <c r="C785" s="6" t="s">
        <v>324</v>
      </c>
      <c r="D785" s="7" t="s">
        <v>6799</v>
      </c>
      <c r="E785" s="8" t="s">
        <v>13009</v>
      </c>
      <c r="F785" s="4">
        <v>43035.203402777777</v>
      </c>
      <c r="G785" s="9" t="s">
        <v>171</v>
      </c>
      <c r="H785" s="35" t="s">
        <v>326</v>
      </c>
      <c r="I785" s="10" t="s">
        <v>327</v>
      </c>
    </row>
    <row r="786" spans="1:9" s="11" customFormat="1" ht="75">
      <c r="A786" s="4">
        <v>43563.992395833338</v>
      </c>
      <c r="B786" s="5" t="s">
        <v>15622</v>
      </c>
      <c r="C786" s="6" t="s">
        <v>324</v>
      </c>
      <c r="D786" s="7" t="s">
        <v>5827</v>
      </c>
      <c r="E786" s="8" t="s">
        <v>13009</v>
      </c>
      <c r="F786" s="4">
        <v>43035.203402777777</v>
      </c>
      <c r="G786" s="9" t="s">
        <v>171</v>
      </c>
      <c r="H786" s="35" t="s">
        <v>326</v>
      </c>
      <c r="I786" s="10" t="s">
        <v>327</v>
      </c>
    </row>
    <row r="787" spans="1:9" s="11" customFormat="1" ht="75">
      <c r="A787" s="4">
        <v>43562.383518518516</v>
      </c>
      <c r="B787" s="5" t="s">
        <v>15622</v>
      </c>
      <c r="C787" s="6" t="s">
        <v>324</v>
      </c>
      <c r="D787" s="7" t="s">
        <v>10694</v>
      </c>
      <c r="E787" s="8" t="s">
        <v>13013</v>
      </c>
      <c r="F787" s="4">
        <v>43035.203402777777</v>
      </c>
      <c r="G787" s="9" t="s">
        <v>171</v>
      </c>
      <c r="H787" s="35" t="s">
        <v>326</v>
      </c>
      <c r="I787" s="10" t="s">
        <v>327</v>
      </c>
    </row>
    <row r="788" spans="1:9" s="11" customFormat="1" ht="75">
      <c r="A788" s="4">
        <v>43561.048194444447</v>
      </c>
      <c r="B788" s="5" t="s">
        <v>15622</v>
      </c>
      <c r="C788" s="6" t="s">
        <v>324</v>
      </c>
      <c r="D788" s="7" t="s">
        <v>11107</v>
      </c>
      <c r="E788" s="8" t="s">
        <v>13009</v>
      </c>
      <c r="F788" s="4">
        <v>43035.203402777777</v>
      </c>
      <c r="G788" s="9" t="s">
        <v>171</v>
      </c>
      <c r="H788" s="35" t="s">
        <v>326</v>
      </c>
      <c r="I788" s="10" t="s">
        <v>327</v>
      </c>
    </row>
    <row r="789" spans="1:9" s="11" customFormat="1" ht="75">
      <c r="A789" s="4">
        <v>43560.990995370375</v>
      </c>
      <c r="B789" s="5" t="s">
        <v>15622</v>
      </c>
      <c r="C789" s="6" t="s">
        <v>324</v>
      </c>
      <c r="D789" s="7" t="s">
        <v>11111</v>
      </c>
      <c r="E789" s="8" t="s">
        <v>13009</v>
      </c>
      <c r="F789" s="4">
        <v>43035.203402777777</v>
      </c>
      <c r="G789" s="9" t="s">
        <v>171</v>
      </c>
      <c r="H789" s="35" t="s">
        <v>326</v>
      </c>
      <c r="I789" s="10" t="s">
        <v>327</v>
      </c>
    </row>
    <row r="790" spans="1:9" s="11" customFormat="1" ht="75">
      <c r="A790" s="12">
        <v>43580.027939814812</v>
      </c>
      <c r="B790" s="13" t="s">
        <v>15622</v>
      </c>
      <c r="C790" s="14" t="s">
        <v>324</v>
      </c>
      <c r="D790" s="15" t="s">
        <v>325</v>
      </c>
      <c r="E790" s="16" t="s">
        <v>13009</v>
      </c>
      <c r="F790" s="12">
        <v>43035.203402777777</v>
      </c>
      <c r="G790" s="9" t="s">
        <v>171</v>
      </c>
      <c r="H790" s="35" t="s">
        <v>326</v>
      </c>
      <c r="I790" s="18" t="s">
        <v>327</v>
      </c>
    </row>
    <row r="791" spans="1:9" s="11" customFormat="1" ht="75">
      <c r="A791" s="12">
        <v>43578.985821759255</v>
      </c>
      <c r="B791" s="13" t="s">
        <v>15622</v>
      </c>
      <c r="C791" s="14" t="s">
        <v>324</v>
      </c>
      <c r="D791" s="15" t="s">
        <v>984</v>
      </c>
      <c r="E791" s="16" t="s">
        <v>13009</v>
      </c>
      <c r="F791" s="12">
        <v>43035.203402777777</v>
      </c>
      <c r="G791" s="9" t="s">
        <v>171</v>
      </c>
      <c r="H791" s="35" t="s">
        <v>326</v>
      </c>
      <c r="I791" s="18" t="s">
        <v>327</v>
      </c>
    </row>
    <row r="792" spans="1:9" s="11" customFormat="1" ht="75">
      <c r="A792" s="12">
        <v>43578.267951388887</v>
      </c>
      <c r="B792" s="13" t="s">
        <v>15622</v>
      </c>
      <c r="C792" s="14" t="s">
        <v>324</v>
      </c>
      <c r="D792" s="15" t="s">
        <v>1334</v>
      </c>
      <c r="E792" s="16" t="s">
        <v>13009</v>
      </c>
      <c r="F792" s="12">
        <v>43035.203402777777</v>
      </c>
      <c r="G792" s="9" t="s">
        <v>171</v>
      </c>
      <c r="H792" s="35" t="s">
        <v>326</v>
      </c>
      <c r="I792" s="18" t="s">
        <v>327</v>
      </c>
    </row>
    <row r="793" spans="1:9" s="11" customFormat="1" ht="75">
      <c r="A793" s="12">
        <v>43578.125879629632</v>
      </c>
      <c r="B793" s="13" t="s">
        <v>15622</v>
      </c>
      <c r="C793" s="14" t="s">
        <v>324</v>
      </c>
      <c r="D793" s="15" t="s">
        <v>1389</v>
      </c>
      <c r="E793" s="16" t="s">
        <v>13009</v>
      </c>
      <c r="F793" s="12">
        <v>43035.203402777777</v>
      </c>
      <c r="G793" s="9" t="s">
        <v>171</v>
      </c>
      <c r="H793" s="35" t="s">
        <v>326</v>
      </c>
      <c r="I793" s="18" t="s">
        <v>327</v>
      </c>
    </row>
    <row r="794" spans="1:9" s="11" customFormat="1" ht="75">
      <c r="A794" s="12">
        <v>43578.016041666662</v>
      </c>
      <c r="B794" s="13" t="s">
        <v>15622</v>
      </c>
      <c r="C794" s="14" t="s">
        <v>324</v>
      </c>
      <c r="D794" s="15" t="s">
        <v>1427</v>
      </c>
      <c r="E794" s="16" t="s">
        <v>13009</v>
      </c>
      <c r="F794" s="12">
        <v>43035.203402777777</v>
      </c>
      <c r="G794" s="9" t="s">
        <v>171</v>
      </c>
      <c r="H794" s="35" t="s">
        <v>326</v>
      </c>
      <c r="I794" s="18" t="s">
        <v>327</v>
      </c>
    </row>
    <row r="795" spans="1:9" s="11" customFormat="1" ht="75">
      <c r="A795" s="12">
        <v>43577.167395833334</v>
      </c>
      <c r="B795" s="13" t="s">
        <v>15622</v>
      </c>
      <c r="C795" s="14" t="s">
        <v>324</v>
      </c>
      <c r="D795" s="15" t="s">
        <v>1731</v>
      </c>
      <c r="E795" s="16" t="s">
        <v>13009</v>
      </c>
      <c r="F795" s="12">
        <v>43035.203402777777</v>
      </c>
      <c r="G795" s="9" t="s">
        <v>171</v>
      </c>
      <c r="H795" s="35" t="s">
        <v>326</v>
      </c>
      <c r="I795" s="18" t="s">
        <v>327</v>
      </c>
    </row>
    <row r="796" spans="1:9" s="11" customFormat="1" ht="75">
      <c r="A796" s="12">
        <v>43576.955578703702</v>
      </c>
      <c r="B796" s="13" t="s">
        <v>15622</v>
      </c>
      <c r="C796" s="14" t="s">
        <v>324</v>
      </c>
      <c r="D796" s="15" t="s">
        <v>1792</v>
      </c>
      <c r="E796" s="16" t="s">
        <v>13009</v>
      </c>
      <c r="F796" s="12">
        <v>43035.203402777777</v>
      </c>
      <c r="G796" s="9" t="s">
        <v>171</v>
      </c>
      <c r="H796" s="35" t="s">
        <v>326</v>
      </c>
      <c r="I796" s="18" t="s">
        <v>327</v>
      </c>
    </row>
    <row r="797" spans="1:9" s="11" customFormat="1" ht="75">
      <c r="A797" s="12">
        <v>43575.227384259255</v>
      </c>
      <c r="B797" s="13" t="s">
        <v>15622</v>
      </c>
      <c r="C797" s="14" t="s">
        <v>324</v>
      </c>
      <c r="D797" s="15" t="s">
        <v>2336</v>
      </c>
      <c r="E797" s="16" t="s">
        <v>13009</v>
      </c>
      <c r="F797" s="12">
        <v>43035.203402777777</v>
      </c>
      <c r="G797" s="9" t="s">
        <v>171</v>
      </c>
      <c r="H797" s="35" t="s">
        <v>326</v>
      </c>
      <c r="I797" s="18" t="s">
        <v>327</v>
      </c>
    </row>
    <row r="798" spans="1:9" s="11" customFormat="1" ht="75">
      <c r="A798" s="12">
        <v>43575.130636574075</v>
      </c>
      <c r="B798" s="13" t="s">
        <v>15622</v>
      </c>
      <c r="C798" s="14" t="s">
        <v>324</v>
      </c>
      <c r="D798" s="15" t="s">
        <v>2358</v>
      </c>
      <c r="E798" s="16" t="s">
        <v>13009</v>
      </c>
      <c r="F798" s="12">
        <v>43035.203402777777</v>
      </c>
      <c r="G798" s="9" t="s">
        <v>171</v>
      </c>
      <c r="H798" s="35" t="s">
        <v>326</v>
      </c>
      <c r="I798" s="18" t="s">
        <v>327</v>
      </c>
    </row>
    <row r="799" spans="1:9" s="11" customFormat="1" ht="75">
      <c r="A799" s="12">
        <v>43573.067083333328</v>
      </c>
      <c r="B799" s="13" t="s">
        <v>15622</v>
      </c>
      <c r="C799" s="14" t="s">
        <v>324</v>
      </c>
      <c r="D799" s="15" t="s">
        <v>3015</v>
      </c>
      <c r="E799" s="16" t="s">
        <v>13009</v>
      </c>
      <c r="F799" s="12">
        <v>43035.203402777777</v>
      </c>
      <c r="G799" s="9" t="s">
        <v>171</v>
      </c>
      <c r="H799" s="35" t="s">
        <v>326</v>
      </c>
      <c r="I799" s="18" t="s">
        <v>327</v>
      </c>
    </row>
    <row r="800" spans="1:9" s="11" customFormat="1" ht="75">
      <c r="A800" s="12">
        <v>43572.031087962961</v>
      </c>
      <c r="B800" s="13" t="s">
        <v>15622</v>
      </c>
      <c r="C800" s="14" t="s">
        <v>324</v>
      </c>
      <c r="D800" s="15" t="s">
        <v>3458</v>
      </c>
      <c r="E800" s="16" t="s">
        <v>13009</v>
      </c>
      <c r="F800" s="12">
        <v>43035.203402777777</v>
      </c>
      <c r="G800" s="9" t="s">
        <v>171</v>
      </c>
      <c r="H800" s="35" t="s">
        <v>326</v>
      </c>
      <c r="I800" s="18" t="s">
        <v>327</v>
      </c>
    </row>
    <row r="801" spans="1:9" s="11" customFormat="1" ht="75">
      <c r="A801" s="12">
        <v>43571.972280092596</v>
      </c>
      <c r="B801" s="13" t="s">
        <v>15622</v>
      </c>
      <c r="C801" s="14" t="s">
        <v>324</v>
      </c>
      <c r="D801" s="15" t="s">
        <v>3473</v>
      </c>
      <c r="E801" s="16" t="s">
        <v>13009</v>
      </c>
      <c r="F801" s="12">
        <v>43035.203402777777</v>
      </c>
      <c r="G801" s="9" t="s">
        <v>171</v>
      </c>
      <c r="H801" s="35" t="s">
        <v>326</v>
      </c>
      <c r="I801" s="18" t="s">
        <v>327</v>
      </c>
    </row>
    <row r="802" spans="1:9" s="11" customFormat="1" ht="75">
      <c r="A802" s="12">
        <v>43571.122743055559</v>
      </c>
      <c r="B802" s="13" t="s">
        <v>15622</v>
      </c>
      <c r="C802" s="14" t="s">
        <v>324</v>
      </c>
      <c r="D802" s="15" t="s">
        <v>3842</v>
      </c>
      <c r="E802" s="16" t="s">
        <v>13009</v>
      </c>
      <c r="F802" s="12">
        <v>43035.203402777777</v>
      </c>
      <c r="G802" s="9" t="s">
        <v>171</v>
      </c>
      <c r="H802" s="35" t="s">
        <v>326</v>
      </c>
      <c r="I802" s="18" t="s">
        <v>327</v>
      </c>
    </row>
    <row r="803" spans="1:9" s="11" customFormat="1" ht="75">
      <c r="A803" s="12">
        <v>43571.064282407402</v>
      </c>
      <c r="B803" s="13" t="s">
        <v>15622</v>
      </c>
      <c r="C803" s="14" t="s">
        <v>324</v>
      </c>
      <c r="D803" s="15" t="s">
        <v>3868</v>
      </c>
      <c r="E803" s="16" t="s">
        <v>13009</v>
      </c>
      <c r="F803" s="12">
        <v>43035.203402777777</v>
      </c>
      <c r="G803" s="9" t="s">
        <v>171</v>
      </c>
      <c r="H803" s="35" t="s">
        <v>326</v>
      </c>
      <c r="I803" s="18" t="s">
        <v>327</v>
      </c>
    </row>
    <row r="804" spans="1:9" s="11" customFormat="1" ht="75">
      <c r="A804" s="12">
        <v>43570.185428240744</v>
      </c>
      <c r="B804" s="13" t="s">
        <v>15622</v>
      </c>
      <c r="C804" s="14" t="s">
        <v>324</v>
      </c>
      <c r="D804" s="15" t="s">
        <v>4303</v>
      </c>
      <c r="E804" s="16" t="s">
        <v>13009</v>
      </c>
      <c r="F804" s="12">
        <v>43035.203402777777</v>
      </c>
      <c r="G804" s="9" t="s">
        <v>171</v>
      </c>
      <c r="H804" s="35" t="s">
        <v>326</v>
      </c>
      <c r="I804" s="18" t="s">
        <v>327</v>
      </c>
    </row>
    <row r="805" spans="1:9" s="11" customFormat="1" ht="75">
      <c r="A805" s="12">
        <v>43570.006701388891</v>
      </c>
      <c r="B805" s="13" t="s">
        <v>15622</v>
      </c>
      <c r="C805" s="14" t="s">
        <v>324</v>
      </c>
      <c r="D805" s="15" t="s">
        <v>4367</v>
      </c>
      <c r="E805" s="16" t="s">
        <v>13009</v>
      </c>
      <c r="F805" s="12">
        <v>43035.203402777777</v>
      </c>
      <c r="G805" s="9" t="s">
        <v>171</v>
      </c>
      <c r="H805" s="35" t="s">
        <v>326</v>
      </c>
      <c r="I805" s="18" t="s">
        <v>327</v>
      </c>
    </row>
    <row r="806" spans="1:9" s="11" customFormat="1" ht="75">
      <c r="A806" s="12">
        <v>43569.060046296298</v>
      </c>
      <c r="B806" s="13" t="s">
        <v>15622</v>
      </c>
      <c r="C806" s="14" t="s">
        <v>324</v>
      </c>
      <c r="D806" s="15" t="s">
        <v>4604</v>
      </c>
      <c r="E806" s="16" t="s">
        <v>13009</v>
      </c>
      <c r="F806" s="12">
        <v>43035.203402777777</v>
      </c>
      <c r="G806" s="9" t="s">
        <v>171</v>
      </c>
      <c r="H806" s="35" t="s">
        <v>326</v>
      </c>
      <c r="I806" s="18" t="s">
        <v>327</v>
      </c>
    </row>
    <row r="807" spans="1:9" s="11" customFormat="1" ht="60">
      <c r="A807" s="12">
        <v>43568.991087962961</v>
      </c>
      <c r="B807" s="13" t="s">
        <v>15622</v>
      </c>
      <c r="C807" s="14" t="s">
        <v>324</v>
      </c>
      <c r="D807" s="15" t="s">
        <v>4615</v>
      </c>
      <c r="E807" s="16" t="s">
        <v>13009</v>
      </c>
      <c r="F807" s="12">
        <v>43035.203402777777</v>
      </c>
      <c r="G807" s="9" t="s">
        <v>171</v>
      </c>
      <c r="H807" s="35" t="s">
        <v>326</v>
      </c>
      <c r="I807" s="18" t="s">
        <v>327</v>
      </c>
    </row>
    <row r="808" spans="1:9" s="11" customFormat="1" ht="75">
      <c r="A808" s="12">
        <v>43568.94935185185</v>
      </c>
      <c r="B808" s="13" t="s">
        <v>15622</v>
      </c>
      <c r="C808" s="14" t="s">
        <v>324</v>
      </c>
      <c r="D808" s="15" t="s">
        <v>4617</v>
      </c>
      <c r="E808" s="16" t="s">
        <v>13009</v>
      </c>
      <c r="F808" s="12">
        <v>43035.203402777777</v>
      </c>
      <c r="G808" s="9" t="s">
        <v>171</v>
      </c>
      <c r="H808" s="35" t="s">
        <v>326</v>
      </c>
      <c r="I808" s="18" t="s">
        <v>327</v>
      </c>
    </row>
    <row r="809" spans="1:9" s="11" customFormat="1" ht="75">
      <c r="A809" s="12">
        <v>43567.991875</v>
      </c>
      <c r="B809" s="13" t="s">
        <v>15622</v>
      </c>
      <c r="C809" s="14" t="s">
        <v>324</v>
      </c>
      <c r="D809" s="15" t="s">
        <v>4905</v>
      </c>
      <c r="E809" s="16" t="s">
        <v>13009</v>
      </c>
      <c r="F809" s="12">
        <v>43035.203402777777</v>
      </c>
      <c r="G809" s="9" t="s">
        <v>171</v>
      </c>
      <c r="H809" s="35" t="s">
        <v>326</v>
      </c>
      <c r="I809" s="18" t="s">
        <v>327</v>
      </c>
    </row>
    <row r="810" spans="1:9" s="11" customFormat="1" ht="75">
      <c r="A810" s="12">
        <v>43566.065648148149</v>
      </c>
      <c r="B810" s="13" t="s">
        <v>15622</v>
      </c>
      <c r="C810" s="14" t="s">
        <v>324</v>
      </c>
      <c r="D810" s="15" t="s">
        <v>5806</v>
      </c>
      <c r="E810" s="16" t="s">
        <v>13009</v>
      </c>
      <c r="F810" s="12">
        <v>43035.203402777777</v>
      </c>
      <c r="G810" s="9" t="s">
        <v>171</v>
      </c>
      <c r="H810" s="35" t="s">
        <v>326</v>
      </c>
      <c r="I810" s="18" t="s">
        <v>327</v>
      </c>
    </row>
    <row r="811" spans="1:9" s="11" customFormat="1" ht="75">
      <c r="A811" s="12">
        <v>43565.979097222225</v>
      </c>
      <c r="B811" s="13" t="s">
        <v>15622</v>
      </c>
      <c r="C811" s="14" t="s">
        <v>324</v>
      </c>
      <c r="D811" s="15" t="s">
        <v>5827</v>
      </c>
      <c r="E811" s="16" t="s">
        <v>13009</v>
      </c>
      <c r="F811" s="12">
        <v>43035.203402777777</v>
      </c>
      <c r="G811" s="9" t="s">
        <v>171</v>
      </c>
      <c r="H811" s="35" t="s">
        <v>326</v>
      </c>
      <c r="I811" s="18" t="s">
        <v>327</v>
      </c>
    </row>
    <row r="812" spans="1:9" s="11" customFormat="1" ht="45">
      <c r="A812" s="19">
        <v>43542.464525462958</v>
      </c>
      <c r="B812" s="20" t="s">
        <v>15623</v>
      </c>
      <c r="C812" s="21" t="s">
        <v>10155</v>
      </c>
      <c r="D812" s="22" t="s">
        <v>10156</v>
      </c>
      <c r="E812" s="23" t="s">
        <v>13009</v>
      </c>
      <c r="F812" s="19">
        <v>41553.236516203702</v>
      </c>
      <c r="G812" s="9" t="s">
        <v>171</v>
      </c>
      <c r="H812" s="35" t="s">
        <v>10157</v>
      </c>
      <c r="I812" s="25" t="s">
        <v>10158</v>
      </c>
    </row>
    <row r="813" spans="1:9" s="11" customFormat="1" ht="45">
      <c r="A813" s="4">
        <v>43563.091192129628</v>
      </c>
      <c r="B813" s="5" t="s">
        <v>15623</v>
      </c>
      <c r="C813" s="6" t="s">
        <v>10155</v>
      </c>
      <c r="D813" s="7" t="s">
        <v>10470</v>
      </c>
      <c r="E813" s="8" t="s">
        <v>13009</v>
      </c>
      <c r="F813" s="4">
        <v>41553.236516203702</v>
      </c>
      <c r="G813" s="9" t="s">
        <v>171</v>
      </c>
      <c r="H813" s="35" t="s">
        <v>10157</v>
      </c>
      <c r="I813" s="10" t="s">
        <v>10158</v>
      </c>
    </row>
    <row r="814" spans="1:9" s="11" customFormat="1" ht="45">
      <c r="A814" s="12">
        <v>43574.29351851852</v>
      </c>
      <c r="B814" s="13" t="s">
        <v>15624</v>
      </c>
      <c r="C814" s="14" t="s">
        <v>2615</v>
      </c>
      <c r="D814" s="15" t="s">
        <v>2616</v>
      </c>
      <c r="E814" s="16" t="s">
        <v>13032</v>
      </c>
      <c r="F814" s="12">
        <v>41945.463553240741</v>
      </c>
      <c r="G814" s="17" t="s">
        <v>171</v>
      </c>
      <c r="H814" s="35" t="s">
        <v>2617</v>
      </c>
      <c r="I814" s="18" t="s">
        <v>2618</v>
      </c>
    </row>
    <row r="815" spans="1:9" s="11" customFormat="1" ht="45">
      <c r="A815" s="12">
        <v>43566.172812500001</v>
      </c>
      <c r="B815" s="13" t="s">
        <v>15624</v>
      </c>
      <c r="C815" s="14" t="s">
        <v>2615</v>
      </c>
      <c r="D815" s="15" t="s">
        <v>5743</v>
      </c>
      <c r="E815" s="16" t="s">
        <v>13032</v>
      </c>
      <c r="F815" s="12">
        <v>41945.463553240741</v>
      </c>
      <c r="G815" s="17" t="s">
        <v>171</v>
      </c>
      <c r="H815" s="35" t="s">
        <v>2617</v>
      </c>
      <c r="I815" s="18" t="s">
        <v>2618</v>
      </c>
    </row>
    <row r="816" spans="1:9" s="11" customFormat="1" ht="120">
      <c r="A816" s="12">
        <v>43567.249710648146</v>
      </c>
      <c r="B816" s="13" t="s">
        <v>15625</v>
      </c>
      <c r="C816" s="14" t="s">
        <v>5195</v>
      </c>
      <c r="D816" s="15" t="s">
        <v>5196</v>
      </c>
      <c r="E816" s="16" t="s">
        <v>13032</v>
      </c>
      <c r="F816" s="12">
        <v>42878.279861111107</v>
      </c>
      <c r="G816" s="17" t="s">
        <v>171</v>
      </c>
      <c r="H816" s="35" t="s">
        <v>5197</v>
      </c>
      <c r="I816" s="18" t="s">
        <v>5198</v>
      </c>
    </row>
    <row r="817" spans="1:9" s="11" customFormat="1" ht="120">
      <c r="A817" s="19">
        <v>43551.688599537039</v>
      </c>
      <c r="B817" s="20" t="s">
        <v>15626</v>
      </c>
      <c r="C817" s="21" t="s">
        <v>86</v>
      </c>
      <c r="D817" s="22" t="s">
        <v>469</v>
      </c>
      <c r="E817" s="23" t="s">
        <v>13013</v>
      </c>
      <c r="F817" s="19">
        <v>40852.383622685185</v>
      </c>
      <c r="G817" s="9" t="s">
        <v>171</v>
      </c>
      <c r="H817" s="35" t="s">
        <v>88</v>
      </c>
      <c r="I817" s="25" t="s">
        <v>7046</v>
      </c>
    </row>
    <row r="818" spans="1:9" s="11" customFormat="1" ht="120">
      <c r="A818" s="19">
        <v>43551.584710648152</v>
      </c>
      <c r="B818" s="20" t="s">
        <v>15626</v>
      </c>
      <c r="C818" s="21" t="s">
        <v>86</v>
      </c>
      <c r="D818" s="22" t="s">
        <v>7100</v>
      </c>
      <c r="E818" s="23" t="s">
        <v>13013</v>
      </c>
      <c r="F818" s="19">
        <v>40852.383622685185</v>
      </c>
      <c r="G818" s="9" t="s">
        <v>171</v>
      </c>
      <c r="H818" s="35" t="s">
        <v>88</v>
      </c>
      <c r="I818" s="25" t="s">
        <v>7046</v>
      </c>
    </row>
    <row r="819" spans="1:9" s="31" customFormat="1" ht="120">
      <c r="A819" s="19">
        <v>43551.292962962965</v>
      </c>
      <c r="B819" s="20" t="s">
        <v>15626</v>
      </c>
      <c r="C819" s="21" t="s">
        <v>86</v>
      </c>
      <c r="D819" s="22" t="s">
        <v>87</v>
      </c>
      <c r="E819" s="23" t="s">
        <v>13013</v>
      </c>
      <c r="F819" s="19">
        <v>40852.383622685185</v>
      </c>
      <c r="G819" s="9" t="s">
        <v>171</v>
      </c>
      <c r="H819" s="35" t="s">
        <v>88</v>
      </c>
      <c r="I819" s="25" t="s">
        <v>7046</v>
      </c>
    </row>
    <row r="820" spans="1:9" s="31" customFormat="1" ht="120">
      <c r="A820" s="19">
        <v>43550.75037037037</v>
      </c>
      <c r="B820" s="20" t="s">
        <v>15626</v>
      </c>
      <c r="C820" s="21" t="s">
        <v>86</v>
      </c>
      <c r="D820" s="22" t="s">
        <v>469</v>
      </c>
      <c r="E820" s="23" t="s">
        <v>13013</v>
      </c>
      <c r="F820" s="19">
        <v>40852.383622685185</v>
      </c>
      <c r="G820" s="9" t="s">
        <v>171</v>
      </c>
      <c r="H820" s="35" t="s">
        <v>88</v>
      </c>
      <c r="I820" s="25" t="s">
        <v>7046</v>
      </c>
    </row>
    <row r="821" spans="1:9" s="31" customFormat="1" ht="120">
      <c r="A821" s="19">
        <v>43550.56385416667</v>
      </c>
      <c r="B821" s="20" t="s">
        <v>15626</v>
      </c>
      <c r="C821" s="21" t="s">
        <v>86</v>
      </c>
      <c r="D821" s="22" t="s">
        <v>87</v>
      </c>
      <c r="E821" s="23" t="s">
        <v>13013</v>
      </c>
      <c r="F821" s="19">
        <v>40852.383622685185</v>
      </c>
      <c r="G821" s="9" t="s">
        <v>171</v>
      </c>
      <c r="H821" s="35" t="s">
        <v>88</v>
      </c>
      <c r="I821" s="25" t="s">
        <v>7046</v>
      </c>
    </row>
    <row r="822" spans="1:9" s="31" customFormat="1" ht="120">
      <c r="A822" s="19">
        <v>43550.229432870372</v>
      </c>
      <c r="B822" s="20" t="s">
        <v>15626</v>
      </c>
      <c r="C822" s="21" t="s">
        <v>86</v>
      </c>
      <c r="D822" s="22" t="s">
        <v>7100</v>
      </c>
      <c r="E822" s="23" t="s">
        <v>13013</v>
      </c>
      <c r="F822" s="19">
        <v>40852.383622685185</v>
      </c>
      <c r="G822" s="9" t="s">
        <v>171</v>
      </c>
      <c r="H822" s="35" t="s">
        <v>88</v>
      </c>
      <c r="I822" s="25" t="s">
        <v>7046</v>
      </c>
    </row>
    <row r="823" spans="1:9" s="31" customFormat="1" ht="120">
      <c r="A823" s="19">
        <v>43549.750810185185</v>
      </c>
      <c r="B823" s="20" t="s">
        <v>15626</v>
      </c>
      <c r="C823" s="21" t="s">
        <v>86</v>
      </c>
      <c r="D823" s="22" t="s">
        <v>469</v>
      </c>
      <c r="E823" s="23" t="s">
        <v>13013</v>
      </c>
      <c r="F823" s="19">
        <v>40852.383622685185</v>
      </c>
      <c r="G823" s="9" t="s">
        <v>171</v>
      </c>
      <c r="H823" s="35" t="s">
        <v>88</v>
      </c>
      <c r="I823" s="25" t="s">
        <v>7046</v>
      </c>
    </row>
    <row r="824" spans="1:9" s="31" customFormat="1" ht="120">
      <c r="A824" s="19">
        <v>43549.627488425926</v>
      </c>
      <c r="B824" s="20" t="s">
        <v>15626</v>
      </c>
      <c r="C824" s="21" t="s">
        <v>86</v>
      </c>
      <c r="D824" s="22" t="s">
        <v>87</v>
      </c>
      <c r="E824" s="23" t="s">
        <v>13013</v>
      </c>
      <c r="F824" s="19">
        <v>40852.383622685185</v>
      </c>
      <c r="G824" s="9" t="s">
        <v>171</v>
      </c>
      <c r="H824" s="35" t="s">
        <v>88</v>
      </c>
      <c r="I824" s="25" t="s">
        <v>7046</v>
      </c>
    </row>
    <row r="825" spans="1:9" s="31" customFormat="1" ht="120">
      <c r="A825" s="19">
        <v>43548.750613425931</v>
      </c>
      <c r="B825" s="20" t="s">
        <v>15626</v>
      </c>
      <c r="C825" s="21" t="s">
        <v>86</v>
      </c>
      <c r="D825" s="22" t="s">
        <v>469</v>
      </c>
      <c r="E825" s="23" t="s">
        <v>13013</v>
      </c>
      <c r="F825" s="19">
        <v>40852.383622685185</v>
      </c>
      <c r="G825" s="9" t="s">
        <v>171</v>
      </c>
      <c r="H825" s="35" t="s">
        <v>88</v>
      </c>
      <c r="I825" s="25" t="s">
        <v>7046</v>
      </c>
    </row>
    <row r="826" spans="1:9" s="31" customFormat="1" ht="120">
      <c r="A826" s="19">
        <v>43548.688321759255</v>
      </c>
      <c r="B826" s="20" t="s">
        <v>15626</v>
      </c>
      <c r="C826" s="21" t="s">
        <v>86</v>
      </c>
      <c r="D826" s="22" t="s">
        <v>87</v>
      </c>
      <c r="E826" s="23" t="s">
        <v>13013</v>
      </c>
      <c r="F826" s="19">
        <v>40852.383622685185</v>
      </c>
      <c r="G826" s="9" t="s">
        <v>171</v>
      </c>
      <c r="H826" s="35" t="s">
        <v>88</v>
      </c>
      <c r="I826" s="25" t="s">
        <v>7046</v>
      </c>
    </row>
    <row r="827" spans="1:9" s="31" customFormat="1" ht="120">
      <c r="A827" s="19">
        <v>43547.752106481479</v>
      </c>
      <c r="B827" s="20" t="s">
        <v>15626</v>
      </c>
      <c r="C827" s="21" t="s">
        <v>86</v>
      </c>
      <c r="D827" s="22" t="s">
        <v>87</v>
      </c>
      <c r="E827" s="23" t="s">
        <v>13013</v>
      </c>
      <c r="F827" s="19">
        <v>40852.383622685185</v>
      </c>
      <c r="G827" s="9" t="s">
        <v>171</v>
      </c>
      <c r="H827" s="35" t="s">
        <v>88</v>
      </c>
      <c r="I827" s="25" t="s">
        <v>7046</v>
      </c>
    </row>
    <row r="828" spans="1:9" s="31" customFormat="1" ht="120">
      <c r="A828" s="19">
        <v>43547.711006944446</v>
      </c>
      <c r="B828" s="20" t="s">
        <v>15626</v>
      </c>
      <c r="C828" s="21" t="s">
        <v>86</v>
      </c>
      <c r="D828" s="22" t="s">
        <v>469</v>
      </c>
      <c r="E828" s="23" t="s">
        <v>13013</v>
      </c>
      <c r="F828" s="19">
        <v>40852.383622685185</v>
      </c>
      <c r="G828" s="9" t="s">
        <v>171</v>
      </c>
      <c r="H828" s="35" t="s">
        <v>88</v>
      </c>
      <c r="I828" s="25" t="s">
        <v>7046</v>
      </c>
    </row>
    <row r="829" spans="1:9" s="31" customFormat="1" ht="120">
      <c r="A829" s="19">
        <v>43546.750150462962</v>
      </c>
      <c r="B829" s="20" t="s">
        <v>15626</v>
      </c>
      <c r="C829" s="21" t="s">
        <v>86</v>
      </c>
      <c r="D829" s="22" t="s">
        <v>469</v>
      </c>
      <c r="E829" s="23" t="s">
        <v>13013</v>
      </c>
      <c r="F829" s="19">
        <v>40852.383622685185</v>
      </c>
      <c r="G829" s="9" t="s">
        <v>171</v>
      </c>
      <c r="H829" s="35" t="s">
        <v>88</v>
      </c>
      <c r="I829" s="25" t="s">
        <v>7046</v>
      </c>
    </row>
    <row r="830" spans="1:9" s="31" customFormat="1" ht="120">
      <c r="A830" s="19">
        <v>43546.709768518514</v>
      </c>
      <c r="B830" s="20" t="s">
        <v>15626</v>
      </c>
      <c r="C830" s="21" t="s">
        <v>86</v>
      </c>
      <c r="D830" s="22" t="s">
        <v>87</v>
      </c>
      <c r="E830" s="23" t="s">
        <v>13013</v>
      </c>
      <c r="F830" s="19">
        <v>40852.383622685185</v>
      </c>
      <c r="G830" s="9" t="s">
        <v>171</v>
      </c>
      <c r="H830" s="35" t="s">
        <v>88</v>
      </c>
      <c r="I830" s="25" t="s">
        <v>7046</v>
      </c>
    </row>
    <row r="831" spans="1:9" s="31" customFormat="1" ht="120">
      <c r="A831" s="19">
        <v>43546.168773148151</v>
      </c>
      <c r="B831" s="20" t="s">
        <v>15626</v>
      </c>
      <c r="C831" s="21" t="s">
        <v>86</v>
      </c>
      <c r="D831" s="22" t="s">
        <v>8946</v>
      </c>
      <c r="E831" s="23" t="s">
        <v>13013</v>
      </c>
      <c r="F831" s="19">
        <v>40852.383622685185</v>
      </c>
      <c r="G831" s="9" t="s">
        <v>171</v>
      </c>
      <c r="H831" s="35" t="s">
        <v>88</v>
      </c>
      <c r="I831" s="25" t="s">
        <v>7046</v>
      </c>
    </row>
    <row r="832" spans="1:9" s="31" customFormat="1" ht="120">
      <c r="A832" s="19">
        <v>43546.167384259257</v>
      </c>
      <c r="B832" s="20" t="s">
        <v>15626</v>
      </c>
      <c r="C832" s="21" t="s">
        <v>86</v>
      </c>
      <c r="D832" s="22" t="s">
        <v>5228</v>
      </c>
      <c r="E832" s="23" t="s">
        <v>13013</v>
      </c>
      <c r="F832" s="19">
        <v>40852.383622685185</v>
      </c>
      <c r="G832" s="9" t="s">
        <v>171</v>
      </c>
      <c r="H832" s="35" t="s">
        <v>88</v>
      </c>
      <c r="I832" s="25" t="s">
        <v>7046</v>
      </c>
    </row>
    <row r="833" spans="1:9" s="31" customFormat="1" ht="120">
      <c r="A833" s="19">
        <v>43545.752222222218</v>
      </c>
      <c r="B833" s="20" t="s">
        <v>15626</v>
      </c>
      <c r="C833" s="21" t="s">
        <v>86</v>
      </c>
      <c r="D833" s="22" t="s">
        <v>469</v>
      </c>
      <c r="E833" s="23" t="s">
        <v>13013</v>
      </c>
      <c r="F833" s="19">
        <v>40852.383622685185</v>
      </c>
      <c r="G833" s="9" t="s">
        <v>171</v>
      </c>
      <c r="H833" s="35" t="s">
        <v>88</v>
      </c>
      <c r="I833" s="25" t="s">
        <v>7046</v>
      </c>
    </row>
    <row r="834" spans="1:9" s="31" customFormat="1" ht="120">
      <c r="A834" s="19">
        <v>43545.250694444447</v>
      </c>
      <c r="B834" s="20" t="s">
        <v>15626</v>
      </c>
      <c r="C834" s="21" t="s">
        <v>86</v>
      </c>
      <c r="D834" s="22" t="s">
        <v>9238</v>
      </c>
      <c r="E834" s="23" t="s">
        <v>13013</v>
      </c>
      <c r="F834" s="19">
        <v>40852.383622685185</v>
      </c>
      <c r="G834" s="9" t="s">
        <v>171</v>
      </c>
      <c r="H834" s="35" t="s">
        <v>88</v>
      </c>
      <c r="I834" s="25" t="s">
        <v>7046</v>
      </c>
    </row>
    <row r="835" spans="1:9" s="31" customFormat="1" ht="120">
      <c r="A835" s="19">
        <v>43544.458009259259</v>
      </c>
      <c r="B835" s="20" t="s">
        <v>15626</v>
      </c>
      <c r="C835" s="21" t="s">
        <v>86</v>
      </c>
      <c r="D835" s="22" t="s">
        <v>469</v>
      </c>
      <c r="E835" s="23" t="s">
        <v>13013</v>
      </c>
      <c r="F835" s="19">
        <v>40852.383622685185</v>
      </c>
      <c r="G835" s="9" t="s">
        <v>171</v>
      </c>
      <c r="H835" s="35" t="s">
        <v>88</v>
      </c>
      <c r="I835" s="25" t="s">
        <v>7046</v>
      </c>
    </row>
    <row r="836" spans="1:9" s="31" customFormat="1" ht="120">
      <c r="A836" s="19">
        <v>43544.292256944449</v>
      </c>
      <c r="B836" s="20" t="s">
        <v>15626</v>
      </c>
      <c r="C836" s="21" t="s">
        <v>86</v>
      </c>
      <c r="D836" s="22" t="s">
        <v>87</v>
      </c>
      <c r="E836" s="23" t="s">
        <v>13013</v>
      </c>
      <c r="F836" s="19">
        <v>40852.383622685185</v>
      </c>
      <c r="G836" s="9" t="s">
        <v>171</v>
      </c>
      <c r="H836" s="35" t="s">
        <v>88</v>
      </c>
      <c r="I836" s="25" t="s">
        <v>7046</v>
      </c>
    </row>
    <row r="837" spans="1:9" s="31" customFormat="1" ht="120">
      <c r="A837" s="19">
        <v>43543.751157407409</v>
      </c>
      <c r="B837" s="20" t="s">
        <v>15626</v>
      </c>
      <c r="C837" s="21" t="s">
        <v>86</v>
      </c>
      <c r="D837" s="22" t="s">
        <v>469</v>
      </c>
      <c r="E837" s="23" t="s">
        <v>13013</v>
      </c>
      <c r="F837" s="19">
        <v>40852.383622685185</v>
      </c>
      <c r="G837" s="9" t="s">
        <v>171</v>
      </c>
      <c r="H837" s="35" t="s">
        <v>88</v>
      </c>
      <c r="I837" s="25" t="s">
        <v>7046</v>
      </c>
    </row>
    <row r="838" spans="1:9" s="31" customFormat="1" ht="120">
      <c r="A838" s="19">
        <v>43543.250127314815</v>
      </c>
      <c r="B838" s="20" t="s">
        <v>15626</v>
      </c>
      <c r="C838" s="21" t="s">
        <v>86</v>
      </c>
      <c r="D838" s="22" t="s">
        <v>87</v>
      </c>
      <c r="E838" s="23" t="s">
        <v>13013</v>
      </c>
      <c r="F838" s="19">
        <v>40852.383622685185</v>
      </c>
      <c r="G838" s="9" t="s">
        <v>171</v>
      </c>
      <c r="H838" s="35" t="s">
        <v>88</v>
      </c>
      <c r="I838" s="25" t="s">
        <v>7046</v>
      </c>
    </row>
    <row r="839" spans="1:9" s="31" customFormat="1" ht="120">
      <c r="A839" s="19">
        <v>43542.750034722223</v>
      </c>
      <c r="B839" s="20" t="s">
        <v>15626</v>
      </c>
      <c r="C839" s="21" t="s">
        <v>86</v>
      </c>
      <c r="D839" s="22" t="s">
        <v>469</v>
      </c>
      <c r="E839" s="23" t="s">
        <v>13013</v>
      </c>
      <c r="F839" s="19">
        <v>40852.383622685185</v>
      </c>
      <c r="G839" s="9" t="s">
        <v>171</v>
      </c>
      <c r="H839" s="35" t="s">
        <v>88</v>
      </c>
      <c r="I839" s="25" t="s">
        <v>7046</v>
      </c>
    </row>
    <row r="840" spans="1:9" s="31" customFormat="1" ht="120">
      <c r="A840" s="19">
        <v>43542.670486111107</v>
      </c>
      <c r="B840" s="20" t="s">
        <v>15626</v>
      </c>
      <c r="C840" s="21" t="s">
        <v>86</v>
      </c>
      <c r="D840" s="22" t="s">
        <v>87</v>
      </c>
      <c r="E840" s="23" t="s">
        <v>13013</v>
      </c>
      <c r="F840" s="19">
        <v>40852.383622685185</v>
      </c>
      <c r="G840" s="9" t="s">
        <v>171</v>
      </c>
      <c r="H840" s="35" t="s">
        <v>88</v>
      </c>
      <c r="I840" s="25" t="s">
        <v>7046</v>
      </c>
    </row>
    <row r="841" spans="1:9" s="31" customFormat="1" ht="120">
      <c r="A841" s="4">
        <v>43565.72934027778</v>
      </c>
      <c r="B841" s="5" t="s">
        <v>15626</v>
      </c>
      <c r="C841" s="6" t="s">
        <v>86</v>
      </c>
      <c r="D841" s="7" t="s">
        <v>469</v>
      </c>
      <c r="E841" s="8" t="s">
        <v>13013</v>
      </c>
      <c r="F841" s="4">
        <v>40852.383622685185</v>
      </c>
      <c r="G841" s="9" t="s">
        <v>171</v>
      </c>
      <c r="H841" s="35" t="s">
        <v>88</v>
      </c>
      <c r="I841" s="10" t="s">
        <v>89</v>
      </c>
    </row>
    <row r="842" spans="1:9" s="31" customFormat="1" ht="120">
      <c r="A842" s="4">
        <v>43565.646064814813</v>
      </c>
      <c r="B842" s="5" t="s">
        <v>15626</v>
      </c>
      <c r="C842" s="6" t="s">
        <v>86</v>
      </c>
      <c r="D842" s="7" t="s">
        <v>87</v>
      </c>
      <c r="E842" s="8" t="s">
        <v>13013</v>
      </c>
      <c r="F842" s="4">
        <v>40852.383622685185</v>
      </c>
      <c r="G842" s="9" t="s">
        <v>171</v>
      </c>
      <c r="H842" s="35" t="s">
        <v>88</v>
      </c>
      <c r="I842" s="10" t="s">
        <v>89</v>
      </c>
    </row>
    <row r="843" spans="1:9" s="31" customFormat="1" ht="120">
      <c r="A843" s="4">
        <v>43565.414375</v>
      </c>
      <c r="B843" s="5" t="s">
        <v>15626</v>
      </c>
      <c r="C843" s="6" t="s">
        <v>86</v>
      </c>
      <c r="D843" s="7" t="s">
        <v>4136</v>
      </c>
      <c r="E843" s="8" t="s">
        <v>13013</v>
      </c>
      <c r="F843" s="4">
        <v>40852.383622685185</v>
      </c>
      <c r="G843" s="9" t="s">
        <v>171</v>
      </c>
      <c r="H843" s="35" t="s">
        <v>88</v>
      </c>
      <c r="I843" s="10" t="s">
        <v>89</v>
      </c>
    </row>
    <row r="844" spans="1:9" s="31" customFormat="1" ht="120">
      <c r="A844" s="4">
        <v>43564.750162037039</v>
      </c>
      <c r="B844" s="5" t="s">
        <v>15626</v>
      </c>
      <c r="C844" s="6" t="s">
        <v>86</v>
      </c>
      <c r="D844" s="7" t="s">
        <v>469</v>
      </c>
      <c r="E844" s="8" t="s">
        <v>13013</v>
      </c>
      <c r="F844" s="4">
        <v>40852.383622685185</v>
      </c>
      <c r="G844" s="9" t="s">
        <v>171</v>
      </c>
      <c r="H844" s="35" t="s">
        <v>88</v>
      </c>
      <c r="I844" s="10" t="s">
        <v>89</v>
      </c>
    </row>
    <row r="845" spans="1:9" s="31" customFormat="1" ht="120">
      <c r="A845" s="4">
        <v>43564.506689814814</v>
      </c>
      <c r="B845" s="5" t="s">
        <v>15626</v>
      </c>
      <c r="C845" s="6" t="s">
        <v>86</v>
      </c>
      <c r="D845" s="7" t="s">
        <v>4136</v>
      </c>
      <c r="E845" s="8" t="s">
        <v>13013</v>
      </c>
      <c r="F845" s="4">
        <v>40852.383622685185</v>
      </c>
      <c r="G845" s="9" t="s">
        <v>171</v>
      </c>
      <c r="H845" s="35" t="s">
        <v>88</v>
      </c>
      <c r="I845" s="10" t="s">
        <v>89</v>
      </c>
    </row>
    <row r="846" spans="1:9" s="31" customFormat="1" ht="120">
      <c r="A846" s="4">
        <v>43564.416747685187</v>
      </c>
      <c r="B846" s="5" t="s">
        <v>15626</v>
      </c>
      <c r="C846" s="6" t="s">
        <v>86</v>
      </c>
      <c r="D846" s="7" t="s">
        <v>87</v>
      </c>
      <c r="E846" s="8" t="s">
        <v>13013</v>
      </c>
      <c r="F846" s="4">
        <v>40852.383622685185</v>
      </c>
      <c r="G846" s="9" t="s">
        <v>171</v>
      </c>
      <c r="H846" s="35" t="s">
        <v>88</v>
      </c>
      <c r="I846" s="10" t="s">
        <v>89</v>
      </c>
    </row>
    <row r="847" spans="1:9" s="31" customFormat="1" ht="120">
      <c r="A847" s="4">
        <v>43563.752118055556</v>
      </c>
      <c r="B847" s="5" t="s">
        <v>15626</v>
      </c>
      <c r="C847" s="6" t="s">
        <v>86</v>
      </c>
      <c r="D847" s="7" t="s">
        <v>469</v>
      </c>
      <c r="E847" s="8" t="s">
        <v>13013</v>
      </c>
      <c r="F847" s="4">
        <v>40852.383622685185</v>
      </c>
      <c r="G847" s="9" t="s">
        <v>171</v>
      </c>
      <c r="H847" s="35" t="s">
        <v>88</v>
      </c>
      <c r="I847" s="10" t="s">
        <v>89</v>
      </c>
    </row>
    <row r="848" spans="1:9" s="31" customFormat="1" ht="120">
      <c r="A848" s="4">
        <v>43563.667754629627</v>
      </c>
      <c r="B848" s="5" t="s">
        <v>15626</v>
      </c>
      <c r="C848" s="6" t="s">
        <v>86</v>
      </c>
      <c r="D848" s="7" t="s">
        <v>87</v>
      </c>
      <c r="E848" s="8" t="s">
        <v>13013</v>
      </c>
      <c r="F848" s="4">
        <v>40852.383622685185</v>
      </c>
      <c r="G848" s="9" t="s">
        <v>171</v>
      </c>
      <c r="H848" s="35" t="s">
        <v>88</v>
      </c>
      <c r="I848" s="10" t="s">
        <v>89</v>
      </c>
    </row>
    <row r="849" spans="1:9" s="31" customFormat="1" ht="120">
      <c r="A849" s="4">
        <v>43563.609178240746</v>
      </c>
      <c r="B849" s="5" t="s">
        <v>15626</v>
      </c>
      <c r="C849" s="6" t="s">
        <v>86</v>
      </c>
      <c r="D849" s="7" t="s">
        <v>4136</v>
      </c>
      <c r="E849" s="8" t="s">
        <v>13013</v>
      </c>
      <c r="F849" s="4">
        <v>40852.383622685185</v>
      </c>
      <c r="G849" s="9" t="s">
        <v>171</v>
      </c>
      <c r="H849" s="35" t="s">
        <v>88</v>
      </c>
      <c r="I849" s="10" t="s">
        <v>89</v>
      </c>
    </row>
    <row r="850" spans="1:9" s="31" customFormat="1" ht="120">
      <c r="A850" s="4">
        <v>43562.687557870369</v>
      </c>
      <c r="B850" s="5" t="s">
        <v>15626</v>
      </c>
      <c r="C850" s="6" t="s">
        <v>86</v>
      </c>
      <c r="D850" s="7" t="s">
        <v>469</v>
      </c>
      <c r="E850" s="8" t="s">
        <v>13013</v>
      </c>
      <c r="F850" s="4">
        <v>40852.383622685185</v>
      </c>
      <c r="G850" s="9" t="s">
        <v>171</v>
      </c>
      <c r="H850" s="35" t="s">
        <v>88</v>
      </c>
      <c r="I850" s="10" t="s">
        <v>89</v>
      </c>
    </row>
    <row r="851" spans="1:9" s="31" customFormat="1" ht="120">
      <c r="A851" s="4">
        <v>43562.605763888889</v>
      </c>
      <c r="B851" s="5" t="s">
        <v>15626</v>
      </c>
      <c r="C851" s="6" t="s">
        <v>86</v>
      </c>
      <c r="D851" s="7" t="s">
        <v>87</v>
      </c>
      <c r="E851" s="8" t="s">
        <v>13013</v>
      </c>
      <c r="F851" s="4">
        <v>40852.383622685185</v>
      </c>
      <c r="G851" s="9" t="s">
        <v>171</v>
      </c>
      <c r="H851" s="35" t="s">
        <v>88</v>
      </c>
      <c r="I851" s="10" t="s">
        <v>89</v>
      </c>
    </row>
    <row r="852" spans="1:9" s="31" customFormat="1" ht="120">
      <c r="A852" s="4">
        <v>43562.514837962968</v>
      </c>
      <c r="B852" s="5" t="s">
        <v>15626</v>
      </c>
      <c r="C852" s="6" t="s">
        <v>86</v>
      </c>
      <c r="D852" s="7" t="s">
        <v>4136</v>
      </c>
      <c r="E852" s="8" t="s">
        <v>13013</v>
      </c>
      <c r="F852" s="4">
        <v>40852.383622685185</v>
      </c>
      <c r="G852" s="9" t="s">
        <v>171</v>
      </c>
      <c r="H852" s="35" t="s">
        <v>88</v>
      </c>
      <c r="I852" s="10" t="s">
        <v>89</v>
      </c>
    </row>
    <row r="853" spans="1:9" s="31" customFormat="1" ht="120">
      <c r="A853" s="4">
        <v>43562.463622685187</v>
      </c>
      <c r="B853" s="5" t="s">
        <v>15626</v>
      </c>
      <c r="C853" s="6" t="s">
        <v>86</v>
      </c>
      <c r="D853" s="7" t="s">
        <v>10675</v>
      </c>
      <c r="E853" s="8" t="s">
        <v>13013</v>
      </c>
      <c r="F853" s="4">
        <v>40852.383622685185</v>
      </c>
      <c r="G853" s="9" t="s">
        <v>171</v>
      </c>
      <c r="H853" s="35" t="s">
        <v>88</v>
      </c>
      <c r="I853" s="10" t="s">
        <v>89</v>
      </c>
    </row>
    <row r="854" spans="1:9" s="31" customFormat="1" ht="120">
      <c r="A854" s="4">
        <v>43561.750138888892</v>
      </c>
      <c r="B854" s="5" t="s">
        <v>15626</v>
      </c>
      <c r="C854" s="6" t="s">
        <v>86</v>
      </c>
      <c r="D854" s="7" t="s">
        <v>469</v>
      </c>
      <c r="E854" s="8" t="s">
        <v>13013</v>
      </c>
      <c r="F854" s="4">
        <v>40852.383622685185</v>
      </c>
      <c r="G854" s="9" t="s">
        <v>171</v>
      </c>
      <c r="H854" s="35" t="s">
        <v>88</v>
      </c>
      <c r="I854" s="10" t="s">
        <v>89</v>
      </c>
    </row>
    <row r="855" spans="1:9" s="31" customFormat="1" ht="120">
      <c r="A855" s="4">
        <v>43561.687800925924</v>
      </c>
      <c r="B855" s="5" t="s">
        <v>15626</v>
      </c>
      <c r="C855" s="6" t="s">
        <v>86</v>
      </c>
      <c r="D855" s="7" t="s">
        <v>87</v>
      </c>
      <c r="E855" s="8" t="s">
        <v>13013</v>
      </c>
      <c r="F855" s="4">
        <v>40852.383622685185</v>
      </c>
      <c r="G855" s="9" t="s">
        <v>171</v>
      </c>
      <c r="H855" s="35" t="s">
        <v>88</v>
      </c>
      <c r="I855" s="10" t="s">
        <v>89</v>
      </c>
    </row>
    <row r="856" spans="1:9" s="31" customFormat="1" ht="120">
      <c r="A856" s="4">
        <v>43561.646585648152</v>
      </c>
      <c r="B856" s="5" t="s">
        <v>15626</v>
      </c>
      <c r="C856" s="6" t="s">
        <v>86</v>
      </c>
      <c r="D856" s="7" t="s">
        <v>4136</v>
      </c>
      <c r="E856" s="8" t="s">
        <v>13013</v>
      </c>
      <c r="F856" s="4">
        <v>40852.383622685185</v>
      </c>
      <c r="G856" s="9" t="s">
        <v>171</v>
      </c>
      <c r="H856" s="35" t="s">
        <v>88</v>
      </c>
      <c r="I856" s="10" t="s">
        <v>89</v>
      </c>
    </row>
    <row r="857" spans="1:9" s="31" customFormat="1" ht="120">
      <c r="A857" s="4">
        <v>43560.775937500002</v>
      </c>
      <c r="B857" s="5" t="s">
        <v>15626</v>
      </c>
      <c r="C857" s="6" t="s">
        <v>86</v>
      </c>
      <c r="D857" s="7" t="s">
        <v>469</v>
      </c>
      <c r="E857" s="8" t="s">
        <v>13013</v>
      </c>
      <c r="F857" s="4">
        <v>40852.383622685185</v>
      </c>
      <c r="G857" s="9" t="s">
        <v>171</v>
      </c>
      <c r="H857" s="35" t="s">
        <v>88</v>
      </c>
      <c r="I857" s="10" t="s">
        <v>89</v>
      </c>
    </row>
    <row r="858" spans="1:9" s="31" customFormat="1" ht="120">
      <c r="A858" s="4">
        <v>43560.291770833333</v>
      </c>
      <c r="B858" s="5" t="s">
        <v>15626</v>
      </c>
      <c r="C858" s="6" t="s">
        <v>86</v>
      </c>
      <c r="D858" s="7" t="s">
        <v>4136</v>
      </c>
      <c r="E858" s="8" t="s">
        <v>13013</v>
      </c>
      <c r="F858" s="4">
        <v>40852.383622685185</v>
      </c>
      <c r="G858" s="9" t="s">
        <v>171</v>
      </c>
      <c r="H858" s="35" t="s">
        <v>88</v>
      </c>
      <c r="I858" s="10" t="s">
        <v>89</v>
      </c>
    </row>
    <row r="859" spans="1:9" s="31" customFormat="1" ht="120">
      <c r="A859" s="4">
        <v>43560.229421296295</v>
      </c>
      <c r="B859" s="5" t="s">
        <v>15626</v>
      </c>
      <c r="C859" s="6" t="s">
        <v>86</v>
      </c>
      <c r="D859" s="7" t="s">
        <v>87</v>
      </c>
      <c r="E859" s="8" t="s">
        <v>13013</v>
      </c>
      <c r="F859" s="4">
        <v>40852.383622685185</v>
      </c>
      <c r="G859" s="9" t="s">
        <v>171</v>
      </c>
      <c r="H859" s="35" t="s">
        <v>88</v>
      </c>
      <c r="I859" s="10" t="s">
        <v>89</v>
      </c>
    </row>
    <row r="860" spans="1:9" s="31" customFormat="1" ht="120">
      <c r="A860" s="4">
        <v>43560.147939814815</v>
      </c>
      <c r="B860" s="5" t="s">
        <v>15626</v>
      </c>
      <c r="C860" s="6" t="s">
        <v>86</v>
      </c>
      <c r="D860" s="7" t="s">
        <v>2669</v>
      </c>
      <c r="E860" s="8" t="s">
        <v>13013</v>
      </c>
      <c r="F860" s="4">
        <v>40852.383622685185</v>
      </c>
      <c r="G860" s="9" t="s">
        <v>171</v>
      </c>
      <c r="H860" s="35" t="s">
        <v>88</v>
      </c>
      <c r="I860" s="10" t="s">
        <v>89</v>
      </c>
    </row>
    <row r="861" spans="1:9" s="31" customFormat="1" ht="120">
      <c r="A861" s="4">
        <v>43560.146585648152</v>
      </c>
      <c r="B861" s="5" t="s">
        <v>15626</v>
      </c>
      <c r="C861" s="6" t="s">
        <v>86</v>
      </c>
      <c r="D861" s="7" t="s">
        <v>5228</v>
      </c>
      <c r="E861" s="8" t="s">
        <v>13013</v>
      </c>
      <c r="F861" s="4">
        <v>40852.383622685185</v>
      </c>
      <c r="G861" s="9" t="s">
        <v>171</v>
      </c>
      <c r="H861" s="35" t="s">
        <v>88</v>
      </c>
      <c r="I861" s="10" t="s">
        <v>89</v>
      </c>
    </row>
    <row r="862" spans="1:9" s="31" customFormat="1" ht="120">
      <c r="A862" s="4">
        <v>43559.754606481481</v>
      </c>
      <c r="B862" s="5" t="s">
        <v>15626</v>
      </c>
      <c r="C862" s="6" t="s">
        <v>86</v>
      </c>
      <c r="D862" s="7" t="s">
        <v>469</v>
      </c>
      <c r="E862" s="8" t="s">
        <v>13013</v>
      </c>
      <c r="F862" s="4">
        <v>40852.383622685185</v>
      </c>
      <c r="G862" s="9" t="s">
        <v>171</v>
      </c>
      <c r="H862" s="35" t="s">
        <v>88</v>
      </c>
      <c r="I862" s="10" t="s">
        <v>89</v>
      </c>
    </row>
    <row r="863" spans="1:9" s="31" customFormat="1" ht="120">
      <c r="A863" s="4">
        <v>43559.70988425926</v>
      </c>
      <c r="B863" s="5" t="s">
        <v>15626</v>
      </c>
      <c r="C863" s="6" t="s">
        <v>86</v>
      </c>
      <c r="D863" s="7" t="s">
        <v>87</v>
      </c>
      <c r="E863" s="8" t="s">
        <v>13013</v>
      </c>
      <c r="F863" s="4">
        <v>40852.383622685185</v>
      </c>
      <c r="G863" s="9" t="s">
        <v>171</v>
      </c>
      <c r="H863" s="35" t="s">
        <v>88</v>
      </c>
      <c r="I863" s="10" t="s">
        <v>89</v>
      </c>
    </row>
    <row r="864" spans="1:9" s="31" customFormat="1" ht="120">
      <c r="A864" s="4">
        <v>43559.510740740741</v>
      </c>
      <c r="B864" s="5" t="s">
        <v>15626</v>
      </c>
      <c r="C864" s="6" t="s">
        <v>86</v>
      </c>
      <c r="D864" s="7" t="s">
        <v>4136</v>
      </c>
      <c r="E864" s="8" t="s">
        <v>13013</v>
      </c>
      <c r="F864" s="4">
        <v>40852.383622685185</v>
      </c>
      <c r="G864" s="9" t="s">
        <v>171</v>
      </c>
      <c r="H864" s="35" t="s">
        <v>88</v>
      </c>
      <c r="I864" s="10" t="s">
        <v>89</v>
      </c>
    </row>
    <row r="865" spans="1:9" s="31" customFormat="1" ht="120">
      <c r="A865" s="4">
        <v>43558.733599537038</v>
      </c>
      <c r="B865" s="5" t="s">
        <v>15626</v>
      </c>
      <c r="C865" s="6" t="s">
        <v>86</v>
      </c>
      <c r="D865" s="7" t="s">
        <v>469</v>
      </c>
      <c r="E865" s="8" t="s">
        <v>13013</v>
      </c>
      <c r="F865" s="4">
        <v>40852.383622685185</v>
      </c>
      <c r="G865" s="9" t="s">
        <v>171</v>
      </c>
      <c r="H865" s="35" t="s">
        <v>88</v>
      </c>
      <c r="I865" s="10" t="s">
        <v>89</v>
      </c>
    </row>
    <row r="866" spans="1:9" s="31" customFormat="1" ht="120">
      <c r="A866" s="4">
        <v>43558.421712962961</v>
      </c>
      <c r="B866" s="5" t="s">
        <v>15626</v>
      </c>
      <c r="C866" s="6" t="s">
        <v>86</v>
      </c>
      <c r="D866" s="7" t="s">
        <v>87</v>
      </c>
      <c r="E866" s="8" t="s">
        <v>13013</v>
      </c>
      <c r="F866" s="4">
        <v>40852.383622685185</v>
      </c>
      <c r="G866" s="9" t="s">
        <v>171</v>
      </c>
      <c r="H866" s="35" t="s">
        <v>88</v>
      </c>
      <c r="I866" s="10" t="s">
        <v>89</v>
      </c>
    </row>
    <row r="867" spans="1:9" s="31" customFormat="1" ht="120">
      <c r="A867" s="4">
        <v>43558.291932870372</v>
      </c>
      <c r="B867" s="5" t="s">
        <v>15626</v>
      </c>
      <c r="C867" s="6" t="s">
        <v>86</v>
      </c>
      <c r="D867" s="7" t="s">
        <v>4136</v>
      </c>
      <c r="E867" s="8" t="s">
        <v>13013</v>
      </c>
      <c r="F867" s="4">
        <v>40852.383622685185</v>
      </c>
      <c r="G867" s="9" t="s">
        <v>171</v>
      </c>
      <c r="H867" s="35" t="s">
        <v>88</v>
      </c>
      <c r="I867" s="10" t="s">
        <v>89</v>
      </c>
    </row>
    <row r="868" spans="1:9" s="31" customFormat="1" ht="120">
      <c r="A868" s="4">
        <v>43557.688437500001</v>
      </c>
      <c r="B868" s="5" t="s">
        <v>15626</v>
      </c>
      <c r="C868" s="6" t="s">
        <v>86</v>
      </c>
      <c r="D868" s="7" t="s">
        <v>469</v>
      </c>
      <c r="E868" s="8" t="s">
        <v>13013</v>
      </c>
      <c r="F868" s="4">
        <v>40852.383622685185</v>
      </c>
      <c r="G868" s="9" t="s">
        <v>171</v>
      </c>
      <c r="H868" s="35" t="s">
        <v>88</v>
      </c>
      <c r="I868" s="10" t="s">
        <v>89</v>
      </c>
    </row>
    <row r="869" spans="1:9" s="31" customFormat="1" ht="120">
      <c r="A869" s="4">
        <v>43557.625486111108</v>
      </c>
      <c r="B869" s="5" t="s">
        <v>15626</v>
      </c>
      <c r="C869" s="6" t="s">
        <v>86</v>
      </c>
      <c r="D869" s="7" t="s">
        <v>87</v>
      </c>
      <c r="E869" s="8" t="s">
        <v>13013</v>
      </c>
      <c r="F869" s="4">
        <v>40852.383622685185</v>
      </c>
      <c r="G869" s="9" t="s">
        <v>171</v>
      </c>
      <c r="H869" s="35" t="s">
        <v>88</v>
      </c>
      <c r="I869" s="10" t="s">
        <v>89</v>
      </c>
    </row>
    <row r="870" spans="1:9" s="31" customFormat="1" ht="120">
      <c r="A870" s="4">
        <v>43557.541712962964</v>
      </c>
      <c r="B870" s="5" t="s">
        <v>15626</v>
      </c>
      <c r="C870" s="6" t="s">
        <v>86</v>
      </c>
      <c r="D870" s="7" t="s">
        <v>4136</v>
      </c>
      <c r="E870" s="8" t="s">
        <v>13013</v>
      </c>
      <c r="F870" s="4">
        <v>40852.383622685185</v>
      </c>
      <c r="G870" s="9" t="s">
        <v>171</v>
      </c>
      <c r="H870" s="35" t="s">
        <v>88</v>
      </c>
      <c r="I870" s="10" t="s">
        <v>89</v>
      </c>
    </row>
    <row r="871" spans="1:9" s="31" customFormat="1" ht="120">
      <c r="A871" s="4">
        <v>43556.7502662037</v>
      </c>
      <c r="B871" s="5" t="s">
        <v>15626</v>
      </c>
      <c r="C871" s="6" t="s">
        <v>86</v>
      </c>
      <c r="D871" s="7" t="s">
        <v>7100</v>
      </c>
      <c r="E871" s="8" t="s">
        <v>13013</v>
      </c>
      <c r="F871" s="4">
        <v>40852.383622685185</v>
      </c>
      <c r="G871" s="9" t="s">
        <v>171</v>
      </c>
      <c r="H871" s="35" t="s">
        <v>88</v>
      </c>
      <c r="I871" s="10" t="s">
        <v>89</v>
      </c>
    </row>
    <row r="872" spans="1:9" s="31" customFormat="1" ht="120">
      <c r="A872" s="4">
        <v>43556.729745370365</v>
      </c>
      <c r="B872" s="5" t="s">
        <v>15626</v>
      </c>
      <c r="C872" s="6" t="s">
        <v>86</v>
      </c>
      <c r="D872" s="7" t="s">
        <v>469</v>
      </c>
      <c r="E872" s="8" t="s">
        <v>13013</v>
      </c>
      <c r="F872" s="4">
        <v>40852.383622685185</v>
      </c>
      <c r="G872" s="9" t="s">
        <v>171</v>
      </c>
      <c r="H872" s="35" t="s">
        <v>88</v>
      </c>
      <c r="I872" s="10" t="s">
        <v>89</v>
      </c>
    </row>
    <row r="873" spans="1:9" s="31" customFormat="1" ht="120">
      <c r="A873" s="12">
        <v>43580.773032407407</v>
      </c>
      <c r="B873" s="13" t="s">
        <v>15626</v>
      </c>
      <c r="C873" s="14" t="s">
        <v>86</v>
      </c>
      <c r="D873" s="15" t="s">
        <v>87</v>
      </c>
      <c r="E873" s="16" t="s">
        <v>13013</v>
      </c>
      <c r="F873" s="12">
        <v>40852.841956018521</v>
      </c>
      <c r="G873" s="9" t="s">
        <v>171</v>
      </c>
      <c r="H873" s="35" t="s">
        <v>88</v>
      </c>
      <c r="I873" s="18" t="s">
        <v>89</v>
      </c>
    </row>
    <row r="874" spans="1:9" s="31" customFormat="1" ht="120">
      <c r="A874" s="12">
        <v>43579.752858796295</v>
      </c>
      <c r="B874" s="13" t="s">
        <v>15626</v>
      </c>
      <c r="C874" s="14" t="s">
        <v>86</v>
      </c>
      <c r="D874" s="15" t="s">
        <v>469</v>
      </c>
      <c r="E874" s="16" t="s">
        <v>13013</v>
      </c>
      <c r="F874" s="12">
        <v>40852.383622685185</v>
      </c>
      <c r="G874" s="9" t="s">
        <v>171</v>
      </c>
      <c r="H874" s="35" t="s">
        <v>88</v>
      </c>
      <c r="I874" s="18" t="s">
        <v>89</v>
      </c>
    </row>
    <row r="875" spans="1:9" s="31" customFormat="1" ht="120">
      <c r="A875" s="12">
        <v>43579.605023148149</v>
      </c>
      <c r="B875" s="13" t="s">
        <v>15626</v>
      </c>
      <c r="C875" s="14" t="s">
        <v>86</v>
      </c>
      <c r="D875" s="15" t="s">
        <v>87</v>
      </c>
      <c r="E875" s="16" t="s">
        <v>13013</v>
      </c>
      <c r="F875" s="12">
        <v>40852.383622685185</v>
      </c>
      <c r="G875" s="9" t="s">
        <v>171</v>
      </c>
      <c r="H875" s="35" t="s">
        <v>88</v>
      </c>
      <c r="I875" s="18" t="s">
        <v>89</v>
      </c>
    </row>
    <row r="876" spans="1:9" s="31" customFormat="1" ht="120">
      <c r="A876" s="12">
        <v>43578.729212962964</v>
      </c>
      <c r="B876" s="13" t="s">
        <v>15626</v>
      </c>
      <c r="C876" s="14" t="s">
        <v>86</v>
      </c>
      <c r="D876" s="15" t="s">
        <v>1061</v>
      </c>
      <c r="E876" s="16" t="s">
        <v>13013</v>
      </c>
      <c r="F876" s="12">
        <v>40852.383622685185</v>
      </c>
      <c r="G876" s="9" t="s">
        <v>171</v>
      </c>
      <c r="H876" s="35" t="s">
        <v>88</v>
      </c>
      <c r="I876" s="18" t="s">
        <v>89</v>
      </c>
    </row>
    <row r="877" spans="1:9" s="31" customFormat="1" ht="120">
      <c r="A877" s="12">
        <v>43578.6253587963</v>
      </c>
      <c r="B877" s="13" t="s">
        <v>15626</v>
      </c>
      <c r="C877" s="14" t="s">
        <v>86</v>
      </c>
      <c r="D877" s="15" t="s">
        <v>87</v>
      </c>
      <c r="E877" s="16" t="s">
        <v>13013</v>
      </c>
      <c r="F877" s="12">
        <v>40852.383622685185</v>
      </c>
      <c r="G877" s="9" t="s">
        <v>171</v>
      </c>
      <c r="H877" s="35" t="s">
        <v>88</v>
      </c>
      <c r="I877" s="18" t="s">
        <v>89</v>
      </c>
    </row>
    <row r="878" spans="1:9" s="31" customFormat="1" ht="120">
      <c r="A878" s="12">
        <v>43577.292002314818</v>
      </c>
      <c r="B878" s="13" t="s">
        <v>15626</v>
      </c>
      <c r="C878" s="14" t="s">
        <v>86</v>
      </c>
      <c r="D878" s="15" t="s">
        <v>87</v>
      </c>
      <c r="E878" s="16" t="s">
        <v>13013</v>
      </c>
      <c r="F878" s="12">
        <v>40852.383622685185</v>
      </c>
      <c r="G878" s="9" t="s">
        <v>171</v>
      </c>
      <c r="H878" s="35" t="s">
        <v>88</v>
      </c>
      <c r="I878" s="18" t="s">
        <v>89</v>
      </c>
    </row>
    <row r="879" spans="1:9" s="31" customFormat="1" ht="120">
      <c r="A879" s="12">
        <v>43576.750439814816</v>
      </c>
      <c r="B879" s="13" t="s">
        <v>15626</v>
      </c>
      <c r="C879" s="14" t="s">
        <v>86</v>
      </c>
      <c r="D879" s="15" t="s">
        <v>469</v>
      </c>
      <c r="E879" s="16" t="s">
        <v>13013</v>
      </c>
      <c r="F879" s="12">
        <v>40852.383622685185</v>
      </c>
      <c r="G879" s="9" t="s">
        <v>171</v>
      </c>
      <c r="H879" s="35" t="s">
        <v>88</v>
      </c>
      <c r="I879" s="18" t="s">
        <v>89</v>
      </c>
    </row>
    <row r="880" spans="1:9" s="31" customFormat="1" ht="120">
      <c r="A880" s="12">
        <v>43576.667395833334</v>
      </c>
      <c r="B880" s="13" t="s">
        <v>15626</v>
      </c>
      <c r="C880" s="14" t="s">
        <v>86</v>
      </c>
      <c r="D880" s="15" t="s">
        <v>87</v>
      </c>
      <c r="E880" s="16" t="s">
        <v>13013</v>
      </c>
      <c r="F880" s="12">
        <v>40852.383622685185</v>
      </c>
      <c r="G880" s="9" t="s">
        <v>171</v>
      </c>
      <c r="H880" s="35" t="s">
        <v>88</v>
      </c>
      <c r="I880" s="18" t="s">
        <v>89</v>
      </c>
    </row>
    <row r="881" spans="1:9" s="31" customFormat="1" ht="120">
      <c r="A881" s="12">
        <v>43575.750069444446</v>
      </c>
      <c r="B881" s="13" t="s">
        <v>15626</v>
      </c>
      <c r="C881" s="14" t="s">
        <v>86</v>
      </c>
      <c r="D881" s="15" t="s">
        <v>469</v>
      </c>
      <c r="E881" s="16" t="s">
        <v>13013</v>
      </c>
      <c r="F881" s="12">
        <v>40852.383622685185</v>
      </c>
      <c r="G881" s="9" t="s">
        <v>171</v>
      </c>
      <c r="H881" s="35" t="s">
        <v>88</v>
      </c>
      <c r="I881" s="18" t="s">
        <v>89</v>
      </c>
    </row>
    <row r="882" spans="1:9" s="31" customFormat="1" ht="120">
      <c r="A882" s="12">
        <v>43575.292187500003</v>
      </c>
      <c r="B882" s="13" t="s">
        <v>15626</v>
      </c>
      <c r="C882" s="14" t="s">
        <v>86</v>
      </c>
      <c r="D882" s="15" t="s">
        <v>87</v>
      </c>
      <c r="E882" s="16" t="s">
        <v>13013</v>
      </c>
      <c r="F882" s="12">
        <v>40852.383622685185</v>
      </c>
      <c r="G882" s="9" t="s">
        <v>171</v>
      </c>
      <c r="H882" s="35" t="s">
        <v>88</v>
      </c>
      <c r="I882" s="18" t="s">
        <v>89</v>
      </c>
    </row>
    <row r="883" spans="1:9" s="31" customFormat="1" ht="120">
      <c r="A883" s="12">
        <v>43575.250254629631</v>
      </c>
      <c r="B883" s="13" t="s">
        <v>15626</v>
      </c>
      <c r="C883" s="14" t="s">
        <v>86</v>
      </c>
      <c r="D883" s="15" t="s">
        <v>2331</v>
      </c>
      <c r="E883" s="16" t="s">
        <v>13013</v>
      </c>
      <c r="F883" s="12">
        <v>40852.383622685185</v>
      </c>
      <c r="G883" s="9" t="s">
        <v>171</v>
      </c>
      <c r="H883" s="35" t="s">
        <v>88</v>
      </c>
      <c r="I883" s="18" t="s">
        <v>89</v>
      </c>
    </row>
    <row r="884" spans="1:9" s="31" customFormat="1" ht="120">
      <c r="A884" s="12">
        <v>43574.66715277778</v>
      </c>
      <c r="B884" s="13" t="s">
        <v>15626</v>
      </c>
      <c r="C884" s="14" t="s">
        <v>86</v>
      </c>
      <c r="D884" s="15" t="s">
        <v>469</v>
      </c>
      <c r="E884" s="16" t="s">
        <v>13013</v>
      </c>
      <c r="F884" s="12">
        <v>40852.383622685185</v>
      </c>
      <c r="G884" s="9" t="s">
        <v>171</v>
      </c>
      <c r="H884" s="35" t="s">
        <v>88</v>
      </c>
      <c r="I884" s="18" t="s">
        <v>89</v>
      </c>
    </row>
    <row r="885" spans="1:9" s="31" customFormat="1" ht="120">
      <c r="A885" s="12">
        <v>43574.292118055557</v>
      </c>
      <c r="B885" s="13" t="s">
        <v>15626</v>
      </c>
      <c r="C885" s="14" t="s">
        <v>86</v>
      </c>
      <c r="D885" s="15" t="s">
        <v>87</v>
      </c>
      <c r="E885" s="16" t="s">
        <v>13013</v>
      </c>
      <c r="F885" s="12">
        <v>40852.383622685185</v>
      </c>
      <c r="G885" s="9" t="s">
        <v>171</v>
      </c>
      <c r="H885" s="35" t="s">
        <v>88</v>
      </c>
      <c r="I885" s="18" t="s">
        <v>89</v>
      </c>
    </row>
    <row r="886" spans="1:9" s="31" customFormat="1" ht="120">
      <c r="A886" s="12">
        <v>43574.148634259254</v>
      </c>
      <c r="B886" s="13" t="s">
        <v>15626</v>
      </c>
      <c r="C886" s="14" t="s">
        <v>86</v>
      </c>
      <c r="D886" s="15" t="s">
        <v>2669</v>
      </c>
      <c r="E886" s="16" t="s">
        <v>13013</v>
      </c>
      <c r="F886" s="12">
        <v>40852.383622685185</v>
      </c>
      <c r="G886" s="9" t="s">
        <v>171</v>
      </c>
      <c r="H886" s="35" t="s">
        <v>88</v>
      </c>
      <c r="I886" s="18" t="s">
        <v>89</v>
      </c>
    </row>
    <row r="887" spans="1:9" s="31" customFormat="1" ht="120">
      <c r="A887" s="12">
        <v>43574.146550925929</v>
      </c>
      <c r="B887" s="13" t="s">
        <v>15626</v>
      </c>
      <c r="C887" s="14" t="s">
        <v>86</v>
      </c>
      <c r="D887" s="15" t="s">
        <v>2670</v>
      </c>
      <c r="E887" s="16" t="s">
        <v>13013</v>
      </c>
      <c r="F887" s="12">
        <v>40852.383622685185</v>
      </c>
      <c r="G887" s="9" t="s">
        <v>171</v>
      </c>
      <c r="H887" s="35" t="s">
        <v>88</v>
      </c>
      <c r="I887" s="18" t="s">
        <v>89</v>
      </c>
    </row>
    <row r="888" spans="1:9" s="31" customFormat="1" ht="120">
      <c r="A888" s="12">
        <v>43573.751643518517</v>
      </c>
      <c r="B888" s="13" t="s">
        <v>15626</v>
      </c>
      <c r="C888" s="14" t="s">
        <v>86</v>
      </c>
      <c r="D888" s="15" t="s">
        <v>469</v>
      </c>
      <c r="E888" s="16" t="s">
        <v>13013</v>
      </c>
      <c r="F888" s="12">
        <v>40852.383622685185</v>
      </c>
      <c r="G888" s="9" t="s">
        <v>171</v>
      </c>
      <c r="H888" s="35" t="s">
        <v>88</v>
      </c>
      <c r="I888" s="18" t="s">
        <v>89</v>
      </c>
    </row>
    <row r="889" spans="1:9" s="31" customFormat="1" ht="120">
      <c r="A889" s="12">
        <v>43573.500081018516</v>
      </c>
      <c r="B889" s="13" t="s">
        <v>15626</v>
      </c>
      <c r="C889" s="14" t="s">
        <v>86</v>
      </c>
      <c r="D889" s="15" t="s">
        <v>87</v>
      </c>
      <c r="E889" s="16" t="s">
        <v>13013</v>
      </c>
      <c r="F889" s="12">
        <v>40852.383622685185</v>
      </c>
      <c r="G889" s="9" t="s">
        <v>171</v>
      </c>
      <c r="H889" s="35" t="s">
        <v>88</v>
      </c>
      <c r="I889" s="18" t="s">
        <v>89</v>
      </c>
    </row>
    <row r="890" spans="1:9" s="31" customFormat="1" ht="120">
      <c r="A890" s="12">
        <v>43572.729363425926</v>
      </c>
      <c r="B890" s="13" t="s">
        <v>15626</v>
      </c>
      <c r="C890" s="14" t="s">
        <v>86</v>
      </c>
      <c r="D890" s="15" t="s">
        <v>469</v>
      </c>
      <c r="E890" s="16" t="s">
        <v>13013</v>
      </c>
      <c r="F890" s="12">
        <v>40852.383622685185</v>
      </c>
      <c r="G890" s="9" t="s">
        <v>171</v>
      </c>
      <c r="H890" s="35" t="s">
        <v>88</v>
      </c>
      <c r="I890" s="18" t="s">
        <v>89</v>
      </c>
    </row>
    <row r="891" spans="1:9" s="31" customFormat="1" ht="120">
      <c r="A891" s="12">
        <v>43572.208981481483</v>
      </c>
      <c r="B891" s="13" t="s">
        <v>15626</v>
      </c>
      <c r="C891" s="14" t="s">
        <v>86</v>
      </c>
      <c r="D891" s="15" t="s">
        <v>87</v>
      </c>
      <c r="E891" s="16" t="s">
        <v>13013</v>
      </c>
      <c r="F891" s="12">
        <v>40852.383622685185</v>
      </c>
      <c r="G891" s="9" t="s">
        <v>171</v>
      </c>
      <c r="H891" s="35" t="s">
        <v>88</v>
      </c>
      <c r="I891" s="18" t="s">
        <v>89</v>
      </c>
    </row>
    <row r="892" spans="1:9" s="31" customFormat="1" ht="120">
      <c r="A892" s="12">
        <v>43571.710682870369</v>
      </c>
      <c r="B892" s="13" t="s">
        <v>15626</v>
      </c>
      <c r="C892" s="14" t="s">
        <v>86</v>
      </c>
      <c r="D892" s="15" t="s">
        <v>469</v>
      </c>
      <c r="E892" s="16" t="s">
        <v>13013</v>
      </c>
      <c r="F892" s="12">
        <v>40852.383622685185</v>
      </c>
      <c r="G892" s="9" t="s">
        <v>171</v>
      </c>
      <c r="H892" s="35" t="s">
        <v>88</v>
      </c>
      <c r="I892" s="18" t="s">
        <v>89</v>
      </c>
    </row>
    <row r="893" spans="1:9" s="31" customFormat="1" ht="120">
      <c r="A893" s="12">
        <v>43571.583379629628</v>
      </c>
      <c r="B893" s="13" t="s">
        <v>15626</v>
      </c>
      <c r="C893" s="14" t="s">
        <v>86</v>
      </c>
      <c r="D893" s="15" t="s">
        <v>87</v>
      </c>
      <c r="E893" s="16" t="s">
        <v>13013</v>
      </c>
      <c r="F893" s="12">
        <v>40852.383622685185</v>
      </c>
      <c r="G893" s="9" t="s">
        <v>171</v>
      </c>
      <c r="H893" s="35" t="s">
        <v>88</v>
      </c>
      <c r="I893" s="18" t="s">
        <v>89</v>
      </c>
    </row>
    <row r="894" spans="1:9" s="31" customFormat="1" ht="120">
      <c r="A894" s="12">
        <v>43570.731678240743</v>
      </c>
      <c r="B894" s="13" t="s">
        <v>15626</v>
      </c>
      <c r="C894" s="14" t="s">
        <v>86</v>
      </c>
      <c r="D894" s="15" t="s">
        <v>469</v>
      </c>
      <c r="E894" s="16" t="s">
        <v>13013</v>
      </c>
      <c r="F894" s="12">
        <v>40852.383622685185</v>
      </c>
      <c r="G894" s="9" t="s">
        <v>171</v>
      </c>
      <c r="H894" s="35" t="s">
        <v>88</v>
      </c>
      <c r="I894" s="18" t="s">
        <v>89</v>
      </c>
    </row>
    <row r="895" spans="1:9" s="31" customFormat="1" ht="120">
      <c r="A895" s="12">
        <v>43570.708368055552</v>
      </c>
      <c r="B895" s="13" t="s">
        <v>15626</v>
      </c>
      <c r="C895" s="14" t="s">
        <v>86</v>
      </c>
      <c r="D895" s="15" t="s">
        <v>87</v>
      </c>
      <c r="E895" s="16" t="s">
        <v>13013</v>
      </c>
      <c r="F895" s="12">
        <v>40852.383622685185</v>
      </c>
      <c r="G895" s="9" t="s">
        <v>171</v>
      </c>
      <c r="H895" s="35" t="s">
        <v>88</v>
      </c>
      <c r="I895" s="18" t="s">
        <v>89</v>
      </c>
    </row>
    <row r="896" spans="1:9" s="31" customFormat="1" ht="120">
      <c r="A896" s="12">
        <v>43570.458553240736</v>
      </c>
      <c r="B896" s="13" t="s">
        <v>15626</v>
      </c>
      <c r="C896" s="14" t="s">
        <v>86</v>
      </c>
      <c r="D896" s="15" t="s">
        <v>4136</v>
      </c>
      <c r="E896" s="16" t="s">
        <v>13013</v>
      </c>
      <c r="F896" s="12">
        <v>40852.383622685185</v>
      </c>
      <c r="G896" s="9" t="s">
        <v>171</v>
      </c>
      <c r="H896" s="35" t="s">
        <v>88</v>
      </c>
      <c r="I896" s="18" t="s">
        <v>89</v>
      </c>
    </row>
    <row r="897" spans="1:9" s="31" customFormat="1" ht="120">
      <c r="A897" s="12">
        <v>43569.646053240736</v>
      </c>
      <c r="B897" s="13" t="s">
        <v>15626</v>
      </c>
      <c r="C897" s="14" t="s">
        <v>86</v>
      </c>
      <c r="D897" s="15" t="s">
        <v>469</v>
      </c>
      <c r="E897" s="16" t="s">
        <v>13013</v>
      </c>
      <c r="F897" s="12">
        <v>40852.383622685185</v>
      </c>
      <c r="G897" s="9" t="s">
        <v>171</v>
      </c>
      <c r="H897" s="35" t="s">
        <v>88</v>
      </c>
      <c r="I897" s="18" t="s">
        <v>89</v>
      </c>
    </row>
    <row r="898" spans="1:9" s="31" customFormat="1" ht="120">
      <c r="A898" s="12">
        <v>43569.584479166668</v>
      </c>
      <c r="B898" s="13" t="s">
        <v>15626</v>
      </c>
      <c r="C898" s="14" t="s">
        <v>86</v>
      </c>
      <c r="D898" s="15" t="s">
        <v>4136</v>
      </c>
      <c r="E898" s="16" t="s">
        <v>13013</v>
      </c>
      <c r="F898" s="12">
        <v>40852.383622685185</v>
      </c>
      <c r="G898" s="9" t="s">
        <v>171</v>
      </c>
      <c r="H898" s="35" t="s">
        <v>88</v>
      </c>
      <c r="I898" s="18" t="s">
        <v>89</v>
      </c>
    </row>
    <row r="899" spans="1:9" s="31" customFormat="1" ht="120">
      <c r="A899" s="12">
        <v>43569.291689814811</v>
      </c>
      <c r="B899" s="13" t="s">
        <v>15626</v>
      </c>
      <c r="C899" s="14" t="s">
        <v>86</v>
      </c>
      <c r="D899" s="15" t="s">
        <v>87</v>
      </c>
      <c r="E899" s="16" t="s">
        <v>13013</v>
      </c>
      <c r="F899" s="12">
        <v>40852.383622685185</v>
      </c>
      <c r="G899" s="9" t="s">
        <v>171</v>
      </c>
      <c r="H899" s="35" t="s">
        <v>88</v>
      </c>
      <c r="I899" s="18" t="s">
        <v>89</v>
      </c>
    </row>
    <row r="900" spans="1:9" s="31" customFormat="1" ht="120">
      <c r="A900" s="12">
        <v>43568.691087962958</v>
      </c>
      <c r="B900" s="13" t="s">
        <v>15626</v>
      </c>
      <c r="C900" s="14" t="s">
        <v>86</v>
      </c>
      <c r="D900" s="15" t="s">
        <v>469</v>
      </c>
      <c r="E900" s="16" t="s">
        <v>13013</v>
      </c>
      <c r="F900" s="12">
        <v>40852.383622685185</v>
      </c>
      <c r="G900" s="9" t="s">
        <v>171</v>
      </c>
      <c r="H900" s="35" t="s">
        <v>88</v>
      </c>
      <c r="I900" s="18" t="s">
        <v>89</v>
      </c>
    </row>
    <row r="901" spans="1:9" s="31" customFormat="1" ht="120">
      <c r="A901" s="12">
        <v>43568.562569444446</v>
      </c>
      <c r="B901" s="13" t="s">
        <v>15626</v>
      </c>
      <c r="C901" s="14" t="s">
        <v>86</v>
      </c>
      <c r="D901" s="15" t="s">
        <v>87</v>
      </c>
      <c r="E901" s="16" t="s">
        <v>13013</v>
      </c>
      <c r="F901" s="12">
        <v>40852.383622685185</v>
      </c>
      <c r="G901" s="9" t="s">
        <v>171</v>
      </c>
      <c r="H901" s="35" t="s">
        <v>88</v>
      </c>
      <c r="I901" s="18" t="s">
        <v>89</v>
      </c>
    </row>
    <row r="902" spans="1:9" s="31" customFormat="1" ht="120">
      <c r="A902" s="12">
        <v>43568.291898148149</v>
      </c>
      <c r="B902" s="13" t="s">
        <v>15626</v>
      </c>
      <c r="C902" s="14" t="s">
        <v>86</v>
      </c>
      <c r="D902" s="15" t="s">
        <v>4136</v>
      </c>
      <c r="E902" s="16" t="s">
        <v>13013</v>
      </c>
      <c r="F902" s="12">
        <v>40852.383622685185</v>
      </c>
      <c r="G902" s="9" t="s">
        <v>171</v>
      </c>
      <c r="H902" s="35" t="s">
        <v>88</v>
      </c>
      <c r="I902" s="18" t="s">
        <v>89</v>
      </c>
    </row>
    <row r="903" spans="1:9" s="31" customFormat="1" ht="120">
      <c r="A903" s="12">
        <v>43567.729155092587</v>
      </c>
      <c r="B903" s="13" t="s">
        <v>15626</v>
      </c>
      <c r="C903" s="14" t="s">
        <v>86</v>
      </c>
      <c r="D903" s="15" t="s">
        <v>87</v>
      </c>
      <c r="E903" s="16" t="s">
        <v>13013</v>
      </c>
      <c r="F903" s="12">
        <v>40852.383622685185</v>
      </c>
      <c r="G903" s="9" t="s">
        <v>171</v>
      </c>
      <c r="H903" s="35" t="s">
        <v>88</v>
      </c>
      <c r="I903" s="18" t="s">
        <v>89</v>
      </c>
    </row>
    <row r="904" spans="1:9" s="31" customFormat="1" ht="120">
      <c r="A904" s="12">
        <v>43567.66777777778</v>
      </c>
      <c r="B904" s="13" t="s">
        <v>15626</v>
      </c>
      <c r="C904" s="14" t="s">
        <v>86</v>
      </c>
      <c r="D904" s="15" t="s">
        <v>469</v>
      </c>
      <c r="E904" s="16" t="s">
        <v>13013</v>
      </c>
      <c r="F904" s="12">
        <v>40852.383622685185</v>
      </c>
      <c r="G904" s="9" t="s">
        <v>171</v>
      </c>
      <c r="H904" s="35" t="s">
        <v>88</v>
      </c>
      <c r="I904" s="18" t="s">
        <v>89</v>
      </c>
    </row>
    <row r="905" spans="1:9" s="31" customFormat="1" ht="120">
      <c r="A905" s="12">
        <v>43567.541944444441</v>
      </c>
      <c r="B905" s="13" t="s">
        <v>15626</v>
      </c>
      <c r="C905" s="14" t="s">
        <v>86</v>
      </c>
      <c r="D905" s="15" t="s">
        <v>4136</v>
      </c>
      <c r="E905" s="16" t="s">
        <v>13013</v>
      </c>
      <c r="F905" s="12">
        <v>40852.383622685185</v>
      </c>
      <c r="G905" s="9" t="s">
        <v>171</v>
      </c>
      <c r="H905" s="35" t="s">
        <v>88</v>
      </c>
      <c r="I905" s="18" t="s">
        <v>89</v>
      </c>
    </row>
    <row r="906" spans="1:9" s="31" customFormat="1" ht="120">
      <c r="A906" s="12">
        <v>43567.149328703701</v>
      </c>
      <c r="B906" s="13" t="s">
        <v>15626</v>
      </c>
      <c r="C906" s="14" t="s">
        <v>86</v>
      </c>
      <c r="D906" s="15" t="s">
        <v>2669</v>
      </c>
      <c r="E906" s="16" t="s">
        <v>13013</v>
      </c>
      <c r="F906" s="12">
        <v>40852.383622685185</v>
      </c>
      <c r="G906" s="9" t="s">
        <v>171</v>
      </c>
      <c r="H906" s="35" t="s">
        <v>88</v>
      </c>
      <c r="I906" s="18" t="s">
        <v>89</v>
      </c>
    </row>
    <row r="907" spans="1:9" s="31" customFormat="1" ht="120">
      <c r="A907" s="12">
        <v>43567.146956018521</v>
      </c>
      <c r="B907" s="13" t="s">
        <v>15626</v>
      </c>
      <c r="C907" s="14" t="s">
        <v>86</v>
      </c>
      <c r="D907" s="15" t="s">
        <v>5228</v>
      </c>
      <c r="E907" s="16" t="s">
        <v>13013</v>
      </c>
      <c r="F907" s="12">
        <v>40852.383622685185</v>
      </c>
      <c r="G907" s="9" t="s">
        <v>171</v>
      </c>
      <c r="H907" s="35" t="s">
        <v>88</v>
      </c>
      <c r="I907" s="18" t="s">
        <v>89</v>
      </c>
    </row>
    <row r="908" spans="1:9" s="31" customFormat="1" ht="120">
      <c r="A908" s="12">
        <v>43566.708391203705</v>
      </c>
      <c r="B908" s="13" t="s">
        <v>15626</v>
      </c>
      <c r="C908" s="14" t="s">
        <v>86</v>
      </c>
      <c r="D908" s="15" t="s">
        <v>469</v>
      </c>
      <c r="E908" s="16" t="s">
        <v>13013</v>
      </c>
      <c r="F908" s="12">
        <v>40852.383622685185</v>
      </c>
      <c r="G908" s="9" t="s">
        <v>171</v>
      </c>
      <c r="H908" s="35" t="s">
        <v>88</v>
      </c>
      <c r="I908" s="18" t="s">
        <v>89</v>
      </c>
    </row>
    <row r="909" spans="1:9" s="31" customFormat="1" ht="120">
      <c r="A909" s="12">
        <v>43566.666701388887</v>
      </c>
      <c r="B909" s="13" t="s">
        <v>15626</v>
      </c>
      <c r="C909" s="14" t="s">
        <v>86</v>
      </c>
      <c r="D909" s="15" t="s">
        <v>87</v>
      </c>
      <c r="E909" s="16" t="s">
        <v>13013</v>
      </c>
      <c r="F909" s="12">
        <v>40852.383622685185</v>
      </c>
      <c r="G909" s="9" t="s">
        <v>171</v>
      </c>
      <c r="H909" s="35" t="s">
        <v>88</v>
      </c>
      <c r="I909" s="18" t="s">
        <v>89</v>
      </c>
    </row>
    <row r="910" spans="1:9" s="31" customFormat="1" ht="120">
      <c r="A910" s="12">
        <v>43566.291805555556</v>
      </c>
      <c r="B910" s="13" t="s">
        <v>15626</v>
      </c>
      <c r="C910" s="14" t="s">
        <v>86</v>
      </c>
      <c r="D910" s="15" t="s">
        <v>4136</v>
      </c>
      <c r="E910" s="16" t="s">
        <v>13013</v>
      </c>
      <c r="F910" s="12">
        <v>40852.383622685185</v>
      </c>
      <c r="G910" s="9" t="s">
        <v>171</v>
      </c>
      <c r="H910" s="35" t="s">
        <v>88</v>
      </c>
      <c r="I910" s="18" t="s">
        <v>89</v>
      </c>
    </row>
    <row r="911" spans="1:9" s="31" customFormat="1" ht="120">
      <c r="A911" s="4">
        <v>43561.05740740741</v>
      </c>
      <c r="B911" s="5" t="s">
        <v>15627</v>
      </c>
      <c r="C911" s="6" t="s">
        <v>11095</v>
      </c>
      <c r="D911" s="7" t="s">
        <v>11096</v>
      </c>
      <c r="E911" s="8" t="s">
        <v>13011</v>
      </c>
      <c r="F911" s="4">
        <v>40779.34920138889</v>
      </c>
      <c r="G911" s="9" t="s">
        <v>171</v>
      </c>
      <c r="H911" s="35" t="s">
        <v>11097</v>
      </c>
      <c r="I911" s="10" t="s">
        <v>11098</v>
      </c>
    </row>
    <row r="912" spans="1:9" s="31" customFormat="1" ht="150">
      <c r="A912" s="19">
        <v>43550.191030092596</v>
      </c>
      <c r="B912" s="20" t="s">
        <v>15628</v>
      </c>
      <c r="C912" s="21" t="s">
        <v>2029</v>
      </c>
      <c r="D912" s="22" t="s">
        <v>7799</v>
      </c>
      <c r="E912" s="23" t="s">
        <v>13032</v>
      </c>
      <c r="F912" s="19">
        <v>39885.557106481479</v>
      </c>
      <c r="G912" s="17" t="s">
        <v>171</v>
      </c>
      <c r="H912" s="35" t="s">
        <v>2031</v>
      </c>
      <c r="I912" s="25" t="s">
        <v>2032</v>
      </c>
    </row>
    <row r="913" spans="1:9" s="31" customFormat="1" ht="150">
      <c r="A913" s="19">
        <v>43550.190150462964</v>
      </c>
      <c r="B913" s="20" t="s">
        <v>15628</v>
      </c>
      <c r="C913" s="21" t="s">
        <v>2029</v>
      </c>
      <c r="D913" s="22" t="s">
        <v>7800</v>
      </c>
      <c r="E913" s="23" t="s">
        <v>13032</v>
      </c>
      <c r="F913" s="19">
        <v>39885.557106481479</v>
      </c>
      <c r="G913" s="17" t="s">
        <v>171</v>
      </c>
      <c r="H913" s="35" t="s">
        <v>2031</v>
      </c>
      <c r="I913" s="25" t="s">
        <v>2032</v>
      </c>
    </row>
    <row r="914" spans="1:9" s="31" customFormat="1" ht="150">
      <c r="A914" s="4">
        <v>43564.421134259261</v>
      </c>
      <c r="B914" s="5" t="s">
        <v>15628</v>
      </c>
      <c r="C914" s="6" t="s">
        <v>2029</v>
      </c>
      <c r="D914" s="7" t="s">
        <v>6617</v>
      </c>
      <c r="E914" s="8" t="s">
        <v>13032</v>
      </c>
      <c r="F914" s="4">
        <v>39885.557106481479</v>
      </c>
      <c r="G914" s="17" t="s">
        <v>171</v>
      </c>
      <c r="H914" s="35" t="s">
        <v>2031</v>
      </c>
      <c r="I914" s="10" t="s">
        <v>2032</v>
      </c>
    </row>
    <row r="915" spans="1:9" s="31" customFormat="1" ht="150">
      <c r="A915" s="4">
        <v>43562.090694444443</v>
      </c>
      <c r="B915" s="5" t="s">
        <v>15628</v>
      </c>
      <c r="C915" s="6" t="s">
        <v>2029</v>
      </c>
      <c r="D915" s="7" t="s">
        <v>10753</v>
      </c>
      <c r="E915" s="8" t="s">
        <v>13032</v>
      </c>
      <c r="F915" s="4">
        <v>39885.557106481479</v>
      </c>
      <c r="G915" s="17" t="s">
        <v>171</v>
      </c>
      <c r="H915" s="35" t="s">
        <v>2031</v>
      </c>
      <c r="I915" s="10" t="s">
        <v>2032</v>
      </c>
    </row>
    <row r="916" spans="1:9" s="31" customFormat="1" ht="150">
      <c r="A916" s="4">
        <v>43560.490497685183</v>
      </c>
      <c r="B916" s="5" t="s">
        <v>15628</v>
      </c>
      <c r="C916" s="6" t="s">
        <v>2029</v>
      </c>
      <c r="D916" s="7" t="s">
        <v>11330</v>
      </c>
      <c r="E916" s="8" t="s">
        <v>13032</v>
      </c>
      <c r="F916" s="4">
        <v>39885.557106481479</v>
      </c>
      <c r="G916" s="17" t="s">
        <v>171</v>
      </c>
      <c r="H916" s="35" t="s">
        <v>2031</v>
      </c>
      <c r="I916" s="10" t="s">
        <v>2032</v>
      </c>
    </row>
    <row r="917" spans="1:9" s="31" customFormat="1" ht="150">
      <c r="A917" s="12">
        <v>43576.195451388892</v>
      </c>
      <c r="B917" s="13" t="s">
        <v>15628</v>
      </c>
      <c r="C917" s="14" t="s">
        <v>2029</v>
      </c>
      <c r="D917" s="15" t="s">
        <v>2030</v>
      </c>
      <c r="E917" s="16" t="s">
        <v>13032</v>
      </c>
      <c r="F917" s="12">
        <v>39885.557106481479</v>
      </c>
      <c r="G917" s="17" t="s">
        <v>171</v>
      </c>
      <c r="H917" s="35" t="s">
        <v>2031</v>
      </c>
      <c r="I917" s="18" t="s">
        <v>2032</v>
      </c>
    </row>
    <row r="918" spans="1:9" s="31" customFormat="1" ht="90">
      <c r="A918" s="19">
        <v>43550.191689814819</v>
      </c>
      <c r="B918" s="20" t="s">
        <v>15629</v>
      </c>
      <c r="C918" s="21" t="s">
        <v>7795</v>
      </c>
      <c r="D918" s="22" t="s">
        <v>7796</v>
      </c>
      <c r="E918" s="23" t="s">
        <v>13009</v>
      </c>
      <c r="F918" s="19">
        <v>39916.365787037037</v>
      </c>
      <c r="G918" s="17" t="s">
        <v>171</v>
      </c>
      <c r="H918" s="35" t="s">
        <v>7797</v>
      </c>
      <c r="I918" s="25" t="s">
        <v>7798</v>
      </c>
    </row>
    <row r="919" spans="1:9" s="31" customFormat="1" ht="75">
      <c r="A919" s="12">
        <v>43565.95103009259</v>
      </c>
      <c r="B919" s="13" t="s">
        <v>15630</v>
      </c>
      <c r="C919" s="14" t="s">
        <v>5835</v>
      </c>
      <c r="D919" s="15" t="s">
        <v>5836</v>
      </c>
      <c r="E919" s="16" t="s">
        <v>13013</v>
      </c>
      <c r="F919" s="12">
        <v>43559.39875</v>
      </c>
      <c r="G919" s="17" t="s">
        <v>171</v>
      </c>
      <c r="H919" s="35" t="s">
        <v>5837</v>
      </c>
      <c r="I919" s="18" t="s">
        <v>5838</v>
      </c>
    </row>
    <row r="920" spans="1:9" s="31" customFormat="1" ht="105">
      <c r="A920" s="12">
        <v>43567.041481481487</v>
      </c>
      <c r="B920" s="13" t="s">
        <v>15631</v>
      </c>
      <c r="C920" s="14" t="s">
        <v>5264</v>
      </c>
      <c r="D920" s="15" t="s">
        <v>5265</v>
      </c>
      <c r="E920" s="16" t="s">
        <v>13032</v>
      </c>
      <c r="F920" s="12">
        <v>43502.101724537039</v>
      </c>
      <c r="G920" s="17" t="s">
        <v>171</v>
      </c>
      <c r="H920" s="35" t="s">
        <v>5266</v>
      </c>
      <c r="I920" s="18" t="s">
        <v>5267</v>
      </c>
    </row>
    <row r="921" spans="1:9" s="31" customFormat="1" ht="120">
      <c r="A921" s="12">
        <v>43566.47152777778</v>
      </c>
      <c r="B921" s="13" t="s">
        <v>15632</v>
      </c>
      <c r="C921" s="14" t="s">
        <v>5507</v>
      </c>
      <c r="D921" s="15" t="s">
        <v>5508</v>
      </c>
      <c r="E921" s="16" t="s">
        <v>13013</v>
      </c>
      <c r="F921" s="12">
        <v>42242.699629629627</v>
      </c>
      <c r="G921" s="17" t="s">
        <v>171</v>
      </c>
      <c r="H921" s="35" t="s">
        <v>5509</v>
      </c>
      <c r="I921" s="18" t="s">
        <v>5510</v>
      </c>
    </row>
    <row r="922" spans="1:9" s="31" customFormat="1" ht="90">
      <c r="A922" s="4">
        <v>43563.541608796295</v>
      </c>
      <c r="B922" s="5" t="s">
        <v>15633</v>
      </c>
      <c r="C922" s="6" t="s">
        <v>1881</v>
      </c>
      <c r="D922" s="7" t="s">
        <v>10242</v>
      </c>
      <c r="E922" s="8" t="s">
        <v>13011</v>
      </c>
      <c r="F922" s="4">
        <v>43289.29005787037</v>
      </c>
      <c r="G922" s="17" t="s">
        <v>171</v>
      </c>
      <c r="H922" s="35" t="s">
        <v>1883</v>
      </c>
      <c r="I922" s="10" t="s">
        <v>1884</v>
      </c>
    </row>
    <row r="923" spans="1:9" s="31" customFormat="1" ht="90">
      <c r="A923" s="12">
        <v>43576.651782407411</v>
      </c>
      <c r="B923" s="13" t="s">
        <v>15633</v>
      </c>
      <c r="C923" s="14" t="s">
        <v>1881</v>
      </c>
      <c r="D923" s="15" t="s">
        <v>1882</v>
      </c>
      <c r="E923" s="16" t="s">
        <v>13011</v>
      </c>
      <c r="F923" s="12">
        <v>43289.29005787037</v>
      </c>
      <c r="G923" s="17" t="s">
        <v>171</v>
      </c>
      <c r="H923" s="35" t="s">
        <v>1883</v>
      </c>
      <c r="I923" s="18" t="s">
        <v>1884</v>
      </c>
    </row>
    <row r="924" spans="1:9" s="31" customFormat="1" ht="90">
      <c r="A924" s="12">
        <v>43576.419907407406</v>
      </c>
      <c r="B924" s="13" t="s">
        <v>15633</v>
      </c>
      <c r="C924" s="14" t="s">
        <v>1881</v>
      </c>
      <c r="D924" s="15" t="s">
        <v>1955</v>
      </c>
      <c r="E924" s="16" t="s">
        <v>13011</v>
      </c>
      <c r="F924" s="12">
        <v>43289.29005787037</v>
      </c>
      <c r="G924" s="17" t="s">
        <v>171</v>
      </c>
      <c r="H924" s="35" t="s">
        <v>1883</v>
      </c>
      <c r="I924" s="18" t="s">
        <v>1884</v>
      </c>
    </row>
    <row r="925" spans="1:9" s="31" customFormat="1" ht="75">
      <c r="A925" s="4">
        <v>43557.162766203706</v>
      </c>
      <c r="B925" s="5" t="s">
        <v>15634</v>
      </c>
      <c r="C925" s="6" t="s">
        <v>12632</v>
      </c>
      <c r="D925" s="7" t="s">
        <v>12633</v>
      </c>
      <c r="E925" s="8" t="s">
        <v>15635</v>
      </c>
      <c r="F925" s="4">
        <v>42425.583611111113</v>
      </c>
      <c r="G925" s="9" t="s">
        <v>171</v>
      </c>
      <c r="H925" s="35" t="s">
        <v>12634</v>
      </c>
      <c r="I925" s="10" t="s">
        <v>12635</v>
      </c>
    </row>
    <row r="926" spans="1:9" s="31" customFormat="1" ht="105">
      <c r="A926" s="12">
        <v>43567.492395833338</v>
      </c>
      <c r="B926" s="13" t="s">
        <v>15636</v>
      </c>
      <c r="C926" s="14" t="s">
        <v>5094</v>
      </c>
      <c r="D926" s="15" t="s">
        <v>5095</v>
      </c>
      <c r="E926" s="16" t="s">
        <v>13034</v>
      </c>
      <c r="F926" s="12">
        <v>39896.184652777782</v>
      </c>
      <c r="G926" s="17" t="s">
        <v>171</v>
      </c>
      <c r="H926" s="35" t="s">
        <v>5096</v>
      </c>
      <c r="I926" s="18" t="s">
        <v>5097</v>
      </c>
    </row>
    <row r="927" spans="1:9" s="31" customFormat="1" ht="105">
      <c r="A927" s="19">
        <v>43543.137025462958</v>
      </c>
      <c r="B927" s="20" t="s">
        <v>15637</v>
      </c>
      <c r="C927" s="21" t="s">
        <v>6831</v>
      </c>
      <c r="D927" s="22" t="s">
        <v>9932</v>
      </c>
      <c r="E927" s="23" t="s">
        <v>13013</v>
      </c>
      <c r="F927" s="19">
        <v>43259.549386574072</v>
      </c>
      <c r="G927" s="17" t="s">
        <v>171</v>
      </c>
      <c r="H927" s="35" t="s">
        <v>6833</v>
      </c>
      <c r="I927" s="25" t="s">
        <v>6834</v>
      </c>
    </row>
    <row r="928" spans="1:9" s="31" customFormat="1" ht="105">
      <c r="A928" s="4">
        <v>43563.988715277781</v>
      </c>
      <c r="B928" s="5" t="s">
        <v>15637</v>
      </c>
      <c r="C928" s="6" t="s">
        <v>6831</v>
      </c>
      <c r="D928" s="7" t="s">
        <v>6832</v>
      </c>
      <c r="E928" s="8" t="s">
        <v>13013</v>
      </c>
      <c r="F928" s="4">
        <v>43259.549386574072</v>
      </c>
      <c r="G928" s="17" t="s">
        <v>171</v>
      </c>
      <c r="H928" s="35" t="s">
        <v>6833</v>
      </c>
      <c r="I928" s="10" t="s">
        <v>6834</v>
      </c>
    </row>
    <row r="929" spans="1:9" s="31" customFormat="1" ht="120">
      <c r="A929" s="12">
        <v>43578.39466435185</v>
      </c>
      <c r="B929" s="13" t="s">
        <v>15638</v>
      </c>
      <c r="C929" s="14" t="s">
        <v>1230</v>
      </c>
      <c r="D929" s="15" t="s">
        <v>1231</v>
      </c>
      <c r="E929" s="16" t="s">
        <v>13009</v>
      </c>
      <c r="F929" s="12">
        <v>42748.40325231482</v>
      </c>
      <c r="G929" s="17" t="s">
        <v>171</v>
      </c>
      <c r="H929" s="35" t="s">
        <v>1232</v>
      </c>
      <c r="I929" s="18" t="s">
        <v>1233</v>
      </c>
    </row>
    <row r="930" spans="1:9" s="31" customFormat="1">
      <c r="A930" s="12">
        <v>43575.511354166665</v>
      </c>
      <c r="B930" s="13" t="s">
        <v>15639</v>
      </c>
      <c r="C930" s="14" t="s">
        <v>2183</v>
      </c>
      <c r="D930" s="15" t="s">
        <v>2184</v>
      </c>
      <c r="E930" s="16" t="s">
        <v>13013</v>
      </c>
      <c r="F930" s="12">
        <v>40402.58494212963</v>
      </c>
      <c r="G930" s="17" t="s">
        <v>171</v>
      </c>
      <c r="H930" s="35" t="s">
        <v>2185</v>
      </c>
      <c r="I930" s="18"/>
    </row>
    <row r="931" spans="1:9" s="31" customFormat="1" ht="75">
      <c r="A931" s="12">
        <v>43569.619826388887</v>
      </c>
      <c r="B931" s="13" t="s">
        <v>15640</v>
      </c>
      <c r="C931" s="14" t="s">
        <v>4457</v>
      </c>
      <c r="D931" s="15" t="s">
        <v>4458</v>
      </c>
      <c r="E931" s="16" t="s">
        <v>13011</v>
      </c>
      <c r="F931" s="12">
        <v>40339.416168981479</v>
      </c>
      <c r="G931" s="17" t="s">
        <v>171</v>
      </c>
      <c r="H931" s="35" t="s">
        <v>2185</v>
      </c>
      <c r="I931" s="18" t="s">
        <v>4459</v>
      </c>
    </row>
    <row r="932" spans="1:9" s="31" customFormat="1" ht="105">
      <c r="A932" s="4">
        <v>43564.490787037037</v>
      </c>
      <c r="B932" s="5" t="s">
        <v>15641</v>
      </c>
      <c r="C932" s="6" t="s">
        <v>5605</v>
      </c>
      <c r="D932" s="7" t="s">
        <v>6585</v>
      </c>
      <c r="E932" s="8" t="s">
        <v>13009</v>
      </c>
      <c r="F932" s="4">
        <v>39763.369872685187</v>
      </c>
      <c r="G932" s="17" t="s">
        <v>171</v>
      </c>
      <c r="H932" s="35" t="s">
        <v>5607</v>
      </c>
      <c r="I932" s="10" t="s">
        <v>5608</v>
      </c>
    </row>
    <row r="933" spans="1:9" s="31" customFormat="1" ht="105">
      <c r="A933" s="4">
        <v>43562.470092592594</v>
      </c>
      <c r="B933" s="5" t="s">
        <v>15641</v>
      </c>
      <c r="C933" s="6" t="s">
        <v>5605</v>
      </c>
      <c r="D933" s="7" t="s">
        <v>10670</v>
      </c>
      <c r="E933" s="8" t="s">
        <v>13009</v>
      </c>
      <c r="F933" s="4">
        <v>39763.369872685187</v>
      </c>
      <c r="G933" s="17" t="s">
        <v>171</v>
      </c>
      <c r="H933" s="35" t="s">
        <v>5607</v>
      </c>
      <c r="I933" s="10" t="s">
        <v>5608</v>
      </c>
    </row>
    <row r="934" spans="1:9" s="31" customFormat="1" ht="105">
      <c r="A934" s="12">
        <v>43566.369606481487</v>
      </c>
      <c r="B934" s="13" t="s">
        <v>15641</v>
      </c>
      <c r="C934" s="14" t="s">
        <v>5605</v>
      </c>
      <c r="D934" s="15" t="s">
        <v>5606</v>
      </c>
      <c r="E934" s="16" t="s">
        <v>13009</v>
      </c>
      <c r="F934" s="12">
        <v>39763.369872685187</v>
      </c>
      <c r="G934" s="17" t="s">
        <v>171</v>
      </c>
      <c r="H934" s="35" t="s">
        <v>5607</v>
      </c>
      <c r="I934" s="18" t="s">
        <v>5608</v>
      </c>
    </row>
    <row r="935" spans="1:9" s="31" customFormat="1" ht="120">
      <c r="A935" s="4">
        <v>43562.595439814817</v>
      </c>
      <c r="B935" s="5" t="s">
        <v>15642</v>
      </c>
      <c r="C935" s="6" t="s">
        <v>10639</v>
      </c>
      <c r="D935" s="7" t="s">
        <v>10640</v>
      </c>
      <c r="E935" s="8" t="s">
        <v>13013</v>
      </c>
      <c r="F935" s="4">
        <v>43250.695138888885</v>
      </c>
      <c r="G935" s="17" t="s">
        <v>171</v>
      </c>
      <c r="H935" s="35" t="s">
        <v>607</v>
      </c>
      <c r="I935" s="10" t="s">
        <v>10641</v>
      </c>
    </row>
    <row r="936" spans="1:9" s="31" customFormat="1" ht="105">
      <c r="A936" s="12">
        <v>43579.515219907407</v>
      </c>
      <c r="B936" s="13" t="s">
        <v>15643</v>
      </c>
      <c r="C936" s="14" t="s">
        <v>605</v>
      </c>
      <c r="D936" s="15" t="s">
        <v>606</v>
      </c>
      <c r="E936" s="16" t="s">
        <v>13027</v>
      </c>
      <c r="F936" s="12">
        <v>43141.854687500003</v>
      </c>
      <c r="G936" s="17" t="s">
        <v>171</v>
      </c>
      <c r="H936" s="35" t="s">
        <v>607</v>
      </c>
      <c r="I936" s="18" t="s">
        <v>608</v>
      </c>
    </row>
    <row r="937" spans="1:9" s="31" customFormat="1" ht="105">
      <c r="A937" s="12">
        <v>43579.4222337963</v>
      </c>
      <c r="B937" s="13" t="s">
        <v>15643</v>
      </c>
      <c r="C937" s="14" t="s">
        <v>605</v>
      </c>
      <c r="D937" s="15" t="s">
        <v>670</v>
      </c>
      <c r="E937" s="16" t="s">
        <v>13032</v>
      </c>
      <c r="F937" s="12">
        <v>43141.854687500003</v>
      </c>
      <c r="G937" s="17" t="s">
        <v>171</v>
      </c>
      <c r="H937" s="35" t="s">
        <v>607</v>
      </c>
      <c r="I937" s="18" t="s">
        <v>608</v>
      </c>
    </row>
    <row r="938" spans="1:9" s="31" customFormat="1" ht="105">
      <c r="A938" s="12">
        <v>43567.655671296292</v>
      </c>
      <c r="B938" s="13" t="s">
        <v>15643</v>
      </c>
      <c r="C938" s="14" t="s">
        <v>605</v>
      </c>
      <c r="D938" s="15" t="s">
        <v>5017</v>
      </c>
      <c r="E938" s="16" t="s">
        <v>13032</v>
      </c>
      <c r="F938" s="12">
        <v>43141.854687500003</v>
      </c>
      <c r="G938" s="17" t="s">
        <v>171</v>
      </c>
      <c r="H938" s="35" t="s">
        <v>607</v>
      </c>
      <c r="I938" s="18" t="s">
        <v>608</v>
      </c>
    </row>
    <row r="939" spans="1:9" s="31" customFormat="1" ht="75">
      <c r="A939" s="4">
        <v>43563.354675925926</v>
      </c>
      <c r="B939" s="5" t="s">
        <v>15644</v>
      </c>
      <c r="C939" s="6" t="s">
        <v>10335</v>
      </c>
      <c r="D939" s="7" t="s">
        <v>10336</v>
      </c>
      <c r="E939" s="8" t="s">
        <v>13027</v>
      </c>
      <c r="F939" s="4">
        <v>42521.337395833332</v>
      </c>
      <c r="G939" s="9" t="s">
        <v>171</v>
      </c>
      <c r="H939" s="35" t="s">
        <v>10337</v>
      </c>
      <c r="I939" s="10" t="s">
        <v>10338</v>
      </c>
    </row>
    <row r="940" spans="1:9" s="31" customFormat="1" ht="75">
      <c r="A940" s="4">
        <v>43563.354641203703</v>
      </c>
      <c r="B940" s="5" t="s">
        <v>15644</v>
      </c>
      <c r="C940" s="6" t="s">
        <v>10335</v>
      </c>
      <c r="D940" s="7" t="s">
        <v>10339</v>
      </c>
      <c r="E940" s="8" t="s">
        <v>13027</v>
      </c>
      <c r="F940" s="4">
        <v>42521.337395833332</v>
      </c>
      <c r="G940" s="9" t="s">
        <v>171</v>
      </c>
      <c r="H940" s="35" t="s">
        <v>10337</v>
      </c>
      <c r="I940" s="10" t="s">
        <v>10338</v>
      </c>
    </row>
    <row r="941" spans="1:9" s="31" customFormat="1" ht="120">
      <c r="A941" s="12">
        <v>43572.338923611111</v>
      </c>
      <c r="B941" s="13" t="s">
        <v>15645</v>
      </c>
      <c r="C941" s="14" t="s">
        <v>3318</v>
      </c>
      <c r="D941" s="15" t="s">
        <v>3319</v>
      </c>
      <c r="E941" s="16" t="s">
        <v>13013</v>
      </c>
      <c r="F941" s="12">
        <v>40684.2658912037</v>
      </c>
      <c r="G941" s="24" t="s">
        <v>171</v>
      </c>
      <c r="H941" s="35" t="s">
        <v>3320</v>
      </c>
      <c r="I941" s="18" t="s">
        <v>3321</v>
      </c>
    </row>
    <row r="942" spans="1:9" s="31" customFormat="1" ht="105">
      <c r="A942" s="4">
        <v>43562.191516203704</v>
      </c>
      <c r="B942" s="5" t="s">
        <v>15646</v>
      </c>
      <c r="C942" s="6" t="s">
        <v>10725</v>
      </c>
      <c r="D942" s="7" t="s">
        <v>10726</v>
      </c>
      <c r="E942" s="8" t="s">
        <v>13440</v>
      </c>
      <c r="F942" s="4">
        <v>40139.456180555557</v>
      </c>
      <c r="G942" s="24" t="s">
        <v>171</v>
      </c>
      <c r="H942" s="35" t="s">
        <v>10727</v>
      </c>
      <c r="I942" s="10" t="s">
        <v>10728</v>
      </c>
    </row>
    <row r="943" spans="1:9" s="31" customFormat="1" ht="135">
      <c r="A943" s="4">
        <v>43558.030277777776</v>
      </c>
      <c r="B943" s="5" t="s">
        <v>15647</v>
      </c>
      <c r="C943" s="6" t="s">
        <v>5199</v>
      </c>
      <c r="D943" s="7" t="s">
        <v>12341</v>
      </c>
      <c r="E943" s="8" t="s">
        <v>13015</v>
      </c>
      <c r="F943" s="4">
        <v>42073.3278125</v>
      </c>
      <c r="G943" s="24" t="s">
        <v>171</v>
      </c>
      <c r="H943" s="35" t="s">
        <v>5201</v>
      </c>
      <c r="I943" s="10" t="s">
        <v>5202</v>
      </c>
    </row>
    <row r="944" spans="1:9" s="31" customFormat="1" ht="135">
      <c r="A944" s="12">
        <v>43567.242858796293</v>
      </c>
      <c r="B944" s="13" t="s">
        <v>15647</v>
      </c>
      <c r="C944" s="14" t="s">
        <v>5199</v>
      </c>
      <c r="D944" s="15" t="s">
        <v>5200</v>
      </c>
      <c r="E944" s="16" t="s">
        <v>13015</v>
      </c>
      <c r="F944" s="12">
        <v>42073.3278125</v>
      </c>
      <c r="G944" s="24" t="s">
        <v>171</v>
      </c>
      <c r="H944" s="35" t="s">
        <v>5201</v>
      </c>
      <c r="I944" s="18" t="s">
        <v>5202</v>
      </c>
    </row>
    <row r="945" spans="1:9" s="31" customFormat="1" ht="135">
      <c r="A945" s="12">
        <v>43566.114305555559</v>
      </c>
      <c r="B945" s="13" t="s">
        <v>15647</v>
      </c>
      <c r="C945" s="14" t="s">
        <v>5199</v>
      </c>
      <c r="D945" s="15" t="s">
        <v>5779</v>
      </c>
      <c r="E945" s="16" t="s">
        <v>13015</v>
      </c>
      <c r="F945" s="12">
        <v>42073.3278125</v>
      </c>
      <c r="G945" s="24" t="s">
        <v>171</v>
      </c>
      <c r="H945" s="35" t="s">
        <v>5201</v>
      </c>
      <c r="I945" s="18" t="s">
        <v>5202</v>
      </c>
    </row>
    <row r="946" spans="1:9" s="31" customFormat="1" ht="75">
      <c r="A946" s="19">
        <v>43546.032418981486</v>
      </c>
      <c r="B946" s="20" t="s">
        <v>15648</v>
      </c>
      <c r="C946" s="21" t="s">
        <v>8981</v>
      </c>
      <c r="D946" s="22" t="s">
        <v>8982</v>
      </c>
      <c r="E946" s="23" t="s">
        <v>13009</v>
      </c>
      <c r="F946" s="19">
        <v>39831.444895833338</v>
      </c>
      <c r="G946" s="24" t="s">
        <v>171</v>
      </c>
      <c r="H946" s="35" t="s">
        <v>8983</v>
      </c>
      <c r="I946" s="25" t="s">
        <v>8984</v>
      </c>
    </row>
    <row r="947" spans="1:9" s="31" customFormat="1" ht="105">
      <c r="A947" s="19">
        <v>43547.272615740745</v>
      </c>
      <c r="B947" s="20" t="s">
        <v>15649</v>
      </c>
      <c r="C947" s="21" t="s">
        <v>8603</v>
      </c>
      <c r="D947" s="22" t="s">
        <v>8604</v>
      </c>
      <c r="E947" s="23" t="s">
        <v>13009</v>
      </c>
      <c r="F947" s="19">
        <v>43527.193518518514</v>
      </c>
      <c r="G947" s="24" t="s">
        <v>171</v>
      </c>
      <c r="H947" s="35" t="s">
        <v>8605</v>
      </c>
      <c r="I947" s="25" t="s">
        <v>8606</v>
      </c>
    </row>
    <row r="948" spans="1:9" s="31" customFormat="1" ht="105">
      <c r="A948" s="19">
        <v>43544.41128472222</v>
      </c>
      <c r="B948" s="20" t="s">
        <v>15649</v>
      </c>
      <c r="C948" s="21" t="s">
        <v>8603</v>
      </c>
      <c r="D948" s="22" t="s">
        <v>9476</v>
      </c>
      <c r="E948" s="23" t="s">
        <v>13009</v>
      </c>
      <c r="F948" s="19">
        <v>43527.193518518514</v>
      </c>
      <c r="G948" s="24" t="s">
        <v>171</v>
      </c>
      <c r="H948" s="35" t="s">
        <v>8605</v>
      </c>
      <c r="I948" s="25" t="s">
        <v>8606</v>
      </c>
    </row>
    <row r="949" spans="1:9" s="31" customFormat="1" ht="105">
      <c r="A949" s="19">
        <v>43544.24962962963</v>
      </c>
      <c r="B949" s="20" t="s">
        <v>15649</v>
      </c>
      <c r="C949" s="21" t="s">
        <v>8603</v>
      </c>
      <c r="D949" s="22" t="s">
        <v>9567</v>
      </c>
      <c r="E949" s="23" t="s">
        <v>13013</v>
      </c>
      <c r="F949" s="19">
        <v>43527.193518518514</v>
      </c>
      <c r="G949" s="24" t="s">
        <v>171</v>
      </c>
      <c r="H949" s="35" t="s">
        <v>8605</v>
      </c>
      <c r="I949" s="25" t="s">
        <v>8606</v>
      </c>
    </row>
    <row r="950" spans="1:9" s="31" customFormat="1" ht="105">
      <c r="A950" s="12">
        <v>43575.311180555553</v>
      </c>
      <c r="B950" s="13" t="s">
        <v>15650</v>
      </c>
      <c r="C950" s="14" t="s">
        <v>2302</v>
      </c>
      <c r="D950" s="15" t="s">
        <v>2303</v>
      </c>
      <c r="E950" s="16" t="s">
        <v>13011</v>
      </c>
      <c r="F950" s="12">
        <v>41305.161180555559</v>
      </c>
      <c r="G950" s="17" t="s">
        <v>171</v>
      </c>
      <c r="H950" s="35" t="s">
        <v>2304</v>
      </c>
      <c r="I950" s="18" t="s">
        <v>2305</v>
      </c>
    </row>
    <row r="951" spans="1:9" s="31" customFormat="1" ht="45">
      <c r="A951" s="4">
        <v>43562.482118055559</v>
      </c>
      <c r="B951" s="5" t="s">
        <v>15651</v>
      </c>
      <c r="C951" s="6" t="s">
        <v>10659</v>
      </c>
      <c r="D951" s="7" t="s">
        <v>10660</v>
      </c>
      <c r="E951" s="8" t="s">
        <v>13032</v>
      </c>
      <c r="F951" s="4">
        <v>40968.503194444442</v>
      </c>
      <c r="G951" s="17" t="s">
        <v>171</v>
      </c>
      <c r="H951" s="35" t="s">
        <v>10661</v>
      </c>
      <c r="I951" s="10" t="s">
        <v>10662</v>
      </c>
    </row>
    <row r="952" spans="1:9" s="31" customFormat="1" ht="135">
      <c r="A952" s="19">
        <v>43547.363344907411</v>
      </c>
      <c r="B952" s="20" t="s">
        <v>15652</v>
      </c>
      <c r="C952" s="21" t="s">
        <v>2306</v>
      </c>
      <c r="D952" s="22" t="s">
        <v>8579</v>
      </c>
      <c r="E952" s="23" t="s">
        <v>13009</v>
      </c>
      <c r="F952" s="19">
        <v>42573.653009259258</v>
      </c>
      <c r="G952" s="17" t="s">
        <v>171</v>
      </c>
      <c r="H952" s="35" t="s">
        <v>2095</v>
      </c>
      <c r="I952" s="25" t="s">
        <v>2308</v>
      </c>
    </row>
    <row r="953" spans="1:9" s="31" customFormat="1" ht="150">
      <c r="A953" s="19">
        <v>43546.07984953704</v>
      </c>
      <c r="B953" s="20" t="s">
        <v>15653</v>
      </c>
      <c r="C953" s="21" t="s">
        <v>8968</v>
      </c>
      <c r="D953" s="22" t="s">
        <v>8969</v>
      </c>
      <c r="E953" s="23" t="s">
        <v>13032</v>
      </c>
      <c r="F953" s="19">
        <v>43337.65797453704</v>
      </c>
      <c r="G953" s="17" t="s">
        <v>171</v>
      </c>
      <c r="H953" s="35" t="s">
        <v>2095</v>
      </c>
      <c r="I953" s="25" t="s">
        <v>8970</v>
      </c>
    </row>
    <row r="954" spans="1:9" s="31" customFormat="1" ht="135">
      <c r="A954" s="19">
        <v>43545.203541666662</v>
      </c>
      <c r="B954" s="20" t="s">
        <v>15652</v>
      </c>
      <c r="C954" s="21" t="s">
        <v>2306</v>
      </c>
      <c r="D954" s="22" t="s">
        <v>9255</v>
      </c>
      <c r="E954" s="23" t="s">
        <v>13009</v>
      </c>
      <c r="F954" s="19">
        <v>42573.653009259258</v>
      </c>
      <c r="G954" s="17" t="s">
        <v>171</v>
      </c>
      <c r="H954" s="35" t="s">
        <v>2095</v>
      </c>
      <c r="I954" s="25" t="s">
        <v>2308</v>
      </c>
    </row>
    <row r="955" spans="1:9" s="31" customFormat="1" ht="135">
      <c r="A955" s="4">
        <v>43563.411550925928</v>
      </c>
      <c r="B955" s="5" t="s">
        <v>15652</v>
      </c>
      <c r="C955" s="6" t="s">
        <v>2306</v>
      </c>
      <c r="D955" s="7" t="s">
        <v>10304</v>
      </c>
      <c r="E955" s="8" t="s">
        <v>13009</v>
      </c>
      <c r="F955" s="4">
        <v>42573.653009259258</v>
      </c>
      <c r="G955" s="17" t="s">
        <v>171</v>
      </c>
      <c r="H955" s="35" t="s">
        <v>2095</v>
      </c>
      <c r="I955" s="10" t="s">
        <v>2308</v>
      </c>
    </row>
    <row r="956" spans="1:9" s="31" customFormat="1" ht="135">
      <c r="A956" s="4">
        <v>43560.092893518522</v>
      </c>
      <c r="B956" s="5" t="s">
        <v>15652</v>
      </c>
      <c r="C956" s="6" t="s">
        <v>2306</v>
      </c>
      <c r="D956" s="7" t="s">
        <v>11607</v>
      </c>
      <c r="E956" s="8" t="s">
        <v>13009</v>
      </c>
      <c r="F956" s="4">
        <v>42573.653009259258</v>
      </c>
      <c r="G956" s="17" t="s">
        <v>171</v>
      </c>
      <c r="H956" s="35" t="s">
        <v>2095</v>
      </c>
      <c r="I956" s="10" t="s">
        <v>2308</v>
      </c>
    </row>
    <row r="957" spans="1:9" s="31" customFormat="1" ht="60">
      <c r="A957" s="12">
        <v>43575.943101851852</v>
      </c>
      <c r="B957" s="13" t="s">
        <v>15654</v>
      </c>
      <c r="C957" s="14" t="s">
        <v>2093</v>
      </c>
      <c r="D957" s="15" t="s">
        <v>2094</v>
      </c>
      <c r="E957" s="16" t="s">
        <v>13011</v>
      </c>
      <c r="F957" s="12">
        <v>41199.552685185183</v>
      </c>
      <c r="G957" s="17" t="s">
        <v>171</v>
      </c>
      <c r="H957" s="35" t="s">
        <v>2095</v>
      </c>
      <c r="I957" s="18" t="s">
        <v>2096</v>
      </c>
    </row>
    <row r="958" spans="1:9" s="31" customFormat="1" ht="135">
      <c r="A958" s="12">
        <v>43575.310185185182</v>
      </c>
      <c r="B958" s="13" t="s">
        <v>15652</v>
      </c>
      <c r="C958" s="14" t="s">
        <v>2306</v>
      </c>
      <c r="D958" s="15" t="s">
        <v>2307</v>
      </c>
      <c r="E958" s="16" t="s">
        <v>13009</v>
      </c>
      <c r="F958" s="12">
        <v>42573.653009259258</v>
      </c>
      <c r="G958" s="17" t="s">
        <v>171</v>
      </c>
      <c r="H958" s="35" t="s">
        <v>2095</v>
      </c>
      <c r="I958" s="18" t="s">
        <v>2308</v>
      </c>
    </row>
    <row r="959" spans="1:9" s="31" customFormat="1" ht="135">
      <c r="A959" s="12">
        <v>43574.225127314814</v>
      </c>
      <c r="B959" s="13" t="s">
        <v>15652</v>
      </c>
      <c r="C959" s="14" t="s">
        <v>2306</v>
      </c>
      <c r="D959" s="15" t="s">
        <v>2651</v>
      </c>
      <c r="E959" s="16" t="s">
        <v>13009</v>
      </c>
      <c r="F959" s="12">
        <v>42573.653009259258</v>
      </c>
      <c r="G959" s="17" t="s">
        <v>171</v>
      </c>
      <c r="H959" s="35" t="s">
        <v>2095</v>
      </c>
      <c r="I959" s="18" t="s">
        <v>2308</v>
      </c>
    </row>
    <row r="960" spans="1:9" s="31" customFormat="1" ht="135">
      <c r="A960" s="12">
        <v>43570.288437499999</v>
      </c>
      <c r="B960" s="13" t="s">
        <v>15652</v>
      </c>
      <c r="C960" s="14" t="s">
        <v>2306</v>
      </c>
      <c r="D960" s="15" t="s">
        <v>4259</v>
      </c>
      <c r="E960" s="16" t="s">
        <v>13009</v>
      </c>
      <c r="F960" s="12">
        <v>42573.653009259258</v>
      </c>
      <c r="G960" s="17" t="s">
        <v>171</v>
      </c>
      <c r="H960" s="35" t="s">
        <v>2095</v>
      </c>
      <c r="I960" s="18" t="s">
        <v>2308</v>
      </c>
    </row>
    <row r="961" spans="1:9" s="31" customFormat="1" ht="135">
      <c r="A961" s="12">
        <v>43569.003495370373</v>
      </c>
      <c r="B961" s="13" t="s">
        <v>15655</v>
      </c>
      <c r="C961" s="14" t="s">
        <v>4608</v>
      </c>
      <c r="D961" s="15" t="s">
        <v>4609</v>
      </c>
      <c r="E961" s="16" t="s">
        <v>13027</v>
      </c>
      <c r="F961" s="12">
        <v>41327.477905092594</v>
      </c>
      <c r="G961" s="17" t="s">
        <v>171</v>
      </c>
      <c r="H961" s="35" t="s">
        <v>2095</v>
      </c>
      <c r="I961" s="18" t="s">
        <v>4610</v>
      </c>
    </row>
    <row r="962" spans="1:9" s="31" customFormat="1" ht="135">
      <c r="A962" s="12">
        <v>43566.278391203705</v>
      </c>
      <c r="B962" s="13" t="s">
        <v>15652</v>
      </c>
      <c r="C962" s="14" t="s">
        <v>2306</v>
      </c>
      <c r="D962" s="15" t="s">
        <v>5690</v>
      </c>
      <c r="E962" s="16" t="s">
        <v>13009</v>
      </c>
      <c r="F962" s="12">
        <v>42573.653009259258</v>
      </c>
      <c r="G962" s="17" t="s">
        <v>171</v>
      </c>
      <c r="H962" s="35" t="s">
        <v>2095</v>
      </c>
      <c r="I962" s="18" t="s">
        <v>2308</v>
      </c>
    </row>
    <row r="963" spans="1:9" s="31" customFormat="1" ht="60">
      <c r="A963" s="4">
        <v>43564.389953703707</v>
      </c>
      <c r="B963" s="5" t="s">
        <v>15656</v>
      </c>
      <c r="C963" s="6" t="s">
        <v>6636</v>
      </c>
      <c r="D963" s="7" t="s">
        <v>6637</v>
      </c>
      <c r="E963" s="8" t="s">
        <v>13032</v>
      </c>
      <c r="F963" s="4">
        <v>42750.067337962959</v>
      </c>
      <c r="G963" s="17" t="s">
        <v>171</v>
      </c>
      <c r="H963" s="35" t="s">
        <v>6638</v>
      </c>
      <c r="I963" s="10" t="s">
        <v>6639</v>
      </c>
    </row>
    <row r="964" spans="1:9" s="31" customFormat="1" ht="120">
      <c r="A964" s="12">
        <v>43575.072916666672</v>
      </c>
      <c r="B964" s="13" t="s">
        <v>15657</v>
      </c>
      <c r="C964" s="14" t="s">
        <v>2374</v>
      </c>
      <c r="D964" s="15" t="s">
        <v>405</v>
      </c>
      <c r="E964" s="16" t="s">
        <v>13034</v>
      </c>
      <c r="F964" s="12">
        <v>39947.153506944444</v>
      </c>
      <c r="G964" s="17" t="s">
        <v>171</v>
      </c>
      <c r="H964" s="35" t="s">
        <v>2375</v>
      </c>
      <c r="I964" s="18" t="s">
        <v>2376</v>
      </c>
    </row>
    <row r="965" spans="1:9" s="31" customFormat="1" ht="120">
      <c r="A965" s="19">
        <v>43551.324988425928</v>
      </c>
      <c r="B965" s="20" t="s">
        <v>15658</v>
      </c>
      <c r="C965" s="21" t="s">
        <v>7311</v>
      </c>
      <c r="D965" s="22" t="s">
        <v>7312</v>
      </c>
      <c r="E965" s="23" t="s">
        <v>13009</v>
      </c>
      <c r="F965" s="19">
        <v>43337.68241898148</v>
      </c>
      <c r="G965" s="17" t="s">
        <v>171</v>
      </c>
      <c r="H965" s="35" t="s">
        <v>95</v>
      </c>
      <c r="I965" s="25" t="s">
        <v>7313</v>
      </c>
    </row>
    <row r="966" spans="1:9" s="31" customFormat="1" ht="60">
      <c r="A966" s="19">
        <v>43551.180555555555</v>
      </c>
      <c r="B966" s="20" t="s">
        <v>15659</v>
      </c>
      <c r="C966" s="21" t="s">
        <v>4346</v>
      </c>
      <c r="D966" s="22" t="s">
        <v>7406</v>
      </c>
      <c r="E966" s="23" t="s">
        <v>13120</v>
      </c>
      <c r="F966" s="19">
        <v>42821.979490740741</v>
      </c>
      <c r="G966" s="17" t="s">
        <v>171</v>
      </c>
      <c r="H966" s="35" t="s">
        <v>95</v>
      </c>
      <c r="I966" s="25" t="s">
        <v>4348</v>
      </c>
    </row>
    <row r="967" spans="1:9" s="31" customFormat="1" ht="90">
      <c r="A967" s="19">
        <v>43550.101979166662</v>
      </c>
      <c r="B967" s="20" t="s">
        <v>15660</v>
      </c>
      <c r="C967" s="21" t="s">
        <v>7834</v>
      </c>
      <c r="D967" s="22" t="s">
        <v>7835</v>
      </c>
      <c r="E967" s="23" t="s">
        <v>13034</v>
      </c>
      <c r="F967" s="19">
        <v>42037.547013888892</v>
      </c>
      <c r="G967" s="17" t="s">
        <v>171</v>
      </c>
      <c r="H967" s="35" t="s">
        <v>95</v>
      </c>
      <c r="I967" s="25" t="s">
        <v>7836</v>
      </c>
    </row>
    <row r="968" spans="1:9" s="31" customFormat="1" ht="120">
      <c r="A968" s="19">
        <v>43550.084085648152</v>
      </c>
      <c r="B968" s="20" t="s">
        <v>15661</v>
      </c>
      <c r="C968" s="21" t="s">
        <v>7848</v>
      </c>
      <c r="D968" s="22" t="s">
        <v>7849</v>
      </c>
      <c r="E968" s="23" t="s">
        <v>13009</v>
      </c>
      <c r="F968" s="19">
        <v>41437.347395833334</v>
      </c>
      <c r="G968" s="17" t="s">
        <v>171</v>
      </c>
      <c r="H968" s="35" t="s">
        <v>95</v>
      </c>
      <c r="I968" s="25" t="s">
        <v>7850</v>
      </c>
    </row>
    <row r="969" spans="1:9" s="31" customFormat="1" ht="75">
      <c r="A969" s="19">
        <v>43549.469259259262</v>
      </c>
      <c r="B969" s="20" t="s">
        <v>15662</v>
      </c>
      <c r="C969" s="21" t="s">
        <v>8017</v>
      </c>
      <c r="D969" s="22" t="s">
        <v>8018</v>
      </c>
      <c r="E969" s="23" t="s">
        <v>13011</v>
      </c>
      <c r="F969" s="19">
        <v>41809.62023148148</v>
      </c>
      <c r="G969" s="17" t="s">
        <v>171</v>
      </c>
      <c r="H969" s="35" t="s">
        <v>95</v>
      </c>
      <c r="I969" s="25" t="s">
        <v>8019</v>
      </c>
    </row>
    <row r="970" spans="1:9" s="31" customFormat="1" ht="60">
      <c r="A970" s="19">
        <v>43549.324999999997</v>
      </c>
      <c r="B970" s="20" t="s">
        <v>15663</v>
      </c>
      <c r="C970" s="21" t="s">
        <v>8091</v>
      </c>
      <c r="D970" s="22" t="s">
        <v>8092</v>
      </c>
      <c r="E970" s="23" t="s">
        <v>13034</v>
      </c>
      <c r="F970" s="19">
        <v>42163.394363425927</v>
      </c>
      <c r="G970" s="17" t="s">
        <v>171</v>
      </c>
      <c r="H970" s="35" t="s">
        <v>95</v>
      </c>
      <c r="I970" s="25" t="s">
        <v>8093</v>
      </c>
    </row>
    <row r="971" spans="1:9" s="31" customFormat="1" ht="60">
      <c r="A971" s="19">
        <v>43545.958344907413</v>
      </c>
      <c r="B971" s="20" t="s">
        <v>15664</v>
      </c>
      <c r="C971" s="21" t="s">
        <v>8991</v>
      </c>
      <c r="D971" s="22" t="s">
        <v>8992</v>
      </c>
      <c r="E971" s="23" t="s">
        <v>13099</v>
      </c>
      <c r="F971" s="19">
        <v>40029.013171296298</v>
      </c>
      <c r="G971" s="17" t="s">
        <v>171</v>
      </c>
      <c r="H971" s="35" t="s">
        <v>95</v>
      </c>
      <c r="I971" s="25" t="s">
        <v>8993</v>
      </c>
    </row>
    <row r="972" spans="1:9" s="31" customFormat="1" ht="120">
      <c r="A972" s="19">
        <v>43545.228136574078</v>
      </c>
      <c r="B972" s="20" t="s">
        <v>15665</v>
      </c>
      <c r="C972" s="20" t="s">
        <v>9241</v>
      </c>
      <c r="D972" s="22" t="s">
        <v>9242</v>
      </c>
      <c r="E972" s="23" t="s">
        <v>13009</v>
      </c>
      <c r="F972" s="19">
        <v>39831.029224537036</v>
      </c>
      <c r="G972" s="17" t="s">
        <v>171</v>
      </c>
      <c r="H972" s="35" t="s">
        <v>95</v>
      </c>
      <c r="I972" s="25" t="s">
        <v>9243</v>
      </c>
    </row>
    <row r="973" spans="1:9" s="31" customFormat="1" ht="120">
      <c r="A973" s="19">
        <v>43544.344375000001</v>
      </c>
      <c r="B973" s="20" t="s">
        <v>15666</v>
      </c>
      <c r="C973" s="21" t="s">
        <v>9512</v>
      </c>
      <c r="D973" s="22" t="s">
        <v>9513</v>
      </c>
      <c r="E973" s="23" t="s">
        <v>13099</v>
      </c>
      <c r="F973" s="19">
        <v>39943.955034722225</v>
      </c>
      <c r="G973" s="17" t="s">
        <v>171</v>
      </c>
      <c r="H973" s="35" t="s">
        <v>95</v>
      </c>
      <c r="I973" s="25" t="s">
        <v>9514</v>
      </c>
    </row>
    <row r="974" spans="1:9" s="31" customFormat="1" ht="105">
      <c r="A974" s="19">
        <v>43544.28025462963</v>
      </c>
      <c r="B974" s="20" t="s">
        <v>15667</v>
      </c>
      <c r="C974" s="21" t="s">
        <v>9558</v>
      </c>
      <c r="D974" s="22" t="s">
        <v>9559</v>
      </c>
      <c r="E974" s="23" t="s">
        <v>13120</v>
      </c>
      <c r="F974" s="19">
        <v>40170.322858796295</v>
      </c>
      <c r="G974" s="17" t="s">
        <v>171</v>
      </c>
      <c r="H974" s="35" t="s">
        <v>95</v>
      </c>
      <c r="I974" s="25" t="s">
        <v>9560</v>
      </c>
    </row>
    <row r="975" spans="1:9" s="31" customFormat="1" ht="105">
      <c r="A975" s="19">
        <v>43544.083402777775</v>
      </c>
      <c r="B975" s="20" t="s">
        <v>15668</v>
      </c>
      <c r="C975" s="21" t="s">
        <v>2382</v>
      </c>
      <c r="D975" s="22" t="s">
        <v>2383</v>
      </c>
      <c r="E975" s="23" t="s">
        <v>13027</v>
      </c>
      <c r="F975" s="19">
        <v>40372.298564814817</v>
      </c>
      <c r="G975" s="17" t="s">
        <v>171</v>
      </c>
      <c r="H975" s="35" t="s">
        <v>95</v>
      </c>
      <c r="I975" s="25" t="s">
        <v>2384</v>
      </c>
    </row>
    <row r="976" spans="1:9" s="31" customFormat="1" ht="60">
      <c r="A976" s="19">
        <v>43543.32711805556</v>
      </c>
      <c r="B976" s="20" t="s">
        <v>15664</v>
      </c>
      <c r="C976" s="21" t="s">
        <v>8991</v>
      </c>
      <c r="D976" s="22" t="s">
        <v>8992</v>
      </c>
      <c r="E976" s="23" t="s">
        <v>13099</v>
      </c>
      <c r="F976" s="19">
        <v>40029.013171296298</v>
      </c>
      <c r="G976" s="17" t="s">
        <v>171</v>
      </c>
      <c r="H976" s="35" t="s">
        <v>95</v>
      </c>
      <c r="I976" s="25" t="s">
        <v>8993</v>
      </c>
    </row>
    <row r="977" spans="1:9" s="31" customFormat="1" ht="150">
      <c r="A977" s="19">
        <v>43543.257071759261</v>
      </c>
      <c r="B977" s="20" t="s">
        <v>15669</v>
      </c>
      <c r="C977" s="21" t="s">
        <v>302</v>
      </c>
      <c r="D977" s="22" t="s">
        <v>9882</v>
      </c>
      <c r="E977" s="23" t="s">
        <v>13018</v>
      </c>
      <c r="F977" s="19">
        <v>40490.108634259261</v>
      </c>
      <c r="G977" s="17" t="s">
        <v>171</v>
      </c>
      <c r="H977" s="35" t="s">
        <v>95</v>
      </c>
      <c r="I977" s="25" t="s">
        <v>304</v>
      </c>
    </row>
    <row r="978" spans="1:9" s="31" customFormat="1" ht="75">
      <c r="A978" s="19">
        <v>43542.579861111109</v>
      </c>
      <c r="B978" s="20" t="s">
        <v>15670</v>
      </c>
      <c r="C978" s="21" t="s">
        <v>1031</v>
      </c>
      <c r="D978" s="22" t="s">
        <v>10091</v>
      </c>
      <c r="E978" s="23" t="s">
        <v>13034</v>
      </c>
      <c r="F978" s="19">
        <v>40074.371446759258</v>
      </c>
      <c r="G978" s="17" t="s">
        <v>171</v>
      </c>
      <c r="H978" s="35" t="s">
        <v>95</v>
      </c>
      <c r="I978" s="25" t="s">
        <v>1033</v>
      </c>
    </row>
    <row r="979" spans="1:9" s="31" customFormat="1" ht="75">
      <c r="A979" s="4">
        <v>43565.4375</v>
      </c>
      <c r="B979" s="5" t="s">
        <v>15671</v>
      </c>
      <c r="C979" s="6" t="s">
        <v>6092</v>
      </c>
      <c r="D979" s="7" t="s">
        <v>6093</v>
      </c>
      <c r="E979" s="8" t="s">
        <v>13120</v>
      </c>
      <c r="F979" s="4">
        <v>40520.679155092592</v>
      </c>
      <c r="G979" s="17" t="s">
        <v>171</v>
      </c>
      <c r="H979" s="35" t="s">
        <v>95</v>
      </c>
      <c r="I979" s="10" t="s">
        <v>6094</v>
      </c>
    </row>
    <row r="980" spans="1:9" s="31" customFormat="1" ht="60">
      <c r="A980" s="4">
        <v>43565.093333333338</v>
      </c>
      <c r="B980" s="5" t="s">
        <v>15672</v>
      </c>
      <c r="C980" s="6" t="s">
        <v>6288</v>
      </c>
      <c r="D980" s="7" t="s">
        <v>6289</v>
      </c>
      <c r="E980" s="8" t="s">
        <v>13114</v>
      </c>
      <c r="F980" s="4">
        <v>41707.142569444448</v>
      </c>
      <c r="G980" s="17" t="s">
        <v>171</v>
      </c>
      <c r="H980" s="35" t="s">
        <v>95</v>
      </c>
      <c r="I980" s="10" t="s">
        <v>6290</v>
      </c>
    </row>
    <row r="981" spans="1:9" s="31" customFormat="1" ht="105">
      <c r="A981" s="4">
        <v>43565.090381944443</v>
      </c>
      <c r="B981" s="5" t="s">
        <v>15673</v>
      </c>
      <c r="C981" s="6" t="s">
        <v>6291</v>
      </c>
      <c r="D981" s="7" t="s">
        <v>6292</v>
      </c>
      <c r="E981" s="8" t="s">
        <v>13009</v>
      </c>
      <c r="F981" s="4">
        <v>40798.433113425926</v>
      </c>
      <c r="G981" s="17" t="s">
        <v>171</v>
      </c>
      <c r="H981" s="35" t="s">
        <v>95</v>
      </c>
      <c r="I981" s="10" t="s">
        <v>6293</v>
      </c>
    </row>
    <row r="982" spans="1:9" s="31" customFormat="1" ht="120">
      <c r="A982" s="4">
        <v>43565.007002314815</v>
      </c>
      <c r="B982" s="5" t="s">
        <v>15674</v>
      </c>
      <c r="C982" s="6" t="s">
        <v>158</v>
      </c>
      <c r="D982" s="7" t="s">
        <v>6345</v>
      </c>
      <c r="E982" s="8" t="s">
        <v>13018</v>
      </c>
      <c r="F982" s="4">
        <v>39899.048576388886</v>
      </c>
      <c r="G982" s="17" t="s">
        <v>171</v>
      </c>
      <c r="H982" s="35" t="s">
        <v>95</v>
      </c>
      <c r="I982" s="10" t="s">
        <v>160</v>
      </c>
    </row>
    <row r="983" spans="1:9" s="31" customFormat="1" ht="75">
      <c r="A983" s="4">
        <v>43564.97042824074</v>
      </c>
      <c r="B983" s="5" t="s">
        <v>15675</v>
      </c>
      <c r="C983" s="6" t="s">
        <v>6355</v>
      </c>
      <c r="D983" s="7" t="s">
        <v>6356</v>
      </c>
      <c r="E983" s="8" t="s">
        <v>13013</v>
      </c>
      <c r="F983" s="4">
        <v>39168.075231481482</v>
      </c>
      <c r="G983" s="17" t="s">
        <v>171</v>
      </c>
      <c r="H983" s="35" t="s">
        <v>95</v>
      </c>
      <c r="I983" s="10" t="s">
        <v>6357</v>
      </c>
    </row>
    <row r="984" spans="1:9" s="31" customFormat="1" ht="75">
      <c r="A984" s="4">
        <v>43564.968148148153</v>
      </c>
      <c r="B984" s="5" t="s">
        <v>15675</v>
      </c>
      <c r="C984" s="6" t="s">
        <v>6355</v>
      </c>
      <c r="D984" s="7" t="s">
        <v>6358</v>
      </c>
      <c r="E984" s="8" t="s">
        <v>13013</v>
      </c>
      <c r="F984" s="4">
        <v>39168.075231481482</v>
      </c>
      <c r="G984" s="17" t="s">
        <v>171</v>
      </c>
      <c r="H984" s="35" t="s">
        <v>95</v>
      </c>
      <c r="I984" s="10" t="s">
        <v>6357</v>
      </c>
    </row>
    <row r="985" spans="1:9" s="31" customFormat="1" ht="150">
      <c r="A985" s="4">
        <v>43564.257106481484</v>
      </c>
      <c r="B985" s="5" t="s">
        <v>15669</v>
      </c>
      <c r="C985" s="6" t="s">
        <v>302</v>
      </c>
      <c r="D985" s="7" t="s">
        <v>6711</v>
      </c>
      <c r="E985" s="8" t="s">
        <v>13018</v>
      </c>
      <c r="F985" s="4">
        <v>40490.108634259261</v>
      </c>
      <c r="G985" s="17" t="s">
        <v>171</v>
      </c>
      <c r="H985" s="35" t="s">
        <v>95</v>
      </c>
      <c r="I985" s="10" t="s">
        <v>304</v>
      </c>
    </row>
    <row r="986" spans="1:9" s="31" customFormat="1" ht="105">
      <c r="A986" s="4">
        <v>43564.177233796298</v>
      </c>
      <c r="B986" s="5" t="s">
        <v>15676</v>
      </c>
      <c r="C986" s="6" t="s">
        <v>3847</v>
      </c>
      <c r="D986" s="7" t="s">
        <v>6755</v>
      </c>
      <c r="E986" s="8" t="s">
        <v>13018</v>
      </c>
      <c r="F986" s="4">
        <v>40772.510868055557</v>
      </c>
      <c r="G986" s="17" t="s">
        <v>171</v>
      </c>
      <c r="H986" s="35" t="s">
        <v>95</v>
      </c>
      <c r="I986" s="10" t="s">
        <v>3849</v>
      </c>
    </row>
    <row r="987" spans="1:9" s="31" customFormat="1" ht="105">
      <c r="A987" s="4">
        <v>43563.078888888893</v>
      </c>
      <c r="B987" s="5" t="s">
        <v>15677</v>
      </c>
      <c r="C987" s="6" t="s">
        <v>10473</v>
      </c>
      <c r="D987" s="7" t="s">
        <v>10474</v>
      </c>
      <c r="E987" s="8" t="s">
        <v>13009</v>
      </c>
      <c r="F987" s="4">
        <v>40680.317106481481</v>
      </c>
      <c r="G987" s="17" t="s">
        <v>171</v>
      </c>
      <c r="H987" s="35" t="s">
        <v>95</v>
      </c>
      <c r="I987" s="10" t="s">
        <v>10475</v>
      </c>
    </row>
    <row r="988" spans="1:9" s="31" customFormat="1" ht="75">
      <c r="A988" s="4">
        <v>43562.083819444444</v>
      </c>
      <c r="B988" s="5" t="s">
        <v>15678</v>
      </c>
      <c r="C988" s="6" t="s">
        <v>10754</v>
      </c>
      <c r="D988" s="7" t="s">
        <v>10755</v>
      </c>
      <c r="E988" s="8" t="s">
        <v>13018</v>
      </c>
      <c r="F988" s="4">
        <v>41442.496527777781</v>
      </c>
      <c r="G988" s="17" t="s">
        <v>171</v>
      </c>
      <c r="H988" s="35" t="s">
        <v>95</v>
      </c>
      <c r="I988" s="10" t="s">
        <v>10756</v>
      </c>
    </row>
    <row r="989" spans="1:9" s="31" customFormat="1" ht="105">
      <c r="A989" s="4">
        <v>43561.631296296298</v>
      </c>
      <c r="B989" s="5" t="s">
        <v>15679</v>
      </c>
      <c r="C989" s="6" t="s">
        <v>10897</v>
      </c>
      <c r="D989" s="7" t="s">
        <v>10898</v>
      </c>
      <c r="E989" s="8" t="s">
        <v>13011</v>
      </c>
      <c r="F989" s="4">
        <v>39907.56590277778</v>
      </c>
      <c r="G989" s="17" t="s">
        <v>171</v>
      </c>
      <c r="H989" s="35" t="s">
        <v>95</v>
      </c>
      <c r="I989" s="10" t="s">
        <v>10899</v>
      </c>
    </row>
    <row r="990" spans="1:9" s="31" customFormat="1" ht="60">
      <c r="A990" s="4">
        <v>43561.081261574072</v>
      </c>
      <c r="B990" s="5" t="s">
        <v>15680</v>
      </c>
      <c r="C990" s="6" t="s">
        <v>11077</v>
      </c>
      <c r="D990" s="7" t="s">
        <v>11078</v>
      </c>
      <c r="E990" s="8" t="s">
        <v>13032</v>
      </c>
      <c r="F990" s="4">
        <v>40573.374780092592</v>
      </c>
      <c r="G990" s="17" t="s">
        <v>171</v>
      </c>
      <c r="H990" s="35" t="s">
        <v>95</v>
      </c>
      <c r="I990" s="10" t="s">
        <v>11079</v>
      </c>
    </row>
    <row r="991" spans="1:9" s="31" customFormat="1" ht="45">
      <c r="A991" s="4">
        <v>43560.488043981481</v>
      </c>
      <c r="B991" s="5" t="s">
        <v>15681</v>
      </c>
      <c r="C991" s="6" t="s">
        <v>11338</v>
      </c>
      <c r="D991" s="7" t="s">
        <v>11339</v>
      </c>
      <c r="E991" s="8" t="s">
        <v>13011</v>
      </c>
      <c r="F991" s="4">
        <v>39987.517407407409</v>
      </c>
      <c r="G991" s="17" t="s">
        <v>171</v>
      </c>
      <c r="H991" s="35" t="s">
        <v>95</v>
      </c>
      <c r="I991" s="10" t="s">
        <v>11340</v>
      </c>
    </row>
    <row r="992" spans="1:9" s="31" customFormat="1" ht="105">
      <c r="A992" s="4">
        <v>43560.416678240741</v>
      </c>
      <c r="B992" s="5" t="s">
        <v>15682</v>
      </c>
      <c r="C992" s="6" t="s">
        <v>11394</v>
      </c>
      <c r="D992" s="7" t="s">
        <v>11395</v>
      </c>
      <c r="E992" s="8" t="s">
        <v>13120</v>
      </c>
      <c r="F992" s="4">
        <v>39883.328773148147</v>
      </c>
      <c r="G992" s="17" t="s">
        <v>171</v>
      </c>
      <c r="H992" s="35" t="s">
        <v>95</v>
      </c>
      <c r="I992" s="10" t="s">
        <v>11396</v>
      </c>
    </row>
    <row r="993" spans="1:9" s="31" customFormat="1" ht="105">
      <c r="A993" s="4">
        <v>43560.34375</v>
      </c>
      <c r="B993" s="5" t="s">
        <v>15682</v>
      </c>
      <c r="C993" s="6" t="s">
        <v>11394</v>
      </c>
      <c r="D993" s="7" t="s">
        <v>11395</v>
      </c>
      <c r="E993" s="8" t="s">
        <v>13120</v>
      </c>
      <c r="F993" s="4">
        <v>39883.328773148147</v>
      </c>
      <c r="G993" s="17" t="s">
        <v>171</v>
      </c>
      <c r="H993" s="35" t="s">
        <v>95</v>
      </c>
      <c r="I993" s="10" t="s">
        <v>11396</v>
      </c>
    </row>
    <row r="994" spans="1:9" s="31" customFormat="1" ht="135">
      <c r="A994" s="4">
        <v>43560.247465277775</v>
      </c>
      <c r="B994" s="5" t="s">
        <v>15683</v>
      </c>
      <c r="C994" s="6" t="s">
        <v>11543</v>
      </c>
      <c r="D994" s="7" t="s">
        <v>11544</v>
      </c>
      <c r="E994" s="8" t="s">
        <v>13011</v>
      </c>
      <c r="F994" s="4">
        <v>39858.135277777779</v>
      </c>
      <c r="G994" s="17" t="s">
        <v>171</v>
      </c>
      <c r="H994" s="35" t="s">
        <v>95</v>
      </c>
      <c r="I994" s="10" t="s">
        <v>11545</v>
      </c>
    </row>
    <row r="995" spans="1:9" s="31" customFormat="1" ht="150">
      <c r="A995" s="4">
        <v>43560.21539351852</v>
      </c>
      <c r="B995" s="5" t="s">
        <v>15669</v>
      </c>
      <c r="C995" s="6" t="s">
        <v>302</v>
      </c>
      <c r="D995" s="7" t="s">
        <v>11566</v>
      </c>
      <c r="E995" s="8" t="s">
        <v>13018</v>
      </c>
      <c r="F995" s="4">
        <v>40490.108634259261</v>
      </c>
      <c r="G995" s="17" t="s">
        <v>171</v>
      </c>
      <c r="H995" s="35" t="s">
        <v>95</v>
      </c>
      <c r="I995" s="10" t="s">
        <v>304</v>
      </c>
    </row>
    <row r="996" spans="1:9" s="31" customFormat="1" ht="90">
      <c r="A996" s="4">
        <v>43559.147199074076</v>
      </c>
      <c r="B996" s="5" t="s">
        <v>15684</v>
      </c>
      <c r="C996" s="6" t="s">
        <v>11931</v>
      </c>
      <c r="D996" s="7" t="s">
        <v>11932</v>
      </c>
      <c r="E996" s="8" t="s">
        <v>13009</v>
      </c>
      <c r="F996" s="4">
        <v>41214.037523148145</v>
      </c>
      <c r="G996" s="17" t="s">
        <v>171</v>
      </c>
      <c r="H996" s="35" t="s">
        <v>95</v>
      </c>
      <c r="I996" s="10" t="s">
        <v>11933</v>
      </c>
    </row>
    <row r="997" spans="1:9" s="31" customFormat="1" ht="105">
      <c r="A997" s="4">
        <v>43558.433819444443</v>
      </c>
      <c r="B997" s="5" t="s">
        <v>15685</v>
      </c>
      <c r="C997" s="6" t="s">
        <v>12192</v>
      </c>
      <c r="D997" s="7" t="s">
        <v>12135</v>
      </c>
      <c r="E997" s="8" t="s">
        <v>13077</v>
      </c>
      <c r="F997" s="4">
        <v>43548.305844907409</v>
      </c>
      <c r="G997" s="17" t="s">
        <v>171</v>
      </c>
      <c r="H997" s="35" t="s">
        <v>95</v>
      </c>
      <c r="I997" s="10" t="s">
        <v>12193</v>
      </c>
    </row>
    <row r="998" spans="1:9" s="31" customFormat="1" ht="45">
      <c r="A998" s="4">
        <v>43558.184976851851</v>
      </c>
      <c r="B998" s="5" t="s">
        <v>15686</v>
      </c>
      <c r="C998" s="6" t="s">
        <v>12296</v>
      </c>
      <c r="D998" s="7" t="s">
        <v>12297</v>
      </c>
      <c r="E998" s="8" t="s">
        <v>13032</v>
      </c>
      <c r="F998" s="4">
        <v>40104.891805555555</v>
      </c>
      <c r="G998" s="17" t="s">
        <v>171</v>
      </c>
      <c r="H998" s="35" t="s">
        <v>95</v>
      </c>
      <c r="I998" s="10" t="s">
        <v>12298</v>
      </c>
    </row>
    <row r="999" spans="1:9" s="31" customFormat="1" ht="45">
      <c r="A999" s="4">
        <v>43558.183703703704</v>
      </c>
      <c r="B999" s="5" t="s">
        <v>15686</v>
      </c>
      <c r="C999" s="6" t="s">
        <v>12296</v>
      </c>
      <c r="D999" s="7" t="s">
        <v>12297</v>
      </c>
      <c r="E999" s="8" t="s">
        <v>13032</v>
      </c>
      <c r="F999" s="4">
        <v>40104.891805555555</v>
      </c>
      <c r="G999" s="17" t="s">
        <v>171</v>
      </c>
      <c r="H999" s="35" t="s">
        <v>95</v>
      </c>
      <c r="I999" s="10" t="s">
        <v>12298</v>
      </c>
    </row>
    <row r="1000" spans="1:9" s="31" customFormat="1" ht="45">
      <c r="A1000" s="4">
        <v>43558.181504629625</v>
      </c>
      <c r="B1000" s="5" t="s">
        <v>15686</v>
      </c>
      <c r="C1000" s="6" t="s">
        <v>12296</v>
      </c>
      <c r="D1000" s="7" t="s">
        <v>12297</v>
      </c>
      <c r="E1000" s="8" t="s">
        <v>13032</v>
      </c>
      <c r="F1000" s="4">
        <v>40104.891805555555</v>
      </c>
      <c r="G1000" s="17" t="s">
        <v>171</v>
      </c>
      <c r="H1000" s="35" t="s">
        <v>95</v>
      </c>
      <c r="I1000" s="10" t="s">
        <v>12298</v>
      </c>
    </row>
    <row r="1001" spans="1:9" s="31" customFormat="1" ht="45">
      <c r="A1001" s="4">
        <v>43557.573645833334</v>
      </c>
      <c r="B1001" s="5" t="s">
        <v>15687</v>
      </c>
      <c r="C1001" s="6" t="s">
        <v>12468</v>
      </c>
      <c r="D1001" s="7" t="s">
        <v>12469</v>
      </c>
      <c r="E1001" s="8" t="s">
        <v>13120</v>
      </c>
      <c r="F1001" s="4">
        <v>40325.599594907406</v>
      </c>
      <c r="G1001" s="17" t="s">
        <v>171</v>
      </c>
      <c r="H1001" s="35" t="s">
        <v>12470</v>
      </c>
      <c r="I1001" s="10" t="s">
        <v>12471</v>
      </c>
    </row>
    <row r="1002" spans="1:9" s="31" customFormat="1" ht="75">
      <c r="A1002" s="4">
        <v>43557.474409722221</v>
      </c>
      <c r="B1002" s="5" t="s">
        <v>15688</v>
      </c>
      <c r="C1002" s="6" t="s">
        <v>12504</v>
      </c>
      <c r="D1002" s="7" t="s">
        <v>12505</v>
      </c>
      <c r="E1002" s="8" t="s">
        <v>13130</v>
      </c>
      <c r="F1002" s="4">
        <v>40583.344710648147</v>
      </c>
      <c r="G1002" s="17" t="s">
        <v>171</v>
      </c>
      <c r="H1002" s="35" t="s">
        <v>95</v>
      </c>
      <c r="I1002" s="10"/>
    </row>
    <row r="1003" spans="1:9" s="31" customFormat="1" ht="120">
      <c r="A1003" s="4">
        <v>43557.13894675926</v>
      </c>
      <c r="B1003" s="5" t="s">
        <v>15674</v>
      </c>
      <c r="C1003" s="6" t="s">
        <v>158</v>
      </c>
      <c r="D1003" s="7" t="s">
        <v>12644</v>
      </c>
      <c r="E1003" s="8" t="s">
        <v>13018</v>
      </c>
      <c r="F1003" s="4">
        <v>39899.048576388886</v>
      </c>
      <c r="G1003" s="17" t="s">
        <v>171</v>
      </c>
      <c r="H1003" s="35" t="s">
        <v>95</v>
      </c>
      <c r="I1003" s="10" t="s">
        <v>160</v>
      </c>
    </row>
    <row r="1004" spans="1:9" s="31" customFormat="1" ht="75">
      <c r="A1004" s="4">
        <v>43557.12563657407</v>
      </c>
      <c r="B1004" s="5" t="s">
        <v>15689</v>
      </c>
      <c r="C1004" s="6" t="s">
        <v>12649</v>
      </c>
      <c r="D1004" s="7" t="s">
        <v>12650</v>
      </c>
      <c r="E1004" s="8" t="s">
        <v>13018</v>
      </c>
      <c r="F1004" s="4">
        <v>42930.075520833328</v>
      </c>
      <c r="G1004" s="17" t="s">
        <v>171</v>
      </c>
      <c r="H1004" s="35" t="s">
        <v>95</v>
      </c>
      <c r="I1004" s="10" t="s">
        <v>12651</v>
      </c>
    </row>
    <row r="1005" spans="1:9" s="31" customFormat="1" ht="75">
      <c r="A1005" s="4">
        <v>43557.070023148146</v>
      </c>
      <c r="B1005" s="5" t="s">
        <v>15690</v>
      </c>
      <c r="C1005" s="6" t="s">
        <v>3844</v>
      </c>
      <c r="D1005" s="7" t="s">
        <v>12657</v>
      </c>
      <c r="E1005" s="8" t="s">
        <v>13027</v>
      </c>
      <c r="F1005" s="4">
        <v>40363.324606481481</v>
      </c>
      <c r="G1005" s="17" t="s">
        <v>171</v>
      </c>
      <c r="H1005" s="35" t="s">
        <v>95</v>
      </c>
      <c r="I1005" s="10" t="s">
        <v>3846</v>
      </c>
    </row>
    <row r="1006" spans="1:9" s="31" customFormat="1" ht="60">
      <c r="A1006" s="12">
        <v>43580.746886574074</v>
      </c>
      <c r="B1006" s="13" t="s">
        <v>15691</v>
      </c>
      <c r="C1006" s="14" t="s">
        <v>93</v>
      </c>
      <c r="D1006" s="15" t="s">
        <v>94</v>
      </c>
      <c r="E1006" s="16" t="s">
        <v>13009</v>
      </c>
      <c r="F1006" s="12">
        <v>43119.62777777778</v>
      </c>
      <c r="G1006" s="17" t="s">
        <v>171</v>
      </c>
      <c r="H1006" s="35" t="s">
        <v>95</v>
      </c>
      <c r="I1006" s="18" t="s">
        <v>96</v>
      </c>
    </row>
    <row r="1007" spans="1:9" s="31" customFormat="1" ht="120">
      <c r="A1007" s="12">
        <v>43580.720891203702</v>
      </c>
      <c r="B1007" s="13" t="s">
        <v>15692</v>
      </c>
      <c r="C1007" s="14" t="s">
        <v>132</v>
      </c>
      <c r="D1007" s="15" t="s">
        <v>133</v>
      </c>
      <c r="E1007" s="16" t="s">
        <v>13009</v>
      </c>
      <c r="F1007" s="12">
        <v>40140.752280092594</v>
      </c>
      <c r="G1007" s="17" t="s">
        <v>171</v>
      </c>
      <c r="H1007" s="35" t="s">
        <v>95</v>
      </c>
      <c r="I1007" s="18" t="s">
        <v>134</v>
      </c>
    </row>
    <row r="1008" spans="1:9" s="31" customFormat="1" ht="120">
      <c r="A1008" s="12">
        <v>43580.659803240742</v>
      </c>
      <c r="B1008" s="13" t="s">
        <v>15674</v>
      </c>
      <c r="C1008" s="14" t="s">
        <v>158</v>
      </c>
      <c r="D1008" s="15" t="s">
        <v>159</v>
      </c>
      <c r="E1008" s="16" t="s">
        <v>13018</v>
      </c>
      <c r="F1008" s="12">
        <v>39899.506909722222</v>
      </c>
      <c r="G1008" s="17" t="s">
        <v>171</v>
      </c>
      <c r="H1008" s="35" t="s">
        <v>95</v>
      </c>
      <c r="I1008" s="18" t="s">
        <v>160</v>
      </c>
    </row>
    <row r="1009" spans="1:9" s="31" customFormat="1" ht="135">
      <c r="A1009" s="12">
        <v>43580.148854166662</v>
      </c>
      <c r="B1009" s="13" t="s">
        <v>15693</v>
      </c>
      <c r="C1009" s="14" t="s">
        <v>221</v>
      </c>
      <c r="D1009" s="15" t="s">
        <v>222</v>
      </c>
      <c r="E1009" s="16" t="s">
        <v>13009</v>
      </c>
      <c r="F1009" s="12">
        <v>41370.252256944441</v>
      </c>
      <c r="G1009" s="17" t="s">
        <v>171</v>
      </c>
      <c r="H1009" s="35" t="s">
        <v>95</v>
      </c>
      <c r="I1009" s="18" t="s">
        <v>223</v>
      </c>
    </row>
    <row r="1010" spans="1:9" s="31" customFormat="1" ht="60">
      <c r="A1010" s="12">
        <v>43580.144317129627</v>
      </c>
      <c r="B1010" s="13" t="s">
        <v>15694</v>
      </c>
      <c r="C1010" s="14" t="s">
        <v>228</v>
      </c>
      <c r="D1010" s="15" t="s">
        <v>229</v>
      </c>
      <c r="E1010" s="16" t="s">
        <v>13009</v>
      </c>
      <c r="F1010" s="12">
        <v>41011.318020833336</v>
      </c>
      <c r="G1010" s="17" t="s">
        <v>171</v>
      </c>
      <c r="H1010" s="35" t="s">
        <v>95</v>
      </c>
      <c r="I1010" s="18" t="s">
        <v>230</v>
      </c>
    </row>
    <row r="1011" spans="1:9" s="31" customFormat="1" ht="90">
      <c r="A1011" s="12">
        <v>43580.125497685185</v>
      </c>
      <c r="B1011" s="13" t="s">
        <v>15695</v>
      </c>
      <c r="C1011" s="14" t="s">
        <v>267</v>
      </c>
      <c r="D1011" s="15" t="s">
        <v>268</v>
      </c>
      <c r="E1011" s="16" t="s">
        <v>13015</v>
      </c>
      <c r="F1011" s="12">
        <v>39849.406145833331</v>
      </c>
      <c r="G1011" s="17" t="s">
        <v>171</v>
      </c>
      <c r="H1011" s="35" t="s">
        <v>95</v>
      </c>
      <c r="I1011" s="18" t="s">
        <v>269</v>
      </c>
    </row>
    <row r="1012" spans="1:9" s="31" customFormat="1" ht="150">
      <c r="A1012" s="12">
        <v>43580.069502314815</v>
      </c>
      <c r="B1012" s="13" t="s">
        <v>15669</v>
      </c>
      <c r="C1012" s="14" t="s">
        <v>302</v>
      </c>
      <c r="D1012" s="15" t="s">
        <v>303</v>
      </c>
      <c r="E1012" s="16" t="s">
        <v>13018</v>
      </c>
      <c r="F1012" s="12">
        <v>40490.108634259261</v>
      </c>
      <c r="G1012" s="17" t="s">
        <v>171</v>
      </c>
      <c r="H1012" s="35" t="s">
        <v>95</v>
      </c>
      <c r="I1012" s="18" t="s">
        <v>304</v>
      </c>
    </row>
    <row r="1013" spans="1:9" s="31" customFormat="1" ht="120">
      <c r="A1013" s="12">
        <v>43580.01394675926</v>
      </c>
      <c r="B1013" s="13" t="s">
        <v>15674</v>
      </c>
      <c r="C1013" s="14" t="s">
        <v>158</v>
      </c>
      <c r="D1013" s="15" t="s">
        <v>74</v>
      </c>
      <c r="E1013" s="16" t="s">
        <v>13018</v>
      </c>
      <c r="F1013" s="12">
        <v>39899.048576388886</v>
      </c>
      <c r="G1013" s="17" t="s">
        <v>171</v>
      </c>
      <c r="H1013" s="35" t="s">
        <v>95</v>
      </c>
      <c r="I1013" s="18" t="s">
        <v>160</v>
      </c>
    </row>
    <row r="1014" spans="1:9" s="31" customFormat="1" ht="105">
      <c r="A1014" s="12">
        <v>43580.010925925926</v>
      </c>
      <c r="B1014" s="13" t="s">
        <v>15696</v>
      </c>
      <c r="C1014" s="14" t="s">
        <v>330</v>
      </c>
      <c r="D1014" s="15" t="s">
        <v>331</v>
      </c>
      <c r="E1014" s="16" t="s">
        <v>13018</v>
      </c>
      <c r="F1014" s="12">
        <v>40106.002546296295</v>
      </c>
      <c r="G1014" s="17" t="s">
        <v>171</v>
      </c>
      <c r="H1014" s="35" t="s">
        <v>95</v>
      </c>
      <c r="I1014" s="18" t="s">
        <v>332</v>
      </c>
    </row>
    <row r="1015" spans="1:9" s="31" customFormat="1" ht="75">
      <c r="A1015" s="12">
        <v>43578.790995370371</v>
      </c>
      <c r="B1015" s="13" t="s">
        <v>15670</v>
      </c>
      <c r="C1015" s="14" t="s">
        <v>1031</v>
      </c>
      <c r="D1015" s="15" t="s">
        <v>1032</v>
      </c>
      <c r="E1015" s="16" t="s">
        <v>13034</v>
      </c>
      <c r="F1015" s="12">
        <v>40074.371446759258</v>
      </c>
      <c r="G1015" s="17" t="s">
        <v>171</v>
      </c>
      <c r="H1015" s="35" t="s">
        <v>95</v>
      </c>
      <c r="I1015" s="18" t="s">
        <v>1033</v>
      </c>
    </row>
    <row r="1016" spans="1:9" s="31" customFormat="1" ht="135">
      <c r="A1016" s="12">
        <v>43578.377893518518</v>
      </c>
      <c r="B1016" s="13" t="s">
        <v>15697</v>
      </c>
      <c r="C1016" s="14" t="s">
        <v>1256</v>
      </c>
      <c r="D1016" s="15" t="s">
        <v>1257</v>
      </c>
      <c r="E1016" s="16" t="s">
        <v>13099</v>
      </c>
      <c r="F1016" s="12">
        <v>40128.292048611111</v>
      </c>
      <c r="G1016" s="17" t="s">
        <v>171</v>
      </c>
      <c r="H1016" s="35" t="s">
        <v>95</v>
      </c>
      <c r="I1016" s="18" t="s">
        <v>1258</v>
      </c>
    </row>
    <row r="1017" spans="1:9" s="31" customFormat="1" ht="30">
      <c r="A1017" s="12">
        <v>43578.281296296293</v>
      </c>
      <c r="B1017" s="13" t="s">
        <v>15698</v>
      </c>
      <c r="C1017" s="14" t="s">
        <v>1325</v>
      </c>
      <c r="D1017" s="15" t="s">
        <v>1326</v>
      </c>
      <c r="E1017" s="16" t="s">
        <v>13034</v>
      </c>
      <c r="F1017" s="12">
        <v>43539.435439814813</v>
      </c>
      <c r="G1017" s="17" t="s">
        <v>171</v>
      </c>
      <c r="H1017" s="35" t="s">
        <v>95</v>
      </c>
      <c r="I1017" s="18" t="s">
        <v>1327</v>
      </c>
    </row>
    <row r="1018" spans="1:9" s="31" customFormat="1" ht="105">
      <c r="A1018" s="12">
        <v>43575.042766203704</v>
      </c>
      <c r="B1018" s="13" t="s">
        <v>15668</v>
      </c>
      <c r="C1018" s="14" t="s">
        <v>2382</v>
      </c>
      <c r="D1018" s="15" t="s">
        <v>2383</v>
      </c>
      <c r="E1018" s="16" t="s">
        <v>13027</v>
      </c>
      <c r="F1018" s="12">
        <v>40372.298564814817</v>
      </c>
      <c r="G1018" s="17" t="s">
        <v>171</v>
      </c>
      <c r="H1018" s="35" t="s">
        <v>95</v>
      </c>
      <c r="I1018" s="18" t="s">
        <v>2384</v>
      </c>
    </row>
    <row r="1019" spans="1:9" s="31" customFormat="1" ht="30">
      <c r="A1019" s="12">
        <v>43573.458541666667</v>
      </c>
      <c r="B1019" s="13" t="s">
        <v>15699</v>
      </c>
      <c r="C1019" s="14" t="s">
        <v>2853</v>
      </c>
      <c r="D1019" s="15" t="s">
        <v>2854</v>
      </c>
      <c r="E1019" s="16" t="s">
        <v>13032</v>
      </c>
      <c r="F1019" s="12">
        <v>39911.511990740742</v>
      </c>
      <c r="G1019" s="17" t="s">
        <v>171</v>
      </c>
      <c r="H1019" s="35" t="s">
        <v>95</v>
      </c>
      <c r="I1019" s="18"/>
    </row>
    <row r="1020" spans="1:9" s="31" customFormat="1" ht="135">
      <c r="A1020" s="12">
        <v>43571.224444444444</v>
      </c>
      <c r="B1020" s="13" t="s">
        <v>15700</v>
      </c>
      <c r="C1020" s="14" t="s">
        <v>3778</v>
      </c>
      <c r="D1020" s="15" t="s">
        <v>3779</v>
      </c>
      <c r="E1020" s="16" t="s">
        <v>13011</v>
      </c>
      <c r="F1020" s="12">
        <v>39846.458935185183</v>
      </c>
      <c r="G1020" s="17" t="s">
        <v>171</v>
      </c>
      <c r="H1020" s="35" t="s">
        <v>95</v>
      </c>
      <c r="I1020" s="18" t="s">
        <v>3780</v>
      </c>
    </row>
    <row r="1021" spans="1:9" s="31" customFormat="1" ht="75">
      <c r="A1021" s="12">
        <v>43571.111574074079</v>
      </c>
      <c r="B1021" s="13" t="s">
        <v>15690</v>
      </c>
      <c r="C1021" s="14" t="s">
        <v>3844</v>
      </c>
      <c r="D1021" s="15" t="s">
        <v>3845</v>
      </c>
      <c r="E1021" s="16" t="s">
        <v>13027</v>
      </c>
      <c r="F1021" s="12">
        <v>40363.324606481481</v>
      </c>
      <c r="G1021" s="17" t="s">
        <v>171</v>
      </c>
      <c r="H1021" s="35" t="s">
        <v>95</v>
      </c>
      <c r="I1021" s="18" t="s">
        <v>3846</v>
      </c>
    </row>
    <row r="1022" spans="1:9" s="31" customFormat="1" ht="105">
      <c r="A1022" s="12">
        <v>43571.10769675926</v>
      </c>
      <c r="B1022" s="13" t="s">
        <v>15676</v>
      </c>
      <c r="C1022" s="14" t="s">
        <v>3847</v>
      </c>
      <c r="D1022" s="15" t="s">
        <v>3848</v>
      </c>
      <c r="E1022" s="16" t="s">
        <v>13018</v>
      </c>
      <c r="F1022" s="12">
        <v>40772.510868055557</v>
      </c>
      <c r="G1022" s="17" t="s">
        <v>171</v>
      </c>
      <c r="H1022" s="35" t="s">
        <v>95</v>
      </c>
      <c r="I1022" s="18" t="s">
        <v>3849</v>
      </c>
    </row>
    <row r="1023" spans="1:9" s="31" customFormat="1" ht="45">
      <c r="A1023" s="12">
        <v>43570.598020833335</v>
      </c>
      <c r="B1023" s="13" t="s">
        <v>15701</v>
      </c>
      <c r="C1023" s="14" t="s">
        <v>4031</v>
      </c>
      <c r="D1023" s="15" t="s">
        <v>4032</v>
      </c>
      <c r="E1023" s="16" t="s">
        <v>13034</v>
      </c>
      <c r="F1023" s="12">
        <v>42092.549050925925</v>
      </c>
      <c r="G1023" s="17" t="s">
        <v>171</v>
      </c>
      <c r="H1023" s="35" t="s">
        <v>95</v>
      </c>
      <c r="I1023" s="18" t="s">
        <v>4033</v>
      </c>
    </row>
    <row r="1024" spans="1:9" s="31" customFormat="1" ht="75">
      <c r="A1024" s="12">
        <v>43570.427048611113</v>
      </c>
      <c r="B1024" s="13" t="s">
        <v>15702</v>
      </c>
      <c r="C1024" s="14" t="s">
        <v>4159</v>
      </c>
      <c r="D1024" s="15" t="s">
        <v>4160</v>
      </c>
      <c r="E1024" s="16" t="s">
        <v>13013</v>
      </c>
      <c r="F1024" s="12">
        <v>39805.098912037036</v>
      </c>
      <c r="G1024" s="17" t="s">
        <v>171</v>
      </c>
      <c r="H1024" s="35" t="s">
        <v>95</v>
      </c>
      <c r="I1024" s="18" t="s">
        <v>4161</v>
      </c>
    </row>
    <row r="1025" spans="1:9" s="31" customFormat="1" ht="60">
      <c r="A1025" s="12">
        <v>43570.063888888893</v>
      </c>
      <c r="B1025" s="13" t="s">
        <v>15659</v>
      </c>
      <c r="C1025" s="14" t="s">
        <v>4346</v>
      </c>
      <c r="D1025" s="15" t="s">
        <v>4347</v>
      </c>
      <c r="E1025" s="16" t="s">
        <v>13120</v>
      </c>
      <c r="F1025" s="12">
        <v>42821.979490740741</v>
      </c>
      <c r="G1025" s="17" t="s">
        <v>171</v>
      </c>
      <c r="H1025" s="35" t="s">
        <v>95</v>
      </c>
      <c r="I1025" s="18" t="s">
        <v>4348</v>
      </c>
    </row>
    <row r="1026" spans="1:9" s="31" customFormat="1" ht="75">
      <c r="A1026" s="12">
        <v>43569.538194444445</v>
      </c>
      <c r="B1026" s="13" t="s">
        <v>15670</v>
      </c>
      <c r="C1026" s="14" t="s">
        <v>1031</v>
      </c>
      <c r="D1026" s="15" t="s">
        <v>4487</v>
      </c>
      <c r="E1026" s="16" t="s">
        <v>13034</v>
      </c>
      <c r="F1026" s="12">
        <v>40074.371446759258</v>
      </c>
      <c r="G1026" s="17" t="s">
        <v>171</v>
      </c>
      <c r="H1026" s="35" t="s">
        <v>95</v>
      </c>
      <c r="I1026" s="18" t="s">
        <v>1033</v>
      </c>
    </row>
    <row r="1027" spans="1:9" s="31" customFormat="1" ht="75">
      <c r="A1027" s="12">
        <v>43568.379861111112</v>
      </c>
      <c r="B1027" s="13" t="s">
        <v>15670</v>
      </c>
      <c r="C1027" s="14" t="s">
        <v>1031</v>
      </c>
      <c r="D1027" s="15" t="s">
        <v>4801</v>
      </c>
      <c r="E1027" s="16" t="s">
        <v>13034</v>
      </c>
      <c r="F1027" s="12">
        <v>40074.371446759258</v>
      </c>
      <c r="G1027" s="17" t="s">
        <v>171</v>
      </c>
      <c r="H1027" s="35" t="s">
        <v>95</v>
      </c>
      <c r="I1027" s="18" t="s">
        <v>1033</v>
      </c>
    </row>
    <row r="1028" spans="1:9" s="31" customFormat="1" ht="105">
      <c r="A1028" s="12">
        <v>43567.302175925928</v>
      </c>
      <c r="B1028" s="13" t="s">
        <v>15703</v>
      </c>
      <c r="C1028" s="14" t="s">
        <v>5178</v>
      </c>
      <c r="D1028" s="15" t="s">
        <v>5179</v>
      </c>
      <c r="E1028" s="16" t="s">
        <v>13011</v>
      </c>
      <c r="F1028" s="12">
        <v>41710.108969907407</v>
      </c>
      <c r="G1028" s="17" t="s">
        <v>171</v>
      </c>
      <c r="H1028" s="35" t="s">
        <v>95</v>
      </c>
      <c r="I1028" s="18" t="s">
        <v>5180</v>
      </c>
    </row>
    <row r="1029" spans="1:9" s="31" customFormat="1" ht="60">
      <c r="A1029" s="4">
        <v>43559.600416666668</v>
      </c>
      <c r="B1029" s="5" t="s">
        <v>15704</v>
      </c>
      <c r="C1029" s="6" t="s">
        <v>11750</v>
      </c>
      <c r="D1029" s="7" t="s">
        <v>11751</v>
      </c>
      <c r="E1029" s="8" t="s">
        <v>13013</v>
      </c>
      <c r="F1029" s="4">
        <v>39857.409548611111</v>
      </c>
      <c r="G1029" s="17" t="s">
        <v>171</v>
      </c>
      <c r="H1029" s="35" t="s">
        <v>11752</v>
      </c>
      <c r="I1029" s="10" t="s">
        <v>11753</v>
      </c>
    </row>
    <row r="1030" spans="1:9" s="31" customFormat="1" ht="135">
      <c r="A1030" s="12">
        <v>43576.042037037041</v>
      </c>
      <c r="B1030" s="13" t="s">
        <v>15705</v>
      </c>
      <c r="C1030" s="14" t="s">
        <v>2066</v>
      </c>
      <c r="D1030" s="15" t="s">
        <v>2067</v>
      </c>
      <c r="E1030" s="16" t="s">
        <v>13018</v>
      </c>
      <c r="F1030" s="12">
        <v>41472.366249999999</v>
      </c>
      <c r="G1030" s="17" t="s">
        <v>171</v>
      </c>
      <c r="H1030" s="35" t="s">
        <v>2068</v>
      </c>
      <c r="I1030" s="18" t="s">
        <v>2069</v>
      </c>
    </row>
    <row r="1031" spans="1:9" s="31" customFormat="1" ht="105">
      <c r="A1031" s="4">
        <v>43564.325648148151</v>
      </c>
      <c r="B1031" s="5" t="s">
        <v>15706</v>
      </c>
      <c r="C1031" s="6" t="s">
        <v>6685</v>
      </c>
      <c r="D1031" s="7" t="s">
        <v>6686</v>
      </c>
      <c r="E1031" s="8" t="s">
        <v>13013</v>
      </c>
      <c r="F1031" s="4">
        <v>40192.599363425928</v>
      </c>
      <c r="G1031" s="17" t="s">
        <v>171</v>
      </c>
      <c r="H1031" s="35" t="s">
        <v>6687</v>
      </c>
      <c r="I1031" s="10" t="s">
        <v>6688</v>
      </c>
    </row>
    <row r="1032" spans="1:9" s="31" customFormat="1" ht="105">
      <c r="A1032" s="19">
        <v>43549.322083333333</v>
      </c>
      <c r="B1032" s="20" t="s">
        <v>15707</v>
      </c>
      <c r="C1032" s="21" t="s">
        <v>8094</v>
      </c>
      <c r="D1032" s="22" t="s">
        <v>8095</v>
      </c>
      <c r="E1032" s="23" t="s">
        <v>13009</v>
      </c>
      <c r="F1032" s="19">
        <v>40382.120833333334</v>
      </c>
      <c r="G1032" s="17" t="s">
        <v>171</v>
      </c>
      <c r="H1032" s="35" t="s">
        <v>8096</v>
      </c>
      <c r="I1032" s="25" t="s">
        <v>8097</v>
      </c>
    </row>
    <row r="1033" spans="1:9" s="31" customFormat="1" ht="135">
      <c r="A1033" s="19">
        <v>43550.36310185185</v>
      </c>
      <c r="B1033" s="20" t="s">
        <v>15708</v>
      </c>
      <c r="C1033" s="21" t="s">
        <v>7706</v>
      </c>
      <c r="D1033" s="22" t="s">
        <v>7707</v>
      </c>
      <c r="E1033" s="23" t="s">
        <v>13009</v>
      </c>
      <c r="F1033" s="19">
        <v>40280.388472222221</v>
      </c>
      <c r="G1033" s="17" t="s">
        <v>171</v>
      </c>
      <c r="H1033" s="35" t="s">
        <v>7708</v>
      </c>
      <c r="I1033" s="25" t="s">
        <v>7709</v>
      </c>
    </row>
    <row r="1034" spans="1:9" s="31" customFormat="1" ht="135">
      <c r="A1034" s="19">
        <v>43542.486620370371</v>
      </c>
      <c r="B1034" s="20" t="s">
        <v>15708</v>
      </c>
      <c r="C1034" s="21" t="s">
        <v>7706</v>
      </c>
      <c r="D1034" s="22" t="s">
        <v>10145</v>
      </c>
      <c r="E1034" s="23" t="s">
        <v>13009</v>
      </c>
      <c r="F1034" s="19">
        <v>40280.388472222221</v>
      </c>
      <c r="G1034" s="17" t="s">
        <v>171</v>
      </c>
      <c r="H1034" s="35" t="s">
        <v>7708</v>
      </c>
      <c r="I1034" s="25" t="s">
        <v>7709</v>
      </c>
    </row>
    <row r="1035" spans="1:9" s="31" customFormat="1" ht="135">
      <c r="A1035" s="4">
        <v>43560.208807870367</v>
      </c>
      <c r="B1035" s="5" t="s">
        <v>15709</v>
      </c>
      <c r="C1035" s="6" t="s">
        <v>11567</v>
      </c>
      <c r="D1035" s="7" t="s">
        <v>11568</v>
      </c>
      <c r="E1035" s="8" t="s">
        <v>13018</v>
      </c>
      <c r="F1035" s="4">
        <v>40525.380856481483</v>
      </c>
      <c r="G1035" s="17" t="s">
        <v>171</v>
      </c>
      <c r="H1035" s="35" t="s">
        <v>11569</v>
      </c>
      <c r="I1035" s="10" t="s">
        <v>11570</v>
      </c>
    </row>
    <row r="1036" spans="1:9" s="31" customFormat="1" ht="135">
      <c r="A1036" s="4">
        <v>43560.093888888892</v>
      </c>
      <c r="B1036" s="5" t="s">
        <v>15709</v>
      </c>
      <c r="C1036" s="6" t="s">
        <v>11567</v>
      </c>
      <c r="D1036" s="7" t="s">
        <v>11606</v>
      </c>
      <c r="E1036" s="8" t="s">
        <v>13018</v>
      </c>
      <c r="F1036" s="4">
        <v>40525.380856481483</v>
      </c>
      <c r="G1036" s="17" t="s">
        <v>171</v>
      </c>
      <c r="H1036" s="35" t="s">
        <v>11569</v>
      </c>
      <c r="I1036" s="10" t="s">
        <v>11570</v>
      </c>
    </row>
    <row r="1037" spans="1:9" s="31" customFormat="1" ht="90">
      <c r="A1037" s="4">
        <v>43559.030358796299</v>
      </c>
      <c r="B1037" s="5" t="s">
        <v>15710</v>
      </c>
      <c r="C1037" s="6" t="s">
        <v>11969</v>
      </c>
      <c r="D1037" s="7" t="s">
        <v>11970</v>
      </c>
      <c r="E1037" s="8" t="s">
        <v>13011</v>
      </c>
      <c r="F1037" s="4">
        <v>40301.638877314814</v>
      </c>
      <c r="G1037" s="17" t="s">
        <v>171</v>
      </c>
      <c r="H1037" s="35" t="s">
        <v>11971</v>
      </c>
      <c r="I1037" s="10" t="s">
        <v>11972</v>
      </c>
    </row>
    <row r="1038" spans="1:9" s="31" customFormat="1" ht="90">
      <c r="A1038" s="4">
        <v>43558.408425925925</v>
      </c>
      <c r="B1038" s="5" t="s">
        <v>15710</v>
      </c>
      <c r="C1038" s="6" t="s">
        <v>11969</v>
      </c>
      <c r="D1038" s="7" t="s">
        <v>12211</v>
      </c>
      <c r="E1038" s="8" t="s">
        <v>13011</v>
      </c>
      <c r="F1038" s="4">
        <v>40301.638877314814</v>
      </c>
      <c r="G1038" s="17" t="s">
        <v>171</v>
      </c>
      <c r="H1038" s="35" t="s">
        <v>11971</v>
      </c>
      <c r="I1038" s="10" t="s">
        <v>11972</v>
      </c>
    </row>
    <row r="1039" spans="1:9" s="31" customFormat="1" ht="90">
      <c r="A1039" s="4">
        <v>43557.396307870367</v>
      </c>
      <c r="B1039" s="5" t="s">
        <v>15710</v>
      </c>
      <c r="C1039" s="6" t="s">
        <v>11969</v>
      </c>
      <c r="D1039" s="7" t="s">
        <v>12211</v>
      </c>
      <c r="E1039" s="8" t="s">
        <v>13011</v>
      </c>
      <c r="F1039" s="4">
        <v>40301.638877314814</v>
      </c>
      <c r="G1039" s="17" t="s">
        <v>171</v>
      </c>
      <c r="H1039" s="35" t="s">
        <v>11971</v>
      </c>
      <c r="I1039" s="10" t="s">
        <v>11972</v>
      </c>
    </row>
    <row r="1040" spans="1:9" s="31" customFormat="1" ht="90">
      <c r="A1040" s="4">
        <v>43556.951840277776</v>
      </c>
      <c r="B1040" s="5" t="s">
        <v>15710</v>
      </c>
      <c r="C1040" s="6" t="s">
        <v>11969</v>
      </c>
      <c r="D1040" s="7" t="s">
        <v>12211</v>
      </c>
      <c r="E1040" s="8" t="s">
        <v>13011</v>
      </c>
      <c r="F1040" s="4">
        <v>40301.638877314814</v>
      </c>
      <c r="G1040" s="17" t="s">
        <v>171</v>
      </c>
      <c r="H1040" s="35" t="s">
        <v>11971</v>
      </c>
      <c r="I1040" s="10" t="s">
        <v>11972</v>
      </c>
    </row>
    <row r="1041" spans="1:9" s="31" customFormat="1" ht="90">
      <c r="A1041" s="19">
        <v>43546.455960648149</v>
      </c>
      <c r="B1041" s="20" t="s">
        <v>15711</v>
      </c>
      <c r="C1041" s="21" t="s">
        <v>6603</v>
      </c>
      <c r="D1041" s="22" t="s">
        <v>8841</v>
      </c>
      <c r="E1041" s="23" t="s">
        <v>13032</v>
      </c>
      <c r="F1041" s="19">
        <v>39915.367627314816</v>
      </c>
      <c r="G1041" s="17" t="s">
        <v>171</v>
      </c>
      <c r="H1041" s="35" t="s">
        <v>6605</v>
      </c>
      <c r="I1041" s="25" t="s">
        <v>6606</v>
      </c>
    </row>
    <row r="1042" spans="1:9" s="31" customFormat="1" ht="90">
      <c r="A1042" s="4">
        <v>43564.448738425926</v>
      </c>
      <c r="B1042" s="5" t="s">
        <v>15711</v>
      </c>
      <c r="C1042" s="6" t="s">
        <v>6603</v>
      </c>
      <c r="D1042" s="7" t="s">
        <v>6604</v>
      </c>
      <c r="E1042" s="8" t="s">
        <v>13032</v>
      </c>
      <c r="F1042" s="4">
        <v>39915.367627314816</v>
      </c>
      <c r="G1042" s="17" t="s">
        <v>171</v>
      </c>
      <c r="H1042" s="35" t="s">
        <v>6605</v>
      </c>
      <c r="I1042" s="10" t="s">
        <v>6606</v>
      </c>
    </row>
    <row r="1043" spans="1:9" s="31" customFormat="1" ht="120">
      <c r="A1043" s="12">
        <v>43578.378194444449</v>
      </c>
      <c r="B1043" s="13" t="s">
        <v>15712</v>
      </c>
      <c r="C1043" s="14" t="s">
        <v>1252</v>
      </c>
      <c r="D1043" s="15" t="s">
        <v>1253</v>
      </c>
      <c r="E1043" s="16" t="s">
        <v>13009</v>
      </c>
      <c r="F1043" s="12">
        <v>39860.036863425928</v>
      </c>
      <c r="G1043" s="17" t="s">
        <v>171</v>
      </c>
      <c r="H1043" s="35" t="s">
        <v>1254</v>
      </c>
      <c r="I1043" s="18" t="s">
        <v>1255</v>
      </c>
    </row>
    <row r="1044" spans="1:9" s="31" customFormat="1" ht="120">
      <c r="A1044" s="12">
        <v>43577.540706018517</v>
      </c>
      <c r="B1044" s="13" t="s">
        <v>15712</v>
      </c>
      <c r="C1044" s="14" t="s">
        <v>1252</v>
      </c>
      <c r="D1044" s="15" t="s">
        <v>1583</v>
      </c>
      <c r="E1044" s="16" t="s">
        <v>13009</v>
      </c>
      <c r="F1044" s="12">
        <v>39860.036863425928</v>
      </c>
      <c r="G1044" s="17" t="s">
        <v>171</v>
      </c>
      <c r="H1044" s="35" t="s">
        <v>1254</v>
      </c>
      <c r="I1044" s="18" t="s">
        <v>1255</v>
      </c>
    </row>
    <row r="1045" spans="1:9" s="31" customFormat="1" ht="120">
      <c r="A1045" s="4">
        <v>43561.216319444444</v>
      </c>
      <c r="B1045" s="5" t="s">
        <v>15713</v>
      </c>
      <c r="C1045" s="6" t="s">
        <v>11023</v>
      </c>
      <c r="D1045" s="7" t="s">
        <v>11024</v>
      </c>
      <c r="E1045" s="8" t="s">
        <v>13011</v>
      </c>
      <c r="F1045" s="4">
        <v>39875.204016203701</v>
      </c>
      <c r="G1045" s="17" t="s">
        <v>171</v>
      </c>
      <c r="H1045" s="35" t="s">
        <v>11025</v>
      </c>
      <c r="I1045" s="10" t="s">
        <v>11026</v>
      </c>
    </row>
    <row r="1046" spans="1:9" s="31" customFormat="1" ht="45">
      <c r="A1046" s="4">
        <v>43564.046018518522</v>
      </c>
      <c r="B1046" s="5" t="s">
        <v>15714</v>
      </c>
      <c r="C1046" s="6" t="s">
        <v>6806</v>
      </c>
      <c r="D1046" s="7" t="s">
        <v>6807</v>
      </c>
      <c r="E1046" s="8" t="s">
        <v>13032</v>
      </c>
      <c r="F1046" s="4">
        <v>41830.599664351852</v>
      </c>
      <c r="G1046" s="17" t="s">
        <v>171</v>
      </c>
      <c r="H1046" s="35" t="s">
        <v>6808</v>
      </c>
      <c r="I1046" s="10"/>
    </row>
    <row r="1047" spans="1:9" s="31" customFormat="1" ht="120">
      <c r="A1047" s="4">
        <v>43558.482546296298</v>
      </c>
      <c r="B1047" s="5" t="s">
        <v>15715</v>
      </c>
      <c r="C1047" s="6" t="s">
        <v>799</v>
      </c>
      <c r="D1047" s="7" t="s">
        <v>12166</v>
      </c>
      <c r="E1047" s="8" t="s">
        <v>13009</v>
      </c>
      <c r="F1047" s="4">
        <v>40502.415335648147</v>
      </c>
      <c r="G1047" s="17" t="s">
        <v>171</v>
      </c>
      <c r="H1047" s="35" t="s">
        <v>801</v>
      </c>
      <c r="I1047" s="10" t="s">
        <v>802</v>
      </c>
    </row>
    <row r="1048" spans="1:9" s="31" customFormat="1" ht="120">
      <c r="A1048" s="12">
        <v>43579.290706018517</v>
      </c>
      <c r="B1048" s="13" t="s">
        <v>15715</v>
      </c>
      <c r="C1048" s="14" t="s">
        <v>799</v>
      </c>
      <c r="D1048" s="15" t="s">
        <v>800</v>
      </c>
      <c r="E1048" s="16" t="s">
        <v>13013</v>
      </c>
      <c r="F1048" s="12">
        <v>40502.415335648147</v>
      </c>
      <c r="G1048" s="17" t="s">
        <v>171</v>
      </c>
      <c r="H1048" s="35" t="s">
        <v>801</v>
      </c>
      <c r="I1048" s="18" t="s">
        <v>802</v>
      </c>
    </row>
    <row r="1049" spans="1:9" s="31" customFormat="1" ht="75">
      <c r="A1049" s="19">
        <v>43551.474027777775</v>
      </c>
      <c r="B1049" s="20" t="s">
        <v>15716</v>
      </c>
      <c r="C1049" s="21" t="s">
        <v>7168</v>
      </c>
      <c r="D1049" s="22" t="s">
        <v>7169</v>
      </c>
      <c r="E1049" s="23" t="s">
        <v>13011</v>
      </c>
      <c r="F1049" s="19">
        <v>41826.461944444447</v>
      </c>
      <c r="G1049" s="17" t="s">
        <v>171</v>
      </c>
      <c r="H1049" s="35" t="s">
        <v>72</v>
      </c>
      <c r="I1049" s="25" t="s">
        <v>7170</v>
      </c>
    </row>
    <row r="1050" spans="1:9" s="31" customFormat="1" ht="105">
      <c r="A1050" s="19">
        <v>43551.468530092592</v>
      </c>
      <c r="B1050" s="20" t="s">
        <v>15717</v>
      </c>
      <c r="C1050" s="21" t="s">
        <v>7174</v>
      </c>
      <c r="D1050" s="22" t="s">
        <v>7175</v>
      </c>
      <c r="E1050" s="23" t="s">
        <v>13011</v>
      </c>
      <c r="F1050" s="19">
        <v>43486.107974537037</v>
      </c>
      <c r="G1050" s="17" t="s">
        <v>171</v>
      </c>
      <c r="H1050" s="35" t="s">
        <v>72</v>
      </c>
      <c r="I1050" s="25" t="s">
        <v>7176</v>
      </c>
    </row>
    <row r="1051" spans="1:9" s="31" customFormat="1" ht="90">
      <c r="A1051" s="19">
        <v>43551.229166666672</v>
      </c>
      <c r="B1051" s="20" t="s">
        <v>15718</v>
      </c>
      <c r="C1051" s="21" t="s">
        <v>180</v>
      </c>
      <c r="D1051" s="22" t="s">
        <v>7389</v>
      </c>
      <c r="E1051" s="23" t="s">
        <v>13120</v>
      </c>
      <c r="F1051" s="19">
        <v>43481.18378472222</v>
      </c>
      <c r="G1051" s="17" t="s">
        <v>171</v>
      </c>
      <c r="H1051" s="35" t="s">
        <v>72</v>
      </c>
      <c r="I1051" s="25" t="s">
        <v>7390</v>
      </c>
    </row>
    <row r="1052" spans="1:9" s="31" customFormat="1" ht="120">
      <c r="A1052" s="19">
        <v>43551.087326388893</v>
      </c>
      <c r="B1052" s="20" t="s">
        <v>15719</v>
      </c>
      <c r="C1052" s="21" t="s">
        <v>952</v>
      </c>
      <c r="D1052" s="22" t="s">
        <v>7441</v>
      </c>
      <c r="E1052" s="23" t="s">
        <v>13009</v>
      </c>
      <c r="F1052" s="19">
        <v>43350.19321759259</v>
      </c>
      <c r="G1052" s="17" t="s">
        <v>171</v>
      </c>
      <c r="H1052" s="35" t="s">
        <v>72</v>
      </c>
      <c r="I1052" s="25" t="s">
        <v>954</v>
      </c>
    </row>
    <row r="1053" spans="1:9" s="31" customFormat="1" ht="90">
      <c r="A1053" s="19">
        <v>43550.492013888885</v>
      </c>
      <c r="B1053" s="20" t="s">
        <v>15720</v>
      </c>
      <c r="C1053" s="21" t="s">
        <v>7643</v>
      </c>
      <c r="D1053" s="22" t="s">
        <v>7644</v>
      </c>
      <c r="E1053" s="23" t="s">
        <v>13013</v>
      </c>
      <c r="F1053" s="19">
        <v>43413.160555555558</v>
      </c>
      <c r="G1053" s="17" t="s">
        <v>171</v>
      </c>
      <c r="H1053" s="35" t="s">
        <v>72</v>
      </c>
      <c r="I1053" s="25" t="s">
        <v>7645</v>
      </c>
    </row>
    <row r="1054" spans="1:9" s="31" customFormat="1" ht="90">
      <c r="A1054" s="19">
        <v>43550.490972222222</v>
      </c>
      <c r="B1054" s="20" t="s">
        <v>15721</v>
      </c>
      <c r="C1054" s="21" t="s">
        <v>7646</v>
      </c>
      <c r="D1054" s="22" t="s">
        <v>7647</v>
      </c>
      <c r="E1054" s="23" t="s">
        <v>13120</v>
      </c>
      <c r="F1054" s="19">
        <v>43486.260370370372</v>
      </c>
      <c r="G1054" s="17" t="s">
        <v>171</v>
      </c>
      <c r="H1054" s="35" t="s">
        <v>72</v>
      </c>
      <c r="I1054" s="25" t="s">
        <v>7648</v>
      </c>
    </row>
    <row r="1055" spans="1:9" s="31" customFormat="1" ht="105">
      <c r="A1055" s="19">
        <v>43549.408333333333</v>
      </c>
      <c r="B1055" s="20" t="s">
        <v>15722</v>
      </c>
      <c r="C1055" s="21" t="s">
        <v>8048</v>
      </c>
      <c r="D1055" s="22" t="s">
        <v>8049</v>
      </c>
      <c r="E1055" s="23" t="s">
        <v>13411</v>
      </c>
      <c r="F1055" s="19">
        <v>42571.364074074074</v>
      </c>
      <c r="G1055" s="17" t="s">
        <v>171</v>
      </c>
      <c r="H1055" s="35" t="s">
        <v>72</v>
      </c>
      <c r="I1055" s="25" t="s">
        <v>8050</v>
      </c>
    </row>
    <row r="1056" spans="1:9" s="31" customFormat="1" ht="45">
      <c r="A1056" s="19">
        <v>43549.379872685182</v>
      </c>
      <c r="B1056" s="20" t="s">
        <v>15723</v>
      </c>
      <c r="C1056" s="21" t="s">
        <v>8067</v>
      </c>
      <c r="D1056" s="22" t="s">
        <v>8068</v>
      </c>
      <c r="E1056" s="23" t="s">
        <v>13009</v>
      </c>
      <c r="F1056" s="19">
        <v>41019.152442129627</v>
      </c>
      <c r="G1056" s="17" t="s">
        <v>171</v>
      </c>
      <c r="H1056" s="35" t="s">
        <v>72</v>
      </c>
      <c r="I1056" s="25"/>
    </row>
    <row r="1057" spans="1:9" s="31" customFormat="1" ht="90">
      <c r="A1057" s="19">
        <v>43549.230775462958</v>
      </c>
      <c r="B1057" s="20" t="s">
        <v>15718</v>
      </c>
      <c r="C1057" s="21" t="s">
        <v>180</v>
      </c>
      <c r="D1057" s="22" t="s">
        <v>8126</v>
      </c>
      <c r="E1057" s="23" t="s">
        <v>13009</v>
      </c>
      <c r="F1057" s="19">
        <v>43481.18378472222</v>
      </c>
      <c r="G1057" s="17" t="s">
        <v>171</v>
      </c>
      <c r="H1057" s="35" t="s">
        <v>72</v>
      </c>
      <c r="I1057" s="25" t="s">
        <v>7390</v>
      </c>
    </row>
    <row r="1058" spans="1:9" s="31" customFormat="1" ht="120">
      <c r="A1058" s="19">
        <v>43549.084768518514</v>
      </c>
      <c r="B1058" s="20" t="s">
        <v>15719</v>
      </c>
      <c r="C1058" s="21" t="s">
        <v>952</v>
      </c>
      <c r="D1058" s="22" t="s">
        <v>8177</v>
      </c>
      <c r="E1058" s="23" t="s">
        <v>13009</v>
      </c>
      <c r="F1058" s="19">
        <v>43350.19321759259</v>
      </c>
      <c r="G1058" s="17" t="s">
        <v>171</v>
      </c>
      <c r="H1058" s="35" t="s">
        <v>72</v>
      </c>
      <c r="I1058" s="25" t="s">
        <v>954</v>
      </c>
    </row>
    <row r="1059" spans="1:9" s="31" customFormat="1" ht="120">
      <c r="A1059" s="19">
        <v>43549.044444444444</v>
      </c>
      <c r="B1059" s="20" t="s">
        <v>15724</v>
      </c>
      <c r="C1059" s="21" t="s">
        <v>8179</v>
      </c>
      <c r="D1059" s="22" t="s">
        <v>8180</v>
      </c>
      <c r="E1059" s="23" t="s">
        <v>13034</v>
      </c>
      <c r="F1059" s="19">
        <v>40065.415335648147</v>
      </c>
      <c r="G1059" s="17" t="s">
        <v>171</v>
      </c>
      <c r="H1059" s="35" t="s">
        <v>72</v>
      </c>
      <c r="I1059" s="25" t="s">
        <v>8181</v>
      </c>
    </row>
    <row r="1060" spans="1:9" s="31" customFormat="1" ht="135">
      <c r="A1060" s="19">
        <v>43547.343912037039</v>
      </c>
      <c r="B1060" s="20" t="s">
        <v>15725</v>
      </c>
      <c r="C1060" s="21" t="s">
        <v>8585</v>
      </c>
      <c r="D1060" s="22" t="s">
        <v>8586</v>
      </c>
      <c r="E1060" s="23" t="s">
        <v>13018</v>
      </c>
      <c r="F1060" s="19">
        <v>42197.346458333333</v>
      </c>
      <c r="G1060" s="17" t="s">
        <v>171</v>
      </c>
      <c r="H1060" s="35" t="s">
        <v>72</v>
      </c>
      <c r="I1060" s="25" t="s">
        <v>8587</v>
      </c>
    </row>
    <row r="1061" spans="1:9" s="31" customFormat="1" ht="135">
      <c r="A1061" s="19">
        <v>43546.843796296293</v>
      </c>
      <c r="B1061" s="20" t="s">
        <v>15725</v>
      </c>
      <c r="C1061" s="21" t="s">
        <v>8585</v>
      </c>
      <c r="D1061" s="22" t="s">
        <v>8717</v>
      </c>
      <c r="E1061" s="23" t="s">
        <v>13018</v>
      </c>
      <c r="F1061" s="19">
        <v>42197.346458333333</v>
      </c>
      <c r="G1061" s="17" t="s">
        <v>171</v>
      </c>
      <c r="H1061" s="35" t="s">
        <v>72</v>
      </c>
      <c r="I1061" s="25" t="s">
        <v>8587</v>
      </c>
    </row>
    <row r="1062" spans="1:9" s="31" customFormat="1" ht="75">
      <c r="A1062" s="19">
        <v>43546.667094907403</v>
      </c>
      <c r="B1062" s="20" t="s">
        <v>15726</v>
      </c>
      <c r="C1062" s="21" t="s">
        <v>8765</v>
      </c>
      <c r="D1062" s="22" t="s">
        <v>8766</v>
      </c>
      <c r="E1062" s="23" t="s">
        <v>13018</v>
      </c>
      <c r="F1062" s="19">
        <v>39574.697465277779</v>
      </c>
      <c r="G1062" s="17" t="s">
        <v>171</v>
      </c>
      <c r="H1062" s="35" t="s">
        <v>72</v>
      </c>
      <c r="I1062" s="25" t="s">
        <v>8767</v>
      </c>
    </row>
    <row r="1063" spans="1:9" s="31" customFormat="1" ht="135">
      <c r="A1063" s="19">
        <v>43546.334791666668</v>
      </c>
      <c r="B1063" s="20" t="s">
        <v>15725</v>
      </c>
      <c r="C1063" s="21" t="s">
        <v>8585</v>
      </c>
      <c r="D1063" s="22" t="s">
        <v>8907</v>
      </c>
      <c r="E1063" s="23" t="s">
        <v>13018</v>
      </c>
      <c r="F1063" s="19">
        <v>42197.346458333333</v>
      </c>
      <c r="G1063" s="17" t="s">
        <v>171</v>
      </c>
      <c r="H1063" s="35" t="s">
        <v>72</v>
      </c>
      <c r="I1063" s="25" t="s">
        <v>8587</v>
      </c>
    </row>
    <row r="1064" spans="1:9" s="31" customFormat="1" ht="90">
      <c r="A1064" s="19">
        <v>43546.236493055556</v>
      </c>
      <c r="B1064" s="20" t="s">
        <v>15718</v>
      </c>
      <c r="C1064" s="21" t="s">
        <v>180</v>
      </c>
      <c r="D1064" s="22" t="s">
        <v>8927</v>
      </c>
      <c r="E1064" s="23" t="s">
        <v>13009</v>
      </c>
      <c r="F1064" s="19">
        <v>43481.18378472222</v>
      </c>
      <c r="G1064" s="17" t="s">
        <v>171</v>
      </c>
      <c r="H1064" s="35" t="s">
        <v>72</v>
      </c>
      <c r="I1064" s="25" t="s">
        <v>7390</v>
      </c>
    </row>
    <row r="1065" spans="1:9" s="31" customFormat="1" ht="120">
      <c r="A1065" s="19">
        <v>43546.208379629628</v>
      </c>
      <c r="B1065" s="20" t="s">
        <v>15727</v>
      </c>
      <c r="C1065" s="21" t="s">
        <v>8936</v>
      </c>
      <c r="D1065" s="22" t="s">
        <v>8937</v>
      </c>
      <c r="E1065" s="23" t="s">
        <v>13034</v>
      </c>
      <c r="F1065" s="19">
        <v>41459.696250000001</v>
      </c>
      <c r="G1065" s="17" t="s">
        <v>171</v>
      </c>
      <c r="H1065" s="35" t="s">
        <v>72</v>
      </c>
      <c r="I1065" s="25" t="s">
        <v>8938</v>
      </c>
    </row>
    <row r="1066" spans="1:9" s="31" customFormat="1" ht="90">
      <c r="A1066" s="19">
        <v>43546.204305555555</v>
      </c>
      <c r="B1066" s="20" t="s">
        <v>15728</v>
      </c>
      <c r="C1066" s="21" t="s">
        <v>8939</v>
      </c>
      <c r="D1066" s="22" t="s">
        <v>8940</v>
      </c>
      <c r="E1066" s="23" t="s">
        <v>13009</v>
      </c>
      <c r="F1066" s="19">
        <v>42661.353379629625</v>
      </c>
      <c r="G1066" s="17" t="s">
        <v>171</v>
      </c>
      <c r="H1066" s="35" t="s">
        <v>72</v>
      </c>
      <c r="I1066" s="25" t="s">
        <v>8941</v>
      </c>
    </row>
    <row r="1067" spans="1:9" s="31" customFormat="1" ht="120">
      <c r="A1067" s="19">
        <v>43546.10224537037</v>
      </c>
      <c r="B1067" s="20" t="s">
        <v>15719</v>
      </c>
      <c r="C1067" s="21" t="s">
        <v>952</v>
      </c>
      <c r="D1067" s="22" t="s">
        <v>8960</v>
      </c>
      <c r="E1067" s="23" t="s">
        <v>13009</v>
      </c>
      <c r="F1067" s="19">
        <v>43350.19321759259</v>
      </c>
      <c r="G1067" s="17" t="s">
        <v>171</v>
      </c>
      <c r="H1067" s="35" t="s">
        <v>72</v>
      </c>
      <c r="I1067" s="25" t="s">
        <v>954</v>
      </c>
    </row>
    <row r="1068" spans="1:9" s="31" customFormat="1" ht="75">
      <c r="A1068" s="19">
        <v>43545.266446759255</v>
      </c>
      <c r="B1068" s="20" t="s">
        <v>15729</v>
      </c>
      <c r="C1068" s="21" t="s">
        <v>9225</v>
      </c>
      <c r="D1068" s="22" t="s">
        <v>9226</v>
      </c>
      <c r="E1068" s="23" t="s">
        <v>13011</v>
      </c>
      <c r="F1068" s="19">
        <v>41372.418090277773</v>
      </c>
      <c r="G1068" s="17" t="s">
        <v>171</v>
      </c>
      <c r="H1068" s="35" t="s">
        <v>72</v>
      </c>
      <c r="I1068" s="25" t="s">
        <v>9227</v>
      </c>
    </row>
    <row r="1069" spans="1:9" s="31" customFormat="1" ht="120">
      <c r="A1069" s="19">
        <v>43545.077592592592</v>
      </c>
      <c r="B1069" s="20" t="s">
        <v>15719</v>
      </c>
      <c r="C1069" s="21" t="s">
        <v>952</v>
      </c>
      <c r="D1069" s="22" t="s">
        <v>9284</v>
      </c>
      <c r="E1069" s="23" t="s">
        <v>13009</v>
      </c>
      <c r="F1069" s="19">
        <v>43350.19321759259</v>
      </c>
      <c r="G1069" s="17" t="s">
        <v>171</v>
      </c>
      <c r="H1069" s="35" t="s">
        <v>72</v>
      </c>
      <c r="I1069" s="25" t="s">
        <v>954</v>
      </c>
    </row>
    <row r="1070" spans="1:9" s="31" customFormat="1" ht="90">
      <c r="A1070" s="19">
        <v>43544.461805555555</v>
      </c>
      <c r="B1070" s="20" t="s">
        <v>15721</v>
      </c>
      <c r="C1070" s="21" t="s">
        <v>7646</v>
      </c>
      <c r="D1070" s="22" t="s">
        <v>9452</v>
      </c>
      <c r="E1070" s="23" t="s">
        <v>13120</v>
      </c>
      <c r="F1070" s="19">
        <v>43486.260370370372</v>
      </c>
      <c r="G1070" s="17" t="s">
        <v>171</v>
      </c>
      <c r="H1070" s="35" t="s">
        <v>72</v>
      </c>
      <c r="I1070" s="25" t="s">
        <v>7648</v>
      </c>
    </row>
    <row r="1071" spans="1:9" s="31" customFormat="1" ht="60">
      <c r="A1071" s="19">
        <v>43544.290995370371</v>
      </c>
      <c r="B1071" s="20" t="s">
        <v>15730</v>
      </c>
      <c r="C1071" s="21" t="s">
        <v>9552</v>
      </c>
      <c r="D1071" s="22" t="s">
        <v>9553</v>
      </c>
      <c r="E1071" s="23" t="s">
        <v>15731</v>
      </c>
      <c r="F1071" s="19">
        <v>42655.310023148151</v>
      </c>
      <c r="G1071" s="17" t="s">
        <v>171</v>
      </c>
      <c r="H1071" s="35" t="s">
        <v>72</v>
      </c>
      <c r="I1071" s="25" t="s">
        <v>9554</v>
      </c>
    </row>
    <row r="1072" spans="1:9" s="31" customFormat="1" ht="90">
      <c r="A1072" s="19">
        <v>43544.219155092593</v>
      </c>
      <c r="B1072" s="20" t="s">
        <v>15718</v>
      </c>
      <c r="C1072" s="21" t="s">
        <v>180</v>
      </c>
      <c r="D1072" s="22" t="s">
        <v>9578</v>
      </c>
      <c r="E1072" s="23" t="s">
        <v>13009</v>
      </c>
      <c r="F1072" s="19">
        <v>43481.18378472222</v>
      </c>
      <c r="G1072" s="17" t="s">
        <v>171</v>
      </c>
      <c r="H1072" s="35" t="s">
        <v>72</v>
      </c>
      <c r="I1072" s="25" t="s">
        <v>7390</v>
      </c>
    </row>
    <row r="1073" spans="1:9" s="31" customFormat="1" ht="90">
      <c r="A1073" s="19">
        <v>43544.130578703705</v>
      </c>
      <c r="B1073" s="20" t="s">
        <v>15732</v>
      </c>
      <c r="C1073" s="21" t="s">
        <v>9607</v>
      </c>
      <c r="D1073" s="22" t="s">
        <v>9608</v>
      </c>
      <c r="E1073" s="23" t="s">
        <v>13011</v>
      </c>
      <c r="F1073" s="19">
        <v>42557.973344907412</v>
      </c>
      <c r="G1073" s="17" t="s">
        <v>171</v>
      </c>
      <c r="H1073" s="35" t="s">
        <v>72</v>
      </c>
      <c r="I1073" s="25" t="s">
        <v>9609</v>
      </c>
    </row>
    <row r="1074" spans="1:9" s="31" customFormat="1" ht="120">
      <c r="A1074" s="19">
        <v>43544.119062500002</v>
      </c>
      <c r="B1074" s="20" t="s">
        <v>15733</v>
      </c>
      <c r="C1074" s="21" t="s">
        <v>101</v>
      </c>
      <c r="D1074" s="22" t="s">
        <v>9611</v>
      </c>
      <c r="E1074" s="23" t="s">
        <v>13009</v>
      </c>
      <c r="F1074" s="19">
        <v>43508.287569444445</v>
      </c>
      <c r="G1074" s="17" t="s">
        <v>171</v>
      </c>
      <c r="H1074" s="35" t="s">
        <v>72</v>
      </c>
      <c r="I1074" s="25" t="s">
        <v>103</v>
      </c>
    </row>
    <row r="1075" spans="1:9" s="31" customFormat="1" ht="120">
      <c r="A1075" s="19">
        <v>43544.093298611115</v>
      </c>
      <c r="B1075" s="20" t="s">
        <v>15719</v>
      </c>
      <c r="C1075" s="21" t="s">
        <v>952</v>
      </c>
      <c r="D1075" s="22" t="s">
        <v>9618</v>
      </c>
      <c r="E1075" s="23" t="s">
        <v>13009</v>
      </c>
      <c r="F1075" s="19">
        <v>43350.19321759259</v>
      </c>
      <c r="G1075" s="17" t="s">
        <v>171</v>
      </c>
      <c r="H1075" s="35" t="s">
        <v>72</v>
      </c>
      <c r="I1075" s="25" t="s">
        <v>954</v>
      </c>
    </row>
    <row r="1076" spans="1:9" s="31" customFormat="1" ht="135">
      <c r="A1076" s="19">
        <v>43543.208726851852</v>
      </c>
      <c r="B1076" s="20" t="s">
        <v>15734</v>
      </c>
      <c r="C1076" s="21" t="s">
        <v>9902</v>
      </c>
      <c r="D1076" s="22" t="s">
        <v>9903</v>
      </c>
      <c r="E1076" s="23" t="s">
        <v>13034</v>
      </c>
      <c r="F1076" s="19">
        <v>43412.174490740741</v>
      </c>
      <c r="G1076" s="17" t="s">
        <v>171</v>
      </c>
      <c r="H1076" s="35" t="s">
        <v>72</v>
      </c>
      <c r="I1076" s="25" t="s">
        <v>9904</v>
      </c>
    </row>
    <row r="1077" spans="1:9" s="31" customFormat="1" ht="105">
      <c r="A1077" s="19">
        <v>43543.153981481482</v>
      </c>
      <c r="B1077" s="20" t="s">
        <v>15735</v>
      </c>
      <c r="C1077" s="21" t="s">
        <v>70</v>
      </c>
      <c r="D1077" s="22" t="s">
        <v>9924</v>
      </c>
      <c r="E1077" s="23" t="s">
        <v>13011</v>
      </c>
      <c r="F1077" s="19">
        <v>42450.579814814817</v>
      </c>
      <c r="G1077" s="17" t="s">
        <v>171</v>
      </c>
      <c r="H1077" s="35" t="s">
        <v>72</v>
      </c>
      <c r="I1077" s="25" t="s">
        <v>9925</v>
      </c>
    </row>
    <row r="1078" spans="1:9" s="31" customFormat="1" ht="120">
      <c r="A1078" s="19">
        <v>43543.08493055556</v>
      </c>
      <c r="B1078" s="20" t="s">
        <v>15719</v>
      </c>
      <c r="C1078" s="21" t="s">
        <v>952</v>
      </c>
      <c r="D1078" s="22" t="s">
        <v>9939</v>
      </c>
      <c r="E1078" s="23" t="s">
        <v>13009</v>
      </c>
      <c r="F1078" s="19">
        <v>43350.19321759259</v>
      </c>
      <c r="G1078" s="17" t="s">
        <v>171</v>
      </c>
      <c r="H1078" s="35" t="s">
        <v>72</v>
      </c>
      <c r="I1078" s="25" t="s">
        <v>954</v>
      </c>
    </row>
    <row r="1079" spans="1:9" s="31" customFormat="1" ht="135">
      <c r="A1079" s="19">
        <v>43543.072951388887</v>
      </c>
      <c r="B1079" s="20" t="s">
        <v>15736</v>
      </c>
      <c r="C1079" s="21" t="s">
        <v>9943</v>
      </c>
      <c r="D1079" s="22" t="s">
        <v>9944</v>
      </c>
      <c r="E1079" s="23" t="s">
        <v>13034</v>
      </c>
      <c r="F1079" s="19">
        <v>42782.046296296292</v>
      </c>
      <c r="G1079" s="17" t="s">
        <v>171</v>
      </c>
      <c r="H1079" s="35" t="s">
        <v>72</v>
      </c>
      <c r="I1079" s="25" t="s">
        <v>9945</v>
      </c>
    </row>
    <row r="1080" spans="1:9" s="31" customFormat="1" ht="45">
      <c r="A1080" s="4">
        <v>43565.453263888892</v>
      </c>
      <c r="B1080" s="5" t="s">
        <v>15737</v>
      </c>
      <c r="C1080" s="6" t="s">
        <v>6077</v>
      </c>
      <c r="D1080" s="7" t="s">
        <v>6078</v>
      </c>
      <c r="E1080" s="8" t="s">
        <v>13032</v>
      </c>
      <c r="F1080" s="4">
        <v>40584.446435185186</v>
      </c>
      <c r="G1080" s="17" t="s">
        <v>171</v>
      </c>
      <c r="H1080" s="35" t="s">
        <v>72</v>
      </c>
      <c r="I1080" s="10" t="s">
        <v>6079</v>
      </c>
    </row>
    <row r="1081" spans="1:9" s="31" customFormat="1" ht="105">
      <c r="A1081" s="4">
        <v>43565.23033564815</v>
      </c>
      <c r="B1081" s="5" t="s">
        <v>15738</v>
      </c>
      <c r="C1081" s="6" t="s">
        <v>6224</v>
      </c>
      <c r="D1081" s="7" t="s">
        <v>6225</v>
      </c>
      <c r="E1081" s="8" t="s">
        <v>13009</v>
      </c>
      <c r="F1081" s="4">
        <v>43381.488750000004</v>
      </c>
      <c r="G1081" s="17" t="s">
        <v>171</v>
      </c>
      <c r="H1081" s="35" t="s">
        <v>72</v>
      </c>
      <c r="I1081" s="10" t="s">
        <v>6226</v>
      </c>
    </row>
    <row r="1082" spans="1:9" s="31" customFormat="1" ht="90">
      <c r="A1082" s="4">
        <v>43565.225775462968</v>
      </c>
      <c r="B1082" s="5" t="s">
        <v>15739</v>
      </c>
      <c r="C1082" s="6" t="s">
        <v>6227</v>
      </c>
      <c r="D1082" s="7" t="s">
        <v>6228</v>
      </c>
      <c r="E1082" s="8" t="s">
        <v>13009</v>
      </c>
      <c r="F1082" s="4">
        <v>42472.105486111112</v>
      </c>
      <c r="G1082" s="17" t="s">
        <v>171</v>
      </c>
      <c r="H1082" s="35" t="s">
        <v>72</v>
      </c>
      <c r="I1082" s="10" t="s">
        <v>6229</v>
      </c>
    </row>
    <row r="1083" spans="1:9" s="31" customFormat="1" ht="90">
      <c r="A1083" s="4">
        <v>43565.177083333328</v>
      </c>
      <c r="B1083" s="5" t="s">
        <v>15718</v>
      </c>
      <c r="C1083" s="6" t="s">
        <v>180</v>
      </c>
      <c r="D1083" s="7" t="s">
        <v>6257</v>
      </c>
      <c r="E1083" s="8" t="s">
        <v>13120</v>
      </c>
      <c r="F1083" s="4">
        <v>43481.18378472222</v>
      </c>
      <c r="G1083" s="17" t="s">
        <v>171</v>
      </c>
      <c r="H1083" s="35" t="s">
        <v>72</v>
      </c>
      <c r="I1083" s="10" t="s">
        <v>7390</v>
      </c>
    </row>
    <row r="1084" spans="1:9" s="31" customFormat="1" ht="120">
      <c r="A1084" s="4">
        <v>43565.043842592597</v>
      </c>
      <c r="B1084" s="5" t="s">
        <v>15719</v>
      </c>
      <c r="C1084" s="6" t="s">
        <v>952</v>
      </c>
      <c r="D1084" s="7" t="s">
        <v>6332</v>
      </c>
      <c r="E1084" s="8" t="s">
        <v>13009</v>
      </c>
      <c r="F1084" s="4">
        <v>43350.19321759259</v>
      </c>
      <c r="G1084" s="17" t="s">
        <v>171</v>
      </c>
      <c r="H1084" s="35" t="s">
        <v>72</v>
      </c>
      <c r="I1084" s="10" t="s">
        <v>954</v>
      </c>
    </row>
    <row r="1085" spans="1:9" s="31" customFormat="1" ht="75">
      <c r="A1085" s="4">
        <v>43564.136944444443</v>
      </c>
      <c r="B1085" s="5" t="s">
        <v>15740</v>
      </c>
      <c r="C1085" s="6" t="s">
        <v>6767</v>
      </c>
      <c r="D1085" s="7" t="s">
        <v>6768</v>
      </c>
      <c r="E1085" s="8" t="s">
        <v>13099</v>
      </c>
      <c r="F1085" s="4">
        <v>40706.18104166667</v>
      </c>
      <c r="G1085" s="17" t="s">
        <v>171</v>
      </c>
      <c r="H1085" s="35" t="s">
        <v>72</v>
      </c>
      <c r="I1085" s="10" t="s">
        <v>6769</v>
      </c>
    </row>
    <row r="1086" spans="1:9" s="31" customFormat="1" ht="90">
      <c r="A1086" s="4">
        <v>43564.086550925931</v>
      </c>
      <c r="B1086" s="5" t="s">
        <v>15741</v>
      </c>
      <c r="C1086" s="6" t="s">
        <v>6787</v>
      </c>
      <c r="D1086" s="7" t="s">
        <v>6788</v>
      </c>
      <c r="E1086" s="8" t="s">
        <v>13011</v>
      </c>
      <c r="F1086" s="4">
        <v>40643.252314814818</v>
      </c>
      <c r="G1086" s="17" t="s">
        <v>171</v>
      </c>
      <c r="H1086" s="35" t="s">
        <v>72</v>
      </c>
      <c r="I1086" s="10" t="s">
        <v>6789</v>
      </c>
    </row>
    <row r="1087" spans="1:9" s="31" customFormat="1" ht="120">
      <c r="A1087" s="4">
        <v>43564.063796296294</v>
      </c>
      <c r="B1087" s="5" t="s">
        <v>15719</v>
      </c>
      <c r="C1087" s="6" t="s">
        <v>952</v>
      </c>
      <c r="D1087" s="7" t="s">
        <v>6795</v>
      </c>
      <c r="E1087" s="8" t="s">
        <v>13009</v>
      </c>
      <c r="F1087" s="4">
        <v>43350.19321759259</v>
      </c>
      <c r="G1087" s="17" t="s">
        <v>171</v>
      </c>
      <c r="H1087" s="35" t="s">
        <v>72</v>
      </c>
      <c r="I1087" s="10" t="s">
        <v>954</v>
      </c>
    </row>
    <row r="1088" spans="1:9" s="31" customFormat="1" ht="135">
      <c r="A1088" s="4">
        <v>43563.977187500001</v>
      </c>
      <c r="B1088" s="5" t="s">
        <v>15742</v>
      </c>
      <c r="C1088" s="6" t="s">
        <v>730</v>
      </c>
      <c r="D1088" s="7" t="s">
        <v>6839</v>
      </c>
      <c r="E1088" s="8" t="s">
        <v>13013</v>
      </c>
      <c r="F1088" s="4">
        <v>40921.670451388891</v>
      </c>
      <c r="G1088" s="17" t="s">
        <v>171</v>
      </c>
      <c r="H1088" s="35" t="s">
        <v>72</v>
      </c>
      <c r="I1088" s="10" t="s">
        <v>732</v>
      </c>
    </row>
    <row r="1089" spans="1:9" s="31" customFormat="1" ht="120">
      <c r="A1089" s="4">
        <v>43563.499247685184</v>
      </c>
      <c r="B1089" s="5" t="s">
        <v>15743</v>
      </c>
      <c r="C1089" s="6" t="s">
        <v>10265</v>
      </c>
      <c r="D1089" s="7" t="s">
        <v>10266</v>
      </c>
      <c r="E1089" s="8" t="s">
        <v>13009</v>
      </c>
      <c r="F1089" s="4">
        <v>43515.025624999995</v>
      </c>
      <c r="G1089" s="17" t="s">
        <v>171</v>
      </c>
      <c r="H1089" s="35" t="s">
        <v>72</v>
      </c>
      <c r="I1089" s="10" t="s">
        <v>10267</v>
      </c>
    </row>
    <row r="1090" spans="1:9" s="31" customFormat="1" ht="105">
      <c r="A1090" s="4">
        <v>43563.375057870369</v>
      </c>
      <c r="B1090" s="5" t="s">
        <v>15744</v>
      </c>
      <c r="C1090" s="6" t="s">
        <v>10325</v>
      </c>
      <c r="D1090" s="7" t="s">
        <v>10326</v>
      </c>
      <c r="E1090" s="8" t="s">
        <v>13015</v>
      </c>
      <c r="F1090" s="4">
        <v>42878.31459490741</v>
      </c>
      <c r="G1090" s="17" t="s">
        <v>171</v>
      </c>
      <c r="H1090" s="35" t="s">
        <v>72</v>
      </c>
      <c r="I1090" s="10" t="s">
        <v>10327</v>
      </c>
    </row>
    <row r="1091" spans="1:9" s="31" customFormat="1" ht="120">
      <c r="A1091" s="4">
        <v>43563.229432870372</v>
      </c>
      <c r="B1091" s="5" t="s">
        <v>15745</v>
      </c>
      <c r="C1091" s="6" t="s">
        <v>10423</v>
      </c>
      <c r="D1091" s="7" t="s">
        <v>10424</v>
      </c>
      <c r="E1091" s="8" t="s">
        <v>13812</v>
      </c>
      <c r="F1091" s="4">
        <v>40867.82849537037</v>
      </c>
      <c r="G1091" s="17" t="s">
        <v>171</v>
      </c>
      <c r="H1091" s="35" t="s">
        <v>72</v>
      </c>
      <c r="I1091" s="10" t="s">
        <v>10425</v>
      </c>
    </row>
    <row r="1092" spans="1:9" s="31" customFormat="1" ht="90">
      <c r="A1092" s="4">
        <v>43563.190601851849</v>
      </c>
      <c r="B1092" s="5" t="s">
        <v>15718</v>
      </c>
      <c r="C1092" s="6" t="s">
        <v>180</v>
      </c>
      <c r="D1092" s="7" t="s">
        <v>10437</v>
      </c>
      <c r="E1092" s="8" t="s">
        <v>13009</v>
      </c>
      <c r="F1092" s="4">
        <v>43481.18378472222</v>
      </c>
      <c r="G1092" s="17" t="s">
        <v>171</v>
      </c>
      <c r="H1092" s="35" t="s">
        <v>72</v>
      </c>
      <c r="I1092" s="10" t="s">
        <v>7390</v>
      </c>
    </row>
    <row r="1093" spans="1:9" s="31" customFormat="1" ht="120">
      <c r="A1093" s="4">
        <v>43563.109085648146</v>
      </c>
      <c r="B1093" s="5" t="s">
        <v>15719</v>
      </c>
      <c r="C1093" s="6" t="s">
        <v>952</v>
      </c>
      <c r="D1093" s="7" t="s">
        <v>10457</v>
      </c>
      <c r="E1093" s="8" t="s">
        <v>13009</v>
      </c>
      <c r="F1093" s="4">
        <v>43350.19321759259</v>
      </c>
      <c r="G1093" s="17" t="s">
        <v>171</v>
      </c>
      <c r="H1093" s="35" t="s">
        <v>72</v>
      </c>
      <c r="I1093" s="10" t="s">
        <v>954</v>
      </c>
    </row>
    <row r="1094" spans="1:9" s="31" customFormat="1" ht="90">
      <c r="A1094" s="4">
        <v>43560.177094907413</v>
      </c>
      <c r="B1094" s="5" t="s">
        <v>15718</v>
      </c>
      <c r="C1094" s="6" t="s">
        <v>180</v>
      </c>
      <c r="D1094" s="7" t="s">
        <v>11582</v>
      </c>
      <c r="E1094" s="8" t="s">
        <v>13120</v>
      </c>
      <c r="F1094" s="4">
        <v>43481.18378472222</v>
      </c>
      <c r="G1094" s="17" t="s">
        <v>171</v>
      </c>
      <c r="H1094" s="35" t="s">
        <v>72</v>
      </c>
      <c r="I1094" s="10" t="s">
        <v>7390</v>
      </c>
    </row>
    <row r="1095" spans="1:9" s="31" customFormat="1" ht="120">
      <c r="A1095" s="4">
        <v>43560.100995370369</v>
      </c>
      <c r="B1095" s="5" t="s">
        <v>15719</v>
      </c>
      <c r="C1095" s="6" t="s">
        <v>952</v>
      </c>
      <c r="D1095" s="7" t="s">
        <v>11605</v>
      </c>
      <c r="E1095" s="8" t="s">
        <v>13009</v>
      </c>
      <c r="F1095" s="4">
        <v>43350.19321759259</v>
      </c>
      <c r="G1095" s="17" t="s">
        <v>171</v>
      </c>
      <c r="H1095" s="35" t="s">
        <v>72</v>
      </c>
      <c r="I1095" s="10" t="s">
        <v>954</v>
      </c>
    </row>
    <row r="1096" spans="1:9" s="31" customFormat="1" ht="135">
      <c r="A1096" s="4">
        <v>43559.340671296297</v>
      </c>
      <c r="B1096" s="5" t="s">
        <v>15746</v>
      </c>
      <c r="C1096" s="5" t="s">
        <v>5686</v>
      </c>
      <c r="D1096" s="7" t="s">
        <v>11880</v>
      </c>
      <c r="E1096" s="8" t="s">
        <v>13290</v>
      </c>
      <c r="F1096" s="4">
        <v>42556.238032407404</v>
      </c>
      <c r="G1096" s="17" t="s">
        <v>171</v>
      </c>
      <c r="H1096" s="35" t="s">
        <v>72</v>
      </c>
      <c r="I1096" s="10" t="s">
        <v>5688</v>
      </c>
    </row>
    <row r="1097" spans="1:9" s="31" customFormat="1" ht="90">
      <c r="A1097" s="4">
        <v>43559.255254629628</v>
      </c>
      <c r="B1097" s="5" t="s">
        <v>15747</v>
      </c>
      <c r="C1097" s="6" t="s">
        <v>11901</v>
      </c>
      <c r="D1097" s="7" t="s">
        <v>11751</v>
      </c>
      <c r="E1097" s="8" t="s">
        <v>13011</v>
      </c>
      <c r="F1097" s="4">
        <v>40582.276238425926</v>
      </c>
      <c r="G1097" s="17" t="s">
        <v>171</v>
      </c>
      <c r="H1097" s="35" t="s">
        <v>72</v>
      </c>
      <c r="I1097" s="10" t="s">
        <v>11902</v>
      </c>
    </row>
    <row r="1098" spans="1:9" s="31" customFormat="1" ht="120">
      <c r="A1098" s="4">
        <v>43559.188738425924</v>
      </c>
      <c r="B1098" s="5" t="s">
        <v>15748</v>
      </c>
      <c r="C1098" s="6" t="s">
        <v>11914</v>
      </c>
      <c r="D1098" s="7" t="s">
        <v>11915</v>
      </c>
      <c r="E1098" s="8" t="s">
        <v>13009</v>
      </c>
      <c r="F1098" s="4">
        <v>39951.521435185183</v>
      </c>
      <c r="G1098" s="17" t="s">
        <v>171</v>
      </c>
      <c r="H1098" s="35" t="s">
        <v>72</v>
      </c>
      <c r="I1098" s="10" t="s">
        <v>11916</v>
      </c>
    </row>
    <row r="1099" spans="1:9" s="31" customFormat="1" ht="105">
      <c r="A1099" s="4">
        <v>43559.134027777778</v>
      </c>
      <c r="B1099" s="5" t="s">
        <v>15735</v>
      </c>
      <c r="C1099" s="6" t="s">
        <v>70</v>
      </c>
      <c r="D1099" s="7" t="s">
        <v>11935</v>
      </c>
      <c r="E1099" s="8" t="s">
        <v>13034</v>
      </c>
      <c r="F1099" s="4">
        <v>42450.579814814817</v>
      </c>
      <c r="G1099" s="17" t="s">
        <v>171</v>
      </c>
      <c r="H1099" s="35" t="s">
        <v>72</v>
      </c>
      <c r="I1099" s="10" t="s">
        <v>73</v>
      </c>
    </row>
    <row r="1100" spans="1:9" s="31" customFormat="1" ht="165">
      <c r="A1100" s="4">
        <v>43559.029421296298</v>
      </c>
      <c r="B1100" s="5" t="s">
        <v>15749</v>
      </c>
      <c r="C1100" s="6" t="s">
        <v>11973</v>
      </c>
      <c r="D1100" s="7" t="s">
        <v>11970</v>
      </c>
      <c r="E1100" s="8" t="s">
        <v>13011</v>
      </c>
      <c r="F1100" s="4">
        <v>43535.639027777783</v>
      </c>
      <c r="G1100" s="17" t="s">
        <v>171</v>
      </c>
      <c r="H1100" s="35" t="s">
        <v>72</v>
      </c>
      <c r="I1100" s="10" t="s">
        <v>11974</v>
      </c>
    </row>
    <row r="1101" spans="1:9" s="31" customFormat="1" ht="60">
      <c r="A1101" s="4">
        <v>43558.757511574076</v>
      </c>
      <c r="B1101" s="5" t="s">
        <v>15750</v>
      </c>
      <c r="C1101" s="6" t="s">
        <v>12045</v>
      </c>
      <c r="D1101" s="7" t="s">
        <v>12046</v>
      </c>
      <c r="E1101" s="8" t="s">
        <v>13009</v>
      </c>
      <c r="F1101" s="4">
        <v>42805.23228009259</v>
      </c>
      <c r="G1101" s="17" t="s">
        <v>171</v>
      </c>
      <c r="H1101" s="35" t="s">
        <v>72</v>
      </c>
      <c r="I1101" s="10" t="s">
        <v>12047</v>
      </c>
    </row>
    <row r="1102" spans="1:9" s="31" customFormat="1" ht="60">
      <c r="A1102" s="4">
        <v>43558.602326388893</v>
      </c>
      <c r="B1102" s="5" t="s">
        <v>15751</v>
      </c>
      <c r="C1102" s="6" t="s">
        <v>12107</v>
      </c>
      <c r="D1102" s="7" t="s">
        <v>12108</v>
      </c>
      <c r="E1102" s="8" t="s">
        <v>13011</v>
      </c>
      <c r="F1102" s="4">
        <v>40051.373958333337</v>
      </c>
      <c r="G1102" s="17" t="s">
        <v>171</v>
      </c>
      <c r="H1102" s="35" t="s">
        <v>72</v>
      </c>
      <c r="I1102" s="10" t="s">
        <v>12109</v>
      </c>
    </row>
    <row r="1103" spans="1:9" s="31" customFormat="1" ht="120">
      <c r="A1103" s="4">
        <v>43558.465636574074</v>
      </c>
      <c r="B1103" s="5" t="s">
        <v>15752</v>
      </c>
      <c r="C1103" s="6" t="s">
        <v>12167</v>
      </c>
      <c r="D1103" s="7" t="s">
        <v>12168</v>
      </c>
      <c r="E1103" s="8" t="s">
        <v>13013</v>
      </c>
      <c r="F1103" s="4">
        <v>40727.662152777775</v>
      </c>
      <c r="G1103" s="17" t="s">
        <v>171</v>
      </c>
      <c r="H1103" s="35" t="s">
        <v>72</v>
      </c>
      <c r="I1103" s="10" t="s">
        <v>12169</v>
      </c>
    </row>
    <row r="1104" spans="1:9" s="31" customFormat="1" ht="165">
      <c r="A1104" s="4">
        <v>43558.407650462963</v>
      </c>
      <c r="B1104" s="5" t="s">
        <v>15749</v>
      </c>
      <c r="C1104" s="6" t="s">
        <v>11973</v>
      </c>
      <c r="D1104" s="7" t="s">
        <v>12212</v>
      </c>
      <c r="E1104" s="8" t="s">
        <v>13011</v>
      </c>
      <c r="F1104" s="4">
        <v>43535.639027777783</v>
      </c>
      <c r="G1104" s="17" t="s">
        <v>171</v>
      </c>
      <c r="H1104" s="35" t="s">
        <v>72</v>
      </c>
      <c r="I1104" s="10" t="s">
        <v>11974</v>
      </c>
    </row>
    <row r="1105" spans="1:9" s="31" customFormat="1" ht="45">
      <c r="A1105" s="4">
        <v>43558.398182870369</v>
      </c>
      <c r="B1105" s="5" t="s">
        <v>15753</v>
      </c>
      <c r="C1105" s="6" t="s">
        <v>12213</v>
      </c>
      <c r="D1105" s="7" t="s">
        <v>12214</v>
      </c>
      <c r="E1105" s="8" t="s">
        <v>13009</v>
      </c>
      <c r="F1105" s="4">
        <v>42101.355624999997</v>
      </c>
      <c r="G1105" s="17" t="s">
        <v>171</v>
      </c>
      <c r="H1105" s="35" t="s">
        <v>72</v>
      </c>
      <c r="I1105" s="10" t="s">
        <v>12215</v>
      </c>
    </row>
    <row r="1106" spans="1:9" s="31" customFormat="1" ht="90">
      <c r="A1106" s="4">
        <v>43558.206018518518</v>
      </c>
      <c r="B1106" s="5" t="s">
        <v>15718</v>
      </c>
      <c r="C1106" s="6" t="s">
        <v>180</v>
      </c>
      <c r="D1106" s="7" t="s">
        <v>12285</v>
      </c>
      <c r="E1106" s="8" t="s">
        <v>13009</v>
      </c>
      <c r="F1106" s="4">
        <v>43481.18378472222</v>
      </c>
      <c r="G1106" s="17" t="s">
        <v>171</v>
      </c>
      <c r="H1106" s="35" t="s">
        <v>72</v>
      </c>
      <c r="I1106" s="10" t="s">
        <v>7390</v>
      </c>
    </row>
    <row r="1107" spans="1:9" s="31" customFormat="1" ht="105">
      <c r="A1107" s="4">
        <v>43558.125821759255</v>
      </c>
      <c r="B1107" s="5" t="s">
        <v>15754</v>
      </c>
      <c r="C1107" s="6" t="s">
        <v>12312</v>
      </c>
      <c r="D1107" s="7" t="s">
        <v>12313</v>
      </c>
      <c r="E1107" s="8" t="s">
        <v>13018</v>
      </c>
      <c r="F1107" s="4">
        <v>42860.562094907407</v>
      </c>
      <c r="G1107" s="17" t="s">
        <v>171</v>
      </c>
      <c r="H1107" s="35" t="s">
        <v>72</v>
      </c>
      <c r="I1107" s="10" t="s">
        <v>12314</v>
      </c>
    </row>
    <row r="1108" spans="1:9" s="31" customFormat="1" ht="105">
      <c r="A1108" s="4">
        <v>43557.97892361111</v>
      </c>
      <c r="B1108" s="5" t="s">
        <v>15755</v>
      </c>
      <c r="C1108" s="6" t="s">
        <v>12349</v>
      </c>
      <c r="D1108" s="7" t="s">
        <v>12350</v>
      </c>
      <c r="E1108" s="8" t="s">
        <v>13009</v>
      </c>
      <c r="F1108" s="4">
        <v>43157.631631944445</v>
      </c>
      <c r="G1108" s="17" t="s">
        <v>171</v>
      </c>
      <c r="H1108" s="35" t="s">
        <v>72</v>
      </c>
      <c r="I1108" s="10" t="s">
        <v>12351</v>
      </c>
    </row>
    <row r="1109" spans="1:9" s="31" customFormat="1" ht="165">
      <c r="A1109" s="4">
        <v>43557.396840277783</v>
      </c>
      <c r="B1109" s="5" t="s">
        <v>15749</v>
      </c>
      <c r="C1109" s="6" t="s">
        <v>11973</v>
      </c>
      <c r="D1109" s="7" t="s">
        <v>12211</v>
      </c>
      <c r="E1109" s="8" t="s">
        <v>13011</v>
      </c>
      <c r="F1109" s="4">
        <v>43535.639027777783</v>
      </c>
      <c r="G1109" s="17" t="s">
        <v>171</v>
      </c>
      <c r="H1109" s="35" t="s">
        <v>72</v>
      </c>
      <c r="I1109" s="10" t="s">
        <v>11974</v>
      </c>
    </row>
    <row r="1110" spans="1:9" s="31" customFormat="1" ht="105">
      <c r="A1110" s="4">
        <v>43557.303113425922</v>
      </c>
      <c r="B1110" s="5" t="s">
        <v>15756</v>
      </c>
      <c r="C1110" s="6" t="s">
        <v>12571</v>
      </c>
      <c r="D1110" s="7" t="s">
        <v>12572</v>
      </c>
      <c r="E1110" s="8" t="s">
        <v>13009</v>
      </c>
      <c r="F1110" s="4">
        <v>43503.874386574069</v>
      </c>
      <c r="G1110" s="17" t="s">
        <v>171</v>
      </c>
      <c r="H1110" s="35" t="s">
        <v>72</v>
      </c>
      <c r="I1110" s="10" t="s">
        <v>12573</v>
      </c>
    </row>
    <row r="1111" spans="1:9" s="31" customFormat="1" ht="105">
      <c r="A1111" s="4">
        <v>43557.283148148148</v>
      </c>
      <c r="B1111" s="5" t="s">
        <v>15738</v>
      </c>
      <c r="C1111" s="6" t="s">
        <v>6224</v>
      </c>
      <c r="D1111" s="7" t="s">
        <v>12591</v>
      </c>
      <c r="E1111" s="8" t="s">
        <v>13009</v>
      </c>
      <c r="F1111" s="4">
        <v>43381.488750000004</v>
      </c>
      <c r="G1111" s="17" t="s">
        <v>171</v>
      </c>
      <c r="H1111" s="35" t="s">
        <v>72</v>
      </c>
      <c r="I1111" s="10" t="s">
        <v>6226</v>
      </c>
    </row>
    <row r="1112" spans="1:9" s="31" customFormat="1" ht="120">
      <c r="A1112" s="4">
        <v>43557.0003125</v>
      </c>
      <c r="B1112" s="5" t="s">
        <v>15757</v>
      </c>
      <c r="C1112" s="6" t="s">
        <v>4200</v>
      </c>
      <c r="D1112" s="7" t="s">
        <v>12683</v>
      </c>
      <c r="E1112" s="8" t="s">
        <v>13034</v>
      </c>
      <c r="F1112" s="4">
        <v>42704.325613425928</v>
      </c>
      <c r="G1112" s="17" t="s">
        <v>171</v>
      </c>
      <c r="H1112" s="35" t="s">
        <v>72</v>
      </c>
      <c r="I1112" s="10" t="s">
        <v>4202</v>
      </c>
    </row>
    <row r="1113" spans="1:9" s="31" customFormat="1" ht="165">
      <c r="A1113" s="4">
        <v>43556.951111111106</v>
      </c>
      <c r="B1113" s="5" t="s">
        <v>15749</v>
      </c>
      <c r="C1113" s="6" t="s">
        <v>11973</v>
      </c>
      <c r="D1113" s="7" t="s">
        <v>12211</v>
      </c>
      <c r="E1113" s="8" t="s">
        <v>13011</v>
      </c>
      <c r="F1113" s="4">
        <v>43535.639027777783</v>
      </c>
      <c r="G1113" s="17" t="s">
        <v>171</v>
      </c>
      <c r="H1113" s="35" t="s">
        <v>72</v>
      </c>
      <c r="I1113" s="10" t="s">
        <v>11974</v>
      </c>
    </row>
    <row r="1114" spans="1:9" s="31" customFormat="1" ht="105">
      <c r="A1114" s="12">
        <v>43580.790439814809</v>
      </c>
      <c r="B1114" s="13" t="s">
        <v>15735</v>
      </c>
      <c r="C1114" s="14" t="s">
        <v>70</v>
      </c>
      <c r="D1114" s="15" t="s">
        <v>71</v>
      </c>
      <c r="E1114" s="16" t="s">
        <v>13009</v>
      </c>
      <c r="F1114" s="12">
        <v>42451.038148148145</v>
      </c>
      <c r="G1114" s="17" t="s">
        <v>171</v>
      </c>
      <c r="H1114" s="35" t="s">
        <v>72</v>
      </c>
      <c r="I1114" s="18" t="s">
        <v>73</v>
      </c>
    </row>
    <row r="1115" spans="1:9" s="31" customFormat="1" ht="120">
      <c r="A1115" s="12">
        <v>43580.741793981477</v>
      </c>
      <c r="B1115" s="13" t="s">
        <v>15733</v>
      </c>
      <c r="C1115" s="14" t="s">
        <v>101</v>
      </c>
      <c r="D1115" s="15" t="s">
        <v>102</v>
      </c>
      <c r="E1115" s="16" t="s">
        <v>13009</v>
      </c>
      <c r="F1115" s="12">
        <v>43508.787569444445</v>
      </c>
      <c r="G1115" s="17" t="s">
        <v>171</v>
      </c>
      <c r="H1115" s="35" t="s">
        <v>72</v>
      </c>
      <c r="I1115" s="18" t="s">
        <v>103</v>
      </c>
    </row>
    <row r="1116" spans="1:9" s="31" customFormat="1" ht="60">
      <c r="A1116" s="12">
        <v>43580.725983796292</v>
      </c>
      <c r="B1116" s="13" t="s">
        <v>15758</v>
      </c>
      <c r="C1116" s="14" t="s">
        <v>120</v>
      </c>
      <c r="D1116" s="15" t="s">
        <v>121</v>
      </c>
      <c r="E1116" s="16" t="s">
        <v>13011</v>
      </c>
      <c r="F1116" s="12">
        <v>40684.510312500002</v>
      </c>
      <c r="G1116" s="17" t="s">
        <v>171</v>
      </c>
      <c r="H1116" s="35" t="s">
        <v>72</v>
      </c>
      <c r="I1116" s="18" t="s">
        <v>122</v>
      </c>
    </row>
    <row r="1117" spans="1:9" s="31" customFormat="1" ht="105">
      <c r="A1117" s="12">
        <v>43580.645833333328</v>
      </c>
      <c r="B1117" s="13" t="s">
        <v>15718</v>
      </c>
      <c r="C1117" s="14" t="s">
        <v>180</v>
      </c>
      <c r="D1117" s="15" t="s">
        <v>181</v>
      </c>
      <c r="E1117" s="16" t="s">
        <v>13120</v>
      </c>
      <c r="F1117" s="12">
        <v>43481.68378472222</v>
      </c>
      <c r="G1117" s="17" t="s">
        <v>171</v>
      </c>
      <c r="H1117" s="35" t="s">
        <v>72</v>
      </c>
      <c r="I1117" s="18" t="s">
        <v>182</v>
      </c>
    </row>
    <row r="1118" spans="1:9" s="31" customFormat="1" ht="105">
      <c r="A1118" s="12">
        <v>43580.636238425926</v>
      </c>
      <c r="B1118" s="13" t="s">
        <v>15735</v>
      </c>
      <c r="C1118" s="14" t="s">
        <v>70</v>
      </c>
      <c r="D1118" s="15" t="s">
        <v>195</v>
      </c>
      <c r="E1118" s="16" t="s">
        <v>13009</v>
      </c>
      <c r="F1118" s="12">
        <v>42451.038148148145</v>
      </c>
      <c r="G1118" s="17" t="s">
        <v>171</v>
      </c>
      <c r="H1118" s="35" t="s">
        <v>72</v>
      </c>
      <c r="I1118" s="18" t="s">
        <v>73</v>
      </c>
    </row>
    <row r="1119" spans="1:9" s="31" customFormat="1" ht="90">
      <c r="A1119" s="12">
        <v>43580.031909722224</v>
      </c>
      <c r="B1119" s="13" t="s">
        <v>15759</v>
      </c>
      <c r="C1119" s="14" t="s">
        <v>321</v>
      </c>
      <c r="D1119" s="15" t="s">
        <v>322</v>
      </c>
      <c r="E1119" s="16" t="s">
        <v>13011</v>
      </c>
      <c r="F1119" s="12">
        <v>40158.03670138889</v>
      </c>
      <c r="G1119" s="17" t="s">
        <v>171</v>
      </c>
      <c r="H1119" s="35" t="s">
        <v>72</v>
      </c>
      <c r="I1119" s="18" t="s">
        <v>323</v>
      </c>
    </row>
    <row r="1120" spans="1:9" s="31" customFormat="1" ht="135">
      <c r="A1120" s="12">
        <v>43579.615752314814</v>
      </c>
      <c r="B1120" s="13" t="s">
        <v>15760</v>
      </c>
      <c r="C1120" s="14" t="s">
        <v>542</v>
      </c>
      <c r="D1120" s="15" t="s">
        <v>543</v>
      </c>
      <c r="E1120" s="16" t="s">
        <v>13011</v>
      </c>
      <c r="F1120" s="12">
        <v>39871.259629629625</v>
      </c>
      <c r="G1120" s="17" t="s">
        <v>171</v>
      </c>
      <c r="H1120" s="35" t="s">
        <v>72</v>
      </c>
      <c r="I1120" s="18" t="s">
        <v>544</v>
      </c>
    </row>
    <row r="1121" spans="1:9" s="31" customFormat="1" ht="135">
      <c r="A1121" s="12">
        <v>43579.362916666665</v>
      </c>
      <c r="B1121" s="13" t="s">
        <v>15742</v>
      </c>
      <c r="C1121" s="14" t="s">
        <v>730</v>
      </c>
      <c r="D1121" s="15" t="s">
        <v>731</v>
      </c>
      <c r="E1121" s="16" t="s">
        <v>13009</v>
      </c>
      <c r="F1121" s="12">
        <v>40921.670451388891</v>
      </c>
      <c r="G1121" s="17" t="s">
        <v>171</v>
      </c>
      <c r="H1121" s="35" t="s">
        <v>72</v>
      </c>
      <c r="I1121" s="18" t="s">
        <v>732</v>
      </c>
    </row>
    <row r="1122" spans="1:9" s="31" customFormat="1" ht="105">
      <c r="A1122" s="12">
        <v>43579.181099537032</v>
      </c>
      <c r="B1122" s="13" t="s">
        <v>15718</v>
      </c>
      <c r="C1122" s="14" t="s">
        <v>180</v>
      </c>
      <c r="D1122" s="15" t="s">
        <v>877</v>
      </c>
      <c r="E1122" s="16" t="s">
        <v>13009</v>
      </c>
      <c r="F1122" s="12">
        <v>43481.18378472222</v>
      </c>
      <c r="G1122" s="17" t="s">
        <v>171</v>
      </c>
      <c r="H1122" s="35" t="s">
        <v>72</v>
      </c>
      <c r="I1122" s="18" t="s">
        <v>182</v>
      </c>
    </row>
    <row r="1123" spans="1:9" s="31" customFormat="1" ht="120">
      <c r="A1123" s="12">
        <v>43579.04451388889</v>
      </c>
      <c r="B1123" s="13" t="s">
        <v>15719</v>
      </c>
      <c r="C1123" s="14" t="s">
        <v>952</v>
      </c>
      <c r="D1123" s="15" t="s">
        <v>953</v>
      </c>
      <c r="E1123" s="16" t="s">
        <v>13009</v>
      </c>
      <c r="F1123" s="12">
        <v>43350.19321759259</v>
      </c>
      <c r="G1123" s="17" t="s">
        <v>171</v>
      </c>
      <c r="H1123" s="35" t="s">
        <v>72</v>
      </c>
      <c r="I1123" s="18" t="s">
        <v>954</v>
      </c>
    </row>
    <row r="1124" spans="1:9" s="31" customFormat="1" ht="45">
      <c r="A1124" s="12">
        <v>43576.432083333333</v>
      </c>
      <c r="B1124" s="13" t="s">
        <v>15761</v>
      </c>
      <c r="C1124" s="14" t="s">
        <v>1944</v>
      </c>
      <c r="D1124" s="15" t="s">
        <v>1945</v>
      </c>
      <c r="E1124" s="16" t="s">
        <v>13032</v>
      </c>
      <c r="F1124" s="12">
        <v>39953.72451388889</v>
      </c>
      <c r="G1124" s="17" t="s">
        <v>171</v>
      </c>
      <c r="H1124" s="35" t="s">
        <v>72</v>
      </c>
      <c r="I1124" s="18" t="s">
        <v>1946</v>
      </c>
    </row>
    <row r="1125" spans="1:9" s="31" customFormat="1" ht="105">
      <c r="A1125" s="12">
        <v>43576.358425925922</v>
      </c>
      <c r="B1125" s="13" t="s">
        <v>15762</v>
      </c>
      <c r="C1125" s="14" t="s">
        <v>1975</v>
      </c>
      <c r="D1125" s="15" t="s">
        <v>1976</v>
      </c>
      <c r="E1125" s="16" t="s">
        <v>13032</v>
      </c>
      <c r="F1125" s="12">
        <v>41815.684050925927</v>
      </c>
      <c r="G1125" s="17" t="s">
        <v>171</v>
      </c>
      <c r="H1125" s="35" t="s">
        <v>72</v>
      </c>
      <c r="I1125" s="18" t="s">
        <v>1977</v>
      </c>
    </row>
    <row r="1126" spans="1:9" s="31" customFormat="1" ht="120">
      <c r="A1126" s="12">
        <v>43575.038298611107</v>
      </c>
      <c r="B1126" s="13" t="s">
        <v>15733</v>
      </c>
      <c r="C1126" s="14" t="s">
        <v>101</v>
      </c>
      <c r="D1126" s="15" t="s">
        <v>2385</v>
      </c>
      <c r="E1126" s="16" t="s">
        <v>13009</v>
      </c>
      <c r="F1126" s="12">
        <v>43508.287569444445</v>
      </c>
      <c r="G1126" s="17" t="s">
        <v>171</v>
      </c>
      <c r="H1126" s="35" t="s">
        <v>72</v>
      </c>
      <c r="I1126" s="18" t="s">
        <v>103</v>
      </c>
    </row>
    <row r="1127" spans="1:9" s="31" customFormat="1" ht="105">
      <c r="A1127" s="12">
        <v>43574.1875</v>
      </c>
      <c r="B1127" s="13" t="s">
        <v>15718</v>
      </c>
      <c r="C1127" s="14" t="s">
        <v>180</v>
      </c>
      <c r="D1127" s="15" t="s">
        <v>2657</v>
      </c>
      <c r="E1127" s="16" t="s">
        <v>13120</v>
      </c>
      <c r="F1127" s="12">
        <v>43481.18378472222</v>
      </c>
      <c r="G1127" s="17" t="s">
        <v>171</v>
      </c>
      <c r="H1127" s="35" t="s">
        <v>72</v>
      </c>
      <c r="I1127" s="18" t="s">
        <v>182</v>
      </c>
    </row>
    <row r="1128" spans="1:9" s="31" customFormat="1" ht="105">
      <c r="A1128" s="12">
        <v>43573.110567129625</v>
      </c>
      <c r="B1128" s="13" t="s">
        <v>15763</v>
      </c>
      <c r="C1128" s="14" t="s">
        <v>3002</v>
      </c>
      <c r="D1128" s="15" t="s">
        <v>3003</v>
      </c>
      <c r="E1128" s="16" t="s">
        <v>13032</v>
      </c>
      <c r="F1128" s="12">
        <v>43270.654652777783</v>
      </c>
      <c r="G1128" s="17" t="s">
        <v>171</v>
      </c>
      <c r="H1128" s="35" t="s">
        <v>72</v>
      </c>
      <c r="I1128" s="18" t="s">
        <v>3004</v>
      </c>
    </row>
    <row r="1129" spans="1:9" s="31" customFormat="1" ht="60">
      <c r="A1129" s="12">
        <v>43572.986550925925</v>
      </c>
      <c r="B1129" s="13" t="s">
        <v>15764</v>
      </c>
      <c r="C1129" s="14" t="s">
        <v>3038</v>
      </c>
      <c r="D1129" s="15" t="s">
        <v>3039</v>
      </c>
      <c r="E1129" s="16" t="s">
        <v>13011</v>
      </c>
      <c r="F1129" s="12">
        <v>43151.267928240741</v>
      </c>
      <c r="G1129" s="17" t="s">
        <v>171</v>
      </c>
      <c r="H1129" s="35" t="s">
        <v>72</v>
      </c>
      <c r="I1129" s="18" t="s">
        <v>3040</v>
      </c>
    </row>
    <row r="1130" spans="1:9" s="31" customFormat="1" ht="105">
      <c r="A1130" s="12">
        <v>43572.372986111106</v>
      </c>
      <c r="B1130" s="13" t="s">
        <v>15718</v>
      </c>
      <c r="C1130" s="14" t="s">
        <v>180</v>
      </c>
      <c r="D1130" s="15" t="s">
        <v>3290</v>
      </c>
      <c r="E1130" s="16" t="s">
        <v>13009</v>
      </c>
      <c r="F1130" s="12">
        <v>43481.18378472222</v>
      </c>
      <c r="G1130" s="17" t="s">
        <v>171</v>
      </c>
      <c r="H1130" s="35" t="s">
        <v>72</v>
      </c>
      <c r="I1130" s="18" t="s">
        <v>182</v>
      </c>
    </row>
    <row r="1131" spans="1:9" s="31" customFormat="1" ht="120">
      <c r="A1131" s="12">
        <v>43572.0627662037</v>
      </c>
      <c r="B1131" s="13" t="s">
        <v>15719</v>
      </c>
      <c r="C1131" s="14" t="s">
        <v>952</v>
      </c>
      <c r="D1131" s="15" t="s">
        <v>3445</v>
      </c>
      <c r="E1131" s="16" t="s">
        <v>13009</v>
      </c>
      <c r="F1131" s="12">
        <v>43350.19321759259</v>
      </c>
      <c r="G1131" s="17" t="s">
        <v>171</v>
      </c>
      <c r="H1131" s="35" t="s">
        <v>72</v>
      </c>
      <c r="I1131" s="18" t="s">
        <v>954</v>
      </c>
    </row>
    <row r="1132" spans="1:9" s="31" customFormat="1" ht="120">
      <c r="A1132" s="12">
        <v>43571.060636574075</v>
      </c>
      <c r="B1132" s="13" t="s">
        <v>15719</v>
      </c>
      <c r="C1132" s="14" t="s">
        <v>952</v>
      </c>
      <c r="D1132" s="15" t="s">
        <v>3871</v>
      </c>
      <c r="E1132" s="16" t="s">
        <v>13009</v>
      </c>
      <c r="F1132" s="12">
        <v>43350.19321759259</v>
      </c>
      <c r="G1132" s="17" t="s">
        <v>171</v>
      </c>
      <c r="H1132" s="35" t="s">
        <v>72</v>
      </c>
      <c r="I1132" s="18" t="s">
        <v>954</v>
      </c>
    </row>
    <row r="1133" spans="1:9" s="31" customFormat="1" ht="105">
      <c r="A1133" s="12">
        <v>43570.854976851857</v>
      </c>
      <c r="B1133" s="13" t="s">
        <v>15765</v>
      </c>
      <c r="C1133" s="14" t="s">
        <v>3955</v>
      </c>
      <c r="D1133" s="15" t="s">
        <v>3956</v>
      </c>
      <c r="E1133" s="16" t="s">
        <v>13440</v>
      </c>
      <c r="F1133" s="12">
        <v>42299.671666666662</v>
      </c>
      <c r="G1133" s="17" t="s">
        <v>171</v>
      </c>
      <c r="H1133" s="35" t="s">
        <v>72</v>
      </c>
      <c r="I1133" s="18" t="s">
        <v>3957</v>
      </c>
    </row>
    <row r="1134" spans="1:9" s="31" customFormat="1" ht="75">
      <c r="A1134" s="12">
        <v>43570.58865740741</v>
      </c>
      <c r="B1134" s="13" t="s">
        <v>15766</v>
      </c>
      <c r="C1134" s="14" t="s">
        <v>4038</v>
      </c>
      <c r="D1134" s="15" t="s">
        <v>4039</v>
      </c>
      <c r="E1134" s="16" t="s">
        <v>13013</v>
      </c>
      <c r="F1134" s="12">
        <v>41172.667118055557</v>
      </c>
      <c r="G1134" s="17" t="s">
        <v>171</v>
      </c>
      <c r="H1134" s="35" t="s">
        <v>72</v>
      </c>
      <c r="I1134" s="18" t="s">
        <v>4040</v>
      </c>
    </row>
    <row r="1135" spans="1:9" s="31" customFormat="1" ht="120">
      <c r="A1135" s="12">
        <v>43570.375555555554</v>
      </c>
      <c r="B1135" s="13" t="s">
        <v>15757</v>
      </c>
      <c r="C1135" s="14" t="s">
        <v>4200</v>
      </c>
      <c r="D1135" s="15" t="s">
        <v>4201</v>
      </c>
      <c r="E1135" s="16" t="s">
        <v>13034</v>
      </c>
      <c r="F1135" s="12">
        <v>42704.325613425928</v>
      </c>
      <c r="G1135" s="17" t="s">
        <v>171</v>
      </c>
      <c r="H1135" s="35" t="s">
        <v>72</v>
      </c>
      <c r="I1135" s="18" t="s">
        <v>4202</v>
      </c>
    </row>
    <row r="1136" spans="1:9" s="31" customFormat="1" ht="105">
      <c r="A1136" s="12">
        <v>43570.274826388893</v>
      </c>
      <c r="B1136" s="13" t="s">
        <v>15767</v>
      </c>
      <c r="C1136" s="14" t="s">
        <v>4266</v>
      </c>
      <c r="D1136" s="15" t="s">
        <v>4267</v>
      </c>
      <c r="E1136" s="16" t="s">
        <v>13009</v>
      </c>
      <c r="F1136" s="12">
        <v>42973.705925925926</v>
      </c>
      <c r="G1136" s="17" t="s">
        <v>171</v>
      </c>
      <c r="H1136" s="35" t="s">
        <v>72</v>
      </c>
      <c r="I1136" s="18" t="s">
        <v>4268</v>
      </c>
    </row>
    <row r="1137" spans="1:9" s="31" customFormat="1" ht="105">
      <c r="A1137" s="12">
        <v>43570.1875</v>
      </c>
      <c r="B1137" s="13" t="s">
        <v>15718</v>
      </c>
      <c r="C1137" s="14" t="s">
        <v>180</v>
      </c>
      <c r="D1137" s="15" t="s">
        <v>4302</v>
      </c>
      <c r="E1137" s="16" t="s">
        <v>13120</v>
      </c>
      <c r="F1137" s="12">
        <v>43481.18378472222</v>
      </c>
      <c r="G1137" s="17" t="s">
        <v>171</v>
      </c>
      <c r="H1137" s="35" t="s">
        <v>72</v>
      </c>
      <c r="I1137" s="18" t="s">
        <v>182</v>
      </c>
    </row>
    <row r="1138" spans="1:9" s="31" customFormat="1" ht="120">
      <c r="A1138" s="12">
        <v>43570.055219907408</v>
      </c>
      <c r="B1138" s="13" t="s">
        <v>15719</v>
      </c>
      <c r="C1138" s="14" t="s">
        <v>952</v>
      </c>
      <c r="D1138" s="15" t="s">
        <v>4354</v>
      </c>
      <c r="E1138" s="16" t="s">
        <v>13009</v>
      </c>
      <c r="F1138" s="12">
        <v>43350.19321759259</v>
      </c>
      <c r="G1138" s="17" t="s">
        <v>171</v>
      </c>
      <c r="H1138" s="35" t="s">
        <v>72</v>
      </c>
      <c r="I1138" s="18" t="s">
        <v>954</v>
      </c>
    </row>
    <row r="1139" spans="1:9" s="31" customFormat="1" ht="105">
      <c r="A1139" s="12">
        <v>43570.040648148148</v>
      </c>
      <c r="B1139" s="13" t="s">
        <v>15768</v>
      </c>
      <c r="C1139" s="14" t="s">
        <v>4356</v>
      </c>
      <c r="D1139" s="15" t="s">
        <v>4357</v>
      </c>
      <c r="E1139" s="16" t="s">
        <v>13011</v>
      </c>
      <c r="F1139" s="12">
        <v>43505.009594907402</v>
      </c>
      <c r="G1139" s="17" t="s">
        <v>171</v>
      </c>
      <c r="H1139" s="35" t="s">
        <v>72</v>
      </c>
      <c r="I1139" s="18" t="s">
        <v>4358</v>
      </c>
    </row>
    <row r="1140" spans="1:9" s="31" customFormat="1" ht="45">
      <c r="A1140" s="12">
        <v>43569.630995370375</v>
      </c>
      <c r="B1140" s="13" t="s">
        <v>15769</v>
      </c>
      <c r="C1140" s="14" t="s">
        <v>4450</v>
      </c>
      <c r="D1140" s="15" t="s">
        <v>4451</v>
      </c>
      <c r="E1140" s="16" t="s">
        <v>13011</v>
      </c>
      <c r="F1140" s="12">
        <v>43216.609085648146</v>
      </c>
      <c r="G1140" s="17" t="s">
        <v>171</v>
      </c>
      <c r="H1140" s="35" t="s">
        <v>72</v>
      </c>
      <c r="I1140" s="18" t="s">
        <v>4452</v>
      </c>
    </row>
    <row r="1141" spans="1:9" s="31" customFormat="1" ht="60">
      <c r="A1141" s="12">
        <v>43568.708078703705</v>
      </c>
      <c r="B1141" s="13" t="s">
        <v>15770</v>
      </c>
      <c r="C1141" s="14" t="s">
        <v>4665</v>
      </c>
      <c r="D1141" s="15" t="s">
        <v>4666</v>
      </c>
      <c r="E1141" s="16" t="s">
        <v>13027</v>
      </c>
      <c r="F1141" s="12">
        <v>39904.713946759257</v>
      </c>
      <c r="G1141" s="17" t="s">
        <v>171</v>
      </c>
      <c r="H1141" s="35" t="s">
        <v>72</v>
      </c>
      <c r="I1141" s="18" t="s">
        <v>4667</v>
      </c>
    </row>
    <row r="1142" spans="1:9" s="31" customFormat="1" ht="45">
      <c r="A1142" s="12">
        <v>43568.151863425926</v>
      </c>
      <c r="B1142" s="13" t="s">
        <v>15771</v>
      </c>
      <c r="C1142" s="14" t="s">
        <v>4858</v>
      </c>
      <c r="D1142" s="15" t="s">
        <v>4859</v>
      </c>
      <c r="E1142" s="16" t="s">
        <v>13009</v>
      </c>
      <c r="F1142" s="12">
        <v>42826.103483796294</v>
      </c>
      <c r="G1142" s="17" t="s">
        <v>171</v>
      </c>
      <c r="H1142" s="35" t="s">
        <v>72</v>
      </c>
      <c r="I1142" s="18" t="s">
        <v>4860</v>
      </c>
    </row>
    <row r="1143" spans="1:9" s="31" customFormat="1" ht="75">
      <c r="A1143" s="12">
        <v>43568.102986111116</v>
      </c>
      <c r="B1143" s="13" t="s">
        <v>15772</v>
      </c>
      <c r="C1143" s="14" t="s">
        <v>4873</v>
      </c>
      <c r="D1143" s="15" t="s">
        <v>4874</v>
      </c>
      <c r="E1143" s="16" t="s">
        <v>13011</v>
      </c>
      <c r="F1143" s="12">
        <v>43060.16070601852</v>
      </c>
      <c r="G1143" s="17" t="s">
        <v>171</v>
      </c>
      <c r="H1143" s="35" t="s">
        <v>72</v>
      </c>
      <c r="I1143" s="18" t="s">
        <v>4875</v>
      </c>
    </row>
    <row r="1144" spans="1:9" s="31" customFormat="1" ht="75">
      <c r="A1144" s="12">
        <v>43568.027662037042</v>
      </c>
      <c r="B1144" s="13" t="s">
        <v>15773</v>
      </c>
      <c r="C1144" s="14" t="s">
        <v>4896</v>
      </c>
      <c r="D1144" s="15" t="s">
        <v>4897</v>
      </c>
      <c r="E1144" s="16" t="s">
        <v>13013</v>
      </c>
      <c r="F1144" s="12">
        <v>40152.24083333333</v>
      </c>
      <c r="G1144" s="17" t="s">
        <v>171</v>
      </c>
      <c r="H1144" s="35" t="s">
        <v>72</v>
      </c>
      <c r="I1144" s="18" t="s">
        <v>4898</v>
      </c>
    </row>
    <row r="1145" spans="1:9" s="31" customFormat="1" ht="105">
      <c r="A1145" s="12">
        <v>43567.186261574076</v>
      </c>
      <c r="B1145" s="13" t="s">
        <v>15718</v>
      </c>
      <c r="C1145" s="14" t="s">
        <v>180</v>
      </c>
      <c r="D1145" s="15" t="s">
        <v>5216</v>
      </c>
      <c r="E1145" s="16" t="s">
        <v>13009</v>
      </c>
      <c r="F1145" s="12">
        <v>43481.18378472222</v>
      </c>
      <c r="G1145" s="17" t="s">
        <v>171</v>
      </c>
      <c r="H1145" s="35" t="s">
        <v>72</v>
      </c>
      <c r="I1145" s="18" t="s">
        <v>182</v>
      </c>
    </row>
    <row r="1146" spans="1:9" s="31" customFormat="1" ht="60">
      <c r="A1146" s="12">
        <v>43566.381215277783</v>
      </c>
      <c r="B1146" s="13" t="s">
        <v>15774</v>
      </c>
      <c r="C1146" s="14" t="s">
        <v>5583</v>
      </c>
      <c r="D1146" s="15" t="s">
        <v>5584</v>
      </c>
      <c r="E1146" s="16" t="s">
        <v>13011</v>
      </c>
      <c r="F1146" s="12">
        <v>39718.428240740745</v>
      </c>
      <c r="G1146" s="17" t="s">
        <v>171</v>
      </c>
      <c r="H1146" s="35" t="s">
        <v>72</v>
      </c>
      <c r="I1146" s="18" t="s">
        <v>5585</v>
      </c>
    </row>
    <row r="1147" spans="1:9" s="31" customFormat="1" ht="120">
      <c r="A1147" s="12">
        <v>43566.296365740738</v>
      </c>
      <c r="B1147" s="13" t="s">
        <v>15775</v>
      </c>
      <c r="C1147" s="14" t="s">
        <v>5670</v>
      </c>
      <c r="D1147" s="15" t="s">
        <v>5671</v>
      </c>
      <c r="E1147" s="16" t="s">
        <v>13009</v>
      </c>
      <c r="F1147" s="12">
        <v>41431.289942129632</v>
      </c>
      <c r="G1147" s="17" t="s">
        <v>171</v>
      </c>
      <c r="H1147" s="35" t="s">
        <v>72</v>
      </c>
      <c r="I1147" s="18" t="s">
        <v>5672</v>
      </c>
    </row>
    <row r="1148" spans="1:9" s="31" customFormat="1" ht="135">
      <c r="A1148" s="12">
        <v>43566.280624999999</v>
      </c>
      <c r="B1148" s="13" t="s">
        <v>15746</v>
      </c>
      <c r="C1148" s="13" t="s">
        <v>5686</v>
      </c>
      <c r="D1148" s="15" t="s">
        <v>5687</v>
      </c>
      <c r="E1148" s="16" t="s">
        <v>13290</v>
      </c>
      <c r="F1148" s="12">
        <v>42556.238032407404</v>
      </c>
      <c r="G1148" s="17" t="s">
        <v>171</v>
      </c>
      <c r="H1148" s="35" t="s">
        <v>72</v>
      </c>
      <c r="I1148" s="18" t="s">
        <v>5688</v>
      </c>
    </row>
    <row r="1149" spans="1:9" s="31" customFormat="1" ht="105">
      <c r="A1149" s="12">
        <v>43566.212685185186</v>
      </c>
      <c r="B1149" s="13" t="s">
        <v>15718</v>
      </c>
      <c r="C1149" s="14" t="s">
        <v>180</v>
      </c>
      <c r="D1149" s="15" t="s">
        <v>5724</v>
      </c>
      <c r="E1149" s="16" t="s">
        <v>13009</v>
      </c>
      <c r="F1149" s="12">
        <v>43481.18378472222</v>
      </c>
      <c r="G1149" s="17" t="s">
        <v>171</v>
      </c>
      <c r="H1149" s="35" t="s">
        <v>72</v>
      </c>
      <c r="I1149" s="18" t="s">
        <v>182</v>
      </c>
    </row>
    <row r="1150" spans="1:9" s="31" customFormat="1" ht="105">
      <c r="A1150" s="12">
        <v>43566.203009259261</v>
      </c>
      <c r="B1150" s="13" t="s">
        <v>15776</v>
      </c>
      <c r="C1150" s="14" t="s">
        <v>5728</v>
      </c>
      <c r="D1150" s="15" t="s">
        <v>5729</v>
      </c>
      <c r="E1150" s="16" t="s">
        <v>13011</v>
      </c>
      <c r="F1150" s="12">
        <v>41633.448564814811</v>
      </c>
      <c r="G1150" s="17" t="s">
        <v>171</v>
      </c>
      <c r="H1150" s="35" t="s">
        <v>72</v>
      </c>
      <c r="I1150" s="18" t="s">
        <v>5730</v>
      </c>
    </row>
    <row r="1151" spans="1:9" s="31" customFormat="1" ht="60">
      <c r="A1151" s="12">
        <v>43566.10087962963</v>
      </c>
      <c r="B1151" s="13" t="s">
        <v>15777</v>
      </c>
      <c r="C1151" s="14" t="s">
        <v>5792</v>
      </c>
      <c r="D1151" s="15" t="s">
        <v>5793</v>
      </c>
      <c r="E1151" s="16" t="s">
        <v>13009</v>
      </c>
      <c r="F1151" s="12">
        <v>40654.093055555553</v>
      </c>
      <c r="G1151" s="17" t="s">
        <v>171</v>
      </c>
      <c r="H1151" s="35" t="s">
        <v>72</v>
      </c>
      <c r="I1151" s="18" t="s">
        <v>5794</v>
      </c>
    </row>
    <row r="1152" spans="1:9" s="31" customFormat="1" ht="120">
      <c r="A1152" s="12">
        <v>43566.097407407404</v>
      </c>
      <c r="B1152" s="13" t="s">
        <v>15719</v>
      </c>
      <c r="C1152" s="14" t="s">
        <v>952</v>
      </c>
      <c r="D1152" s="15" t="s">
        <v>5798</v>
      </c>
      <c r="E1152" s="16" t="s">
        <v>13009</v>
      </c>
      <c r="F1152" s="12">
        <v>43350.19321759259</v>
      </c>
      <c r="G1152" s="17" t="s">
        <v>171</v>
      </c>
      <c r="H1152" s="35" t="s">
        <v>72</v>
      </c>
      <c r="I1152" s="18" t="s">
        <v>954</v>
      </c>
    </row>
    <row r="1153" spans="1:9" s="31" customFormat="1" ht="120">
      <c r="A1153" s="12">
        <v>43566.0002662037</v>
      </c>
      <c r="B1153" s="13" t="s">
        <v>15757</v>
      </c>
      <c r="C1153" s="14" t="s">
        <v>4200</v>
      </c>
      <c r="D1153" s="15" t="s">
        <v>5826</v>
      </c>
      <c r="E1153" s="16" t="s">
        <v>13034</v>
      </c>
      <c r="F1153" s="12">
        <v>42704.325613425928</v>
      </c>
      <c r="G1153" s="17" t="s">
        <v>171</v>
      </c>
      <c r="H1153" s="35" t="s">
        <v>72</v>
      </c>
      <c r="I1153" s="18" t="s">
        <v>4202</v>
      </c>
    </row>
    <row r="1154" spans="1:9" s="31" customFormat="1" ht="105">
      <c r="A1154" s="12">
        <v>43565.177083333328</v>
      </c>
      <c r="B1154" s="13" t="s">
        <v>15718</v>
      </c>
      <c r="C1154" s="14" t="s">
        <v>180</v>
      </c>
      <c r="D1154" s="15" t="s">
        <v>6257</v>
      </c>
      <c r="E1154" s="16" t="s">
        <v>13120</v>
      </c>
      <c r="F1154" s="12">
        <v>43481.18378472222</v>
      </c>
      <c r="G1154" s="17" t="s">
        <v>171</v>
      </c>
      <c r="H1154" s="35" t="s">
        <v>72</v>
      </c>
      <c r="I1154" s="18" t="s">
        <v>182</v>
      </c>
    </row>
    <row r="1155" spans="1:9" s="31" customFormat="1" ht="60">
      <c r="A1155" s="19">
        <v>43550.156412037039</v>
      </c>
      <c r="B1155" s="20" t="s">
        <v>15778</v>
      </c>
      <c r="C1155" s="21" t="s">
        <v>7810</v>
      </c>
      <c r="D1155" s="22" t="s">
        <v>7811</v>
      </c>
      <c r="E1155" s="23" t="s">
        <v>13013</v>
      </c>
      <c r="F1155" s="19">
        <v>43461.747164351851</v>
      </c>
      <c r="G1155" s="17" t="s">
        <v>171</v>
      </c>
      <c r="H1155" s="35" t="s">
        <v>7812</v>
      </c>
      <c r="I1155" s="25" t="s">
        <v>7813</v>
      </c>
    </row>
    <row r="1156" spans="1:9" s="31" customFormat="1" ht="120">
      <c r="A1156" s="12">
        <v>43574.166180555556</v>
      </c>
      <c r="B1156" s="13" t="s">
        <v>15779</v>
      </c>
      <c r="C1156" s="14" t="s">
        <v>2658</v>
      </c>
      <c r="D1156" s="15" t="s">
        <v>2659</v>
      </c>
      <c r="E1156" s="16" t="s">
        <v>13011</v>
      </c>
      <c r="F1156" s="12">
        <v>39870.314872685187</v>
      </c>
      <c r="G1156" s="17" t="s">
        <v>171</v>
      </c>
      <c r="H1156" s="35" t="s">
        <v>2660</v>
      </c>
      <c r="I1156" s="18" t="s">
        <v>2661</v>
      </c>
    </row>
    <row r="1157" spans="1:9" s="31" customFormat="1" ht="105">
      <c r="A1157" s="4">
        <v>43560.604444444441</v>
      </c>
      <c r="B1157" s="5" t="s">
        <v>15780</v>
      </c>
      <c r="C1157" s="6" t="s">
        <v>2296</v>
      </c>
      <c r="D1157" s="7" t="s">
        <v>11257</v>
      </c>
      <c r="E1157" s="8" t="s">
        <v>13120</v>
      </c>
      <c r="F1157" s="4">
        <v>39563.702685185184</v>
      </c>
      <c r="G1157" s="17" t="s">
        <v>171</v>
      </c>
      <c r="H1157" s="35" t="s">
        <v>2298</v>
      </c>
      <c r="I1157" s="10" t="s">
        <v>2299</v>
      </c>
    </row>
    <row r="1158" spans="1:9" s="31" customFormat="1" ht="105">
      <c r="A1158" s="12">
        <v>43575.322534722218</v>
      </c>
      <c r="B1158" s="13" t="s">
        <v>15780</v>
      </c>
      <c r="C1158" s="14" t="s">
        <v>2296</v>
      </c>
      <c r="D1158" s="15" t="s">
        <v>2297</v>
      </c>
      <c r="E1158" s="16" t="s">
        <v>14988</v>
      </c>
      <c r="F1158" s="12">
        <v>39563.702685185184</v>
      </c>
      <c r="G1158" s="17" t="s">
        <v>171</v>
      </c>
      <c r="H1158" s="35" t="s">
        <v>2298</v>
      </c>
      <c r="I1158" s="18" t="s">
        <v>2299</v>
      </c>
    </row>
    <row r="1159" spans="1:9" s="31" customFormat="1" ht="135">
      <c r="A1159" s="12">
        <v>43570.097291666665</v>
      </c>
      <c r="B1159" s="13" t="s">
        <v>15781</v>
      </c>
      <c r="C1159" s="14" t="s">
        <v>4334</v>
      </c>
      <c r="D1159" s="15" t="s">
        <v>4335</v>
      </c>
      <c r="E1159" s="16" t="s">
        <v>13018</v>
      </c>
      <c r="F1159" s="12">
        <v>39988.119803240741</v>
      </c>
      <c r="G1159" s="17" t="s">
        <v>171</v>
      </c>
      <c r="H1159" s="35" t="s">
        <v>4336</v>
      </c>
      <c r="I1159" s="18" t="s">
        <v>4337</v>
      </c>
    </row>
    <row r="1160" spans="1:9" s="31" customFormat="1" ht="135">
      <c r="A1160" s="4">
        <v>43559.389791666668</v>
      </c>
      <c r="B1160" s="5" t="s">
        <v>15782</v>
      </c>
      <c r="C1160" s="6" t="s">
        <v>11853</v>
      </c>
      <c r="D1160" s="7" t="s">
        <v>11854</v>
      </c>
      <c r="E1160" s="8" t="s">
        <v>13032</v>
      </c>
      <c r="F1160" s="4">
        <v>42239.377962962964</v>
      </c>
      <c r="G1160" s="17" t="s">
        <v>171</v>
      </c>
      <c r="H1160" s="35" t="s">
        <v>11855</v>
      </c>
      <c r="I1160" s="10" t="s">
        <v>11856</v>
      </c>
    </row>
    <row r="1161" spans="1:9" s="31" customFormat="1" ht="135">
      <c r="A1161" s="12">
        <v>43579.042766203704</v>
      </c>
      <c r="B1161" s="13" t="s">
        <v>15783</v>
      </c>
      <c r="C1161" s="14" t="s">
        <v>956</v>
      </c>
      <c r="D1161" s="15" t="s">
        <v>957</v>
      </c>
      <c r="E1161" s="16" t="s">
        <v>13009</v>
      </c>
      <c r="F1161" s="12">
        <v>42562.284918981481</v>
      </c>
      <c r="G1161" s="17" t="s">
        <v>171</v>
      </c>
      <c r="H1161" s="35" t="s">
        <v>958</v>
      </c>
      <c r="I1161" s="18" t="s">
        <v>959</v>
      </c>
    </row>
    <row r="1162" spans="1:9" s="31" customFormat="1" ht="75">
      <c r="A1162" s="19">
        <v>43551.208761574075</v>
      </c>
      <c r="B1162" s="20" t="s">
        <v>15784</v>
      </c>
      <c r="C1162" s="21" t="s">
        <v>6299</v>
      </c>
      <c r="D1162" s="22" t="s">
        <v>7397</v>
      </c>
      <c r="E1162" s="23" t="s">
        <v>13018</v>
      </c>
      <c r="F1162" s="19">
        <v>42529.102314814816</v>
      </c>
      <c r="G1162" s="17" t="s">
        <v>171</v>
      </c>
      <c r="H1162" s="35" t="s">
        <v>921</v>
      </c>
      <c r="I1162" s="25" t="s">
        <v>6301</v>
      </c>
    </row>
    <row r="1163" spans="1:9" s="31" customFormat="1" ht="105">
      <c r="A1163" s="19">
        <v>43549.118055555555</v>
      </c>
      <c r="B1163" s="20" t="s">
        <v>15785</v>
      </c>
      <c r="C1163" s="21" t="s">
        <v>8161</v>
      </c>
      <c r="D1163" s="22" t="s">
        <v>8162</v>
      </c>
      <c r="E1163" s="23" t="s">
        <v>13034</v>
      </c>
      <c r="F1163" s="19">
        <v>39924.013206018521</v>
      </c>
      <c r="G1163" s="17" t="s">
        <v>171</v>
      </c>
      <c r="H1163" s="35" t="s">
        <v>921</v>
      </c>
      <c r="I1163" s="25" t="s">
        <v>8163</v>
      </c>
    </row>
    <row r="1164" spans="1:9" s="31" customFormat="1" ht="75">
      <c r="A1164" s="4">
        <v>43565.08258101852</v>
      </c>
      <c r="B1164" s="5" t="s">
        <v>15784</v>
      </c>
      <c r="C1164" s="6" t="s">
        <v>6299</v>
      </c>
      <c r="D1164" s="7" t="s">
        <v>6300</v>
      </c>
      <c r="E1164" s="8" t="s">
        <v>13009</v>
      </c>
      <c r="F1164" s="4">
        <v>42529.102314814816</v>
      </c>
      <c r="G1164" s="17" t="s">
        <v>171</v>
      </c>
      <c r="H1164" s="35" t="s">
        <v>921</v>
      </c>
      <c r="I1164" s="10" t="s">
        <v>6301</v>
      </c>
    </row>
    <row r="1165" spans="1:9" s="31" customFormat="1" ht="105">
      <c r="A1165" s="4">
        <v>43560.010416666672</v>
      </c>
      <c r="B1165" s="5" t="s">
        <v>15786</v>
      </c>
      <c r="C1165" s="6" t="s">
        <v>11637</v>
      </c>
      <c r="D1165" s="7" t="s">
        <v>11638</v>
      </c>
      <c r="E1165" s="8" t="s">
        <v>13120</v>
      </c>
      <c r="F1165" s="4">
        <v>40198.280474537038</v>
      </c>
      <c r="G1165" s="17" t="s">
        <v>171</v>
      </c>
      <c r="H1165" s="35" t="s">
        <v>921</v>
      </c>
      <c r="I1165" s="10" t="s">
        <v>11639</v>
      </c>
    </row>
    <row r="1166" spans="1:9" s="31" customFormat="1" ht="120">
      <c r="A1166" s="4">
        <v>43559.034814814819</v>
      </c>
      <c r="B1166" s="5" t="s">
        <v>15787</v>
      </c>
      <c r="C1166" s="6" t="s">
        <v>11966</v>
      </c>
      <c r="D1166" s="7" t="s">
        <v>11967</v>
      </c>
      <c r="E1166" s="8" t="s">
        <v>13018</v>
      </c>
      <c r="F1166" s="4">
        <v>40770.238530092596</v>
      </c>
      <c r="G1166" s="17" t="s">
        <v>171</v>
      </c>
      <c r="H1166" s="35" t="s">
        <v>921</v>
      </c>
      <c r="I1166" s="10" t="s">
        <v>11968</v>
      </c>
    </row>
    <row r="1167" spans="1:9" s="31" customFormat="1" ht="90">
      <c r="A1167" s="4">
        <v>43558.209039351852</v>
      </c>
      <c r="B1167" s="5" t="s">
        <v>15788</v>
      </c>
      <c r="C1167" s="6" t="s">
        <v>12278</v>
      </c>
      <c r="D1167" s="7" t="s">
        <v>12279</v>
      </c>
      <c r="E1167" s="8" t="s">
        <v>13034</v>
      </c>
      <c r="F1167" s="4">
        <v>40000.268969907411</v>
      </c>
      <c r="G1167" s="17" t="s">
        <v>171</v>
      </c>
      <c r="H1167" s="35" t="s">
        <v>921</v>
      </c>
      <c r="I1167" s="10" t="s">
        <v>12280</v>
      </c>
    </row>
    <row r="1168" spans="1:9" s="31" customFormat="1" ht="90">
      <c r="A1168" s="4">
        <v>43558.175706018519</v>
      </c>
      <c r="B1168" s="5" t="s">
        <v>15788</v>
      </c>
      <c r="C1168" s="6" t="s">
        <v>12278</v>
      </c>
      <c r="D1168" s="7" t="s">
        <v>12301</v>
      </c>
      <c r="E1168" s="8" t="s">
        <v>13034</v>
      </c>
      <c r="F1168" s="4">
        <v>40000.268969907411</v>
      </c>
      <c r="G1168" s="17" t="s">
        <v>171</v>
      </c>
      <c r="H1168" s="35" t="s">
        <v>921</v>
      </c>
      <c r="I1168" s="10" t="s">
        <v>12280</v>
      </c>
    </row>
    <row r="1169" spans="1:9" s="31" customFormat="1" ht="90">
      <c r="A1169" s="4">
        <v>43558.005300925928</v>
      </c>
      <c r="B1169" s="5" t="s">
        <v>15788</v>
      </c>
      <c r="C1169" s="6" t="s">
        <v>12278</v>
      </c>
      <c r="D1169" s="7" t="s">
        <v>12346</v>
      </c>
      <c r="E1169" s="8" t="s">
        <v>13034</v>
      </c>
      <c r="F1169" s="4">
        <v>40000.268969907411</v>
      </c>
      <c r="G1169" s="17" t="s">
        <v>171</v>
      </c>
      <c r="H1169" s="35" t="s">
        <v>921</v>
      </c>
      <c r="I1169" s="10" t="s">
        <v>12280</v>
      </c>
    </row>
    <row r="1170" spans="1:9" s="31" customFormat="1" ht="75">
      <c r="A1170" s="4">
        <v>43557.083437499998</v>
      </c>
      <c r="B1170" s="5" t="s">
        <v>15784</v>
      </c>
      <c r="C1170" s="6" t="s">
        <v>6299</v>
      </c>
      <c r="D1170" s="7" t="s">
        <v>12656</v>
      </c>
      <c r="E1170" s="8" t="s">
        <v>13018</v>
      </c>
      <c r="F1170" s="4">
        <v>42529.102314814816</v>
      </c>
      <c r="G1170" s="17" t="s">
        <v>171</v>
      </c>
      <c r="H1170" s="35" t="s">
        <v>921</v>
      </c>
      <c r="I1170" s="10" t="s">
        <v>6301</v>
      </c>
    </row>
    <row r="1171" spans="1:9" s="31" customFormat="1" ht="75">
      <c r="A1171" s="12">
        <v>43579.12195601852</v>
      </c>
      <c r="B1171" s="13" t="s">
        <v>15789</v>
      </c>
      <c r="C1171" s="14" t="s">
        <v>919</v>
      </c>
      <c r="D1171" s="15" t="s">
        <v>920</v>
      </c>
      <c r="E1171" s="16" t="s">
        <v>13009</v>
      </c>
      <c r="F1171" s="12">
        <v>39828.090729166666</v>
      </c>
      <c r="G1171" s="17" t="s">
        <v>171</v>
      </c>
      <c r="H1171" s="35" t="s">
        <v>921</v>
      </c>
      <c r="I1171" s="18" t="s">
        <v>922</v>
      </c>
    </row>
    <row r="1172" spans="1:9" s="31" customFormat="1" ht="90">
      <c r="A1172" s="12">
        <v>43573.366770833338</v>
      </c>
      <c r="B1172" s="13" t="s">
        <v>15790</v>
      </c>
      <c r="C1172" s="14" t="s">
        <v>2917</v>
      </c>
      <c r="D1172" s="15" t="s">
        <v>2918</v>
      </c>
      <c r="E1172" s="16" t="s">
        <v>13443</v>
      </c>
      <c r="F1172" s="12">
        <v>41722.370486111111</v>
      </c>
      <c r="G1172" s="17" t="s">
        <v>171</v>
      </c>
      <c r="H1172" s="35" t="s">
        <v>921</v>
      </c>
      <c r="I1172" s="18" t="s">
        <v>2919</v>
      </c>
    </row>
    <row r="1173" spans="1:9" s="31" customFormat="1" ht="120">
      <c r="A1173" s="12">
        <v>43569.534039351856</v>
      </c>
      <c r="B1173" s="13" t="s">
        <v>15791</v>
      </c>
      <c r="C1173" s="14" t="s">
        <v>4488</v>
      </c>
      <c r="D1173" s="15" t="s">
        <v>4489</v>
      </c>
      <c r="E1173" s="16" t="s">
        <v>13034</v>
      </c>
      <c r="F1173" s="12">
        <v>41693.367025462961</v>
      </c>
      <c r="G1173" s="17" t="s">
        <v>171</v>
      </c>
      <c r="H1173" s="35" t="s">
        <v>921</v>
      </c>
      <c r="I1173" s="18" t="s">
        <v>4490</v>
      </c>
    </row>
    <row r="1174" spans="1:9" s="31" customFormat="1" ht="45">
      <c r="A1174" s="12">
        <v>43569.408229166671</v>
      </c>
      <c r="B1174" s="13" t="s">
        <v>15792</v>
      </c>
      <c r="C1174" s="14" t="s">
        <v>4515</v>
      </c>
      <c r="D1174" s="15" t="s">
        <v>4516</v>
      </c>
      <c r="E1174" s="16" t="s">
        <v>13099</v>
      </c>
      <c r="F1174" s="12">
        <v>39693.26153935185</v>
      </c>
      <c r="G1174" s="17" t="s">
        <v>171</v>
      </c>
      <c r="H1174" s="35" t="s">
        <v>921</v>
      </c>
      <c r="I1174" s="18" t="s">
        <v>4517</v>
      </c>
    </row>
    <row r="1175" spans="1:9" s="31" customFormat="1" ht="105">
      <c r="A1175" s="19">
        <v>43547.067407407405</v>
      </c>
      <c r="B1175" s="20" t="s">
        <v>15793</v>
      </c>
      <c r="C1175" s="20" t="s">
        <v>1382</v>
      </c>
      <c r="D1175" s="22" t="s">
        <v>8659</v>
      </c>
      <c r="E1175" s="23" t="s">
        <v>13006</v>
      </c>
      <c r="F1175" s="19">
        <v>42586.033703703702</v>
      </c>
      <c r="G1175" s="17" t="s">
        <v>171</v>
      </c>
      <c r="H1175" s="35" t="s">
        <v>272</v>
      </c>
      <c r="I1175" s="25" t="s">
        <v>1384</v>
      </c>
    </row>
    <row r="1176" spans="1:9" s="31" customFormat="1" ht="105">
      <c r="A1176" s="4">
        <v>43565.545844907407</v>
      </c>
      <c r="B1176" s="5" t="s">
        <v>15794</v>
      </c>
      <c r="C1176" s="6" t="s">
        <v>6032</v>
      </c>
      <c r="D1176" s="7" t="s">
        <v>6033</v>
      </c>
      <c r="E1176" s="8" t="s">
        <v>13034</v>
      </c>
      <c r="F1176" s="4">
        <v>40939.322083333333</v>
      </c>
      <c r="G1176" s="17" t="s">
        <v>171</v>
      </c>
      <c r="H1176" s="35" t="s">
        <v>272</v>
      </c>
      <c r="I1176" s="10" t="s">
        <v>6034</v>
      </c>
    </row>
    <row r="1177" spans="1:9" s="31" customFormat="1" ht="105">
      <c r="A1177" s="4">
        <v>43564.111574074079</v>
      </c>
      <c r="B1177" s="5" t="s">
        <v>15793</v>
      </c>
      <c r="C1177" s="5" t="s">
        <v>1382</v>
      </c>
      <c r="D1177" s="7" t="s">
        <v>6780</v>
      </c>
      <c r="E1177" s="8" t="s">
        <v>13009</v>
      </c>
      <c r="F1177" s="4">
        <v>42586.033703703702</v>
      </c>
      <c r="G1177" s="17" t="s">
        <v>171</v>
      </c>
      <c r="H1177" s="35" t="s">
        <v>272</v>
      </c>
      <c r="I1177" s="10" t="s">
        <v>1384</v>
      </c>
    </row>
    <row r="1178" spans="1:9" s="31" customFormat="1" ht="120">
      <c r="A1178" s="4">
        <v>43564.048981481479</v>
      </c>
      <c r="B1178" s="5" t="s">
        <v>15795</v>
      </c>
      <c r="C1178" s="6" t="s">
        <v>6800</v>
      </c>
      <c r="D1178" s="7" t="s">
        <v>6801</v>
      </c>
      <c r="E1178" s="8" t="s">
        <v>13018</v>
      </c>
      <c r="F1178" s="4">
        <v>40617.105185185181</v>
      </c>
      <c r="G1178" s="17" t="s">
        <v>171</v>
      </c>
      <c r="H1178" s="35" t="s">
        <v>272</v>
      </c>
      <c r="I1178" s="10" t="s">
        <v>6802</v>
      </c>
    </row>
    <row r="1179" spans="1:9" s="31" customFormat="1" ht="105">
      <c r="A1179" s="4">
        <v>43559.12128472222</v>
      </c>
      <c r="B1179" s="5" t="s">
        <v>15793</v>
      </c>
      <c r="C1179" s="5" t="s">
        <v>1382</v>
      </c>
      <c r="D1179" s="7" t="s">
        <v>11939</v>
      </c>
      <c r="E1179" s="8" t="s">
        <v>13009</v>
      </c>
      <c r="F1179" s="4">
        <v>42586.033703703702</v>
      </c>
      <c r="G1179" s="17" t="s">
        <v>171</v>
      </c>
      <c r="H1179" s="35" t="s">
        <v>272</v>
      </c>
      <c r="I1179" s="10" t="s">
        <v>1384</v>
      </c>
    </row>
    <row r="1180" spans="1:9" s="31" customFormat="1" ht="105">
      <c r="A1180" s="4">
        <v>43557.366099537037</v>
      </c>
      <c r="B1180" s="5" t="s">
        <v>15793</v>
      </c>
      <c r="C1180" s="5" t="s">
        <v>1382</v>
      </c>
      <c r="D1180" s="7" t="s">
        <v>12541</v>
      </c>
      <c r="E1180" s="8" t="s">
        <v>13009</v>
      </c>
      <c r="F1180" s="4">
        <v>42586.033703703702</v>
      </c>
      <c r="G1180" s="17" t="s">
        <v>171</v>
      </c>
      <c r="H1180" s="35" t="s">
        <v>272</v>
      </c>
      <c r="I1180" s="10" t="s">
        <v>1384</v>
      </c>
    </row>
    <row r="1181" spans="1:9" s="31" customFormat="1" ht="105">
      <c r="A1181" s="12">
        <v>43580.116840277777</v>
      </c>
      <c r="B1181" s="13" t="s">
        <v>15796</v>
      </c>
      <c r="C1181" s="14" t="s">
        <v>270</v>
      </c>
      <c r="D1181" s="15" t="s">
        <v>271</v>
      </c>
      <c r="E1181" s="16" t="s">
        <v>13411</v>
      </c>
      <c r="F1181" s="12">
        <v>41486.281134259261</v>
      </c>
      <c r="G1181" s="17" t="s">
        <v>171</v>
      </c>
      <c r="H1181" s="35" t="s">
        <v>272</v>
      </c>
      <c r="I1181" s="18" t="s">
        <v>273</v>
      </c>
    </row>
    <row r="1182" spans="1:9" s="31" customFormat="1" ht="105">
      <c r="A1182" s="12">
        <v>43578.1328125</v>
      </c>
      <c r="B1182" s="13" t="s">
        <v>15793</v>
      </c>
      <c r="C1182" s="13" t="s">
        <v>1382</v>
      </c>
      <c r="D1182" s="15" t="s">
        <v>1383</v>
      </c>
      <c r="E1182" s="16" t="s">
        <v>13006</v>
      </c>
      <c r="F1182" s="12">
        <v>42586.033703703702</v>
      </c>
      <c r="G1182" s="17" t="s">
        <v>171</v>
      </c>
      <c r="H1182" s="35" t="s">
        <v>272</v>
      </c>
      <c r="I1182" s="18" t="s">
        <v>1384</v>
      </c>
    </row>
    <row r="1183" spans="1:9" s="31" customFormat="1" ht="105">
      <c r="A1183" s="12">
        <v>43578.116076388891</v>
      </c>
      <c r="B1183" s="13" t="s">
        <v>15793</v>
      </c>
      <c r="C1183" s="13" t="s">
        <v>1382</v>
      </c>
      <c r="D1183" s="15" t="s">
        <v>1394</v>
      </c>
      <c r="E1183" s="16" t="s">
        <v>13009</v>
      </c>
      <c r="F1183" s="12">
        <v>42586.033703703702</v>
      </c>
      <c r="G1183" s="17" t="s">
        <v>171</v>
      </c>
      <c r="H1183" s="35" t="s">
        <v>272</v>
      </c>
      <c r="I1183" s="18" t="s">
        <v>1384</v>
      </c>
    </row>
    <row r="1184" spans="1:9" s="31" customFormat="1" ht="135">
      <c r="A1184" s="12">
        <v>43575.837141203709</v>
      </c>
      <c r="B1184" s="13" t="s">
        <v>15797</v>
      </c>
      <c r="C1184" s="14" t="s">
        <v>2108</v>
      </c>
      <c r="D1184" s="15" t="s">
        <v>2109</v>
      </c>
      <c r="E1184" s="16" t="s">
        <v>13011</v>
      </c>
      <c r="F1184" s="12">
        <v>41095.095289351855</v>
      </c>
      <c r="G1184" s="17" t="s">
        <v>171</v>
      </c>
      <c r="H1184" s="35" t="s">
        <v>272</v>
      </c>
      <c r="I1184" s="18" t="s">
        <v>2110</v>
      </c>
    </row>
    <row r="1185" spans="1:9" s="31" customFormat="1" ht="120">
      <c r="A1185" s="12">
        <v>43572.092766203699</v>
      </c>
      <c r="B1185" s="13" t="s">
        <v>15798</v>
      </c>
      <c r="C1185" s="14" t="s">
        <v>3433</v>
      </c>
      <c r="D1185" s="15" t="s">
        <v>3434</v>
      </c>
      <c r="E1185" s="16" t="s">
        <v>13018</v>
      </c>
      <c r="F1185" s="12">
        <v>39993.384456018517</v>
      </c>
      <c r="G1185" s="17" t="s">
        <v>171</v>
      </c>
      <c r="H1185" s="35" t="s">
        <v>272</v>
      </c>
      <c r="I1185" s="18" t="s">
        <v>3435</v>
      </c>
    </row>
    <row r="1186" spans="1:9" s="31" customFormat="1" ht="120">
      <c r="A1186" s="12">
        <v>43571.593877314815</v>
      </c>
      <c r="B1186" s="13" t="s">
        <v>15799</v>
      </c>
      <c r="C1186" s="14" t="s">
        <v>3628</v>
      </c>
      <c r="D1186" s="15" t="s">
        <v>3629</v>
      </c>
      <c r="E1186" s="16" t="s">
        <v>13013</v>
      </c>
      <c r="F1186" s="12">
        <v>40227.646782407406</v>
      </c>
      <c r="G1186" s="17" t="s">
        <v>171</v>
      </c>
      <c r="H1186" s="35" t="s">
        <v>272</v>
      </c>
      <c r="I1186" s="18" t="s">
        <v>3630</v>
      </c>
    </row>
    <row r="1187" spans="1:9" s="31" customFormat="1" ht="105">
      <c r="A1187" s="12">
        <v>43566.266030092593</v>
      </c>
      <c r="B1187" s="13" t="s">
        <v>15793</v>
      </c>
      <c r="C1187" s="13" t="s">
        <v>1382</v>
      </c>
      <c r="D1187" s="15" t="s">
        <v>5704</v>
      </c>
      <c r="E1187" s="16" t="s">
        <v>13009</v>
      </c>
      <c r="F1187" s="12">
        <v>42586.033703703702</v>
      </c>
      <c r="G1187" s="17" t="s">
        <v>171</v>
      </c>
      <c r="H1187" s="35" t="s">
        <v>272</v>
      </c>
      <c r="I1187" s="18" t="s">
        <v>1384</v>
      </c>
    </row>
    <row r="1188" spans="1:9" s="31" customFormat="1" ht="45">
      <c r="A1188" s="12">
        <v>43576.250300925924</v>
      </c>
      <c r="B1188" s="13" t="s">
        <v>15800</v>
      </c>
      <c r="C1188" s="14" t="s">
        <v>2018</v>
      </c>
      <c r="D1188" s="15" t="s">
        <v>2019</v>
      </c>
      <c r="E1188" s="16" t="s">
        <v>13032</v>
      </c>
      <c r="F1188" s="12">
        <v>40572.081504629634</v>
      </c>
      <c r="G1188" s="17" t="s">
        <v>171</v>
      </c>
      <c r="H1188" s="35" t="s">
        <v>2020</v>
      </c>
      <c r="I1188" s="18" t="s">
        <v>2021</v>
      </c>
    </row>
    <row r="1189" spans="1:9" s="31" customFormat="1" ht="45">
      <c r="A1189" s="12">
        <v>43576.24864583333</v>
      </c>
      <c r="B1189" s="13" t="s">
        <v>15800</v>
      </c>
      <c r="C1189" s="14" t="s">
        <v>2018</v>
      </c>
      <c r="D1189" s="15" t="s">
        <v>2019</v>
      </c>
      <c r="E1189" s="16" t="s">
        <v>13032</v>
      </c>
      <c r="F1189" s="12">
        <v>40572.081504629634</v>
      </c>
      <c r="G1189" s="17" t="s">
        <v>171</v>
      </c>
      <c r="H1189" s="35" t="s">
        <v>2020</v>
      </c>
      <c r="I1189" s="18" t="s">
        <v>2021</v>
      </c>
    </row>
    <row r="1190" spans="1:9" s="31" customFormat="1" ht="45">
      <c r="A1190" s="12">
        <v>43576.244953703703</v>
      </c>
      <c r="B1190" s="13" t="s">
        <v>15800</v>
      </c>
      <c r="C1190" s="14" t="s">
        <v>2018</v>
      </c>
      <c r="D1190" s="15" t="s">
        <v>2019</v>
      </c>
      <c r="E1190" s="16" t="s">
        <v>13032</v>
      </c>
      <c r="F1190" s="12">
        <v>40572.081504629634</v>
      </c>
      <c r="G1190" s="17" t="s">
        <v>171</v>
      </c>
      <c r="H1190" s="35" t="s">
        <v>2020</v>
      </c>
      <c r="I1190" s="18" t="s">
        <v>2021</v>
      </c>
    </row>
    <row r="1191" spans="1:9" s="31" customFormat="1" ht="60">
      <c r="A1191" s="4">
        <v>43560.072013888886</v>
      </c>
      <c r="B1191" s="5" t="s">
        <v>15801</v>
      </c>
      <c r="C1191" s="6" t="s">
        <v>11611</v>
      </c>
      <c r="D1191" s="7" t="s">
        <v>11612</v>
      </c>
      <c r="E1191" s="8" t="s">
        <v>13009</v>
      </c>
      <c r="F1191" s="4">
        <v>42196.252986111111</v>
      </c>
      <c r="G1191" s="17" t="s">
        <v>171</v>
      </c>
      <c r="H1191" s="35" t="s">
        <v>11613</v>
      </c>
      <c r="I1191" s="10" t="s">
        <v>11614</v>
      </c>
    </row>
    <row r="1192" spans="1:9" s="31" customFormat="1" ht="60">
      <c r="A1192" s="12">
        <v>43580.075833333336</v>
      </c>
      <c r="B1192" s="13" t="s">
        <v>15802</v>
      </c>
      <c r="C1192" s="14" t="s">
        <v>297</v>
      </c>
      <c r="D1192" s="15" t="s">
        <v>298</v>
      </c>
      <c r="E1192" s="16" t="s">
        <v>13015</v>
      </c>
      <c r="F1192" s="12">
        <v>41230.239756944444</v>
      </c>
      <c r="G1192" s="17" t="s">
        <v>171</v>
      </c>
      <c r="H1192" s="35" t="s">
        <v>299</v>
      </c>
      <c r="I1192" s="18" t="s">
        <v>300</v>
      </c>
    </row>
    <row r="1193" spans="1:9" s="31" customFormat="1" ht="120">
      <c r="A1193" s="12">
        <v>43572.513356481482</v>
      </c>
      <c r="B1193" s="13" t="s">
        <v>15803</v>
      </c>
      <c r="C1193" s="14" t="s">
        <v>3195</v>
      </c>
      <c r="D1193" s="15" t="s">
        <v>3196</v>
      </c>
      <c r="E1193" s="16" t="s">
        <v>13032</v>
      </c>
      <c r="F1193" s="12">
        <v>39874.378067129626</v>
      </c>
      <c r="G1193" s="17" t="s">
        <v>171</v>
      </c>
      <c r="H1193" s="35" t="s">
        <v>3197</v>
      </c>
      <c r="I1193" s="18" t="s">
        <v>3198</v>
      </c>
    </row>
    <row r="1194" spans="1:9" s="31" customFormat="1" ht="90">
      <c r="A1194" s="12">
        <v>43568.074212962965</v>
      </c>
      <c r="B1194" s="13" t="s">
        <v>15804</v>
      </c>
      <c r="C1194" s="14" t="s">
        <v>4878</v>
      </c>
      <c r="D1194" s="15" t="s">
        <v>4879</v>
      </c>
      <c r="E1194" s="16" t="s">
        <v>13018</v>
      </c>
      <c r="F1194" s="12">
        <v>42759.967881944445</v>
      </c>
      <c r="G1194" s="17" t="s">
        <v>171</v>
      </c>
      <c r="H1194" s="35" t="s">
        <v>4880</v>
      </c>
      <c r="I1194" s="18" t="s">
        <v>4881</v>
      </c>
    </row>
    <row r="1195" spans="1:9" s="31" customFormat="1" ht="120">
      <c r="A1195" s="12">
        <v>43568.264131944445</v>
      </c>
      <c r="B1195" s="13" t="s">
        <v>15805</v>
      </c>
      <c r="C1195" s="14" t="s">
        <v>4828</v>
      </c>
      <c r="D1195" s="15" t="s">
        <v>4829</v>
      </c>
      <c r="E1195" s="16" t="s">
        <v>13006</v>
      </c>
      <c r="F1195" s="12">
        <v>40858.938738425924</v>
      </c>
      <c r="G1195" s="17" t="s">
        <v>171</v>
      </c>
      <c r="H1195" s="35" t="s">
        <v>4830</v>
      </c>
      <c r="I1195" s="18" t="s">
        <v>4831</v>
      </c>
    </row>
    <row r="1196" spans="1:9" s="31" customFormat="1" ht="60">
      <c r="A1196" s="4">
        <v>43559.386180555557</v>
      </c>
      <c r="B1196" s="5" t="s">
        <v>15806</v>
      </c>
      <c r="C1196" s="6" t="s">
        <v>2676</v>
      </c>
      <c r="D1196" s="7" t="s">
        <v>11857</v>
      </c>
      <c r="E1196" s="8" t="s">
        <v>13013</v>
      </c>
      <c r="F1196" s="4">
        <v>43550.156157407408</v>
      </c>
      <c r="G1196" s="17" t="s">
        <v>171</v>
      </c>
      <c r="H1196" s="35" t="s">
        <v>2678</v>
      </c>
      <c r="I1196" s="10"/>
    </row>
    <row r="1197" spans="1:9" s="31" customFormat="1" ht="75">
      <c r="A1197" s="12">
        <v>43574.089120370365</v>
      </c>
      <c r="B1197" s="13" t="s">
        <v>15806</v>
      </c>
      <c r="C1197" s="14" t="s">
        <v>2676</v>
      </c>
      <c r="D1197" s="15" t="s">
        <v>2677</v>
      </c>
      <c r="E1197" s="16" t="s">
        <v>13013</v>
      </c>
      <c r="F1197" s="12">
        <v>43550.156157407408</v>
      </c>
      <c r="G1197" s="17" t="s">
        <v>171</v>
      </c>
      <c r="H1197" s="35" t="s">
        <v>2678</v>
      </c>
      <c r="I1197" s="18"/>
    </row>
    <row r="1198" spans="1:9" s="31" customFormat="1" ht="60">
      <c r="A1198" s="12">
        <v>43572.146701388891</v>
      </c>
      <c r="B1198" s="13" t="s">
        <v>15806</v>
      </c>
      <c r="C1198" s="14" t="s">
        <v>2676</v>
      </c>
      <c r="D1198" s="15" t="s">
        <v>3405</v>
      </c>
      <c r="E1198" s="16" t="s">
        <v>13013</v>
      </c>
      <c r="F1198" s="12">
        <v>43550.156157407408</v>
      </c>
      <c r="G1198" s="17" t="s">
        <v>171</v>
      </c>
      <c r="H1198" s="35" t="s">
        <v>2678</v>
      </c>
      <c r="I1198" s="18"/>
    </row>
    <row r="1199" spans="1:9" s="31" customFormat="1" ht="75">
      <c r="A1199" s="12">
        <v>43570.272581018522</v>
      </c>
      <c r="B1199" s="13" t="s">
        <v>15806</v>
      </c>
      <c r="C1199" s="14" t="s">
        <v>2676</v>
      </c>
      <c r="D1199" s="15" t="s">
        <v>4269</v>
      </c>
      <c r="E1199" s="16" t="s">
        <v>13013</v>
      </c>
      <c r="F1199" s="12">
        <v>43550.156157407408</v>
      </c>
      <c r="G1199" s="17" t="s">
        <v>171</v>
      </c>
      <c r="H1199" s="35" t="s">
        <v>2678</v>
      </c>
      <c r="I1199" s="18"/>
    </row>
    <row r="1200" spans="1:9" s="31" customFormat="1" ht="120">
      <c r="A1200" s="4">
        <v>43560.949953703705</v>
      </c>
      <c r="B1200" s="5" t="s">
        <v>15807</v>
      </c>
      <c r="C1200" s="6" t="s">
        <v>11121</v>
      </c>
      <c r="D1200" s="7" t="s">
        <v>11122</v>
      </c>
      <c r="E1200" s="8" t="s">
        <v>13013</v>
      </c>
      <c r="F1200" s="4">
        <v>40781.262627314813</v>
      </c>
      <c r="G1200" s="17" t="s">
        <v>171</v>
      </c>
      <c r="H1200" s="35" t="s">
        <v>4287</v>
      </c>
      <c r="I1200" s="10" t="s">
        <v>11123</v>
      </c>
    </row>
    <row r="1201" spans="1:9" s="31" customFormat="1" ht="105">
      <c r="A1201" s="12">
        <v>43570.239652777775</v>
      </c>
      <c r="B1201" s="13" t="s">
        <v>15808</v>
      </c>
      <c r="C1201" s="14" t="s">
        <v>4285</v>
      </c>
      <c r="D1201" s="15" t="s">
        <v>4286</v>
      </c>
      <c r="E1201" s="16" t="s">
        <v>13009</v>
      </c>
      <c r="F1201" s="12">
        <v>42847.484456018516</v>
      </c>
      <c r="G1201" s="17" t="s">
        <v>171</v>
      </c>
      <c r="H1201" s="35" t="s">
        <v>4287</v>
      </c>
      <c r="I1201" s="18" t="s">
        <v>4288</v>
      </c>
    </row>
    <row r="1202" spans="1:9" s="31" customFormat="1" ht="45">
      <c r="A1202" s="4">
        <v>43565.106157407412</v>
      </c>
      <c r="B1202" s="5" t="s">
        <v>15809</v>
      </c>
      <c r="C1202" s="6" t="s">
        <v>6277</v>
      </c>
      <c r="D1202" s="7" t="s">
        <v>6278</v>
      </c>
      <c r="E1202" s="8" t="s">
        <v>13120</v>
      </c>
      <c r="F1202" s="4">
        <v>41408.349027777775</v>
      </c>
      <c r="G1202" s="17" t="s">
        <v>171</v>
      </c>
      <c r="H1202" s="35" t="s">
        <v>6279</v>
      </c>
      <c r="I1202" s="10" t="s">
        <v>6280</v>
      </c>
    </row>
    <row r="1203" spans="1:9" s="31" customFormat="1" ht="45">
      <c r="A1203" s="19">
        <v>43551.474675925929</v>
      </c>
      <c r="B1203" s="20" t="s">
        <v>15810</v>
      </c>
      <c r="C1203" s="21" t="s">
        <v>7164</v>
      </c>
      <c r="D1203" s="22" t="s">
        <v>7165</v>
      </c>
      <c r="E1203" s="23" t="s">
        <v>13130</v>
      </c>
      <c r="F1203" s="19">
        <v>40575.150578703702</v>
      </c>
      <c r="G1203" s="17" t="s">
        <v>171</v>
      </c>
      <c r="H1203" s="35" t="s">
        <v>7166</v>
      </c>
      <c r="I1203" s="25" t="s">
        <v>7167</v>
      </c>
    </row>
    <row r="1204" spans="1:9" s="31" customFormat="1" ht="45">
      <c r="A1204" s="4">
        <v>43559.476967592593</v>
      </c>
      <c r="B1204" s="5" t="s">
        <v>15811</v>
      </c>
      <c r="C1204" s="6" t="s">
        <v>11799</v>
      </c>
      <c r="D1204" s="7" t="s">
        <v>11800</v>
      </c>
      <c r="E1204" s="8" t="s">
        <v>13011</v>
      </c>
      <c r="F1204" s="4">
        <v>39982.716377314813</v>
      </c>
      <c r="G1204" s="17" t="s">
        <v>171</v>
      </c>
      <c r="H1204" s="35" t="s">
        <v>7166</v>
      </c>
      <c r="I1204" s="10" t="s">
        <v>11801</v>
      </c>
    </row>
    <row r="1205" spans="1:9" s="31" customFormat="1" ht="120">
      <c r="A1205" s="19">
        <v>43544.085439814815</v>
      </c>
      <c r="B1205" s="20" t="s">
        <v>15812</v>
      </c>
      <c r="C1205" s="21" t="s">
        <v>9622</v>
      </c>
      <c r="D1205" s="22" t="s">
        <v>9574</v>
      </c>
      <c r="E1205" s="23" t="s">
        <v>13120</v>
      </c>
      <c r="F1205" s="19">
        <v>39833.161550925928</v>
      </c>
      <c r="G1205" s="17" t="s">
        <v>171</v>
      </c>
      <c r="H1205" s="35" t="s">
        <v>9623</v>
      </c>
      <c r="I1205" s="25" t="s">
        <v>9624</v>
      </c>
    </row>
    <row r="1206" spans="1:9" s="31" customFormat="1" ht="135">
      <c r="A1206" s="12">
        <v>43580.743020833332</v>
      </c>
      <c r="B1206" s="13" t="s">
        <v>15813</v>
      </c>
      <c r="C1206" s="14" t="s">
        <v>97</v>
      </c>
      <c r="D1206" s="15" t="s">
        <v>98</v>
      </c>
      <c r="E1206" s="16" t="s">
        <v>13009</v>
      </c>
      <c r="F1206" s="12">
        <v>40986.083726851852</v>
      </c>
      <c r="G1206" s="17" t="s">
        <v>171</v>
      </c>
      <c r="H1206" s="35" t="s">
        <v>99</v>
      </c>
      <c r="I1206" s="18" t="s">
        <v>100</v>
      </c>
    </row>
    <row r="1207" spans="1:9" s="31" customFormat="1" ht="105">
      <c r="A1207" s="19">
        <v>43548.262916666667</v>
      </c>
      <c r="B1207" s="20" t="s">
        <v>15814</v>
      </c>
      <c r="C1207" s="21" t="s">
        <v>8358</v>
      </c>
      <c r="D1207" s="22" t="s">
        <v>8359</v>
      </c>
      <c r="E1207" s="23" t="s">
        <v>13009</v>
      </c>
      <c r="F1207" s="19">
        <v>41684.313067129631</v>
      </c>
      <c r="G1207" s="17" t="s">
        <v>171</v>
      </c>
      <c r="H1207" s="35" t="s">
        <v>8360</v>
      </c>
      <c r="I1207" s="25" t="s">
        <v>8361</v>
      </c>
    </row>
    <row r="1208" spans="1:9" s="31" customFormat="1" ht="105">
      <c r="A1208" s="19">
        <v>43547.530219907407</v>
      </c>
      <c r="B1208" s="20" t="s">
        <v>15814</v>
      </c>
      <c r="C1208" s="21" t="s">
        <v>8358</v>
      </c>
      <c r="D1208" s="22" t="s">
        <v>8359</v>
      </c>
      <c r="E1208" s="23" t="s">
        <v>13099</v>
      </c>
      <c r="F1208" s="19">
        <v>41684.313067129631</v>
      </c>
      <c r="G1208" s="17" t="s">
        <v>171</v>
      </c>
      <c r="H1208" s="35" t="s">
        <v>8360</v>
      </c>
      <c r="I1208" s="25" t="s">
        <v>8361</v>
      </c>
    </row>
    <row r="1209" spans="1:9" s="31" customFormat="1" ht="30">
      <c r="A1209" s="12">
        <v>43578.518599537041</v>
      </c>
      <c r="B1209" s="13" t="s">
        <v>15815</v>
      </c>
      <c r="C1209" s="14" t="s">
        <v>1163</v>
      </c>
      <c r="D1209" s="15" t="s">
        <v>1164</v>
      </c>
      <c r="E1209" s="16" t="s">
        <v>13009</v>
      </c>
      <c r="F1209" s="12">
        <v>43578.487060185187</v>
      </c>
      <c r="G1209" s="17" t="s">
        <v>171</v>
      </c>
      <c r="H1209" s="35" t="s">
        <v>1165</v>
      </c>
      <c r="I1209" s="18" t="s">
        <v>1166</v>
      </c>
    </row>
    <row r="1210" spans="1:9" s="31" customFormat="1" ht="90">
      <c r="A1210" s="19">
        <v>43551.390821759254</v>
      </c>
      <c r="B1210" s="20" t="s">
        <v>15816</v>
      </c>
      <c r="C1210" s="21" t="s">
        <v>7249</v>
      </c>
      <c r="D1210" s="22" t="s">
        <v>7250</v>
      </c>
      <c r="E1210" s="23" t="s">
        <v>13011</v>
      </c>
      <c r="F1210" s="19">
        <v>40410.411898148144</v>
      </c>
      <c r="G1210" s="17" t="s">
        <v>171</v>
      </c>
      <c r="H1210" s="35" t="s">
        <v>2346</v>
      </c>
      <c r="I1210" s="25" t="s">
        <v>7251</v>
      </c>
    </row>
    <row r="1211" spans="1:9" s="31" customFormat="1" ht="45">
      <c r="A1211" s="12">
        <v>43575.202094907407</v>
      </c>
      <c r="B1211" s="13" t="s">
        <v>15817</v>
      </c>
      <c r="C1211" s="14" t="s">
        <v>2344</v>
      </c>
      <c r="D1211" s="15" t="s">
        <v>2345</v>
      </c>
      <c r="E1211" s="16" t="s">
        <v>13032</v>
      </c>
      <c r="F1211" s="12">
        <v>42014.65725694444</v>
      </c>
      <c r="G1211" s="17" t="s">
        <v>171</v>
      </c>
      <c r="H1211" s="35" t="s">
        <v>2346</v>
      </c>
      <c r="I1211" s="18" t="s">
        <v>2347</v>
      </c>
    </row>
    <row r="1212" spans="1:9" s="31" customFormat="1" ht="45">
      <c r="A1212" s="12">
        <v>43573.214398148149</v>
      </c>
      <c r="B1212" s="13" t="s">
        <v>15817</v>
      </c>
      <c r="C1212" s="14" t="s">
        <v>2344</v>
      </c>
      <c r="D1212" s="15" t="s">
        <v>2974</v>
      </c>
      <c r="E1212" s="16" t="s">
        <v>13032</v>
      </c>
      <c r="F1212" s="12">
        <v>42014.65725694444</v>
      </c>
      <c r="G1212" s="17" t="s">
        <v>171</v>
      </c>
      <c r="H1212" s="35" t="s">
        <v>2346</v>
      </c>
      <c r="I1212" s="18" t="s">
        <v>2347</v>
      </c>
    </row>
    <row r="1213" spans="1:9" s="31" customFormat="1" ht="45">
      <c r="A1213" s="12">
        <v>43573.210960648154</v>
      </c>
      <c r="B1213" s="13" t="s">
        <v>15817</v>
      </c>
      <c r="C1213" s="14" t="s">
        <v>2344</v>
      </c>
      <c r="D1213" s="15" t="s">
        <v>2975</v>
      </c>
      <c r="E1213" s="16" t="s">
        <v>13032</v>
      </c>
      <c r="F1213" s="12">
        <v>42014.65725694444</v>
      </c>
      <c r="G1213" s="17" t="s">
        <v>171</v>
      </c>
      <c r="H1213" s="35" t="s">
        <v>2346</v>
      </c>
      <c r="I1213" s="18" t="s">
        <v>2347</v>
      </c>
    </row>
    <row r="1214" spans="1:9" s="31" customFormat="1" ht="45">
      <c r="A1214" s="12">
        <v>43573.208865740744</v>
      </c>
      <c r="B1214" s="13" t="s">
        <v>15817</v>
      </c>
      <c r="C1214" s="14" t="s">
        <v>2344</v>
      </c>
      <c r="D1214" s="15" t="s">
        <v>2983</v>
      </c>
      <c r="E1214" s="16" t="s">
        <v>13032</v>
      </c>
      <c r="F1214" s="12">
        <v>42014.65725694444</v>
      </c>
      <c r="G1214" s="17" t="s">
        <v>171</v>
      </c>
      <c r="H1214" s="35" t="s">
        <v>2346</v>
      </c>
      <c r="I1214" s="18" t="s">
        <v>2347</v>
      </c>
    </row>
    <row r="1215" spans="1:9" s="31" customFormat="1" ht="135">
      <c r="A1215" s="12">
        <v>43571.293009259258</v>
      </c>
      <c r="B1215" s="13" t="s">
        <v>15818</v>
      </c>
      <c r="C1215" s="14" t="s">
        <v>3755</v>
      </c>
      <c r="D1215" s="15" t="s">
        <v>3756</v>
      </c>
      <c r="E1215" s="16" t="s">
        <v>13034</v>
      </c>
      <c r="F1215" s="12">
        <v>40841.687789351854</v>
      </c>
      <c r="G1215" s="17" t="s">
        <v>171</v>
      </c>
      <c r="H1215" s="35" t="s">
        <v>2346</v>
      </c>
      <c r="I1215" s="18" t="s">
        <v>3757</v>
      </c>
    </row>
    <row r="1216" spans="1:9" s="31" customFormat="1" ht="105">
      <c r="A1216" s="19">
        <v>43549.185115740736</v>
      </c>
      <c r="B1216" s="20" t="s">
        <v>15819</v>
      </c>
      <c r="C1216" s="21" t="s">
        <v>8134</v>
      </c>
      <c r="D1216" s="22" t="s">
        <v>8135</v>
      </c>
      <c r="E1216" s="23" t="s">
        <v>13120</v>
      </c>
      <c r="F1216" s="19">
        <v>40154.301805555559</v>
      </c>
      <c r="G1216" s="9" t="s">
        <v>171</v>
      </c>
      <c r="H1216" s="35" t="s">
        <v>8136</v>
      </c>
      <c r="I1216" s="25" t="s">
        <v>8137</v>
      </c>
    </row>
    <row r="1217" spans="1:9" s="31" customFormat="1" ht="90">
      <c r="A1217" s="4">
        <v>43561.10428240741</v>
      </c>
      <c r="B1217" s="5" t="s">
        <v>15820</v>
      </c>
      <c r="C1217" s="6" t="s">
        <v>11070</v>
      </c>
      <c r="D1217" s="7" t="s">
        <v>11071</v>
      </c>
      <c r="E1217" s="8" t="s">
        <v>13018</v>
      </c>
      <c r="F1217" s="4">
        <v>39570.360173611109</v>
      </c>
      <c r="G1217" s="9" t="s">
        <v>171</v>
      </c>
      <c r="H1217" s="35" t="s">
        <v>11072</v>
      </c>
      <c r="I1217" s="10" t="s">
        <v>11073</v>
      </c>
    </row>
    <row r="1218" spans="1:9" s="31" customFormat="1" ht="135">
      <c r="A1218" s="19">
        <v>43549.298171296294</v>
      </c>
      <c r="B1218" s="20" t="s">
        <v>15821</v>
      </c>
      <c r="C1218" s="21" t="s">
        <v>8102</v>
      </c>
      <c r="D1218" s="22" t="s">
        <v>8103</v>
      </c>
      <c r="E1218" s="23" t="s">
        <v>13009</v>
      </c>
      <c r="F1218" s="19">
        <v>41449.283333333333</v>
      </c>
      <c r="G1218" s="24" t="s">
        <v>171</v>
      </c>
      <c r="H1218" s="35" t="s">
        <v>8104</v>
      </c>
      <c r="I1218" s="25" t="s">
        <v>8105</v>
      </c>
    </row>
    <row r="1219" spans="1:9" s="31" customFormat="1" ht="135">
      <c r="A1219" s="19">
        <v>43547.492129629631</v>
      </c>
      <c r="B1219" s="20" t="s">
        <v>15821</v>
      </c>
      <c r="C1219" s="21" t="s">
        <v>8102</v>
      </c>
      <c r="D1219" s="22" t="s">
        <v>8526</v>
      </c>
      <c r="E1219" s="23" t="s">
        <v>13011</v>
      </c>
      <c r="F1219" s="19">
        <v>41449.283333333333</v>
      </c>
      <c r="G1219" s="24" t="s">
        <v>171</v>
      </c>
      <c r="H1219" s="35" t="s">
        <v>8104</v>
      </c>
      <c r="I1219" s="25" t="s">
        <v>8105</v>
      </c>
    </row>
    <row r="1220" spans="1:9" s="31" customFormat="1" ht="135">
      <c r="A1220" s="19">
        <v>43545.155682870369</v>
      </c>
      <c r="B1220" s="20" t="s">
        <v>15822</v>
      </c>
      <c r="C1220" s="21" t="s">
        <v>9273</v>
      </c>
      <c r="D1220" s="22" t="s">
        <v>9274</v>
      </c>
      <c r="E1220" s="23" t="s">
        <v>13034</v>
      </c>
      <c r="F1220" s="19">
        <v>40816.2659375</v>
      </c>
      <c r="G1220" s="24" t="s">
        <v>171</v>
      </c>
      <c r="H1220" s="35" t="s">
        <v>9275</v>
      </c>
      <c r="I1220" s="25" t="s">
        <v>9276</v>
      </c>
    </row>
    <row r="1221" spans="1:9" s="31" customFormat="1" ht="120">
      <c r="A1221" s="19">
        <v>43544.142141203702</v>
      </c>
      <c r="B1221" s="20" t="s">
        <v>15823</v>
      </c>
      <c r="C1221" s="21" t="s">
        <v>9600</v>
      </c>
      <c r="D1221" s="22" t="s">
        <v>9601</v>
      </c>
      <c r="E1221" s="23" t="s">
        <v>13009</v>
      </c>
      <c r="F1221" s="19">
        <v>43194.018518518518</v>
      </c>
      <c r="G1221" s="24" t="s">
        <v>171</v>
      </c>
      <c r="H1221" s="35" t="s">
        <v>9602</v>
      </c>
      <c r="I1221" s="25" t="s">
        <v>9603</v>
      </c>
    </row>
    <row r="1222" spans="1:9" s="31" customFormat="1" ht="120">
      <c r="A1222" s="19">
        <v>43548.13553240741</v>
      </c>
      <c r="B1222" s="20" t="s">
        <v>15824</v>
      </c>
      <c r="C1222" s="21" t="s">
        <v>8396</v>
      </c>
      <c r="D1222" s="22" t="s">
        <v>8397</v>
      </c>
      <c r="E1222" s="23" t="s">
        <v>13018</v>
      </c>
      <c r="F1222" s="19">
        <v>41739.24055555556</v>
      </c>
      <c r="G1222" s="24" t="s">
        <v>171</v>
      </c>
      <c r="H1222" s="35" t="s">
        <v>8398</v>
      </c>
      <c r="I1222" s="25" t="s">
        <v>8399</v>
      </c>
    </row>
    <row r="1223" spans="1:9" s="31" customFormat="1" ht="105">
      <c r="A1223" s="19">
        <v>43545.070844907408</v>
      </c>
      <c r="B1223" s="20" t="s">
        <v>15825</v>
      </c>
      <c r="C1223" s="21" t="s">
        <v>9286</v>
      </c>
      <c r="D1223" s="22" t="s">
        <v>9287</v>
      </c>
      <c r="E1223" s="23" t="s">
        <v>13013</v>
      </c>
      <c r="F1223" s="19">
        <v>40757.591620370367</v>
      </c>
      <c r="G1223" s="9" t="s">
        <v>171</v>
      </c>
      <c r="H1223" s="35" t="s">
        <v>175</v>
      </c>
      <c r="I1223" s="25" t="s">
        <v>9288</v>
      </c>
    </row>
    <row r="1224" spans="1:9" s="31" customFormat="1" ht="105">
      <c r="A1224" s="4">
        <v>43559.410092592589</v>
      </c>
      <c r="B1224" s="5" t="s">
        <v>15826</v>
      </c>
      <c r="C1224" s="6" t="s">
        <v>11844</v>
      </c>
      <c r="D1224" s="7" t="s">
        <v>11845</v>
      </c>
      <c r="E1224" s="8" t="s">
        <v>13011</v>
      </c>
      <c r="F1224" s="4">
        <v>39866.614583333336</v>
      </c>
      <c r="G1224" s="9" t="s">
        <v>171</v>
      </c>
      <c r="H1224" s="35" t="s">
        <v>175</v>
      </c>
      <c r="I1224" s="10" t="s">
        <v>11846</v>
      </c>
    </row>
    <row r="1225" spans="1:9" s="31" customFormat="1" ht="120">
      <c r="A1225" s="12">
        <v>43580.646886574075</v>
      </c>
      <c r="B1225" s="13" t="s">
        <v>15827</v>
      </c>
      <c r="C1225" s="14" t="s">
        <v>173</v>
      </c>
      <c r="D1225" s="15" t="s">
        <v>174</v>
      </c>
      <c r="E1225" s="16" t="s">
        <v>13120</v>
      </c>
      <c r="F1225" s="12">
        <v>39972.592592592591</v>
      </c>
      <c r="G1225" s="9" t="s">
        <v>171</v>
      </c>
      <c r="H1225" s="35" t="s">
        <v>175</v>
      </c>
      <c r="I1225" s="18" t="s">
        <v>176</v>
      </c>
    </row>
    <row r="1226" spans="1:9" s="31" customFormat="1" ht="90">
      <c r="A1226" s="19">
        <v>43551.150879629626</v>
      </c>
      <c r="B1226" s="20" t="s">
        <v>15828</v>
      </c>
      <c r="C1226" s="21" t="s">
        <v>3310</v>
      </c>
      <c r="D1226" s="22" t="s">
        <v>7415</v>
      </c>
      <c r="E1226" s="23" t="s">
        <v>13032</v>
      </c>
      <c r="F1226" s="19">
        <v>39851.247465277775</v>
      </c>
      <c r="G1226" s="9" t="s">
        <v>171</v>
      </c>
      <c r="H1226" s="35" t="s">
        <v>3312</v>
      </c>
      <c r="I1226" s="25" t="s">
        <v>3313</v>
      </c>
    </row>
    <row r="1227" spans="1:9" s="31" customFormat="1" ht="90">
      <c r="A1227" s="19">
        <v>43550.281631944439</v>
      </c>
      <c r="B1227" s="20" t="s">
        <v>15828</v>
      </c>
      <c r="C1227" s="21" t="s">
        <v>3310</v>
      </c>
      <c r="D1227" s="22" t="s">
        <v>7750</v>
      </c>
      <c r="E1227" s="23" t="s">
        <v>13032</v>
      </c>
      <c r="F1227" s="19">
        <v>39851.247465277775</v>
      </c>
      <c r="G1227" s="9" t="s">
        <v>171</v>
      </c>
      <c r="H1227" s="35" t="s">
        <v>3312</v>
      </c>
      <c r="I1227" s="25" t="s">
        <v>3313</v>
      </c>
    </row>
    <row r="1228" spans="1:9" s="31" customFormat="1" ht="90">
      <c r="A1228" s="12">
        <v>43572.346516203703</v>
      </c>
      <c r="B1228" s="13" t="s">
        <v>15828</v>
      </c>
      <c r="C1228" s="14" t="s">
        <v>3310</v>
      </c>
      <c r="D1228" s="15" t="s">
        <v>3311</v>
      </c>
      <c r="E1228" s="16" t="s">
        <v>13032</v>
      </c>
      <c r="F1228" s="12">
        <v>39851.247465277775</v>
      </c>
      <c r="G1228" s="9" t="s">
        <v>171</v>
      </c>
      <c r="H1228" s="35" t="s">
        <v>3312</v>
      </c>
      <c r="I1228" s="18" t="s">
        <v>3313</v>
      </c>
    </row>
    <row r="1229" spans="1:9" s="31" customFormat="1" ht="90">
      <c r="A1229" s="12">
        <v>43567.559745370367</v>
      </c>
      <c r="B1229" s="13" t="s">
        <v>15828</v>
      </c>
      <c r="C1229" s="14" t="s">
        <v>3310</v>
      </c>
      <c r="D1229" s="15" t="s">
        <v>5055</v>
      </c>
      <c r="E1229" s="16" t="s">
        <v>13032</v>
      </c>
      <c r="F1229" s="12">
        <v>39851.247465277775</v>
      </c>
      <c r="G1229" s="9" t="s">
        <v>171</v>
      </c>
      <c r="H1229" s="35" t="s">
        <v>3312</v>
      </c>
      <c r="I1229" s="18" t="s">
        <v>3313</v>
      </c>
    </row>
    <row r="1230" spans="1:9" s="31" customFormat="1" ht="90">
      <c r="A1230" s="19">
        <v>43547.244328703702</v>
      </c>
      <c r="B1230" s="20" t="s">
        <v>15829</v>
      </c>
      <c r="C1230" s="21" t="s">
        <v>8617</v>
      </c>
      <c r="D1230" s="22" t="s">
        <v>8618</v>
      </c>
      <c r="E1230" s="23" t="s">
        <v>13011</v>
      </c>
      <c r="F1230" s="19">
        <v>40849.596122685187</v>
      </c>
      <c r="G1230" s="9" t="s">
        <v>171</v>
      </c>
      <c r="H1230" s="35" t="s">
        <v>6249</v>
      </c>
      <c r="I1230" s="25" t="s">
        <v>8619</v>
      </c>
    </row>
    <row r="1231" spans="1:9" s="31" customFormat="1" ht="120">
      <c r="A1231" s="19">
        <v>43545.224317129629</v>
      </c>
      <c r="B1231" s="20" t="s">
        <v>15830</v>
      </c>
      <c r="C1231" s="21" t="s">
        <v>6247</v>
      </c>
      <c r="D1231" s="22" t="s">
        <v>6248</v>
      </c>
      <c r="E1231" s="23" t="s">
        <v>13411</v>
      </c>
      <c r="F1231" s="19">
        <v>41006.278807870374</v>
      </c>
      <c r="G1231" s="9" t="s">
        <v>171</v>
      </c>
      <c r="H1231" s="35" t="s">
        <v>6249</v>
      </c>
      <c r="I1231" s="25" t="s">
        <v>6250</v>
      </c>
    </row>
    <row r="1232" spans="1:9" s="31" customFormat="1" ht="120">
      <c r="A1232" s="4">
        <v>43565.182662037041</v>
      </c>
      <c r="B1232" s="5" t="s">
        <v>15830</v>
      </c>
      <c r="C1232" s="6" t="s">
        <v>6247</v>
      </c>
      <c r="D1232" s="7" t="s">
        <v>6248</v>
      </c>
      <c r="E1232" s="8" t="s">
        <v>13411</v>
      </c>
      <c r="F1232" s="4">
        <v>41006.278807870374</v>
      </c>
      <c r="G1232" s="9" t="s">
        <v>171</v>
      </c>
      <c r="H1232" s="35" t="s">
        <v>6249</v>
      </c>
      <c r="I1232" s="10" t="s">
        <v>6250</v>
      </c>
    </row>
    <row r="1233" spans="1:9" s="31" customFormat="1" ht="30">
      <c r="A1233" s="4">
        <v>43564.600671296299</v>
      </c>
      <c r="B1233" s="5" t="s">
        <v>15831</v>
      </c>
      <c r="C1233" s="6" t="s">
        <v>6517</v>
      </c>
      <c r="D1233" s="7" t="s">
        <v>6518</v>
      </c>
      <c r="E1233" s="8" t="s">
        <v>13120</v>
      </c>
      <c r="F1233" s="4">
        <v>42642.31077546296</v>
      </c>
      <c r="G1233" s="9" t="s">
        <v>171</v>
      </c>
      <c r="H1233" s="35" t="s">
        <v>6249</v>
      </c>
      <c r="I1233" s="10"/>
    </row>
    <row r="1234" spans="1:9" s="31" customFormat="1" ht="60">
      <c r="A1234" s="4">
        <v>43559.448923611111</v>
      </c>
      <c r="B1234" s="5" t="s">
        <v>15832</v>
      </c>
      <c r="C1234" s="6" t="s">
        <v>11823</v>
      </c>
      <c r="D1234" s="7" t="s">
        <v>11824</v>
      </c>
      <c r="E1234" s="8" t="s">
        <v>13009</v>
      </c>
      <c r="F1234" s="4">
        <v>43533.579212962963</v>
      </c>
      <c r="G1234" s="9" t="s">
        <v>171</v>
      </c>
      <c r="H1234" s="35" t="s">
        <v>6249</v>
      </c>
      <c r="I1234" s="10" t="s">
        <v>11825</v>
      </c>
    </row>
    <row r="1235" spans="1:9" s="31" customFormat="1" ht="120">
      <c r="A1235" s="4">
        <v>43559.547071759254</v>
      </c>
      <c r="B1235" s="5" t="s">
        <v>15833</v>
      </c>
      <c r="C1235" s="6" t="s">
        <v>11769</v>
      </c>
      <c r="D1235" s="7" t="s">
        <v>11770</v>
      </c>
      <c r="E1235" s="8" t="s">
        <v>13009</v>
      </c>
      <c r="F1235" s="4">
        <v>42263.59584490741</v>
      </c>
      <c r="G1235" s="9" t="s">
        <v>171</v>
      </c>
      <c r="H1235" s="35" t="s">
        <v>11771</v>
      </c>
      <c r="I1235" s="10" t="s">
        <v>11772</v>
      </c>
    </row>
    <row r="1236" spans="1:9" s="31" customFormat="1" ht="90">
      <c r="A1236" s="19">
        <v>43544.620844907404</v>
      </c>
      <c r="B1236" s="20" t="s">
        <v>15834</v>
      </c>
      <c r="C1236" s="21" t="s">
        <v>9389</v>
      </c>
      <c r="D1236" s="22" t="s">
        <v>9390</v>
      </c>
      <c r="E1236" s="23" t="s">
        <v>13411</v>
      </c>
      <c r="F1236" s="19">
        <v>40444.365856481483</v>
      </c>
      <c r="G1236" s="9" t="s">
        <v>171</v>
      </c>
      <c r="H1236" s="35" t="s">
        <v>9391</v>
      </c>
      <c r="I1236" s="25" t="s">
        <v>9392</v>
      </c>
    </row>
    <row r="1237" spans="1:9" s="31" customFormat="1" ht="120">
      <c r="A1237" s="4">
        <v>43558.109548611115</v>
      </c>
      <c r="B1237" s="5" t="s">
        <v>15835</v>
      </c>
      <c r="C1237" s="6" t="s">
        <v>12317</v>
      </c>
      <c r="D1237" s="7" t="s">
        <v>12318</v>
      </c>
      <c r="E1237" s="8" t="s">
        <v>13009</v>
      </c>
      <c r="F1237" s="4">
        <v>43136.34575231481</v>
      </c>
      <c r="G1237" s="9" t="s">
        <v>171</v>
      </c>
      <c r="H1237" s="35" t="s">
        <v>12319</v>
      </c>
      <c r="I1237" s="10" t="s">
        <v>12320</v>
      </c>
    </row>
    <row r="1238" spans="1:9" s="31" customFormat="1" ht="90">
      <c r="A1238" s="19">
        <v>43544.307662037041</v>
      </c>
      <c r="B1238" s="20" t="s">
        <v>15836</v>
      </c>
      <c r="C1238" s="21" t="s">
        <v>9536</v>
      </c>
      <c r="D1238" s="22" t="s">
        <v>9537</v>
      </c>
      <c r="E1238" s="23" t="s">
        <v>13034</v>
      </c>
      <c r="F1238" s="19">
        <v>40874.578078703707</v>
      </c>
      <c r="G1238" s="9" t="s">
        <v>171</v>
      </c>
      <c r="H1238" s="35" t="s">
        <v>9538</v>
      </c>
      <c r="I1238" s="25" t="s">
        <v>9539</v>
      </c>
    </row>
    <row r="1239" spans="1:9" s="31" customFormat="1" ht="90">
      <c r="A1239" s="4">
        <v>43562.291805555556</v>
      </c>
      <c r="B1239" s="5" t="s">
        <v>15836</v>
      </c>
      <c r="C1239" s="6" t="s">
        <v>9536</v>
      </c>
      <c r="D1239" s="7" t="s">
        <v>10710</v>
      </c>
      <c r="E1239" s="8" t="s">
        <v>13034</v>
      </c>
      <c r="F1239" s="4">
        <v>40874.578078703707</v>
      </c>
      <c r="G1239" s="9" t="s">
        <v>171</v>
      </c>
      <c r="H1239" s="35" t="s">
        <v>9538</v>
      </c>
      <c r="I1239" s="10" t="s">
        <v>9539</v>
      </c>
    </row>
    <row r="1240" spans="1:9" s="31" customFormat="1" ht="90">
      <c r="A1240" s="4">
        <v>43562.165300925924</v>
      </c>
      <c r="B1240" s="5" t="s">
        <v>15836</v>
      </c>
      <c r="C1240" s="6" t="s">
        <v>9536</v>
      </c>
      <c r="D1240" s="7" t="s">
        <v>10738</v>
      </c>
      <c r="E1240" s="8" t="s">
        <v>13034</v>
      </c>
      <c r="F1240" s="4">
        <v>40874.578078703707</v>
      </c>
      <c r="G1240" s="9" t="s">
        <v>171</v>
      </c>
      <c r="H1240" s="35" t="s">
        <v>9538</v>
      </c>
      <c r="I1240" s="10" t="s">
        <v>9539</v>
      </c>
    </row>
    <row r="1241" spans="1:9" s="31" customFormat="1" ht="90">
      <c r="A1241" s="4">
        <v>43561.996539351851</v>
      </c>
      <c r="B1241" s="5" t="s">
        <v>15836</v>
      </c>
      <c r="C1241" s="6" t="s">
        <v>9536</v>
      </c>
      <c r="D1241" s="7" t="s">
        <v>10782</v>
      </c>
      <c r="E1241" s="8" t="s">
        <v>13034</v>
      </c>
      <c r="F1241" s="4">
        <v>40874.578078703707</v>
      </c>
      <c r="G1241" s="9" t="s">
        <v>171</v>
      </c>
      <c r="H1241" s="35" t="s">
        <v>9538</v>
      </c>
      <c r="I1241" s="10" t="s">
        <v>9539</v>
      </c>
    </row>
    <row r="1242" spans="1:9" s="31" customFormat="1" ht="90">
      <c r="A1242" s="4">
        <v>43561.147245370375</v>
      </c>
      <c r="B1242" s="5" t="s">
        <v>15836</v>
      </c>
      <c r="C1242" s="6" t="s">
        <v>9536</v>
      </c>
      <c r="D1242" s="7" t="s">
        <v>11050</v>
      </c>
      <c r="E1242" s="8" t="s">
        <v>13034</v>
      </c>
      <c r="F1242" s="4">
        <v>40874.578078703707</v>
      </c>
      <c r="G1242" s="9" t="s">
        <v>171</v>
      </c>
      <c r="H1242" s="35" t="s">
        <v>9538</v>
      </c>
      <c r="I1242" s="10" t="s">
        <v>9539</v>
      </c>
    </row>
    <row r="1243" spans="1:9" s="31" customFormat="1" ht="90">
      <c r="A1243" s="4">
        <v>43560.936828703707</v>
      </c>
      <c r="B1243" s="5" t="s">
        <v>15836</v>
      </c>
      <c r="C1243" s="6" t="s">
        <v>9536</v>
      </c>
      <c r="D1243" s="7" t="s">
        <v>11124</v>
      </c>
      <c r="E1243" s="8" t="s">
        <v>13034</v>
      </c>
      <c r="F1243" s="4">
        <v>40874.578078703707</v>
      </c>
      <c r="G1243" s="9" t="s">
        <v>171</v>
      </c>
      <c r="H1243" s="35" t="s">
        <v>9538</v>
      </c>
      <c r="I1243" s="10" t="s">
        <v>9539</v>
      </c>
    </row>
    <row r="1244" spans="1:9" s="31" customFormat="1" ht="90">
      <c r="A1244" s="4">
        <v>43560.445856481485</v>
      </c>
      <c r="B1244" s="5" t="s">
        <v>15836</v>
      </c>
      <c r="C1244" s="6" t="s">
        <v>9536</v>
      </c>
      <c r="D1244" s="7" t="s">
        <v>11361</v>
      </c>
      <c r="E1244" s="8" t="s">
        <v>13034</v>
      </c>
      <c r="F1244" s="4">
        <v>40874.578078703707</v>
      </c>
      <c r="G1244" s="9" t="s">
        <v>171</v>
      </c>
      <c r="H1244" s="35" t="s">
        <v>9538</v>
      </c>
      <c r="I1244" s="10" t="s">
        <v>9539</v>
      </c>
    </row>
    <row r="1245" spans="1:9" s="31" customFormat="1" ht="90">
      <c r="A1245" s="4">
        <v>43560.290381944447</v>
      </c>
      <c r="B1245" s="5" t="s">
        <v>15836</v>
      </c>
      <c r="C1245" s="6" t="s">
        <v>9536</v>
      </c>
      <c r="D1245" s="7" t="s">
        <v>11498</v>
      </c>
      <c r="E1245" s="8" t="s">
        <v>13034</v>
      </c>
      <c r="F1245" s="4">
        <v>40874.578078703707</v>
      </c>
      <c r="G1245" s="9" t="s">
        <v>171</v>
      </c>
      <c r="H1245" s="35" t="s">
        <v>9538</v>
      </c>
      <c r="I1245" s="10" t="s">
        <v>9539</v>
      </c>
    </row>
    <row r="1246" spans="1:9" s="31" customFormat="1" ht="90">
      <c r="A1246" s="4">
        <v>43562.328703703708</v>
      </c>
      <c r="B1246" s="5" t="s">
        <v>15837</v>
      </c>
      <c r="C1246" s="6" t="s">
        <v>2963</v>
      </c>
      <c r="D1246" s="7" t="s">
        <v>10704</v>
      </c>
      <c r="E1246" s="8" t="s">
        <v>13011</v>
      </c>
      <c r="F1246" s="4">
        <v>41083.012627314813</v>
      </c>
      <c r="G1246" s="17" t="s">
        <v>171</v>
      </c>
      <c r="H1246" s="35" t="s">
        <v>2965</v>
      </c>
      <c r="I1246" s="10" t="s">
        <v>2966</v>
      </c>
    </row>
    <row r="1247" spans="1:9" s="31" customFormat="1" ht="90">
      <c r="A1247" s="4">
        <v>43559.53606481482</v>
      </c>
      <c r="B1247" s="5" t="s">
        <v>15837</v>
      </c>
      <c r="C1247" s="6" t="s">
        <v>2963</v>
      </c>
      <c r="D1247" s="7" t="s">
        <v>11775</v>
      </c>
      <c r="E1247" s="8" t="s">
        <v>13011</v>
      </c>
      <c r="F1247" s="4">
        <v>41083.012627314813</v>
      </c>
      <c r="G1247" s="17" t="s">
        <v>171</v>
      </c>
      <c r="H1247" s="35" t="s">
        <v>2965</v>
      </c>
      <c r="I1247" s="10" t="s">
        <v>2966</v>
      </c>
    </row>
    <row r="1248" spans="1:9" s="31" customFormat="1" ht="90">
      <c r="A1248" s="4">
        <v>43558.484861111108</v>
      </c>
      <c r="B1248" s="5" t="s">
        <v>15837</v>
      </c>
      <c r="C1248" s="6" t="s">
        <v>2963</v>
      </c>
      <c r="D1248" s="7" t="s">
        <v>12165</v>
      </c>
      <c r="E1248" s="8" t="s">
        <v>13011</v>
      </c>
      <c r="F1248" s="4">
        <v>41083.012627314813</v>
      </c>
      <c r="G1248" s="17" t="s">
        <v>171</v>
      </c>
      <c r="H1248" s="35" t="s">
        <v>2965</v>
      </c>
      <c r="I1248" s="10" t="s">
        <v>2966</v>
      </c>
    </row>
    <row r="1249" spans="1:9" s="31" customFormat="1" ht="90">
      <c r="A1249" s="12">
        <v>43573.236412037033</v>
      </c>
      <c r="B1249" s="13" t="s">
        <v>15837</v>
      </c>
      <c r="C1249" s="14" t="s">
        <v>2963</v>
      </c>
      <c r="D1249" s="15" t="s">
        <v>2964</v>
      </c>
      <c r="E1249" s="16" t="s">
        <v>13011</v>
      </c>
      <c r="F1249" s="12">
        <v>41083.012627314813</v>
      </c>
      <c r="G1249" s="17" t="s">
        <v>171</v>
      </c>
      <c r="H1249" s="35" t="s">
        <v>2965</v>
      </c>
      <c r="I1249" s="18" t="s">
        <v>2966</v>
      </c>
    </row>
    <row r="1250" spans="1:9" s="31" customFormat="1" ht="90">
      <c r="A1250" s="12">
        <v>43566.451111111106</v>
      </c>
      <c r="B1250" s="13" t="s">
        <v>15837</v>
      </c>
      <c r="C1250" s="14" t="s">
        <v>2963</v>
      </c>
      <c r="D1250" s="15" t="s">
        <v>5520</v>
      </c>
      <c r="E1250" s="16" t="s">
        <v>13011</v>
      </c>
      <c r="F1250" s="12">
        <v>41083.012627314813</v>
      </c>
      <c r="G1250" s="17" t="s">
        <v>171</v>
      </c>
      <c r="H1250" s="35" t="s">
        <v>2965</v>
      </c>
      <c r="I1250" s="18" t="s">
        <v>2966</v>
      </c>
    </row>
    <row r="1251" spans="1:9" s="31" customFormat="1" ht="120">
      <c r="A1251" s="19">
        <v>43551.589687500003</v>
      </c>
      <c r="B1251" s="20" t="s">
        <v>15838</v>
      </c>
      <c r="C1251" s="21" t="s">
        <v>7094</v>
      </c>
      <c r="D1251" s="22" t="s">
        <v>7095</v>
      </c>
      <c r="E1251" s="23" t="s">
        <v>13027</v>
      </c>
      <c r="F1251" s="19">
        <v>42553.589456018519</v>
      </c>
      <c r="G1251" s="17" t="s">
        <v>171</v>
      </c>
      <c r="H1251" s="35" t="s">
        <v>248</v>
      </c>
      <c r="I1251" s="25" t="s">
        <v>7096</v>
      </c>
    </row>
    <row r="1252" spans="1:9" s="31" customFormat="1" ht="120">
      <c r="A1252" s="19">
        <v>43551.554756944446</v>
      </c>
      <c r="B1252" s="20" t="s">
        <v>15838</v>
      </c>
      <c r="C1252" s="21" t="s">
        <v>7094</v>
      </c>
      <c r="D1252" s="22" t="s">
        <v>7136</v>
      </c>
      <c r="E1252" s="23" t="s">
        <v>13032</v>
      </c>
      <c r="F1252" s="19">
        <v>42553.589456018519</v>
      </c>
      <c r="G1252" s="17" t="s">
        <v>171</v>
      </c>
      <c r="H1252" s="35" t="s">
        <v>248</v>
      </c>
      <c r="I1252" s="25" t="s">
        <v>7096</v>
      </c>
    </row>
    <row r="1253" spans="1:9" s="31" customFormat="1" ht="60">
      <c r="A1253" s="12">
        <v>43580.137557870374</v>
      </c>
      <c r="B1253" s="13" t="s">
        <v>15839</v>
      </c>
      <c r="C1253" s="14" t="s">
        <v>246</v>
      </c>
      <c r="D1253" s="15" t="s">
        <v>247</v>
      </c>
      <c r="E1253" s="16" t="s">
        <v>13032</v>
      </c>
      <c r="F1253" s="12">
        <v>42343.102824074071</v>
      </c>
      <c r="G1253" s="17" t="s">
        <v>171</v>
      </c>
      <c r="H1253" s="35" t="s">
        <v>248</v>
      </c>
      <c r="I1253" s="18" t="s">
        <v>249</v>
      </c>
    </row>
    <row r="1254" spans="1:9" s="31" customFormat="1" ht="135">
      <c r="A1254" s="19">
        <v>43551.141539351855</v>
      </c>
      <c r="B1254" s="20" t="s">
        <v>15840</v>
      </c>
      <c r="C1254" s="21" t="s">
        <v>7420</v>
      </c>
      <c r="D1254" s="22" t="s">
        <v>7421</v>
      </c>
      <c r="E1254" s="23" t="s">
        <v>13009</v>
      </c>
      <c r="F1254" s="19">
        <v>39401.155648148146</v>
      </c>
      <c r="G1254" s="24" t="s">
        <v>171</v>
      </c>
      <c r="H1254" s="35" t="s">
        <v>7422</v>
      </c>
      <c r="I1254" s="25" t="s">
        <v>7423</v>
      </c>
    </row>
    <row r="1255" spans="1:9" s="31" customFormat="1" ht="105">
      <c r="A1255" s="12">
        <v>43578.184999999998</v>
      </c>
      <c r="B1255" s="13" t="s">
        <v>15841</v>
      </c>
      <c r="C1255" s="14" t="s">
        <v>1371</v>
      </c>
      <c r="D1255" s="15" t="s">
        <v>1372</v>
      </c>
      <c r="E1255" s="16" t="s">
        <v>13006</v>
      </c>
      <c r="F1255" s="12">
        <v>42489.466296296298</v>
      </c>
      <c r="G1255" s="17" t="s">
        <v>171</v>
      </c>
      <c r="H1255" s="35" t="s">
        <v>1373</v>
      </c>
      <c r="I1255" s="18" t="s">
        <v>1374</v>
      </c>
    </row>
    <row r="1256" spans="1:9" s="31" customFormat="1" ht="90">
      <c r="A1256" s="12">
        <v>43573.527557870373</v>
      </c>
      <c r="B1256" s="13" t="s">
        <v>15842</v>
      </c>
      <c r="C1256" s="14" t="s">
        <v>2833</v>
      </c>
      <c r="D1256" s="15" t="s">
        <v>2834</v>
      </c>
      <c r="E1256" s="16" t="s">
        <v>13032</v>
      </c>
      <c r="F1256" s="12">
        <v>41092.197731481479</v>
      </c>
      <c r="G1256" s="17" t="s">
        <v>171</v>
      </c>
      <c r="H1256" s="35" t="s">
        <v>2835</v>
      </c>
      <c r="I1256" s="18" t="s">
        <v>2836</v>
      </c>
    </row>
    <row r="1257" spans="1:9" s="31" customFormat="1" ht="120">
      <c r="A1257" s="19">
        <v>43550.074872685189</v>
      </c>
      <c r="B1257" s="20" t="s">
        <v>15843</v>
      </c>
      <c r="C1257" s="21" t="s">
        <v>7851</v>
      </c>
      <c r="D1257" s="22" t="s">
        <v>7852</v>
      </c>
      <c r="E1257" s="23" t="s">
        <v>13099</v>
      </c>
      <c r="F1257" s="19">
        <v>39871.643587962964</v>
      </c>
      <c r="G1257" s="9" t="s">
        <v>171</v>
      </c>
      <c r="H1257" s="35" t="s">
        <v>7853</v>
      </c>
      <c r="I1257" s="25" t="s">
        <v>7854</v>
      </c>
    </row>
    <row r="1258" spans="1:9" s="31" customFormat="1" ht="120">
      <c r="A1258" s="19">
        <v>43549.065659722226</v>
      </c>
      <c r="B1258" s="20" t="s">
        <v>15843</v>
      </c>
      <c r="C1258" s="21" t="s">
        <v>7851</v>
      </c>
      <c r="D1258" s="22" t="s">
        <v>8178</v>
      </c>
      <c r="E1258" s="23" t="s">
        <v>13099</v>
      </c>
      <c r="F1258" s="19">
        <v>39871.643587962964</v>
      </c>
      <c r="G1258" s="9" t="s">
        <v>171</v>
      </c>
      <c r="H1258" s="35" t="s">
        <v>7853</v>
      </c>
      <c r="I1258" s="25" t="s">
        <v>7854</v>
      </c>
    </row>
    <row r="1259" spans="1:9" s="31" customFormat="1" ht="120">
      <c r="A1259" s="19">
        <v>43544.405393518522</v>
      </c>
      <c r="B1259" s="20" t="s">
        <v>15843</v>
      </c>
      <c r="C1259" s="21" t="s">
        <v>7851</v>
      </c>
      <c r="D1259" s="22" t="s">
        <v>9483</v>
      </c>
      <c r="E1259" s="23" t="s">
        <v>13099</v>
      </c>
      <c r="F1259" s="19">
        <v>39871.643587962964</v>
      </c>
      <c r="G1259" s="9" t="s">
        <v>171</v>
      </c>
      <c r="H1259" s="35" t="s">
        <v>7853</v>
      </c>
      <c r="I1259" s="25" t="s">
        <v>7854</v>
      </c>
    </row>
    <row r="1260" spans="1:9" s="31" customFormat="1" ht="120">
      <c r="A1260" s="4">
        <v>43559.037511574075</v>
      </c>
      <c r="B1260" s="5" t="s">
        <v>15843</v>
      </c>
      <c r="C1260" s="6" t="s">
        <v>7851</v>
      </c>
      <c r="D1260" s="7" t="s">
        <v>11961</v>
      </c>
      <c r="E1260" s="8" t="s">
        <v>13099</v>
      </c>
      <c r="F1260" s="4">
        <v>39871.643587962964</v>
      </c>
      <c r="G1260" s="9" t="s">
        <v>171</v>
      </c>
      <c r="H1260" s="35" t="s">
        <v>7853</v>
      </c>
      <c r="I1260" s="10" t="s">
        <v>7854</v>
      </c>
    </row>
    <row r="1261" spans="1:9" s="31" customFormat="1" ht="120">
      <c r="A1261" s="4">
        <v>43563.353969907403</v>
      </c>
      <c r="B1261" s="5" t="s">
        <v>15844</v>
      </c>
      <c r="C1261" s="6" t="s">
        <v>10341</v>
      </c>
      <c r="D1261" s="7" t="s">
        <v>10342</v>
      </c>
      <c r="E1261" s="8" t="s">
        <v>13009</v>
      </c>
      <c r="F1261" s="4">
        <v>39764.405324074076</v>
      </c>
      <c r="G1261" s="9" t="s">
        <v>171</v>
      </c>
      <c r="H1261" s="35" t="s">
        <v>10343</v>
      </c>
      <c r="I1261" s="10" t="s">
        <v>10344</v>
      </c>
    </row>
    <row r="1262" spans="1:9" s="31" customFormat="1" ht="45">
      <c r="A1262" s="19">
        <v>43547.314803240741</v>
      </c>
      <c r="B1262" s="20" t="s">
        <v>15845</v>
      </c>
      <c r="C1262" s="21" t="s">
        <v>8589</v>
      </c>
      <c r="D1262" s="22" t="s">
        <v>8590</v>
      </c>
      <c r="E1262" s="23" t="s">
        <v>13013</v>
      </c>
      <c r="F1262" s="19">
        <v>42939.039560185185</v>
      </c>
      <c r="G1262" s="24" t="s">
        <v>171</v>
      </c>
      <c r="H1262" s="35" t="s">
        <v>8591</v>
      </c>
      <c r="I1262" s="25" t="s">
        <v>8592</v>
      </c>
    </row>
    <row r="1263" spans="1:9" s="31" customFormat="1" ht="105">
      <c r="A1263" s="19">
        <v>43551.579953703702</v>
      </c>
      <c r="B1263" s="20" t="s">
        <v>15846</v>
      </c>
      <c r="C1263" s="21" t="s">
        <v>7107</v>
      </c>
      <c r="D1263" s="22" t="s">
        <v>7108</v>
      </c>
      <c r="E1263" s="23" t="s">
        <v>13018</v>
      </c>
      <c r="F1263" s="19">
        <v>40797.140740740739</v>
      </c>
      <c r="G1263" s="24" t="s">
        <v>171</v>
      </c>
      <c r="H1263" s="35" t="s">
        <v>7109</v>
      </c>
      <c r="I1263" s="25" t="s">
        <v>7110</v>
      </c>
    </row>
    <row r="1264" spans="1:9" s="31" customFormat="1" ht="30">
      <c r="A1264" s="4">
        <v>43558.247060185182</v>
      </c>
      <c r="B1264" s="5" t="s">
        <v>15847</v>
      </c>
      <c r="C1264" s="6" t="s">
        <v>12266</v>
      </c>
      <c r="D1264" s="7" t="s">
        <v>12267</v>
      </c>
      <c r="E1264" s="8" t="s">
        <v>13009</v>
      </c>
      <c r="F1264" s="4">
        <v>39875.162326388891</v>
      </c>
      <c r="G1264" s="24" t="s">
        <v>171</v>
      </c>
      <c r="H1264" s="35" t="s">
        <v>7109</v>
      </c>
      <c r="I1264" s="10" t="s">
        <v>12268</v>
      </c>
    </row>
    <row r="1265" spans="1:9" s="31" customFormat="1" ht="75">
      <c r="A1265" s="4">
        <v>43559.096446759257</v>
      </c>
      <c r="B1265" s="5" t="s">
        <v>15848</v>
      </c>
      <c r="C1265" s="6" t="s">
        <v>11941</v>
      </c>
      <c r="D1265" s="7" t="s">
        <v>11942</v>
      </c>
      <c r="E1265" s="8" t="s">
        <v>13009</v>
      </c>
      <c r="F1265" s="4">
        <v>39180.373124999998</v>
      </c>
      <c r="G1265" s="24" t="s">
        <v>171</v>
      </c>
      <c r="H1265" s="35" t="s">
        <v>11943</v>
      </c>
      <c r="I1265" s="10" t="s">
        <v>11944</v>
      </c>
    </row>
    <row r="1266" spans="1:9" s="31" customFormat="1" ht="120">
      <c r="A1266" s="4">
        <v>43559.047418981485</v>
      </c>
      <c r="B1266" s="5" t="s">
        <v>15849</v>
      </c>
      <c r="C1266" s="6" t="s">
        <v>11957</v>
      </c>
      <c r="D1266" s="7" t="s">
        <v>11958</v>
      </c>
      <c r="E1266" s="8" t="s">
        <v>13009</v>
      </c>
      <c r="F1266" s="4">
        <v>39998.537349537037</v>
      </c>
      <c r="G1266" s="24" t="s">
        <v>171</v>
      </c>
      <c r="H1266" s="35" t="s">
        <v>11943</v>
      </c>
      <c r="I1266" s="10" t="s">
        <v>11959</v>
      </c>
    </row>
    <row r="1267" spans="1:9" s="31" customFormat="1" ht="45">
      <c r="A1267" s="19">
        <v>43551.558703703704</v>
      </c>
      <c r="B1267" s="20" t="s">
        <v>15850</v>
      </c>
      <c r="C1267" s="21" t="s">
        <v>7132</v>
      </c>
      <c r="D1267" s="22" t="s">
        <v>7133</v>
      </c>
      <c r="E1267" s="23" t="s">
        <v>13009</v>
      </c>
      <c r="F1267" s="19">
        <v>40300.264861111107</v>
      </c>
      <c r="G1267" s="24" t="s">
        <v>171</v>
      </c>
      <c r="H1267" s="35" t="s">
        <v>5757</v>
      </c>
      <c r="I1267" s="25" t="s">
        <v>7134</v>
      </c>
    </row>
    <row r="1268" spans="1:9" s="31" customFormat="1">
      <c r="A1268" s="12">
        <v>43566.151967592596</v>
      </c>
      <c r="B1268" s="13" t="s">
        <v>15851</v>
      </c>
      <c r="C1268" s="14" t="s">
        <v>5755</v>
      </c>
      <c r="D1268" s="15" t="s">
        <v>5756</v>
      </c>
      <c r="E1268" s="16" t="s">
        <v>13011</v>
      </c>
      <c r="F1268" s="12">
        <v>40914.463796296295</v>
      </c>
      <c r="G1268" s="24" t="s">
        <v>171</v>
      </c>
      <c r="H1268" s="35" t="s">
        <v>5757</v>
      </c>
      <c r="I1268" s="18" t="s">
        <v>5758</v>
      </c>
    </row>
    <row r="1269" spans="1:9" s="31" customFormat="1" ht="105">
      <c r="A1269" s="19">
        <v>43544.721087962964</v>
      </c>
      <c r="B1269" s="20" t="s">
        <v>15852</v>
      </c>
      <c r="C1269" s="21" t="s">
        <v>5170</v>
      </c>
      <c r="D1269" s="22" t="s">
        <v>9364</v>
      </c>
      <c r="E1269" s="23" t="s">
        <v>13011</v>
      </c>
      <c r="F1269" s="19">
        <v>43276.577175925922</v>
      </c>
      <c r="G1269" s="24" t="s">
        <v>171</v>
      </c>
      <c r="H1269" s="35" t="s">
        <v>5172</v>
      </c>
      <c r="I1269" s="25" t="s">
        <v>5173</v>
      </c>
    </row>
    <row r="1270" spans="1:9" s="31" customFormat="1" ht="105">
      <c r="A1270" s="4">
        <v>43564.306631944448</v>
      </c>
      <c r="B1270" s="5" t="s">
        <v>15852</v>
      </c>
      <c r="C1270" s="6" t="s">
        <v>5170</v>
      </c>
      <c r="D1270" s="7" t="s">
        <v>6698</v>
      </c>
      <c r="E1270" s="8" t="s">
        <v>13011</v>
      </c>
      <c r="F1270" s="4">
        <v>43276.577175925922</v>
      </c>
      <c r="G1270" s="24" t="s">
        <v>171</v>
      </c>
      <c r="H1270" s="35" t="s">
        <v>5172</v>
      </c>
      <c r="I1270" s="10" t="s">
        <v>5173</v>
      </c>
    </row>
    <row r="1271" spans="1:9" s="31" customFormat="1" ht="105">
      <c r="A1271" s="12">
        <v>43567.31113425926</v>
      </c>
      <c r="B1271" s="13" t="s">
        <v>15852</v>
      </c>
      <c r="C1271" s="14" t="s">
        <v>5170</v>
      </c>
      <c r="D1271" s="15" t="s">
        <v>5171</v>
      </c>
      <c r="E1271" s="16" t="s">
        <v>13011</v>
      </c>
      <c r="F1271" s="12">
        <v>43276.577175925922</v>
      </c>
      <c r="G1271" s="24" t="s">
        <v>171</v>
      </c>
      <c r="H1271" s="35" t="s">
        <v>5172</v>
      </c>
      <c r="I1271" s="18" t="s">
        <v>5173</v>
      </c>
    </row>
    <row r="1272" spans="1:9" s="31" customFormat="1" ht="120">
      <c r="A1272" s="12">
        <v>43566.490682870368</v>
      </c>
      <c r="B1272" s="13" t="s">
        <v>15853</v>
      </c>
      <c r="C1272" s="14" t="s">
        <v>5488</v>
      </c>
      <c r="D1272" s="15" t="s">
        <v>5489</v>
      </c>
      <c r="E1272" s="16" t="s">
        <v>13099</v>
      </c>
      <c r="F1272" s="12">
        <v>42078.727210648147</v>
      </c>
      <c r="G1272" s="24" t="s">
        <v>171</v>
      </c>
      <c r="H1272" s="35" t="s">
        <v>5172</v>
      </c>
      <c r="I1272" s="18" t="s">
        <v>5490</v>
      </c>
    </row>
    <row r="1273" spans="1:9" s="31" customFormat="1" ht="120">
      <c r="A1273" s="19">
        <v>43551.344131944439</v>
      </c>
      <c r="B1273" s="20" t="s">
        <v>15854</v>
      </c>
      <c r="C1273" s="21" t="s">
        <v>7290</v>
      </c>
      <c r="D1273" s="22" t="s">
        <v>7291</v>
      </c>
      <c r="E1273" s="23" t="s">
        <v>13009</v>
      </c>
      <c r="F1273" s="19">
        <v>43174.210185185184</v>
      </c>
      <c r="G1273" s="24" t="s">
        <v>171</v>
      </c>
      <c r="H1273" s="35" t="s">
        <v>7292</v>
      </c>
      <c r="I1273" s="25" t="s">
        <v>7293</v>
      </c>
    </row>
    <row r="1274" spans="1:9" s="31" customFormat="1" ht="120">
      <c r="A1274" s="19">
        <v>43551.214826388888</v>
      </c>
      <c r="B1274" s="20" t="s">
        <v>15855</v>
      </c>
      <c r="C1274" s="21" t="s">
        <v>7394</v>
      </c>
      <c r="D1274" s="22" t="s">
        <v>7395</v>
      </c>
      <c r="E1274" s="23" t="s">
        <v>13099</v>
      </c>
      <c r="F1274" s="19">
        <v>41544.102268518516</v>
      </c>
      <c r="G1274" s="24" t="s">
        <v>171</v>
      </c>
      <c r="H1274" s="35" t="s">
        <v>7292</v>
      </c>
      <c r="I1274" s="25" t="s">
        <v>7396</v>
      </c>
    </row>
    <row r="1275" spans="1:9" s="31" customFormat="1" ht="150">
      <c r="A1275" s="12">
        <v>43573.199108796296</v>
      </c>
      <c r="B1275" s="13" t="s">
        <v>15856</v>
      </c>
      <c r="C1275" s="14" t="s">
        <v>2984</v>
      </c>
      <c r="D1275" s="15" t="s">
        <v>2985</v>
      </c>
      <c r="E1275" s="16" t="s">
        <v>13032</v>
      </c>
      <c r="F1275" s="12">
        <v>42336.449965277774</v>
      </c>
      <c r="G1275" s="17" t="s">
        <v>171</v>
      </c>
      <c r="H1275" s="35" t="s">
        <v>2986</v>
      </c>
      <c r="I1275" s="18" t="s">
        <v>2987</v>
      </c>
    </row>
    <row r="1276" spans="1:9" s="31" customFormat="1" ht="105">
      <c r="A1276" s="4">
        <v>43563.178796296299</v>
      </c>
      <c r="B1276" s="5" t="s">
        <v>15857</v>
      </c>
      <c r="C1276" s="6" t="s">
        <v>10443</v>
      </c>
      <c r="D1276" s="7" t="s">
        <v>10444</v>
      </c>
      <c r="E1276" s="8" t="s">
        <v>13018</v>
      </c>
      <c r="F1276" s="4">
        <v>39916.411493055552</v>
      </c>
      <c r="G1276" s="9" t="s">
        <v>171</v>
      </c>
      <c r="H1276" s="35" t="s">
        <v>10445</v>
      </c>
      <c r="I1276" s="10" t="s">
        <v>10446</v>
      </c>
    </row>
    <row r="1277" spans="1:9" s="31" customFormat="1" ht="45">
      <c r="A1277" s="12">
        <v>43566.448055555556</v>
      </c>
      <c r="B1277" s="13" t="s">
        <v>15858</v>
      </c>
      <c r="C1277" s="14" t="s">
        <v>5521</v>
      </c>
      <c r="D1277" s="15" t="s">
        <v>5522</v>
      </c>
      <c r="E1277" s="16" t="s">
        <v>13032</v>
      </c>
      <c r="F1277" s="12">
        <v>39932.496828703705</v>
      </c>
      <c r="G1277" s="17" t="s">
        <v>171</v>
      </c>
      <c r="H1277" s="35" t="s">
        <v>5523</v>
      </c>
      <c r="I1277" s="18"/>
    </row>
    <row r="1278" spans="1:9" s="31" customFormat="1" ht="120">
      <c r="A1278" s="4">
        <v>43560.417442129634</v>
      </c>
      <c r="B1278" s="5" t="s">
        <v>15859</v>
      </c>
      <c r="C1278" s="6" t="s">
        <v>11390</v>
      </c>
      <c r="D1278" s="7" t="s">
        <v>11391</v>
      </c>
      <c r="E1278" s="8" t="s">
        <v>13018</v>
      </c>
      <c r="F1278" s="4">
        <v>39932.267465277779</v>
      </c>
      <c r="G1278" s="17" t="s">
        <v>171</v>
      </c>
      <c r="H1278" s="35" t="s">
        <v>11392</v>
      </c>
      <c r="I1278" s="10" t="s">
        <v>11393</v>
      </c>
    </row>
    <row r="1279" spans="1:9" s="31" customFormat="1" ht="120">
      <c r="A1279" s="12">
        <v>43572.277372685188</v>
      </c>
      <c r="B1279" s="13" t="s">
        <v>15860</v>
      </c>
      <c r="C1279" s="14" t="s">
        <v>3350</v>
      </c>
      <c r="D1279" s="15" t="s">
        <v>3351</v>
      </c>
      <c r="E1279" s="16" t="s">
        <v>13130</v>
      </c>
      <c r="F1279" s="12">
        <v>42282.510162037041</v>
      </c>
      <c r="G1279" s="17" t="s">
        <v>171</v>
      </c>
      <c r="H1279" s="35" t="s">
        <v>3352</v>
      </c>
      <c r="I1279" s="18" t="s">
        <v>3353</v>
      </c>
    </row>
    <row r="1280" spans="1:9" s="31" customFormat="1" ht="60">
      <c r="A1280" s="12">
        <v>43570.026006944448</v>
      </c>
      <c r="B1280" s="13" t="s">
        <v>15861</v>
      </c>
      <c r="C1280" s="14" t="s">
        <v>4363</v>
      </c>
      <c r="D1280" s="15" t="s">
        <v>4364</v>
      </c>
      <c r="E1280" s="16" t="s">
        <v>13009</v>
      </c>
      <c r="F1280" s="12">
        <v>43108.076504629629</v>
      </c>
      <c r="G1280" s="17" t="s">
        <v>171</v>
      </c>
      <c r="H1280" s="35" t="s">
        <v>3352</v>
      </c>
      <c r="I1280" s="18" t="s">
        <v>4365</v>
      </c>
    </row>
    <row r="1281" spans="1:9" s="31" customFormat="1" ht="120">
      <c r="A1281" s="12">
        <v>43577.608935185184</v>
      </c>
      <c r="B1281" s="13" t="s">
        <v>15862</v>
      </c>
      <c r="C1281" s="14" t="s">
        <v>1545</v>
      </c>
      <c r="D1281" s="15" t="s">
        <v>1546</v>
      </c>
      <c r="E1281" s="16" t="s">
        <v>13011</v>
      </c>
      <c r="F1281" s="12">
        <v>39856.093182870369</v>
      </c>
      <c r="G1281" s="17" t="s">
        <v>171</v>
      </c>
      <c r="H1281" s="35" t="s">
        <v>1547</v>
      </c>
      <c r="I1281" s="18" t="s">
        <v>1548</v>
      </c>
    </row>
    <row r="1282" spans="1:9" s="31" customFormat="1" ht="135">
      <c r="A1282" s="12">
        <v>43579.225474537037</v>
      </c>
      <c r="B1282" s="13" t="s">
        <v>15863</v>
      </c>
      <c r="C1282" s="14" t="s">
        <v>840</v>
      </c>
      <c r="D1282" s="15" t="s">
        <v>841</v>
      </c>
      <c r="E1282" s="16" t="s">
        <v>13009</v>
      </c>
      <c r="F1282" s="12">
        <v>42629.021168981482</v>
      </c>
      <c r="G1282" s="17" t="s">
        <v>171</v>
      </c>
      <c r="H1282" s="35" t="s">
        <v>842</v>
      </c>
      <c r="I1282" s="18" t="s">
        <v>843</v>
      </c>
    </row>
    <row r="1283" spans="1:9" s="31" customFormat="1" ht="135">
      <c r="A1283" s="12">
        <v>43574.155150462961</v>
      </c>
      <c r="B1283" s="13" t="s">
        <v>15864</v>
      </c>
      <c r="C1283" s="14" t="s">
        <v>2662</v>
      </c>
      <c r="D1283" s="15" t="s">
        <v>2663</v>
      </c>
      <c r="E1283" s="16" t="s">
        <v>13032</v>
      </c>
      <c r="F1283" s="12">
        <v>39935.483252314814</v>
      </c>
      <c r="G1283" s="17" t="s">
        <v>171</v>
      </c>
      <c r="H1283" s="35" t="s">
        <v>2664</v>
      </c>
      <c r="I1283" s="18" t="s">
        <v>2665</v>
      </c>
    </row>
    <row r="1284" spans="1:9" s="31" customFormat="1" ht="135">
      <c r="A1284" s="12">
        <v>43572.455740740741</v>
      </c>
      <c r="B1284" s="13" t="s">
        <v>15864</v>
      </c>
      <c r="C1284" s="14" t="s">
        <v>2662</v>
      </c>
      <c r="D1284" s="15" t="s">
        <v>3236</v>
      </c>
      <c r="E1284" s="16" t="s">
        <v>13032</v>
      </c>
      <c r="F1284" s="12">
        <v>39935.483252314814</v>
      </c>
      <c r="G1284" s="17" t="s">
        <v>171</v>
      </c>
      <c r="H1284" s="35" t="s">
        <v>2664</v>
      </c>
      <c r="I1284" s="18" t="s">
        <v>2665</v>
      </c>
    </row>
    <row r="1285" spans="1:9" s="31" customFormat="1" ht="135">
      <c r="A1285" s="12">
        <v>43572.447164351848</v>
      </c>
      <c r="B1285" s="13" t="s">
        <v>15864</v>
      </c>
      <c r="C1285" s="14" t="s">
        <v>2662</v>
      </c>
      <c r="D1285" s="15" t="s">
        <v>3236</v>
      </c>
      <c r="E1285" s="16" t="s">
        <v>13032</v>
      </c>
      <c r="F1285" s="12">
        <v>39935.483252314814</v>
      </c>
      <c r="G1285" s="17" t="s">
        <v>171</v>
      </c>
      <c r="H1285" s="35" t="s">
        <v>2664</v>
      </c>
      <c r="I1285" s="18" t="s">
        <v>2665</v>
      </c>
    </row>
    <row r="1286" spans="1:9" s="31" customFormat="1" ht="120">
      <c r="A1286" s="12">
        <v>43579.190925925926</v>
      </c>
      <c r="B1286" s="13" t="s">
        <v>15865</v>
      </c>
      <c r="C1286" s="14" t="s">
        <v>864</v>
      </c>
      <c r="D1286" s="15" t="s">
        <v>865</v>
      </c>
      <c r="E1286" s="16" t="s">
        <v>13018</v>
      </c>
      <c r="F1286" s="12">
        <v>41253.167731481481</v>
      </c>
      <c r="G1286" s="17" t="s">
        <v>171</v>
      </c>
      <c r="H1286" s="35" t="s">
        <v>866</v>
      </c>
      <c r="I1286" s="18" t="s">
        <v>867</v>
      </c>
    </row>
    <row r="1287" spans="1:9" s="31" customFormat="1" ht="135">
      <c r="A1287" s="4">
        <v>43565.069710648153</v>
      </c>
      <c r="B1287" s="5" t="s">
        <v>15866</v>
      </c>
      <c r="C1287" s="6" t="s">
        <v>10186</v>
      </c>
      <c r="D1287" s="7" t="s">
        <v>10187</v>
      </c>
      <c r="E1287" s="8" t="s">
        <v>13009</v>
      </c>
      <c r="F1287" s="4">
        <v>42236.433703703704</v>
      </c>
      <c r="G1287" s="9" t="s">
        <v>171</v>
      </c>
      <c r="H1287" s="35" t="s">
        <v>10188</v>
      </c>
      <c r="I1287" s="10" t="s">
        <v>10189</v>
      </c>
    </row>
    <row r="1288" spans="1:9" s="31" customFormat="1" ht="105">
      <c r="A1288" s="12">
        <v>43579.460219907407</v>
      </c>
      <c r="B1288" s="13" t="s">
        <v>15867</v>
      </c>
      <c r="C1288" s="14" t="s">
        <v>646</v>
      </c>
      <c r="D1288" s="15" t="s">
        <v>647</v>
      </c>
      <c r="E1288" s="16" t="s">
        <v>13006</v>
      </c>
      <c r="F1288" s="12">
        <v>40368.394016203703</v>
      </c>
      <c r="G1288" s="17" t="s">
        <v>171</v>
      </c>
      <c r="H1288" s="35" t="s">
        <v>648</v>
      </c>
      <c r="I1288" s="18" t="s">
        <v>649</v>
      </c>
    </row>
    <row r="1289" spans="1:9" s="31" customFormat="1" ht="60">
      <c r="A1289" s="12">
        <v>43572.469675925924</v>
      </c>
      <c r="B1289" s="13" t="s">
        <v>15868</v>
      </c>
      <c r="C1289" s="14" t="s">
        <v>3224</v>
      </c>
      <c r="D1289" s="15" t="s">
        <v>3225</v>
      </c>
      <c r="E1289" s="16" t="s">
        <v>13013</v>
      </c>
      <c r="F1289" s="12">
        <v>42375.409525462965</v>
      </c>
      <c r="G1289" s="17" t="s">
        <v>171</v>
      </c>
      <c r="H1289" s="35" t="s">
        <v>648</v>
      </c>
      <c r="I1289" s="18" t="s">
        <v>3226</v>
      </c>
    </row>
    <row r="1290" spans="1:9" s="31" customFormat="1" ht="30">
      <c r="A1290" s="12">
        <v>43577.16777777778</v>
      </c>
      <c r="B1290" s="13" t="s">
        <v>15869</v>
      </c>
      <c r="C1290" s="14" t="s">
        <v>1728</v>
      </c>
      <c r="D1290" s="15" t="s">
        <v>12883</v>
      </c>
      <c r="E1290" s="16" t="s">
        <v>14988</v>
      </c>
      <c r="F1290" s="12">
        <v>39860.38899305556</v>
      </c>
      <c r="G1290" s="17" t="s">
        <v>171</v>
      </c>
      <c r="H1290" s="35" t="s">
        <v>1729</v>
      </c>
      <c r="I1290" s="18" t="s">
        <v>1730</v>
      </c>
    </row>
    <row r="1291" spans="1:9" s="31" customFormat="1" ht="105">
      <c r="A1291" s="4">
        <v>43561.385439814811</v>
      </c>
      <c r="B1291" s="5" t="s">
        <v>15870</v>
      </c>
      <c r="C1291" s="6" t="s">
        <v>10989</v>
      </c>
      <c r="D1291" s="7" t="s">
        <v>4798</v>
      </c>
      <c r="E1291" s="8" t="s">
        <v>15871</v>
      </c>
      <c r="F1291" s="4">
        <v>42757.365497685183</v>
      </c>
      <c r="G1291" s="9" t="s">
        <v>171</v>
      </c>
      <c r="H1291" s="35" t="s">
        <v>10990</v>
      </c>
      <c r="I1291" s="10" t="s">
        <v>10991</v>
      </c>
    </row>
    <row r="1292" spans="1:9" s="31" customFormat="1" ht="105">
      <c r="A1292" s="12">
        <v>43566.325011574074</v>
      </c>
      <c r="B1292" s="13" t="s">
        <v>15872</v>
      </c>
      <c r="C1292" s="14" t="s">
        <v>5660</v>
      </c>
      <c r="D1292" s="15" t="s">
        <v>5661</v>
      </c>
      <c r="E1292" s="16" t="s">
        <v>13120</v>
      </c>
      <c r="F1292" s="12">
        <v>40262.57949074074</v>
      </c>
      <c r="G1292" s="17" t="s">
        <v>171</v>
      </c>
      <c r="H1292" s="35" t="s">
        <v>5662</v>
      </c>
      <c r="I1292" s="18" t="s">
        <v>5663</v>
      </c>
    </row>
    <row r="1293" spans="1:9" s="31" customFormat="1" ht="60">
      <c r="A1293" s="12">
        <v>43567.346458333333</v>
      </c>
      <c r="B1293" s="13" t="s">
        <v>15873</v>
      </c>
      <c r="C1293" s="14" t="s">
        <v>5148</v>
      </c>
      <c r="D1293" s="15" t="s">
        <v>5149</v>
      </c>
      <c r="E1293" s="16" t="s">
        <v>13006</v>
      </c>
      <c r="F1293" s="12">
        <v>41810.158553240741</v>
      </c>
      <c r="G1293" s="17" t="s">
        <v>171</v>
      </c>
      <c r="H1293" s="35" t="s">
        <v>5150</v>
      </c>
      <c r="I1293" s="18" t="s">
        <v>5151</v>
      </c>
    </row>
    <row r="1294" spans="1:9" s="31" customFormat="1" ht="105">
      <c r="A1294" s="12">
        <v>43570.077835648146</v>
      </c>
      <c r="B1294" s="13" t="s">
        <v>15874</v>
      </c>
      <c r="C1294" s="14" t="s">
        <v>4339</v>
      </c>
      <c r="D1294" s="15" t="s">
        <v>4340</v>
      </c>
      <c r="E1294" s="16" t="s">
        <v>13032</v>
      </c>
      <c r="F1294" s="12">
        <v>39628.124016203699</v>
      </c>
      <c r="G1294" s="17" t="s">
        <v>171</v>
      </c>
      <c r="H1294" s="35" t="s">
        <v>4341</v>
      </c>
      <c r="I1294" s="18" t="s">
        <v>4342</v>
      </c>
    </row>
    <row r="1295" spans="1:9" s="31" customFormat="1" ht="135">
      <c r="A1295" s="12">
        <v>43566.524328703701</v>
      </c>
      <c r="B1295" s="13" t="s">
        <v>15875</v>
      </c>
      <c r="C1295" s="14" t="s">
        <v>5455</v>
      </c>
      <c r="D1295" s="15" t="s">
        <v>5456</v>
      </c>
      <c r="E1295" s="16" t="s">
        <v>13011</v>
      </c>
      <c r="F1295" s="12">
        <v>39932.998715277776</v>
      </c>
      <c r="G1295" s="17" t="s">
        <v>171</v>
      </c>
      <c r="H1295" s="35" t="s">
        <v>5457</v>
      </c>
      <c r="I1295" s="18" t="s">
        <v>5458</v>
      </c>
    </row>
    <row r="1296" spans="1:9" s="31" customFormat="1" ht="75">
      <c r="A1296" s="4">
        <v>43564.200185185182</v>
      </c>
      <c r="B1296" s="5" t="s">
        <v>15876</v>
      </c>
      <c r="C1296" s="6" t="s">
        <v>930</v>
      </c>
      <c r="D1296" s="7" t="s">
        <v>931</v>
      </c>
      <c r="E1296" s="8" t="s">
        <v>13011</v>
      </c>
      <c r="F1296" s="4">
        <v>43118.154293981483</v>
      </c>
      <c r="G1296" s="17" t="s">
        <v>171</v>
      </c>
      <c r="H1296" s="35" t="s">
        <v>932</v>
      </c>
      <c r="I1296" s="10" t="s">
        <v>933</v>
      </c>
    </row>
    <row r="1297" spans="1:9" s="31" customFormat="1" ht="150">
      <c r="A1297" s="4">
        <v>43558.703240740739</v>
      </c>
      <c r="B1297" s="5" t="s">
        <v>15877</v>
      </c>
      <c r="C1297" s="6" t="s">
        <v>12070</v>
      </c>
      <c r="D1297" s="7" t="s">
        <v>12071</v>
      </c>
      <c r="E1297" s="8" t="s">
        <v>13009</v>
      </c>
      <c r="F1297" s="4">
        <v>41775.226168981484</v>
      </c>
      <c r="G1297" s="17" t="s">
        <v>171</v>
      </c>
      <c r="H1297" s="35" t="s">
        <v>932</v>
      </c>
      <c r="I1297" s="10" t="s">
        <v>12072</v>
      </c>
    </row>
    <row r="1298" spans="1:9" s="31" customFormat="1" ht="75">
      <c r="A1298" s="12">
        <v>43579.08662037037</v>
      </c>
      <c r="B1298" s="13" t="s">
        <v>15876</v>
      </c>
      <c r="C1298" s="14" t="s">
        <v>930</v>
      </c>
      <c r="D1298" s="15" t="s">
        <v>931</v>
      </c>
      <c r="E1298" s="16" t="s">
        <v>13011</v>
      </c>
      <c r="F1298" s="12">
        <v>43118.154293981483</v>
      </c>
      <c r="G1298" s="17" t="s">
        <v>171</v>
      </c>
      <c r="H1298" s="35" t="s">
        <v>932</v>
      </c>
      <c r="I1298" s="18" t="s">
        <v>933</v>
      </c>
    </row>
    <row r="1299" spans="1:9" s="31" customFormat="1" ht="90">
      <c r="A1299" s="4">
        <v>43565.05159722222</v>
      </c>
      <c r="B1299" s="5" t="s">
        <v>15878</v>
      </c>
      <c r="C1299" s="6" t="s">
        <v>6324</v>
      </c>
      <c r="D1299" s="7" t="s">
        <v>6325</v>
      </c>
      <c r="E1299" s="8" t="s">
        <v>13011</v>
      </c>
      <c r="F1299" s="4">
        <v>42667.969467592593</v>
      </c>
      <c r="G1299" s="17" t="s">
        <v>171</v>
      </c>
      <c r="H1299" s="35" t="s">
        <v>6326</v>
      </c>
      <c r="I1299" s="10" t="s">
        <v>6327</v>
      </c>
    </row>
    <row r="1300" spans="1:9" s="31" customFormat="1" ht="105">
      <c r="A1300" s="19">
        <v>43549.041828703703</v>
      </c>
      <c r="B1300" s="20" t="s">
        <v>15879</v>
      </c>
      <c r="C1300" s="21" t="s">
        <v>8183</v>
      </c>
      <c r="D1300" s="22" t="s">
        <v>8184</v>
      </c>
      <c r="E1300" s="23" t="s">
        <v>13034</v>
      </c>
      <c r="F1300" s="19">
        <v>41773.491643518515</v>
      </c>
      <c r="G1300" s="17" t="s">
        <v>171</v>
      </c>
      <c r="H1300" s="35" t="s">
        <v>4153</v>
      </c>
      <c r="I1300" s="25" t="s">
        <v>8185</v>
      </c>
    </row>
    <row r="1301" spans="1:9" s="31" customFormat="1" ht="105">
      <c r="A1301" s="19">
        <v>43549.041678240741</v>
      </c>
      <c r="B1301" s="20" t="s">
        <v>15880</v>
      </c>
      <c r="C1301" s="21" t="s">
        <v>8186</v>
      </c>
      <c r="D1301" s="22" t="s">
        <v>8184</v>
      </c>
      <c r="E1301" s="23" t="s">
        <v>13034</v>
      </c>
      <c r="F1301" s="19">
        <v>42388.603368055556</v>
      </c>
      <c r="G1301" s="17" t="s">
        <v>171</v>
      </c>
      <c r="H1301" s="35" t="s">
        <v>4153</v>
      </c>
      <c r="I1301" s="25" t="s">
        <v>8187</v>
      </c>
    </row>
    <row r="1302" spans="1:9" s="31" customFormat="1" ht="105">
      <c r="A1302" s="19">
        <v>43547.375590277778</v>
      </c>
      <c r="B1302" s="20" t="s">
        <v>15879</v>
      </c>
      <c r="C1302" s="21" t="s">
        <v>8183</v>
      </c>
      <c r="D1302" s="22" t="s">
        <v>8575</v>
      </c>
      <c r="E1302" s="23" t="s">
        <v>13034</v>
      </c>
      <c r="F1302" s="19">
        <v>41773.491643518515</v>
      </c>
      <c r="G1302" s="17" t="s">
        <v>171</v>
      </c>
      <c r="H1302" s="35" t="s">
        <v>4153</v>
      </c>
      <c r="I1302" s="25" t="s">
        <v>8185</v>
      </c>
    </row>
    <row r="1303" spans="1:9" s="31" customFormat="1" ht="105">
      <c r="A1303" s="19">
        <v>43547.375497685185</v>
      </c>
      <c r="B1303" s="20" t="s">
        <v>15880</v>
      </c>
      <c r="C1303" s="21" t="s">
        <v>8186</v>
      </c>
      <c r="D1303" s="22" t="s">
        <v>8575</v>
      </c>
      <c r="E1303" s="23" t="s">
        <v>13034</v>
      </c>
      <c r="F1303" s="19">
        <v>42388.603368055556</v>
      </c>
      <c r="G1303" s="17" t="s">
        <v>171</v>
      </c>
      <c r="H1303" s="35" t="s">
        <v>4153</v>
      </c>
      <c r="I1303" s="25" t="s">
        <v>8187</v>
      </c>
    </row>
    <row r="1304" spans="1:9" s="31" customFormat="1" ht="105">
      <c r="A1304" s="4">
        <v>43565.36336805555</v>
      </c>
      <c r="B1304" s="5" t="s">
        <v>15881</v>
      </c>
      <c r="C1304" s="6" t="s">
        <v>4151</v>
      </c>
      <c r="D1304" s="7" t="s">
        <v>6146</v>
      </c>
      <c r="E1304" s="8" t="s">
        <v>13009</v>
      </c>
      <c r="F1304" s="4">
        <v>43481.513032407413</v>
      </c>
      <c r="G1304" s="17" t="s">
        <v>171</v>
      </c>
      <c r="H1304" s="35" t="s">
        <v>4153</v>
      </c>
      <c r="I1304" s="10" t="s">
        <v>4154</v>
      </c>
    </row>
    <row r="1305" spans="1:9" s="31" customFormat="1" ht="105">
      <c r="A1305" s="12">
        <v>43570.430949074071</v>
      </c>
      <c r="B1305" s="13" t="s">
        <v>15881</v>
      </c>
      <c r="C1305" s="14" t="s">
        <v>4151</v>
      </c>
      <c r="D1305" s="15" t="s">
        <v>4152</v>
      </c>
      <c r="E1305" s="16" t="s">
        <v>13018</v>
      </c>
      <c r="F1305" s="12">
        <v>43481.513032407413</v>
      </c>
      <c r="G1305" s="17" t="s">
        <v>171</v>
      </c>
      <c r="H1305" s="35" t="s">
        <v>4153</v>
      </c>
      <c r="I1305" s="18" t="s">
        <v>4154</v>
      </c>
    </row>
    <row r="1306" spans="1:9" s="31" customFormat="1" ht="90">
      <c r="A1306" s="4">
        <v>43563.28396990741</v>
      </c>
      <c r="B1306" s="5" t="s">
        <v>15882</v>
      </c>
      <c r="C1306" s="6" t="s">
        <v>10406</v>
      </c>
      <c r="D1306" s="7" t="s">
        <v>10407</v>
      </c>
      <c r="E1306" s="8" t="s">
        <v>13009</v>
      </c>
      <c r="F1306" s="4">
        <v>43330.277546296296</v>
      </c>
      <c r="G1306" s="9" t="s">
        <v>171</v>
      </c>
      <c r="H1306" s="35" t="s">
        <v>10408</v>
      </c>
      <c r="I1306" s="10" t="s">
        <v>10409</v>
      </c>
    </row>
    <row r="1307" spans="1:9" s="31" customFormat="1" ht="120">
      <c r="A1307" s="12">
        <v>43572.358344907407</v>
      </c>
      <c r="B1307" s="13" t="s">
        <v>15883</v>
      </c>
      <c r="C1307" s="14" t="s">
        <v>3301</v>
      </c>
      <c r="D1307" s="15" t="s">
        <v>3302</v>
      </c>
      <c r="E1307" s="16" t="s">
        <v>13034</v>
      </c>
      <c r="F1307" s="12">
        <v>41554.483576388891</v>
      </c>
      <c r="G1307" s="17" t="s">
        <v>171</v>
      </c>
      <c r="H1307" s="35" t="s">
        <v>3303</v>
      </c>
      <c r="I1307" s="18" t="s">
        <v>3304</v>
      </c>
    </row>
    <row r="1308" spans="1:9" s="31" customFormat="1" ht="120">
      <c r="A1308" s="4">
        <v>43560.309374999997</v>
      </c>
      <c r="B1308" s="5" t="s">
        <v>15884</v>
      </c>
      <c r="C1308" s="6" t="s">
        <v>11476</v>
      </c>
      <c r="D1308" s="7" t="s">
        <v>11477</v>
      </c>
      <c r="E1308" s="8" t="s">
        <v>13009</v>
      </c>
      <c r="F1308" s="4">
        <v>39875.35324074074</v>
      </c>
      <c r="G1308" s="17" t="s">
        <v>171</v>
      </c>
      <c r="H1308" s="35" t="s">
        <v>11478</v>
      </c>
      <c r="I1308" s="10" t="s">
        <v>11479</v>
      </c>
    </row>
    <row r="1309" spans="1:9" s="31" customFormat="1" ht="120">
      <c r="A1309" s="4">
        <v>43560.23510416667</v>
      </c>
      <c r="B1309" s="5" t="s">
        <v>15884</v>
      </c>
      <c r="C1309" s="6" t="s">
        <v>11476</v>
      </c>
      <c r="D1309" s="7" t="s">
        <v>11546</v>
      </c>
      <c r="E1309" s="8" t="s">
        <v>13009</v>
      </c>
      <c r="F1309" s="4">
        <v>39875.35324074074</v>
      </c>
      <c r="G1309" s="17" t="s">
        <v>171</v>
      </c>
      <c r="H1309" s="35" t="s">
        <v>11478</v>
      </c>
      <c r="I1309" s="10" t="s">
        <v>11479</v>
      </c>
    </row>
    <row r="1310" spans="1:9" s="31" customFormat="1" ht="120">
      <c r="A1310" s="4">
        <v>43560.232094907406</v>
      </c>
      <c r="B1310" s="5" t="s">
        <v>15884</v>
      </c>
      <c r="C1310" s="6" t="s">
        <v>11476</v>
      </c>
      <c r="D1310" s="7" t="s">
        <v>11550</v>
      </c>
      <c r="E1310" s="8" t="s">
        <v>13009</v>
      </c>
      <c r="F1310" s="4">
        <v>39875.35324074074</v>
      </c>
      <c r="G1310" s="17" t="s">
        <v>171</v>
      </c>
      <c r="H1310" s="35" t="s">
        <v>11478</v>
      </c>
      <c r="I1310" s="10" t="s">
        <v>11479</v>
      </c>
    </row>
    <row r="1311" spans="1:9" s="31" customFormat="1" ht="60">
      <c r="A1311" s="19">
        <v>43549.841712962967</v>
      </c>
      <c r="B1311" s="20" t="s">
        <v>15885</v>
      </c>
      <c r="C1311" s="21" t="s">
        <v>7896</v>
      </c>
      <c r="D1311" s="22" t="s">
        <v>7897</v>
      </c>
      <c r="E1311" s="23" t="s">
        <v>13011</v>
      </c>
      <c r="F1311" s="19">
        <v>39895.453136574077</v>
      </c>
      <c r="G1311" s="17" t="s">
        <v>171</v>
      </c>
      <c r="H1311" s="35" t="s">
        <v>7898</v>
      </c>
      <c r="I1311" s="25" t="s">
        <v>7899</v>
      </c>
    </row>
    <row r="1312" spans="1:9" s="31" customFormat="1" ht="60">
      <c r="A1312" s="12">
        <v>43571.196284722224</v>
      </c>
      <c r="B1312" s="13" t="s">
        <v>15886</v>
      </c>
      <c r="C1312" s="14" t="s">
        <v>3802</v>
      </c>
      <c r="D1312" s="15" t="s">
        <v>3803</v>
      </c>
      <c r="E1312" s="16" t="s">
        <v>13009</v>
      </c>
      <c r="F1312" s="12">
        <v>39927.616840277777</v>
      </c>
      <c r="G1312" s="17" t="s">
        <v>171</v>
      </c>
      <c r="H1312" s="35" t="s">
        <v>3804</v>
      </c>
      <c r="I1312" s="18" t="s">
        <v>3805</v>
      </c>
    </row>
    <row r="1313" spans="1:9" s="31" customFormat="1" ht="135">
      <c r="A1313" s="12">
        <v>43580.654479166667</v>
      </c>
      <c r="B1313" s="13" t="s">
        <v>15887</v>
      </c>
      <c r="C1313" s="14" t="s">
        <v>161</v>
      </c>
      <c r="D1313" s="15" t="s">
        <v>162</v>
      </c>
      <c r="E1313" s="16" t="s">
        <v>13130</v>
      </c>
      <c r="F1313" s="12">
        <v>41446.995092592595</v>
      </c>
      <c r="G1313" s="17" t="s">
        <v>171</v>
      </c>
      <c r="H1313" s="35" t="s">
        <v>163</v>
      </c>
      <c r="I1313" s="18" t="s">
        <v>164</v>
      </c>
    </row>
    <row r="1314" spans="1:9" s="31" customFormat="1" ht="60">
      <c r="A1314" s="4">
        <v>43565.792766203704</v>
      </c>
      <c r="B1314" s="5" t="s">
        <v>15888</v>
      </c>
      <c r="C1314" s="6" t="s">
        <v>5894</v>
      </c>
      <c r="D1314" s="7" t="s">
        <v>5895</v>
      </c>
      <c r="E1314" s="8" t="s">
        <v>13009</v>
      </c>
      <c r="F1314" s="4">
        <v>41501.442476851851</v>
      </c>
      <c r="G1314" s="9" t="s">
        <v>171</v>
      </c>
      <c r="H1314" s="35" t="s">
        <v>5896</v>
      </c>
      <c r="I1314" s="10" t="s">
        <v>5897</v>
      </c>
    </row>
    <row r="1315" spans="1:9" s="31" customFormat="1" ht="75">
      <c r="A1315" s="4">
        <v>43565.082673611112</v>
      </c>
      <c r="B1315" s="5" t="s">
        <v>15889</v>
      </c>
      <c r="C1315" s="6" t="s">
        <v>6295</v>
      </c>
      <c r="D1315" s="7" t="s">
        <v>6296</v>
      </c>
      <c r="E1315" s="8" t="s">
        <v>13009</v>
      </c>
      <c r="F1315" s="4">
        <v>42968.730092592596</v>
      </c>
      <c r="G1315" s="9" t="s">
        <v>171</v>
      </c>
      <c r="H1315" s="35" t="s">
        <v>6297</v>
      </c>
      <c r="I1315" s="10" t="s">
        <v>6298</v>
      </c>
    </row>
    <row r="1316" spans="1:9" s="31" customFormat="1" ht="120">
      <c r="A1316" s="19">
        <v>43550.167002314818</v>
      </c>
      <c r="B1316" s="20" t="s">
        <v>15890</v>
      </c>
      <c r="C1316" s="21" t="s">
        <v>1662</v>
      </c>
      <c r="D1316" s="22" t="s">
        <v>7801</v>
      </c>
      <c r="E1316" s="23" t="s">
        <v>13743</v>
      </c>
      <c r="F1316" s="19">
        <v>43504.092245370368</v>
      </c>
      <c r="G1316" s="9" t="s">
        <v>171</v>
      </c>
      <c r="H1316" s="35" t="s">
        <v>1664</v>
      </c>
      <c r="I1316" s="25" t="s">
        <v>1665</v>
      </c>
    </row>
    <row r="1317" spans="1:9" s="31" customFormat="1" ht="120">
      <c r="A1317" s="19">
        <v>43549.375451388885</v>
      </c>
      <c r="B1317" s="20" t="s">
        <v>15890</v>
      </c>
      <c r="C1317" s="21" t="s">
        <v>1662</v>
      </c>
      <c r="D1317" s="22" t="s">
        <v>8073</v>
      </c>
      <c r="E1317" s="23" t="s">
        <v>13743</v>
      </c>
      <c r="F1317" s="19">
        <v>43504.092245370368</v>
      </c>
      <c r="G1317" s="9" t="s">
        <v>171</v>
      </c>
      <c r="H1317" s="35" t="s">
        <v>1664</v>
      </c>
      <c r="I1317" s="25" t="s">
        <v>1665</v>
      </c>
    </row>
    <row r="1318" spans="1:9" s="31" customFormat="1" ht="120">
      <c r="A1318" s="19">
        <v>43543.395868055552</v>
      </c>
      <c r="B1318" s="20" t="s">
        <v>15890</v>
      </c>
      <c r="C1318" s="21" t="s">
        <v>1662</v>
      </c>
      <c r="D1318" s="22" t="s">
        <v>9830</v>
      </c>
      <c r="E1318" s="23" t="s">
        <v>13743</v>
      </c>
      <c r="F1318" s="19">
        <v>43504.092245370368</v>
      </c>
      <c r="G1318" s="9" t="s">
        <v>171</v>
      </c>
      <c r="H1318" s="35" t="s">
        <v>1664</v>
      </c>
      <c r="I1318" s="25" t="s">
        <v>1665</v>
      </c>
    </row>
    <row r="1319" spans="1:9" s="31" customFormat="1" ht="120">
      <c r="A1319" s="4">
        <v>43563.334097222221</v>
      </c>
      <c r="B1319" s="5" t="s">
        <v>15890</v>
      </c>
      <c r="C1319" s="6" t="s">
        <v>1662</v>
      </c>
      <c r="D1319" s="7" t="s">
        <v>10361</v>
      </c>
      <c r="E1319" s="8" t="s">
        <v>13743</v>
      </c>
      <c r="F1319" s="4">
        <v>43504.092245370368</v>
      </c>
      <c r="G1319" s="9" t="s">
        <v>171</v>
      </c>
      <c r="H1319" s="35" t="s">
        <v>1664</v>
      </c>
      <c r="I1319" s="10" t="s">
        <v>1665</v>
      </c>
    </row>
    <row r="1320" spans="1:9" s="31" customFormat="1" ht="120">
      <c r="A1320" s="4">
        <v>43560.354189814811</v>
      </c>
      <c r="B1320" s="5" t="s">
        <v>15890</v>
      </c>
      <c r="C1320" s="6" t="s">
        <v>1662</v>
      </c>
      <c r="D1320" s="7" t="s">
        <v>11434</v>
      </c>
      <c r="E1320" s="8" t="s">
        <v>13743</v>
      </c>
      <c r="F1320" s="4">
        <v>43504.092245370368</v>
      </c>
      <c r="G1320" s="9" t="s">
        <v>171</v>
      </c>
      <c r="H1320" s="35" t="s">
        <v>1664</v>
      </c>
      <c r="I1320" s="10" t="s">
        <v>1665</v>
      </c>
    </row>
    <row r="1321" spans="1:9" s="31" customFormat="1" ht="120">
      <c r="A1321" s="12">
        <v>43577.334155092598</v>
      </c>
      <c r="B1321" s="13" t="s">
        <v>15890</v>
      </c>
      <c r="C1321" s="14" t="s">
        <v>1662</v>
      </c>
      <c r="D1321" s="15" t="s">
        <v>1663</v>
      </c>
      <c r="E1321" s="16" t="s">
        <v>13743</v>
      </c>
      <c r="F1321" s="12">
        <v>43504.092245370368</v>
      </c>
      <c r="G1321" s="9" t="s">
        <v>171</v>
      </c>
      <c r="H1321" s="35" t="s">
        <v>1664</v>
      </c>
      <c r="I1321" s="18" t="s">
        <v>1665</v>
      </c>
    </row>
    <row r="1322" spans="1:9" s="31" customFormat="1" ht="120">
      <c r="A1322" s="12">
        <v>43570.333796296298</v>
      </c>
      <c r="B1322" s="13" t="s">
        <v>15890</v>
      </c>
      <c r="C1322" s="14" t="s">
        <v>1662</v>
      </c>
      <c r="D1322" s="15" t="s">
        <v>4218</v>
      </c>
      <c r="E1322" s="16" t="s">
        <v>13743</v>
      </c>
      <c r="F1322" s="12">
        <v>43504.092245370368</v>
      </c>
      <c r="G1322" s="9" t="s">
        <v>171</v>
      </c>
      <c r="H1322" s="35" t="s">
        <v>1664</v>
      </c>
      <c r="I1322" s="18" t="s">
        <v>1665</v>
      </c>
    </row>
    <row r="1323" spans="1:9" s="31" customFormat="1" ht="120">
      <c r="A1323" s="12">
        <v>43567.354178240741</v>
      </c>
      <c r="B1323" s="13" t="s">
        <v>15890</v>
      </c>
      <c r="C1323" s="14" t="s">
        <v>1662</v>
      </c>
      <c r="D1323" s="15" t="s">
        <v>5141</v>
      </c>
      <c r="E1323" s="16" t="s">
        <v>13743</v>
      </c>
      <c r="F1323" s="12">
        <v>43504.092245370368</v>
      </c>
      <c r="G1323" s="9" t="s">
        <v>171</v>
      </c>
      <c r="H1323" s="35" t="s">
        <v>1664</v>
      </c>
      <c r="I1323" s="18" t="s">
        <v>1665</v>
      </c>
    </row>
    <row r="1324" spans="1:9" s="31" customFormat="1" ht="120">
      <c r="A1324" s="12">
        <v>43573.117071759261</v>
      </c>
      <c r="B1324" s="13" t="s">
        <v>15891</v>
      </c>
      <c r="C1324" s="14" t="s">
        <v>2998</v>
      </c>
      <c r="D1324" s="15" t="s">
        <v>2999</v>
      </c>
      <c r="E1324" s="16" t="s">
        <v>13009</v>
      </c>
      <c r="F1324" s="12">
        <v>40932.368842592594</v>
      </c>
      <c r="G1324" s="9" t="s">
        <v>171</v>
      </c>
      <c r="H1324" s="35" t="s">
        <v>3000</v>
      </c>
      <c r="I1324" s="18" t="s">
        <v>3001</v>
      </c>
    </row>
    <row r="1325" spans="1:9" s="31" customFormat="1" ht="90">
      <c r="A1325" s="12">
        <v>43568.559467592597</v>
      </c>
      <c r="B1325" s="13" t="s">
        <v>15892</v>
      </c>
      <c r="C1325" s="14" t="s">
        <v>4703</v>
      </c>
      <c r="D1325" s="15" t="s">
        <v>4704</v>
      </c>
      <c r="E1325" s="16" t="s">
        <v>13013</v>
      </c>
      <c r="F1325" s="12">
        <v>43441.117384259254</v>
      </c>
      <c r="G1325" s="9" t="s">
        <v>171</v>
      </c>
      <c r="H1325" s="35" t="s">
        <v>3000</v>
      </c>
      <c r="I1325" s="18" t="s">
        <v>4705</v>
      </c>
    </row>
    <row r="1326" spans="1:9" s="31" customFormat="1" ht="90">
      <c r="A1326" s="12">
        <v>43567.145960648151</v>
      </c>
      <c r="B1326" s="13" t="s">
        <v>15892</v>
      </c>
      <c r="C1326" s="14" t="s">
        <v>4703</v>
      </c>
      <c r="D1326" s="15" t="s">
        <v>5229</v>
      </c>
      <c r="E1326" s="16" t="s">
        <v>13013</v>
      </c>
      <c r="F1326" s="12">
        <v>43441.117384259254</v>
      </c>
      <c r="G1326" s="9" t="s">
        <v>171</v>
      </c>
      <c r="H1326" s="35" t="s">
        <v>3000</v>
      </c>
      <c r="I1326" s="18" t="s">
        <v>4705</v>
      </c>
    </row>
    <row r="1327" spans="1:9" s="31" customFormat="1" ht="120">
      <c r="A1327" s="4">
        <v>43559.458414351851</v>
      </c>
      <c r="B1327" s="5" t="s">
        <v>15893</v>
      </c>
      <c r="C1327" s="6" t="s">
        <v>11813</v>
      </c>
      <c r="D1327" s="7" t="s">
        <v>11814</v>
      </c>
      <c r="E1327" s="8" t="s">
        <v>15894</v>
      </c>
      <c r="F1327" s="4">
        <v>41120.086921296301</v>
      </c>
      <c r="G1327" s="9" t="s">
        <v>171</v>
      </c>
      <c r="H1327" s="35" t="s">
        <v>11815</v>
      </c>
      <c r="I1327" s="10" t="s">
        <v>11816</v>
      </c>
    </row>
    <row r="1328" spans="1:9" s="31" customFormat="1" ht="135">
      <c r="A1328" s="12">
        <v>43568.992719907408</v>
      </c>
      <c r="B1328" s="13" t="s">
        <v>15895</v>
      </c>
      <c r="C1328" s="14" t="s">
        <v>4611</v>
      </c>
      <c r="D1328" s="15" t="s">
        <v>4612</v>
      </c>
      <c r="E1328" s="16" t="s">
        <v>13009</v>
      </c>
      <c r="F1328" s="12">
        <v>41648.629560185189</v>
      </c>
      <c r="G1328" s="17" t="s">
        <v>171</v>
      </c>
      <c r="H1328" s="35" t="s">
        <v>4613</v>
      </c>
      <c r="I1328" s="18" t="s">
        <v>4614</v>
      </c>
    </row>
    <row r="1329" spans="1:9" s="31" customFormat="1" ht="105">
      <c r="A1329" s="12">
        <v>43573.722349537042</v>
      </c>
      <c r="B1329" s="13" t="s">
        <v>15896</v>
      </c>
      <c r="C1329" s="14" t="s">
        <v>2759</v>
      </c>
      <c r="D1329" s="15" t="s">
        <v>12819</v>
      </c>
      <c r="E1329" s="16" t="s">
        <v>13009</v>
      </c>
      <c r="F1329" s="12">
        <v>40521.8747337963</v>
      </c>
      <c r="G1329" s="24" t="s">
        <v>171</v>
      </c>
      <c r="H1329" s="35" t="s">
        <v>2760</v>
      </c>
      <c r="I1329" s="18" t="s">
        <v>2761</v>
      </c>
    </row>
    <row r="1330" spans="1:9" s="31" customFormat="1" ht="150">
      <c r="A1330" s="19">
        <v>43547.894201388888</v>
      </c>
      <c r="B1330" s="20" t="s">
        <v>15897</v>
      </c>
      <c r="C1330" s="21" t="s">
        <v>8453</v>
      </c>
      <c r="D1330" s="22" t="s">
        <v>8454</v>
      </c>
      <c r="E1330" s="23" t="s">
        <v>13011</v>
      </c>
      <c r="F1330" s="19">
        <v>41346.414594907408</v>
      </c>
      <c r="G1330" s="24" t="s">
        <v>171</v>
      </c>
      <c r="H1330" s="35" t="s">
        <v>295</v>
      </c>
      <c r="I1330" s="25" t="s">
        <v>8455</v>
      </c>
    </row>
    <row r="1331" spans="1:9" s="31" customFormat="1" ht="135">
      <c r="A1331" s="4">
        <v>43559.052361111113</v>
      </c>
      <c r="B1331" s="5" t="s">
        <v>15898</v>
      </c>
      <c r="C1331" s="6" t="s">
        <v>1410</v>
      </c>
      <c r="D1331" s="7" t="s">
        <v>11955</v>
      </c>
      <c r="E1331" s="8" t="s">
        <v>13011</v>
      </c>
      <c r="F1331" s="4">
        <v>41061.191099537034</v>
      </c>
      <c r="G1331" s="24" t="s">
        <v>171</v>
      </c>
      <c r="H1331" s="35" t="s">
        <v>1412</v>
      </c>
      <c r="I1331" s="10" t="s">
        <v>1413</v>
      </c>
    </row>
    <row r="1332" spans="1:9" s="31" customFormat="1" ht="60">
      <c r="A1332" s="12">
        <v>43580.087824074071</v>
      </c>
      <c r="B1332" s="13" t="s">
        <v>15899</v>
      </c>
      <c r="C1332" s="14" t="s">
        <v>293</v>
      </c>
      <c r="D1332" s="15" t="s">
        <v>294</v>
      </c>
      <c r="E1332" s="16" t="s">
        <v>13011</v>
      </c>
      <c r="F1332" s="12">
        <v>40922.518587962964</v>
      </c>
      <c r="G1332" s="24" t="s">
        <v>171</v>
      </c>
      <c r="H1332" s="35" t="s">
        <v>295</v>
      </c>
      <c r="I1332" s="18" t="s">
        <v>296</v>
      </c>
    </row>
    <row r="1333" spans="1:9" s="31" customFormat="1" ht="135">
      <c r="A1333" s="12">
        <v>43578.039652777778</v>
      </c>
      <c r="B1333" s="13" t="s">
        <v>15898</v>
      </c>
      <c r="C1333" s="14" t="s">
        <v>1410</v>
      </c>
      <c r="D1333" s="15" t="s">
        <v>1411</v>
      </c>
      <c r="E1333" s="16" t="s">
        <v>13006</v>
      </c>
      <c r="F1333" s="12">
        <v>41061.191099537034</v>
      </c>
      <c r="G1333" s="24" t="s">
        <v>171</v>
      </c>
      <c r="H1333" s="35" t="s">
        <v>1412</v>
      </c>
      <c r="I1333" s="18" t="s">
        <v>1413</v>
      </c>
    </row>
    <row r="1334" spans="1:9" s="31" customFormat="1" ht="135">
      <c r="A1334" s="12">
        <v>43574.995752314819</v>
      </c>
      <c r="B1334" s="13" t="s">
        <v>15898</v>
      </c>
      <c r="C1334" s="14" t="s">
        <v>1410</v>
      </c>
      <c r="D1334" s="15" t="s">
        <v>2396</v>
      </c>
      <c r="E1334" s="16" t="s">
        <v>13032</v>
      </c>
      <c r="F1334" s="12">
        <v>41061.191099537034</v>
      </c>
      <c r="G1334" s="24" t="s">
        <v>171</v>
      </c>
      <c r="H1334" s="35" t="s">
        <v>1412</v>
      </c>
      <c r="I1334" s="18" t="s">
        <v>1413</v>
      </c>
    </row>
    <row r="1335" spans="1:9" s="31" customFormat="1" ht="135">
      <c r="A1335" s="12">
        <v>43574.984444444446</v>
      </c>
      <c r="B1335" s="13" t="s">
        <v>15898</v>
      </c>
      <c r="C1335" s="14" t="s">
        <v>1410</v>
      </c>
      <c r="D1335" s="15" t="s">
        <v>2396</v>
      </c>
      <c r="E1335" s="16" t="s">
        <v>13032</v>
      </c>
      <c r="F1335" s="12">
        <v>41061.191099537034</v>
      </c>
      <c r="G1335" s="24" t="s">
        <v>171</v>
      </c>
      <c r="H1335" s="35" t="s">
        <v>1412</v>
      </c>
      <c r="I1335" s="18" t="s">
        <v>1413</v>
      </c>
    </row>
    <row r="1336" spans="1:9" s="31" customFormat="1" ht="135">
      <c r="A1336" s="12">
        <v>43574.043923611112</v>
      </c>
      <c r="B1336" s="13" t="s">
        <v>15898</v>
      </c>
      <c r="C1336" s="14" t="s">
        <v>1410</v>
      </c>
      <c r="D1336" s="15" t="s">
        <v>2680</v>
      </c>
      <c r="E1336" s="16" t="s">
        <v>13032</v>
      </c>
      <c r="F1336" s="12">
        <v>41061.191099537034</v>
      </c>
      <c r="G1336" s="24" t="s">
        <v>171</v>
      </c>
      <c r="H1336" s="35" t="s">
        <v>1412</v>
      </c>
      <c r="I1336" s="18" t="s">
        <v>1413</v>
      </c>
    </row>
    <row r="1337" spans="1:9" s="31" customFormat="1" ht="135">
      <c r="A1337" s="12">
        <v>43574.041678240741</v>
      </c>
      <c r="B1337" s="13" t="s">
        <v>15898</v>
      </c>
      <c r="C1337" s="14" t="s">
        <v>1410</v>
      </c>
      <c r="D1337" s="15" t="s">
        <v>2680</v>
      </c>
      <c r="E1337" s="16" t="s">
        <v>13032</v>
      </c>
      <c r="F1337" s="12">
        <v>41061.191099537034</v>
      </c>
      <c r="G1337" s="24" t="s">
        <v>171</v>
      </c>
      <c r="H1337" s="35" t="s">
        <v>1412</v>
      </c>
      <c r="I1337" s="18" t="s">
        <v>1413</v>
      </c>
    </row>
    <row r="1338" spans="1:9" s="31" customFormat="1" ht="135">
      <c r="A1338" s="12">
        <v>43574.038518518515</v>
      </c>
      <c r="B1338" s="13" t="s">
        <v>15898</v>
      </c>
      <c r="C1338" s="14" t="s">
        <v>1410</v>
      </c>
      <c r="D1338" s="15" t="s">
        <v>2680</v>
      </c>
      <c r="E1338" s="16" t="s">
        <v>13032</v>
      </c>
      <c r="F1338" s="12">
        <v>41061.191099537034</v>
      </c>
      <c r="G1338" s="24" t="s">
        <v>171</v>
      </c>
      <c r="H1338" s="35" t="s">
        <v>1412</v>
      </c>
      <c r="I1338" s="18" t="s">
        <v>1413</v>
      </c>
    </row>
    <row r="1339" spans="1:9" s="31" customFormat="1" ht="75">
      <c r="A1339" s="12">
        <v>43571.169108796297</v>
      </c>
      <c r="B1339" s="13" t="s">
        <v>15900</v>
      </c>
      <c r="C1339" s="14" t="s">
        <v>3822</v>
      </c>
      <c r="D1339" s="15" t="s">
        <v>3823</v>
      </c>
      <c r="E1339" s="16" t="s">
        <v>13006</v>
      </c>
      <c r="F1339" s="12">
        <v>40626.302812499998</v>
      </c>
      <c r="G1339" s="24" t="s">
        <v>171</v>
      </c>
      <c r="H1339" s="35" t="s">
        <v>295</v>
      </c>
      <c r="I1339" s="18" t="s">
        <v>3824</v>
      </c>
    </row>
    <row r="1340" spans="1:9" s="31" customFormat="1" ht="135">
      <c r="A1340" s="12">
        <v>43568.135624999995</v>
      </c>
      <c r="B1340" s="13" t="s">
        <v>15898</v>
      </c>
      <c r="C1340" s="14" t="s">
        <v>1410</v>
      </c>
      <c r="D1340" s="15" t="s">
        <v>4865</v>
      </c>
      <c r="E1340" s="16" t="s">
        <v>13032</v>
      </c>
      <c r="F1340" s="12">
        <v>41061.191099537034</v>
      </c>
      <c r="G1340" s="24" t="s">
        <v>171</v>
      </c>
      <c r="H1340" s="35" t="s">
        <v>1412</v>
      </c>
      <c r="I1340" s="18" t="s">
        <v>1413</v>
      </c>
    </row>
    <row r="1341" spans="1:9" s="31" customFormat="1" ht="105">
      <c r="A1341" s="12">
        <v>43571.957685185189</v>
      </c>
      <c r="B1341" s="13" t="s">
        <v>15901</v>
      </c>
      <c r="C1341" s="14" t="s">
        <v>3483</v>
      </c>
      <c r="D1341" s="15" t="s">
        <v>3484</v>
      </c>
      <c r="E1341" s="16" t="s">
        <v>13013</v>
      </c>
      <c r="F1341" s="12">
        <v>40257.642430555556</v>
      </c>
      <c r="G1341" s="24" t="s">
        <v>171</v>
      </c>
      <c r="H1341" s="35" t="s">
        <v>3485</v>
      </c>
      <c r="I1341" s="18" t="s">
        <v>3486</v>
      </c>
    </row>
    <row r="1342" spans="1:9" s="31" customFormat="1" ht="75">
      <c r="A1342" s="19">
        <v>43544.027858796297</v>
      </c>
      <c r="B1342" s="20" t="s">
        <v>15902</v>
      </c>
      <c r="C1342" s="21" t="s">
        <v>9631</v>
      </c>
      <c r="D1342" s="22" t="s">
        <v>9632</v>
      </c>
      <c r="E1342" s="23" t="s">
        <v>13009</v>
      </c>
      <c r="F1342" s="19">
        <v>43476.388252314813</v>
      </c>
      <c r="G1342" s="24" t="s">
        <v>171</v>
      </c>
      <c r="H1342" s="35" t="s">
        <v>9633</v>
      </c>
      <c r="I1342" s="25" t="s">
        <v>9634</v>
      </c>
    </row>
    <row r="1343" spans="1:9" s="31" customFormat="1" ht="120">
      <c r="A1343" s="19">
        <v>43550.409826388888</v>
      </c>
      <c r="B1343" s="20" t="s">
        <v>15903</v>
      </c>
      <c r="C1343" s="21" t="s">
        <v>7683</v>
      </c>
      <c r="D1343" s="22" t="s">
        <v>7684</v>
      </c>
      <c r="E1343" s="23" t="s">
        <v>13018</v>
      </c>
      <c r="F1343" s="19">
        <v>41409.376689814817</v>
      </c>
      <c r="G1343" s="24" t="s">
        <v>171</v>
      </c>
      <c r="H1343" s="35" t="s">
        <v>7685</v>
      </c>
      <c r="I1343" s="25" t="s">
        <v>7686</v>
      </c>
    </row>
    <row r="1344" spans="1:9" s="31" customFormat="1" ht="45">
      <c r="A1344" s="12">
        <v>43567.306944444441</v>
      </c>
      <c r="B1344" s="13" t="s">
        <v>15904</v>
      </c>
      <c r="C1344" s="14" t="s">
        <v>5175</v>
      </c>
      <c r="D1344" s="15" t="s">
        <v>405</v>
      </c>
      <c r="E1344" s="16" t="s">
        <v>13034</v>
      </c>
      <c r="F1344" s="12">
        <v>40956.327453703707</v>
      </c>
      <c r="G1344" s="24" t="s">
        <v>171</v>
      </c>
      <c r="H1344" s="35" t="s">
        <v>5176</v>
      </c>
      <c r="I1344" s="18" t="s">
        <v>5177</v>
      </c>
    </row>
    <row r="1345" spans="1:9" s="31" customFormat="1" ht="30">
      <c r="A1345" s="19">
        <v>43549.958634259259</v>
      </c>
      <c r="B1345" s="20" t="s">
        <v>15905</v>
      </c>
      <c r="C1345" s="21" t="s">
        <v>7866</v>
      </c>
      <c r="D1345" s="22" t="s">
        <v>7867</v>
      </c>
      <c r="E1345" s="23" t="s">
        <v>13011</v>
      </c>
      <c r="F1345" s="19">
        <v>39728.931770833333</v>
      </c>
      <c r="G1345" s="24" t="s">
        <v>171</v>
      </c>
      <c r="H1345" s="35" t="s">
        <v>7868</v>
      </c>
      <c r="I1345" s="25" t="s">
        <v>7869</v>
      </c>
    </row>
    <row r="1346" spans="1:9" s="31" customFormat="1" ht="60">
      <c r="A1346" s="19">
        <v>43551.338206018518</v>
      </c>
      <c r="B1346" s="20" t="s">
        <v>15906</v>
      </c>
      <c r="C1346" s="21" t="s">
        <v>7298</v>
      </c>
      <c r="D1346" s="22" t="s">
        <v>7299</v>
      </c>
      <c r="E1346" s="23" t="s">
        <v>13034</v>
      </c>
      <c r="F1346" s="19">
        <v>41292.139965277776</v>
      </c>
      <c r="G1346" s="24" t="s">
        <v>171</v>
      </c>
      <c r="H1346" s="35" t="s">
        <v>276</v>
      </c>
      <c r="I1346" s="25" t="s">
        <v>7300</v>
      </c>
    </row>
    <row r="1347" spans="1:9" s="31" customFormat="1" ht="30">
      <c r="A1347" s="19">
        <v>43551.135324074072</v>
      </c>
      <c r="B1347" s="20" t="s">
        <v>15907</v>
      </c>
      <c r="C1347" s="21" t="s">
        <v>7425</v>
      </c>
      <c r="D1347" s="22" t="s">
        <v>7426</v>
      </c>
      <c r="E1347" s="23" t="s">
        <v>13009</v>
      </c>
      <c r="F1347" s="19">
        <v>40660.27989583333</v>
      </c>
      <c r="G1347" s="24" t="s">
        <v>171</v>
      </c>
      <c r="H1347" s="35" t="s">
        <v>276</v>
      </c>
      <c r="I1347" s="25" t="s">
        <v>7427</v>
      </c>
    </row>
    <row r="1348" spans="1:9" s="31" customFormat="1" ht="120">
      <c r="A1348" s="19">
        <v>43550.538298611107</v>
      </c>
      <c r="B1348" s="20" t="s">
        <v>15908</v>
      </c>
      <c r="C1348" s="21" t="s">
        <v>7617</v>
      </c>
      <c r="D1348" s="22" t="s">
        <v>7618</v>
      </c>
      <c r="E1348" s="23" t="s">
        <v>13074</v>
      </c>
      <c r="F1348" s="19">
        <v>42830.302835648152</v>
      </c>
      <c r="G1348" s="24" t="s">
        <v>171</v>
      </c>
      <c r="H1348" s="35" t="s">
        <v>276</v>
      </c>
      <c r="I1348" s="25" t="s">
        <v>7619</v>
      </c>
    </row>
    <row r="1349" spans="1:9" s="31" customFormat="1" ht="60">
      <c r="A1349" s="19">
        <v>43546.420277777783</v>
      </c>
      <c r="B1349" s="20" t="s">
        <v>15909</v>
      </c>
      <c r="C1349" s="21" t="s">
        <v>1212</v>
      </c>
      <c r="D1349" s="22" t="s">
        <v>8869</v>
      </c>
      <c r="E1349" s="23" t="s">
        <v>13027</v>
      </c>
      <c r="F1349" s="19">
        <v>39900.347557870373</v>
      </c>
      <c r="G1349" s="24" t="s">
        <v>171</v>
      </c>
      <c r="H1349" s="35" t="s">
        <v>1214</v>
      </c>
      <c r="I1349" s="25" t="s">
        <v>1215</v>
      </c>
    </row>
    <row r="1350" spans="1:9" s="31" customFormat="1" ht="60">
      <c r="A1350" s="19">
        <v>43546.381782407407</v>
      </c>
      <c r="B1350" s="20" t="s">
        <v>15909</v>
      </c>
      <c r="C1350" s="21" t="s">
        <v>1212</v>
      </c>
      <c r="D1350" s="22" t="s">
        <v>8878</v>
      </c>
      <c r="E1350" s="23" t="s">
        <v>13032</v>
      </c>
      <c r="F1350" s="19">
        <v>39900.347557870373</v>
      </c>
      <c r="G1350" s="24" t="s">
        <v>171</v>
      </c>
      <c r="H1350" s="35" t="s">
        <v>1214</v>
      </c>
      <c r="I1350" s="25" t="s">
        <v>1215</v>
      </c>
    </row>
    <row r="1351" spans="1:9" s="31" customFormat="1" ht="60">
      <c r="A1351" s="19">
        <v>43546.066875000004</v>
      </c>
      <c r="B1351" s="20" t="s">
        <v>15909</v>
      </c>
      <c r="C1351" s="21" t="s">
        <v>1212</v>
      </c>
      <c r="D1351" s="22" t="s">
        <v>8971</v>
      </c>
      <c r="E1351" s="23" t="s">
        <v>13032</v>
      </c>
      <c r="F1351" s="19">
        <v>39900.347557870373</v>
      </c>
      <c r="G1351" s="24" t="s">
        <v>171</v>
      </c>
      <c r="H1351" s="35" t="s">
        <v>1214</v>
      </c>
      <c r="I1351" s="25" t="s">
        <v>1215</v>
      </c>
    </row>
    <row r="1352" spans="1:9" s="31" customFormat="1" ht="60">
      <c r="A1352" s="4">
        <v>43563.420787037037</v>
      </c>
      <c r="B1352" s="5" t="s">
        <v>15909</v>
      </c>
      <c r="C1352" s="6" t="s">
        <v>1212</v>
      </c>
      <c r="D1352" s="7" t="s">
        <v>10293</v>
      </c>
      <c r="E1352" s="8" t="s">
        <v>13027</v>
      </c>
      <c r="F1352" s="4">
        <v>39900.347557870373</v>
      </c>
      <c r="G1352" s="24" t="s">
        <v>171</v>
      </c>
      <c r="H1352" s="35" t="s">
        <v>1214</v>
      </c>
      <c r="I1352" s="10" t="s">
        <v>1215</v>
      </c>
    </row>
    <row r="1353" spans="1:9" s="31" customFormat="1" ht="105">
      <c r="A1353" s="4">
        <v>43563.107187500005</v>
      </c>
      <c r="B1353" s="5" t="s">
        <v>15910</v>
      </c>
      <c r="C1353" s="6" t="s">
        <v>10459</v>
      </c>
      <c r="D1353" s="7" t="s">
        <v>10460</v>
      </c>
      <c r="E1353" s="8" t="s">
        <v>13009</v>
      </c>
      <c r="F1353" s="4">
        <v>42431.169583333336</v>
      </c>
      <c r="G1353" s="24" t="s">
        <v>171</v>
      </c>
      <c r="H1353" s="35" t="s">
        <v>276</v>
      </c>
      <c r="I1353" s="10" t="s">
        <v>10461</v>
      </c>
    </row>
    <row r="1354" spans="1:9" s="31" customFormat="1" ht="60">
      <c r="A1354" s="4">
        <v>43563.088784722218</v>
      </c>
      <c r="B1354" s="5" t="s">
        <v>15909</v>
      </c>
      <c r="C1354" s="6" t="s">
        <v>1212</v>
      </c>
      <c r="D1354" s="7" t="s">
        <v>10471</v>
      </c>
      <c r="E1354" s="8" t="s">
        <v>13032</v>
      </c>
      <c r="F1354" s="4">
        <v>39900.347557870373</v>
      </c>
      <c r="G1354" s="24" t="s">
        <v>171</v>
      </c>
      <c r="H1354" s="35" t="s">
        <v>1214</v>
      </c>
      <c r="I1354" s="10" t="s">
        <v>1215</v>
      </c>
    </row>
    <row r="1355" spans="1:9" s="31" customFormat="1" ht="60">
      <c r="A1355" s="4">
        <v>43561.229733796295</v>
      </c>
      <c r="B1355" s="5" t="s">
        <v>15911</v>
      </c>
      <c r="C1355" s="6" t="s">
        <v>11020</v>
      </c>
      <c r="D1355" s="7" t="s">
        <v>11021</v>
      </c>
      <c r="E1355" s="8" t="s">
        <v>13011</v>
      </c>
      <c r="F1355" s="4">
        <v>42409.21025462963</v>
      </c>
      <c r="G1355" s="24" t="s">
        <v>171</v>
      </c>
      <c r="H1355" s="35" t="s">
        <v>276</v>
      </c>
      <c r="I1355" s="10" t="s">
        <v>11022</v>
      </c>
    </row>
    <row r="1356" spans="1:9" s="31" customFormat="1" ht="75">
      <c r="A1356" s="4">
        <v>43559.16815972222</v>
      </c>
      <c r="B1356" s="5" t="s">
        <v>15912</v>
      </c>
      <c r="C1356" s="6" t="s">
        <v>11925</v>
      </c>
      <c r="D1356" s="7" t="s">
        <v>11926</v>
      </c>
      <c r="E1356" s="8" t="s">
        <v>13032</v>
      </c>
      <c r="F1356" s="4">
        <v>42719.002592592587</v>
      </c>
      <c r="G1356" s="24" t="s">
        <v>171</v>
      </c>
      <c r="H1356" s="35" t="s">
        <v>276</v>
      </c>
      <c r="I1356" s="10" t="s">
        <v>11927</v>
      </c>
    </row>
    <row r="1357" spans="1:9" s="31" customFormat="1" ht="90">
      <c r="A1357" s="4">
        <v>43558.708738425921</v>
      </c>
      <c r="B1357" s="5" t="s">
        <v>15913</v>
      </c>
      <c r="C1357" s="5" t="s">
        <v>12062</v>
      </c>
      <c r="D1357" s="7" t="s">
        <v>12063</v>
      </c>
      <c r="E1357" s="8" t="s">
        <v>15914</v>
      </c>
      <c r="F1357" s="4">
        <v>39693.271527777775</v>
      </c>
      <c r="G1357" s="24" t="s">
        <v>171</v>
      </c>
      <c r="H1357" s="35" t="s">
        <v>276</v>
      </c>
      <c r="I1357" s="10" t="s">
        <v>12064</v>
      </c>
    </row>
    <row r="1358" spans="1:9" s="31" customFormat="1" ht="120">
      <c r="A1358" s="12">
        <v>43580.104641203703</v>
      </c>
      <c r="B1358" s="13" t="s">
        <v>15915</v>
      </c>
      <c r="C1358" s="14" t="s">
        <v>274</v>
      </c>
      <c r="D1358" s="15" t="s">
        <v>275</v>
      </c>
      <c r="E1358" s="16" t="s">
        <v>13011</v>
      </c>
      <c r="F1358" s="12">
        <v>41719.420127314814</v>
      </c>
      <c r="G1358" s="24" t="s">
        <v>171</v>
      </c>
      <c r="H1358" s="35" t="s">
        <v>276</v>
      </c>
      <c r="I1358" s="18" t="s">
        <v>277</v>
      </c>
    </row>
    <row r="1359" spans="1:9" s="31" customFormat="1" ht="150">
      <c r="A1359" s="12">
        <v>43580.100717592592</v>
      </c>
      <c r="B1359" s="13" t="s">
        <v>15916</v>
      </c>
      <c r="C1359" s="14" t="s">
        <v>278</v>
      </c>
      <c r="D1359" s="15" t="s">
        <v>279</v>
      </c>
      <c r="E1359" s="16" t="s">
        <v>13018</v>
      </c>
      <c r="F1359" s="12">
        <v>41421.270046296297</v>
      </c>
      <c r="G1359" s="24" t="s">
        <v>171</v>
      </c>
      <c r="H1359" s="35" t="s">
        <v>276</v>
      </c>
      <c r="I1359" s="18" t="s">
        <v>280</v>
      </c>
    </row>
    <row r="1360" spans="1:9" s="31" customFormat="1" ht="60">
      <c r="A1360" s="12">
        <v>43578.420844907407</v>
      </c>
      <c r="B1360" s="13" t="s">
        <v>15909</v>
      </c>
      <c r="C1360" s="14" t="s">
        <v>1212</v>
      </c>
      <c r="D1360" s="15" t="s">
        <v>1213</v>
      </c>
      <c r="E1360" s="16" t="s">
        <v>13027</v>
      </c>
      <c r="F1360" s="12">
        <v>39900.347557870373</v>
      </c>
      <c r="G1360" s="24" t="s">
        <v>171</v>
      </c>
      <c r="H1360" s="35" t="s">
        <v>1214</v>
      </c>
      <c r="I1360" s="18" t="s">
        <v>1215</v>
      </c>
    </row>
    <row r="1361" spans="1:9" s="31" customFormat="1" ht="60">
      <c r="A1361" s="12">
        <v>43577.420844907407</v>
      </c>
      <c r="B1361" s="13" t="s">
        <v>15909</v>
      </c>
      <c r="C1361" s="14" t="s">
        <v>1212</v>
      </c>
      <c r="D1361" s="15" t="s">
        <v>1642</v>
      </c>
      <c r="E1361" s="16" t="s">
        <v>13027</v>
      </c>
      <c r="F1361" s="12">
        <v>39900.347557870373</v>
      </c>
      <c r="G1361" s="24" t="s">
        <v>171</v>
      </c>
      <c r="H1361" s="35" t="s">
        <v>1214</v>
      </c>
      <c r="I1361" s="18" t="s">
        <v>1215</v>
      </c>
    </row>
    <row r="1362" spans="1:9" s="31" customFormat="1" ht="75">
      <c r="A1362" s="12">
        <v>43575.174259259264</v>
      </c>
      <c r="B1362" s="13" t="s">
        <v>15917</v>
      </c>
      <c r="C1362" s="14" t="s">
        <v>2350</v>
      </c>
      <c r="D1362" s="15" t="s">
        <v>2351</v>
      </c>
      <c r="E1362" s="16" t="s">
        <v>13009</v>
      </c>
      <c r="F1362" s="12">
        <v>43089.084918981476</v>
      </c>
      <c r="G1362" s="24" t="s">
        <v>171</v>
      </c>
      <c r="H1362" s="35" t="s">
        <v>276</v>
      </c>
      <c r="I1362" s="18" t="s">
        <v>2352</v>
      </c>
    </row>
    <row r="1363" spans="1:9" s="31" customFormat="1" ht="75">
      <c r="A1363" s="12">
        <v>43573.023194444446</v>
      </c>
      <c r="B1363" s="13" t="s">
        <v>15917</v>
      </c>
      <c r="C1363" s="14" t="s">
        <v>2350</v>
      </c>
      <c r="D1363" s="15" t="s">
        <v>3028</v>
      </c>
      <c r="E1363" s="16" t="s">
        <v>13009</v>
      </c>
      <c r="F1363" s="12">
        <v>43089.084918981476</v>
      </c>
      <c r="G1363" s="24" t="s">
        <v>171</v>
      </c>
      <c r="H1363" s="35" t="s">
        <v>276</v>
      </c>
      <c r="I1363" s="18" t="s">
        <v>2352</v>
      </c>
    </row>
    <row r="1364" spans="1:9" s="31" customFormat="1" ht="135">
      <c r="A1364" s="12">
        <v>43571.141458333332</v>
      </c>
      <c r="B1364" s="13" t="s">
        <v>15918</v>
      </c>
      <c r="C1364" s="14" t="s">
        <v>3834</v>
      </c>
      <c r="D1364" s="15" t="s">
        <v>3835</v>
      </c>
      <c r="E1364" s="16" t="s">
        <v>13009</v>
      </c>
      <c r="F1364" s="12">
        <v>39792.141736111109</v>
      </c>
      <c r="G1364" s="24" t="s">
        <v>171</v>
      </c>
      <c r="H1364" s="35" t="s">
        <v>276</v>
      </c>
      <c r="I1364" s="18" t="s">
        <v>3836</v>
      </c>
    </row>
    <row r="1365" spans="1:9" s="31" customFormat="1" ht="120">
      <c r="A1365" s="12">
        <v>43567.400081018517</v>
      </c>
      <c r="B1365" s="13" t="s">
        <v>15919</v>
      </c>
      <c r="C1365" s="14" t="s">
        <v>5121</v>
      </c>
      <c r="D1365" s="15" t="s">
        <v>5122</v>
      </c>
      <c r="E1365" s="16" t="s">
        <v>13009</v>
      </c>
      <c r="F1365" s="12">
        <v>42402.307395833333</v>
      </c>
      <c r="G1365" s="24" t="s">
        <v>171</v>
      </c>
      <c r="H1365" s="35" t="s">
        <v>276</v>
      </c>
      <c r="I1365" s="18" t="s">
        <v>5123</v>
      </c>
    </row>
    <row r="1366" spans="1:9" s="31" customFormat="1" ht="120">
      <c r="A1366" s="19">
        <v>43550.250115740739</v>
      </c>
      <c r="B1366" s="20" t="s">
        <v>15920</v>
      </c>
      <c r="C1366" s="21" t="s">
        <v>7764</v>
      </c>
      <c r="D1366" s="22" t="s">
        <v>7765</v>
      </c>
      <c r="E1366" s="23" t="s">
        <v>13034</v>
      </c>
      <c r="F1366" s="19">
        <v>40620.43277777778</v>
      </c>
      <c r="G1366" s="24" t="s">
        <v>171</v>
      </c>
      <c r="H1366" s="35" t="s">
        <v>7766</v>
      </c>
      <c r="I1366" s="25" t="s">
        <v>7767</v>
      </c>
    </row>
    <row r="1367" spans="1:9" s="31" customFormat="1" ht="120">
      <c r="A1367" s="12">
        <v>43579.475462962961</v>
      </c>
      <c r="B1367" s="13" t="s">
        <v>15921</v>
      </c>
      <c r="C1367" s="14" t="s">
        <v>633</v>
      </c>
      <c r="D1367" s="15" t="s">
        <v>634</v>
      </c>
      <c r="E1367" s="16" t="s">
        <v>13011</v>
      </c>
      <c r="F1367" s="12">
        <v>43577.546458333338</v>
      </c>
      <c r="G1367" s="17" t="s">
        <v>171</v>
      </c>
      <c r="H1367" s="35" t="s">
        <v>635</v>
      </c>
      <c r="I1367" s="18" t="s">
        <v>636</v>
      </c>
    </row>
    <row r="1368" spans="1:9" s="31" customFormat="1" ht="120">
      <c r="A1368" s="12">
        <v>43579.385381944448</v>
      </c>
      <c r="B1368" s="13" t="s">
        <v>15921</v>
      </c>
      <c r="C1368" s="14" t="s">
        <v>633</v>
      </c>
      <c r="D1368" s="15" t="s">
        <v>704</v>
      </c>
      <c r="E1368" s="16" t="s">
        <v>13032</v>
      </c>
      <c r="F1368" s="12">
        <v>43577.546458333338</v>
      </c>
      <c r="G1368" s="17" t="s">
        <v>171</v>
      </c>
      <c r="H1368" s="35" t="s">
        <v>635</v>
      </c>
      <c r="I1368" s="18" t="s">
        <v>636</v>
      </c>
    </row>
    <row r="1369" spans="1:9" s="31" customFormat="1" ht="30">
      <c r="A1369" s="12">
        <v>43580.092627314814</v>
      </c>
      <c r="B1369" s="13" t="s">
        <v>15922</v>
      </c>
      <c r="C1369" s="14" t="s">
        <v>285</v>
      </c>
      <c r="D1369" s="15" t="s">
        <v>286</v>
      </c>
      <c r="E1369" s="16" t="s">
        <v>13009</v>
      </c>
      <c r="F1369" s="12">
        <v>40155.189675925925</v>
      </c>
      <c r="G1369" s="17" t="s">
        <v>171</v>
      </c>
      <c r="H1369" s="35" t="s">
        <v>287</v>
      </c>
      <c r="I1369" s="18" t="s">
        <v>288</v>
      </c>
    </row>
    <row r="1370" spans="1:9" s="31" customFormat="1" ht="120">
      <c r="A1370" s="19">
        <v>43546.036076388889</v>
      </c>
      <c r="B1370" s="20" t="s">
        <v>15923</v>
      </c>
      <c r="C1370" s="21" t="s">
        <v>8977</v>
      </c>
      <c r="D1370" s="22" t="s">
        <v>8978</v>
      </c>
      <c r="E1370" s="23" t="s">
        <v>13013</v>
      </c>
      <c r="F1370" s="19">
        <v>42934.403287037036</v>
      </c>
      <c r="G1370" s="17" t="s">
        <v>171</v>
      </c>
      <c r="H1370" s="35" t="s">
        <v>8979</v>
      </c>
      <c r="I1370" s="25" t="s">
        <v>8980</v>
      </c>
    </row>
    <row r="1371" spans="1:9" s="31" customFormat="1" ht="120">
      <c r="A1371" s="19">
        <v>43546.025752314818</v>
      </c>
      <c r="B1371" s="20" t="s">
        <v>15923</v>
      </c>
      <c r="C1371" s="21" t="s">
        <v>8977</v>
      </c>
      <c r="D1371" s="22" t="s">
        <v>8985</v>
      </c>
      <c r="E1371" s="23" t="s">
        <v>13013</v>
      </c>
      <c r="F1371" s="19">
        <v>42934.403287037036</v>
      </c>
      <c r="G1371" s="17" t="s">
        <v>171</v>
      </c>
      <c r="H1371" s="35" t="s">
        <v>8979</v>
      </c>
      <c r="I1371" s="25" t="s">
        <v>8980</v>
      </c>
    </row>
    <row r="1372" spans="1:9" s="31" customFormat="1" ht="90">
      <c r="A1372" s="12">
        <v>43572.479456018518</v>
      </c>
      <c r="B1372" s="13" t="s">
        <v>15924</v>
      </c>
      <c r="C1372" s="14" t="s">
        <v>3220</v>
      </c>
      <c r="D1372" s="15" t="s">
        <v>3221</v>
      </c>
      <c r="E1372" s="16" t="s">
        <v>13120</v>
      </c>
      <c r="F1372" s="12">
        <v>39838.162326388891</v>
      </c>
      <c r="G1372" s="17" t="s">
        <v>171</v>
      </c>
      <c r="H1372" s="35" t="s">
        <v>3222</v>
      </c>
      <c r="I1372" s="18" t="s">
        <v>3223</v>
      </c>
    </row>
    <row r="1373" spans="1:9" s="31" customFormat="1" ht="30">
      <c r="A1373" s="12">
        <v>43570.510555555556</v>
      </c>
      <c r="B1373" s="13" t="s">
        <v>15925</v>
      </c>
      <c r="C1373" s="14" t="s">
        <v>4097</v>
      </c>
      <c r="D1373" s="15" t="s">
        <v>4098</v>
      </c>
      <c r="E1373" s="16" t="s">
        <v>13011</v>
      </c>
      <c r="F1373" s="12">
        <v>43042.420706018514</v>
      </c>
      <c r="G1373" s="17" t="s">
        <v>171</v>
      </c>
      <c r="H1373" s="35" t="s">
        <v>4099</v>
      </c>
      <c r="I1373" s="18" t="s">
        <v>4100</v>
      </c>
    </row>
    <row r="1374" spans="1:9" s="31" customFormat="1" ht="45">
      <c r="A1374" s="12">
        <v>43578.141944444447</v>
      </c>
      <c r="B1374" s="13" t="s">
        <v>15926</v>
      </c>
      <c r="C1374" s="14" t="s">
        <v>1378</v>
      </c>
      <c r="D1374" s="15" t="s">
        <v>1379</v>
      </c>
      <c r="E1374" s="16" t="s">
        <v>13011</v>
      </c>
      <c r="F1374" s="12">
        <v>41471.034097222218</v>
      </c>
      <c r="G1374" s="17" t="s">
        <v>171</v>
      </c>
      <c r="H1374" s="35" t="s">
        <v>1380</v>
      </c>
      <c r="I1374" s="18" t="s">
        <v>1381</v>
      </c>
    </row>
    <row r="1375" spans="1:9" s="31" customFormat="1" ht="135">
      <c r="A1375" s="12">
        <v>43566.994016203702</v>
      </c>
      <c r="B1375" s="13" t="s">
        <v>15927</v>
      </c>
      <c r="C1375" s="14" t="s">
        <v>5283</v>
      </c>
      <c r="D1375" s="15" t="s">
        <v>5284</v>
      </c>
      <c r="E1375" s="16" t="s">
        <v>13011</v>
      </c>
      <c r="F1375" s="12">
        <v>42461.326643518521</v>
      </c>
      <c r="G1375" s="17" t="s">
        <v>171</v>
      </c>
      <c r="H1375" s="35" t="s">
        <v>5285</v>
      </c>
      <c r="I1375" s="18" t="s">
        <v>5286</v>
      </c>
    </row>
    <row r="1376" spans="1:9" s="31" customFormat="1" ht="60">
      <c r="A1376" s="19">
        <v>43550.478645833333</v>
      </c>
      <c r="B1376" s="20" t="s">
        <v>15928</v>
      </c>
      <c r="C1376" s="21" t="s">
        <v>5731</v>
      </c>
      <c r="D1376" s="22" t="s">
        <v>5732</v>
      </c>
      <c r="E1376" s="23" t="s">
        <v>13032</v>
      </c>
      <c r="F1376" s="19">
        <v>42839.132349537038</v>
      </c>
      <c r="G1376" s="24" t="s">
        <v>171</v>
      </c>
      <c r="H1376" s="35" t="s">
        <v>5733</v>
      </c>
      <c r="I1376" s="25" t="s">
        <v>5734</v>
      </c>
    </row>
    <row r="1377" spans="1:9" s="31" customFormat="1" ht="60">
      <c r="A1377" s="19">
        <v>43543.575312500005</v>
      </c>
      <c r="B1377" s="20" t="s">
        <v>15928</v>
      </c>
      <c r="C1377" s="21" t="s">
        <v>5731</v>
      </c>
      <c r="D1377" s="22" t="s">
        <v>9754</v>
      </c>
      <c r="E1377" s="23" t="s">
        <v>13032</v>
      </c>
      <c r="F1377" s="19">
        <v>42839.132349537038</v>
      </c>
      <c r="G1377" s="24" t="s">
        <v>171</v>
      </c>
      <c r="H1377" s="35" t="s">
        <v>5733</v>
      </c>
      <c r="I1377" s="25" t="s">
        <v>5734</v>
      </c>
    </row>
    <row r="1378" spans="1:9" s="31" customFormat="1" ht="60">
      <c r="A1378" s="12">
        <v>43566.193819444445</v>
      </c>
      <c r="B1378" s="13" t="s">
        <v>15928</v>
      </c>
      <c r="C1378" s="14" t="s">
        <v>5731</v>
      </c>
      <c r="D1378" s="15" t="s">
        <v>5732</v>
      </c>
      <c r="E1378" s="16" t="s">
        <v>13032</v>
      </c>
      <c r="F1378" s="12">
        <v>42839.132349537038</v>
      </c>
      <c r="G1378" s="24" t="s">
        <v>171</v>
      </c>
      <c r="H1378" s="35" t="s">
        <v>5733</v>
      </c>
      <c r="I1378" s="18" t="s">
        <v>5734</v>
      </c>
    </row>
    <row r="1379" spans="1:9" s="31" customFormat="1" ht="105">
      <c r="A1379" s="12">
        <v>43576.075208333335</v>
      </c>
      <c r="B1379" s="13" t="s">
        <v>15929</v>
      </c>
      <c r="C1379" s="14" t="s">
        <v>2057</v>
      </c>
      <c r="D1379" s="15" t="s">
        <v>2058</v>
      </c>
      <c r="E1379" s="16" t="s">
        <v>13011</v>
      </c>
      <c r="F1379" s="12">
        <v>43224.008194444439</v>
      </c>
      <c r="G1379" s="24" t="s">
        <v>171</v>
      </c>
      <c r="H1379" s="35" t="s">
        <v>2059</v>
      </c>
      <c r="I1379" s="18" t="s">
        <v>2060</v>
      </c>
    </row>
    <row r="1380" spans="1:9" s="31" customFormat="1" ht="75">
      <c r="A1380" s="4">
        <v>43565.247754629629</v>
      </c>
      <c r="B1380" s="5" t="s">
        <v>15930</v>
      </c>
      <c r="C1380" s="6" t="s">
        <v>6209</v>
      </c>
      <c r="D1380" s="7" t="s">
        <v>6210</v>
      </c>
      <c r="E1380" s="8" t="s">
        <v>13009</v>
      </c>
      <c r="F1380" s="4">
        <v>41368.60083333333</v>
      </c>
      <c r="G1380" s="24" t="s">
        <v>171</v>
      </c>
      <c r="H1380" s="35" t="s">
        <v>2206</v>
      </c>
      <c r="I1380" s="10" t="s">
        <v>6211</v>
      </c>
    </row>
    <row r="1381" spans="1:9" s="31" customFormat="1" ht="60">
      <c r="A1381" s="12">
        <v>43575.471412037034</v>
      </c>
      <c r="B1381" s="13" t="s">
        <v>15931</v>
      </c>
      <c r="C1381" s="14" t="s">
        <v>2204</v>
      </c>
      <c r="D1381" s="15" t="s">
        <v>2205</v>
      </c>
      <c r="E1381" s="16" t="s">
        <v>13011</v>
      </c>
      <c r="F1381" s="12">
        <v>43225.713495370372</v>
      </c>
      <c r="G1381" s="24" t="s">
        <v>171</v>
      </c>
      <c r="H1381" s="35" t="s">
        <v>2206</v>
      </c>
      <c r="I1381" s="18" t="s">
        <v>2207</v>
      </c>
    </row>
    <row r="1382" spans="1:9" s="31" customFormat="1" ht="60">
      <c r="A1382" s="12">
        <v>43575.460057870368</v>
      </c>
      <c r="B1382" s="13" t="s">
        <v>15931</v>
      </c>
      <c r="C1382" s="14" t="s">
        <v>2204</v>
      </c>
      <c r="D1382" s="15" t="s">
        <v>2210</v>
      </c>
      <c r="E1382" s="16" t="s">
        <v>13011</v>
      </c>
      <c r="F1382" s="12">
        <v>43225.713495370372</v>
      </c>
      <c r="G1382" s="24" t="s">
        <v>171</v>
      </c>
      <c r="H1382" s="35" t="s">
        <v>2206</v>
      </c>
      <c r="I1382" s="18" t="s">
        <v>2207</v>
      </c>
    </row>
    <row r="1383" spans="1:9" s="31" customFormat="1" ht="75">
      <c r="A1383" s="12">
        <v>43575.456087962964</v>
      </c>
      <c r="B1383" s="13" t="s">
        <v>15931</v>
      </c>
      <c r="C1383" s="14" t="s">
        <v>2204</v>
      </c>
      <c r="D1383" s="15" t="s">
        <v>2215</v>
      </c>
      <c r="E1383" s="16" t="s">
        <v>13011</v>
      </c>
      <c r="F1383" s="12">
        <v>43225.713495370372</v>
      </c>
      <c r="G1383" s="24" t="s">
        <v>171</v>
      </c>
      <c r="H1383" s="35" t="s">
        <v>2206</v>
      </c>
      <c r="I1383" s="18" t="s">
        <v>2207</v>
      </c>
    </row>
    <row r="1384" spans="1:9" s="31" customFormat="1" ht="60">
      <c r="A1384" s="12">
        <v>43575.345393518517</v>
      </c>
      <c r="B1384" s="13" t="s">
        <v>15931</v>
      </c>
      <c r="C1384" s="14" t="s">
        <v>2204</v>
      </c>
      <c r="D1384" s="15" t="s">
        <v>2267</v>
      </c>
      <c r="E1384" s="16" t="s">
        <v>13011</v>
      </c>
      <c r="F1384" s="12">
        <v>43225.713495370372</v>
      </c>
      <c r="G1384" s="24" t="s">
        <v>171</v>
      </c>
      <c r="H1384" s="35" t="s">
        <v>2206</v>
      </c>
      <c r="I1384" s="18" t="s">
        <v>2207</v>
      </c>
    </row>
    <row r="1385" spans="1:9" s="31" customFormat="1" ht="60">
      <c r="A1385" s="12">
        <v>43575.340081018519</v>
      </c>
      <c r="B1385" s="13" t="s">
        <v>15931</v>
      </c>
      <c r="C1385" s="14" t="s">
        <v>2204</v>
      </c>
      <c r="D1385" s="15" t="s">
        <v>2281</v>
      </c>
      <c r="E1385" s="16" t="s">
        <v>13011</v>
      </c>
      <c r="F1385" s="12">
        <v>43225.713495370372</v>
      </c>
      <c r="G1385" s="24" t="s">
        <v>171</v>
      </c>
      <c r="H1385" s="35" t="s">
        <v>2206</v>
      </c>
      <c r="I1385" s="18" t="s">
        <v>2207</v>
      </c>
    </row>
    <row r="1386" spans="1:9" s="31" customFormat="1" ht="60">
      <c r="A1386" s="12">
        <v>43574.630162037036</v>
      </c>
      <c r="B1386" s="13" t="s">
        <v>15931</v>
      </c>
      <c r="C1386" s="14" t="s">
        <v>2204</v>
      </c>
      <c r="D1386" s="15" t="s">
        <v>2489</v>
      </c>
      <c r="E1386" s="16" t="s">
        <v>13011</v>
      </c>
      <c r="F1386" s="12">
        <v>43225.713495370372</v>
      </c>
      <c r="G1386" s="24" t="s">
        <v>171</v>
      </c>
      <c r="H1386" s="35" t="s">
        <v>2206</v>
      </c>
      <c r="I1386" s="18" t="s">
        <v>2207</v>
      </c>
    </row>
    <row r="1387" spans="1:9" s="31" customFormat="1" ht="60">
      <c r="A1387" s="12">
        <v>43574.610613425924</v>
      </c>
      <c r="B1387" s="13" t="s">
        <v>15931</v>
      </c>
      <c r="C1387" s="14" t="s">
        <v>2204</v>
      </c>
      <c r="D1387" s="15" t="s">
        <v>2497</v>
      </c>
      <c r="E1387" s="16" t="s">
        <v>13011</v>
      </c>
      <c r="F1387" s="12">
        <v>43225.713495370372</v>
      </c>
      <c r="G1387" s="24" t="s">
        <v>171</v>
      </c>
      <c r="H1387" s="35" t="s">
        <v>2206</v>
      </c>
      <c r="I1387" s="18" t="s">
        <v>2207</v>
      </c>
    </row>
    <row r="1388" spans="1:9" s="31" customFormat="1" ht="60">
      <c r="A1388" s="12">
        <v>43572.694270833337</v>
      </c>
      <c r="B1388" s="13" t="s">
        <v>15931</v>
      </c>
      <c r="C1388" s="14" t="s">
        <v>2204</v>
      </c>
      <c r="D1388" s="15" t="s">
        <v>3115</v>
      </c>
      <c r="E1388" s="16" t="s">
        <v>13011</v>
      </c>
      <c r="F1388" s="12">
        <v>43225.713495370372</v>
      </c>
      <c r="G1388" s="24" t="s">
        <v>171</v>
      </c>
      <c r="H1388" s="35" t="s">
        <v>2206</v>
      </c>
      <c r="I1388" s="18" t="s">
        <v>2207</v>
      </c>
    </row>
    <row r="1389" spans="1:9" s="31" customFormat="1" ht="60">
      <c r="A1389" s="12">
        <v>43572.689363425925</v>
      </c>
      <c r="B1389" s="13" t="s">
        <v>15931</v>
      </c>
      <c r="C1389" s="14" t="s">
        <v>2204</v>
      </c>
      <c r="D1389" s="15" t="s">
        <v>3116</v>
      </c>
      <c r="E1389" s="16" t="s">
        <v>13011</v>
      </c>
      <c r="F1389" s="12">
        <v>43225.713495370372</v>
      </c>
      <c r="G1389" s="24" t="s">
        <v>171</v>
      </c>
      <c r="H1389" s="35" t="s">
        <v>2206</v>
      </c>
      <c r="I1389" s="18" t="s">
        <v>2207</v>
      </c>
    </row>
    <row r="1390" spans="1:9" s="31" customFormat="1" ht="60">
      <c r="A1390" s="12">
        <v>43572.66684027778</v>
      </c>
      <c r="B1390" s="13" t="s">
        <v>15931</v>
      </c>
      <c r="C1390" s="14" t="s">
        <v>2204</v>
      </c>
      <c r="D1390" s="15" t="s">
        <v>3127</v>
      </c>
      <c r="E1390" s="16" t="s">
        <v>13011</v>
      </c>
      <c r="F1390" s="12">
        <v>43225.713495370372</v>
      </c>
      <c r="G1390" s="24" t="s">
        <v>171</v>
      </c>
      <c r="H1390" s="35" t="s">
        <v>2206</v>
      </c>
      <c r="I1390" s="18" t="s">
        <v>2207</v>
      </c>
    </row>
    <row r="1391" spans="1:9" s="31" customFormat="1" ht="60">
      <c r="A1391" s="12">
        <v>43572.587997685187</v>
      </c>
      <c r="B1391" s="13" t="s">
        <v>15931</v>
      </c>
      <c r="C1391" s="14" t="s">
        <v>2204</v>
      </c>
      <c r="D1391" s="15" t="s">
        <v>3143</v>
      </c>
      <c r="E1391" s="16" t="s">
        <v>13011</v>
      </c>
      <c r="F1391" s="12">
        <v>43225.713495370372</v>
      </c>
      <c r="G1391" s="24" t="s">
        <v>171</v>
      </c>
      <c r="H1391" s="35" t="s">
        <v>2206</v>
      </c>
      <c r="I1391" s="18" t="s">
        <v>2207</v>
      </c>
    </row>
    <row r="1392" spans="1:9" s="31" customFormat="1" ht="120">
      <c r="A1392" s="19">
        <v>43543.450868055559</v>
      </c>
      <c r="B1392" s="20" t="s">
        <v>15932</v>
      </c>
      <c r="C1392" s="21" t="s">
        <v>9789</v>
      </c>
      <c r="D1392" s="22" t="s">
        <v>12885</v>
      </c>
      <c r="E1392" s="23" t="s">
        <v>13009</v>
      </c>
      <c r="F1392" s="19">
        <v>40431.177268518521</v>
      </c>
      <c r="G1392" s="24" t="s">
        <v>171</v>
      </c>
      <c r="H1392" s="35" t="s">
        <v>9790</v>
      </c>
      <c r="I1392" s="25" t="s">
        <v>9791</v>
      </c>
    </row>
    <row r="1393" spans="1:9" s="31" customFormat="1" ht="135">
      <c r="A1393" s="4">
        <v>43557.232708333337</v>
      </c>
      <c r="B1393" s="5" t="s">
        <v>15933</v>
      </c>
      <c r="C1393" s="6" t="s">
        <v>12612</v>
      </c>
      <c r="D1393" s="7" t="s">
        <v>4798</v>
      </c>
      <c r="E1393" s="8" t="s">
        <v>13018</v>
      </c>
      <c r="F1393" s="4">
        <v>40994.382708333331</v>
      </c>
      <c r="G1393" s="9" t="s">
        <v>171</v>
      </c>
      <c r="H1393" s="35" t="s">
        <v>12613</v>
      </c>
      <c r="I1393" s="10" t="s">
        <v>12614</v>
      </c>
    </row>
    <row r="1394" spans="1:9" s="31" customFormat="1" ht="105">
      <c r="A1394" s="12">
        <v>43580.723194444443</v>
      </c>
      <c r="B1394" s="13" t="s">
        <v>15934</v>
      </c>
      <c r="C1394" s="14" t="s">
        <v>123</v>
      </c>
      <c r="D1394" s="15" t="s">
        <v>124</v>
      </c>
      <c r="E1394" s="16" t="s">
        <v>13009</v>
      </c>
      <c r="F1394" s="12">
        <v>40490.619571759264</v>
      </c>
      <c r="G1394" s="17" t="s">
        <v>171</v>
      </c>
      <c r="H1394" s="35" t="s">
        <v>125</v>
      </c>
      <c r="I1394" s="18" t="s">
        <v>126</v>
      </c>
    </row>
    <row r="1395" spans="1:9" s="31" customFormat="1" ht="75">
      <c r="A1395" s="12">
        <v>43574.754803240736</v>
      </c>
      <c r="B1395" s="13" t="s">
        <v>15935</v>
      </c>
      <c r="C1395" s="14" t="s">
        <v>2461</v>
      </c>
      <c r="D1395" s="15" t="s">
        <v>2462</v>
      </c>
      <c r="E1395" s="16" t="s">
        <v>13009</v>
      </c>
      <c r="F1395" s="12">
        <v>43084.930625000001</v>
      </c>
      <c r="G1395" s="17" t="s">
        <v>171</v>
      </c>
      <c r="H1395" s="35" t="s">
        <v>2463</v>
      </c>
      <c r="I1395" s="18" t="s">
        <v>2464</v>
      </c>
    </row>
    <row r="1396" spans="1:9" s="31" customFormat="1" ht="45">
      <c r="A1396" s="12">
        <v>43569.404317129629</v>
      </c>
      <c r="B1396" s="13" t="s">
        <v>15936</v>
      </c>
      <c r="C1396" s="14" t="s">
        <v>4518</v>
      </c>
      <c r="D1396" s="15" t="s">
        <v>4519</v>
      </c>
      <c r="E1396" s="16" t="s">
        <v>13032</v>
      </c>
      <c r="F1396" s="12">
        <v>40224.089988425927</v>
      </c>
      <c r="G1396" s="17" t="s">
        <v>171</v>
      </c>
      <c r="H1396" s="35" t="s">
        <v>2463</v>
      </c>
      <c r="I1396" s="18" t="s">
        <v>4520</v>
      </c>
    </row>
    <row r="1397" spans="1:9" s="31" customFormat="1" ht="105">
      <c r="A1397" s="12">
        <v>43576.346643518518</v>
      </c>
      <c r="B1397" s="13" t="s">
        <v>15937</v>
      </c>
      <c r="C1397" s="14" t="s">
        <v>1991</v>
      </c>
      <c r="D1397" s="15" t="s">
        <v>1992</v>
      </c>
      <c r="E1397" s="16" t="s">
        <v>13011</v>
      </c>
      <c r="F1397" s="12">
        <v>40700.380983796298</v>
      </c>
      <c r="G1397" s="17" t="s">
        <v>171</v>
      </c>
      <c r="H1397" s="35" t="s">
        <v>1993</v>
      </c>
      <c r="I1397" s="18" t="s">
        <v>1994</v>
      </c>
    </row>
    <row r="1398" spans="1:9" s="31" customFormat="1" ht="30">
      <c r="A1398" s="12">
        <v>43578.363171296296</v>
      </c>
      <c r="B1398" s="13" t="s">
        <v>15938</v>
      </c>
      <c r="C1398" s="14" t="s">
        <v>1268</v>
      </c>
      <c r="D1398" s="15" t="s">
        <v>1269</v>
      </c>
      <c r="E1398" s="16" t="s">
        <v>13013</v>
      </c>
      <c r="F1398" s="12">
        <v>41195.38208333333</v>
      </c>
      <c r="G1398" s="17" t="s">
        <v>171</v>
      </c>
      <c r="H1398" s="35" t="s">
        <v>1270</v>
      </c>
      <c r="I1398" s="18" t="s">
        <v>1271</v>
      </c>
    </row>
    <row r="1399" spans="1:9" s="31" customFormat="1" ht="120">
      <c r="A1399" s="19">
        <v>43551.277303240742</v>
      </c>
      <c r="B1399" s="20" t="s">
        <v>15939</v>
      </c>
      <c r="C1399" s="21" t="s">
        <v>7358</v>
      </c>
      <c r="D1399" s="22" t="s">
        <v>7359</v>
      </c>
      <c r="E1399" s="23" t="s">
        <v>13120</v>
      </c>
      <c r="F1399" s="19">
        <v>39769.232476851852</v>
      </c>
      <c r="G1399" s="17" t="s">
        <v>171</v>
      </c>
      <c r="H1399" s="35" t="s">
        <v>7360</v>
      </c>
      <c r="I1399" s="25" t="s">
        <v>7361</v>
      </c>
    </row>
    <row r="1400" spans="1:9" s="31" customFormat="1" ht="90">
      <c r="A1400" s="12">
        <v>43579.412187499998</v>
      </c>
      <c r="B1400" s="13" t="s">
        <v>15940</v>
      </c>
      <c r="C1400" s="14" t="s">
        <v>678</v>
      </c>
      <c r="D1400" s="15" t="s">
        <v>679</v>
      </c>
      <c r="E1400" s="16" t="s">
        <v>13013</v>
      </c>
      <c r="F1400" s="12">
        <v>41151.493483796294</v>
      </c>
      <c r="G1400" s="17" t="s">
        <v>171</v>
      </c>
      <c r="H1400" s="35" t="s">
        <v>680</v>
      </c>
      <c r="I1400" s="18" t="s">
        <v>681</v>
      </c>
    </row>
    <row r="1401" spans="1:9" s="31" customFormat="1" ht="75">
      <c r="A1401" s="4">
        <v>43559.514282407406</v>
      </c>
      <c r="B1401" s="5" t="s">
        <v>15941</v>
      </c>
      <c r="C1401" s="6" t="s">
        <v>11781</v>
      </c>
      <c r="D1401" s="7" t="s">
        <v>11782</v>
      </c>
      <c r="E1401" s="8" t="s">
        <v>13130</v>
      </c>
      <c r="F1401" s="4">
        <v>40088.259629629625</v>
      </c>
      <c r="G1401" s="24" t="s">
        <v>171</v>
      </c>
      <c r="H1401" s="35" t="s">
        <v>11783</v>
      </c>
      <c r="I1401" s="10" t="s">
        <v>11784</v>
      </c>
    </row>
    <row r="1402" spans="1:9" s="31" customFormat="1" ht="120">
      <c r="A1402" s="19">
        <v>43550.602777777778</v>
      </c>
      <c r="B1402" s="20" t="s">
        <v>15942</v>
      </c>
      <c r="C1402" s="21" t="s">
        <v>7594</v>
      </c>
      <c r="D1402" s="22" t="s">
        <v>7595</v>
      </c>
      <c r="E1402" s="23" t="s">
        <v>13120</v>
      </c>
      <c r="F1402" s="19">
        <v>40068.731134259258</v>
      </c>
      <c r="G1402" s="24" t="s">
        <v>171</v>
      </c>
      <c r="H1402" s="35" t="s">
        <v>7596</v>
      </c>
      <c r="I1402" s="25" t="s">
        <v>7597</v>
      </c>
    </row>
    <row r="1403" spans="1:9" s="31" customFormat="1" ht="120">
      <c r="A1403" s="19">
        <v>43545.602083333331</v>
      </c>
      <c r="B1403" s="20" t="s">
        <v>15942</v>
      </c>
      <c r="C1403" s="21" t="s">
        <v>7594</v>
      </c>
      <c r="D1403" s="22" t="s">
        <v>9081</v>
      </c>
      <c r="E1403" s="23" t="s">
        <v>13120</v>
      </c>
      <c r="F1403" s="19">
        <v>40068.731134259258</v>
      </c>
      <c r="G1403" s="24" t="s">
        <v>171</v>
      </c>
      <c r="H1403" s="35" t="s">
        <v>7596</v>
      </c>
      <c r="I1403" s="25" t="s">
        <v>7597</v>
      </c>
    </row>
    <row r="1404" spans="1:9" s="31" customFormat="1" ht="60">
      <c r="A1404" s="4">
        <v>43565.278298611112</v>
      </c>
      <c r="B1404" s="5" t="s">
        <v>15943</v>
      </c>
      <c r="C1404" s="6" t="s">
        <v>3401</v>
      </c>
      <c r="D1404" s="7" t="s">
        <v>6198</v>
      </c>
      <c r="E1404" s="8" t="s">
        <v>13013</v>
      </c>
      <c r="F1404" s="4">
        <v>42228.438356481478</v>
      </c>
      <c r="G1404" s="24" t="s">
        <v>171</v>
      </c>
      <c r="H1404" s="35" t="s">
        <v>3403</v>
      </c>
      <c r="I1404" s="10" t="s">
        <v>3404</v>
      </c>
    </row>
    <row r="1405" spans="1:9" s="31" customFormat="1" ht="60">
      <c r="A1405" s="12">
        <v>43572.153749999998</v>
      </c>
      <c r="B1405" s="13" t="s">
        <v>15943</v>
      </c>
      <c r="C1405" s="14" t="s">
        <v>3401</v>
      </c>
      <c r="D1405" s="15" t="s">
        <v>3402</v>
      </c>
      <c r="E1405" s="16" t="s">
        <v>13013</v>
      </c>
      <c r="F1405" s="12">
        <v>42228.438356481478</v>
      </c>
      <c r="G1405" s="24" t="s">
        <v>171</v>
      </c>
      <c r="H1405" s="35" t="s">
        <v>3403</v>
      </c>
      <c r="I1405" s="18" t="s">
        <v>3404</v>
      </c>
    </row>
    <row r="1406" spans="1:9" s="31" customFormat="1" ht="60">
      <c r="A1406" s="12">
        <v>43571.203611111108</v>
      </c>
      <c r="B1406" s="13" t="s">
        <v>15943</v>
      </c>
      <c r="C1406" s="14" t="s">
        <v>3401</v>
      </c>
      <c r="D1406" s="15" t="s">
        <v>3793</v>
      </c>
      <c r="E1406" s="16" t="s">
        <v>13013</v>
      </c>
      <c r="F1406" s="12">
        <v>42228.438356481478</v>
      </c>
      <c r="G1406" s="24" t="s">
        <v>171</v>
      </c>
      <c r="H1406" s="35" t="s">
        <v>3403</v>
      </c>
      <c r="I1406" s="18" t="s">
        <v>3404</v>
      </c>
    </row>
    <row r="1407" spans="1:9" s="31" customFormat="1" ht="60">
      <c r="A1407" s="12">
        <v>43566.191377314812</v>
      </c>
      <c r="B1407" s="13" t="s">
        <v>15943</v>
      </c>
      <c r="C1407" s="14" t="s">
        <v>3401</v>
      </c>
      <c r="D1407" s="15" t="s">
        <v>5738</v>
      </c>
      <c r="E1407" s="16" t="s">
        <v>13013</v>
      </c>
      <c r="F1407" s="12">
        <v>42228.438356481478</v>
      </c>
      <c r="G1407" s="24" t="s">
        <v>171</v>
      </c>
      <c r="H1407" s="35" t="s">
        <v>3403</v>
      </c>
      <c r="I1407" s="18" t="s">
        <v>3404</v>
      </c>
    </row>
    <row r="1408" spans="1:9" s="31" customFormat="1" ht="105">
      <c r="A1408" s="19">
        <v>43551.366041666668</v>
      </c>
      <c r="B1408" s="20" t="s">
        <v>15944</v>
      </c>
      <c r="C1408" s="21" t="s">
        <v>7274</v>
      </c>
      <c r="D1408" s="22" t="s">
        <v>7275</v>
      </c>
      <c r="E1408" s="23" t="s">
        <v>13032</v>
      </c>
      <c r="F1408" s="19">
        <v>40315.193796296298</v>
      </c>
      <c r="G1408" s="24" t="s">
        <v>171</v>
      </c>
      <c r="H1408" s="35" t="s">
        <v>7276</v>
      </c>
      <c r="I1408" s="25" t="s">
        <v>7277</v>
      </c>
    </row>
    <row r="1409" spans="1:9" s="31" customFormat="1" ht="105">
      <c r="A1409" s="19">
        <v>43549.222083333334</v>
      </c>
      <c r="B1409" s="20" t="s">
        <v>15945</v>
      </c>
      <c r="C1409" s="21" t="s">
        <v>8127</v>
      </c>
      <c r="D1409" s="22" t="s">
        <v>8128</v>
      </c>
      <c r="E1409" s="23" t="s">
        <v>15158</v>
      </c>
      <c r="F1409" s="19">
        <v>41325.181516203702</v>
      </c>
      <c r="G1409" s="24" t="s">
        <v>171</v>
      </c>
      <c r="H1409" s="35" t="s">
        <v>8129</v>
      </c>
      <c r="I1409" s="25" t="s">
        <v>8130</v>
      </c>
    </row>
    <row r="1410" spans="1:9" s="31" customFormat="1" ht="90">
      <c r="A1410" s="19">
        <v>43545.309652777782</v>
      </c>
      <c r="B1410" s="20" t="s">
        <v>15946</v>
      </c>
      <c r="C1410" s="21" t="s">
        <v>6819</v>
      </c>
      <c r="D1410" s="22" t="s">
        <v>9207</v>
      </c>
      <c r="E1410" s="23" t="s">
        <v>13015</v>
      </c>
      <c r="F1410" s="19">
        <v>43159.202939814815</v>
      </c>
      <c r="G1410" s="17" t="s">
        <v>171</v>
      </c>
      <c r="H1410" s="35" t="s">
        <v>6821</v>
      </c>
      <c r="I1410" s="25" t="s">
        <v>6822</v>
      </c>
    </row>
    <row r="1411" spans="1:9" s="31" customFormat="1" ht="90">
      <c r="A1411" s="4">
        <v>43564.033379629633</v>
      </c>
      <c r="B1411" s="5" t="s">
        <v>15946</v>
      </c>
      <c r="C1411" s="6" t="s">
        <v>6819</v>
      </c>
      <c r="D1411" s="7" t="s">
        <v>6820</v>
      </c>
      <c r="E1411" s="8" t="s">
        <v>13015</v>
      </c>
      <c r="F1411" s="4">
        <v>43159.202939814815</v>
      </c>
      <c r="G1411" s="17" t="s">
        <v>171</v>
      </c>
      <c r="H1411" s="35" t="s">
        <v>6821</v>
      </c>
      <c r="I1411" s="10" t="s">
        <v>6822</v>
      </c>
    </row>
    <row r="1412" spans="1:9" s="31" customFormat="1" ht="90">
      <c r="A1412" s="4">
        <v>43557.285555555558</v>
      </c>
      <c r="B1412" s="5" t="s">
        <v>15946</v>
      </c>
      <c r="C1412" s="6" t="s">
        <v>6819</v>
      </c>
      <c r="D1412" s="7" t="s">
        <v>12586</v>
      </c>
      <c r="E1412" s="8" t="s">
        <v>13015</v>
      </c>
      <c r="F1412" s="4">
        <v>43159.202939814815</v>
      </c>
      <c r="G1412" s="17" t="s">
        <v>171</v>
      </c>
      <c r="H1412" s="35" t="s">
        <v>6821</v>
      </c>
      <c r="I1412" s="10" t="s">
        <v>6822</v>
      </c>
    </row>
    <row r="1413" spans="1:9" s="31" customFormat="1" ht="105">
      <c r="A1413" s="12">
        <v>43566.979791666672</v>
      </c>
      <c r="B1413" s="13" t="s">
        <v>15947</v>
      </c>
      <c r="C1413" s="14" t="s">
        <v>5287</v>
      </c>
      <c r="D1413" s="15" t="s">
        <v>5288</v>
      </c>
      <c r="E1413" s="16" t="s">
        <v>13009</v>
      </c>
      <c r="F1413" s="12">
        <v>40427.25204861111</v>
      </c>
      <c r="G1413" s="17" t="s">
        <v>171</v>
      </c>
      <c r="H1413" s="35" t="s">
        <v>5289</v>
      </c>
      <c r="I1413" s="18" t="s">
        <v>5290</v>
      </c>
    </row>
    <row r="1414" spans="1:9" s="31" customFormat="1" ht="105">
      <c r="A1414" s="12">
        <v>43566.376215277778</v>
      </c>
      <c r="B1414" s="13" t="s">
        <v>15947</v>
      </c>
      <c r="C1414" s="14" t="s">
        <v>5287</v>
      </c>
      <c r="D1414" s="15" t="s">
        <v>5589</v>
      </c>
      <c r="E1414" s="16" t="s">
        <v>13018</v>
      </c>
      <c r="F1414" s="12">
        <v>40427.25204861111</v>
      </c>
      <c r="G1414" s="17" t="s">
        <v>171</v>
      </c>
      <c r="H1414" s="35" t="s">
        <v>5289</v>
      </c>
      <c r="I1414" s="18" t="s">
        <v>5290</v>
      </c>
    </row>
    <row r="1415" spans="1:9" s="31" customFormat="1" ht="60">
      <c r="A1415" s="19">
        <v>43551.042314814811</v>
      </c>
      <c r="B1415" s="20" t="s">
        <v>15948</v>
      </c>
      <c r="C1415" s="21" t="s">
        <v>969</v>
      </c>
      <c r="D1415" s="22" t="s">
        <v>7452</v>
      </c>
      <c r="E1415" s="23" t="s">
        <v>13018</v>
      </c>
      <c r="F1415" s="19">
        <v>43541.326041666667</v>
      </c>
      <c r="G1415" s="17" t="s">
        <v>171</v>
      </c>
      <c r="H1415" s="35" t="s">
        <v>971</v>
      </c>
      <c r="I1415" s="25" t="s">
        <v>972</v>
      </c>
    </row>
    <row r="1416" spans="1:9" s="31" customFormat="1" ht="60">
      <c r="A1416" s="19">
        <v>43549.031354166669</v>
      </c>
      <c r="B1416" s="20" t="s">
        <v>15948</v>
      </c>
      <c r="C1416" s="21" t="s">
        <v>969</v>
      </c>
      <c r="D1416" s="22" t="s">
        <v>4906</v>
      </c>
      <c r="E1416" s="23" t="s">
        <v>13018</v>
      </c>
      <c r="F1416" s="19">
        <v>43541.326041666667</v>
      </c>
      <c r="G1416" s="17" t="s">
        <v>171</v>
      </c>
      <c r="H1416" s="35" t="s">
        <v>971</v>
      </c>
      <c r="I1416" s="25" t="s">
        <v>972</v>
      </c>
    </row>
    <row r="1417" spans="1:9" s="31" customFormat="1" ht="60">
      <c r="A1417" s="19">
        <v>43547.038252314815</v>
      </c>
      <c r="B1417" s="20" t="s">
        <v>15948</v>
      </c>
      <c r="C1417" s="21" t="s">
        <v>969</v>
      </c>
      <c r="D1417" s="22" t="s">
        <v>8672</v>
      </c>
      <c r="E1417" s="23" t="s">
        <v>13018</v>
      </c>
      <c r="F1417" s="19">
        <v>43541.326041666667</v>
      </c>
      <c r="G1417" s="17" t="s">
        <v>171</v>
      </c>
      <c r="H1417" s="35" t="s">
        <v>971</v>
      </c>
      <c r="I1417" s="25" t="s">
        <v>972</v>
      </c>
    </row>
    <row r="1418" spans="1:9" s="31" customFormat="1" ht="60">
      <c r="A1418" s="19">
        <v>43546.048750000002</v>
      </c>
      <c r="B1418" s="20" t="s">
        <v>15948</v>
      </c>
      <c r="C1418" s="21" t="s">
        <v>969</v>
      </c>
      <c r="D1418" s="22" t="s">
        <v>8976</v>
      </c>
      <c r="E1418" s="23" t="s">
        <v>13018</v>
      </c>
      <c r="F1418" s="19">
        <v>43541.326041666667</v>
      </c>
      <c r="G1418" s="17" t="s">
        <v>171</v>
      </c>
      <c r="H1418" s="35" t="s">
        <v>971</v>
      </c>
      <c r="I1418" s="25" t="s">
        <v>972</v>
      </c>
    </row>
    <row r="1419" spans="1:9" s="31" customFormat="1" ht="60">
      <c r="A1419" s="4">
        <v>43565.01054398148</v>
      </c>
      <c r="B1419" s="5" t="s">
        <v>15948</v>
      </c>
      <c r="C1419" s="6" t="s">
        <v>969</v>
      </c>
      <c r="D1419" s="7" t="s">
        <v>6341</v>
      </c>
      <c r="E1419" s="8" t="s">
        <v>13018</v>
      </c>
      <c r="F1419" s="4">
        <v>43541.326041666667</v>
      </c>
      <c r="G1419" s="17" t="s">
        <v>171</v>
      </c>
      <c r="H1419" s="35" t="s">
        <v>971</v>
      </c>
      <c r="I1419" s="10" t="s">
        <v>972</v>
      </c>
    </row>
    <row r="1420" spans="1:9" s="31" customFormat="1" ht="60">
      <c r="A1420" s="4">
        <v>43563.000543981485</v>
      </c>
      <c r="B1420" s="5" t="s">
        <v>15948</v>
      </c>
      <c r="C1420" s="6" t="s">
        <v>969</v>
      </c>
      <c r="D1420" s="7" t="s">
        <v>10512</v>
      </c>
      <c r="E1420" s="8" t="s">
        <v>13018</v>
      </c>
      <c r="F1420" s="4">
        <v>43541.326041666667</v>
      </c>
      <c r="G1420" s="17" t="s">
        <v>171</v>
      </c>
      <c r="H1420" s="35" t="s">
        <v>971</v>
      </c>
      <c r="I1420" s="10" t="s">
        <v>972</v>
      </c>
    </row>
    <row r="1421" spans="1:9" s="31" customFormat="1" ht="60">
      <c r="A1421" s="4">
        <v>43560.993101851855</v>
      </c>
      <c r="B1421" s="5" t="s">
        <v>15948</v>
      </c>
      <c r="C1421" s="6" t="s">
        <v>969</v>
      </c>
      <c r="D1421" s="7" t="s">
        <v>11110</v>
      </c>
      <c r="E1421" s="8" t="s">
        <v>13018</v>
      </c>
      <c r="F1421" s="4">
        <v>43541.326041666667</v>
      </c>
      <c r="G1421" s="17" t="s">
        <v>171</v>
      </c>
      <c r="H1421" s="35" t="s">
        <v>971</v>
      </c>
      <c r="I1421" s="10" t="s">
        <v>972</v>
      </c>
    </row>
    <row r="1422" spans="1:9" s="31" customFormat="1" ht="60">
      <c r="A1422" s="4">
        <v>43560.010555555556</v>
      </c>
      <c r="B1422" s="5" t="s">
        <v>15948</v>
      </c>
      <c r="C1422" s="6" t="s">
        <v>969</v>
      </c>
      <c r="D1422" s="7" t="s">
        <v>11636</v>
      </c>
      <c r="E1422" s="8" t="s">
        <v>13018</v>
      </c>
      <c r="F1422" s="4">
        <v>43541.326041666667</v>
      </c>
      <c r="G1422" s="17" t="s">
        <v>171</v>
      </c>
      <c r="H1422" s="35" t="s">
        <v>971</v>
      </c>
      <c r="I1422" s="10" t="s">
        <v>972</v>
      </c>
    </row>
    <row r="1423" spans="1:9" s="31" customFormat="1" ht="60">
      <c r="A1423" s="4">
        <v>43557.993148148147</v>
      </c>
      <c r="B1423" s="5" t="s">
        <v>15948</v>
      </c>
      <c r="C1423" s="6" t="s">
        <v>969</v>
      </c>
      <c r="D1423" s="7" t="s">
        <v>12348</v>
      </c>
      <c r="E1423" s="8" t="s">
        <v>13018</v>
      </c>
      <c r="F1423" s="4">
        <v>43541.326041666667</v>
      </c>
      <c r="G1423" s="17" t="s">
        <v>171</v>
      </c>
      <c r="H1423" s="35" t="s">
        <v>971</v>
      </c>
      <c r="I1423" s="10" t="s">
        <v>972</v>
      </c>
    </row>
    <row r="1424" spans="1:9" s="31" customFormat="1" ht="60">
      <c r="A1424" s="12">
        <v>43579.000706018516</v>
      </c>
      <c r="B1424" s="13" t="s">
        <v>15948</v>
      </c>
      <c r="C1424" s="14" t="s">
        <v>969</v>
      </c>
      <c r="D1424" s="15" t="s">
        <v>970</v>
      </c>
      <c r="E1424" s="16" t="s">
        <v>13018</v>
      </c>
      <c r="F1424" s="12">
        <v>43541.326041666667</v>
      </c>
      <c r="G1424" s="17" t="s">
        <v>171</v>
      </c>
      <c r="H1424" s="35" t="s">
        <v>971</v>
      </c>
      <c r="I1424" s="18" t="s">
        <v>972</v>
      </c>
    </row>
    <row r="1425" spans="1:9" s="31" customFormat="1" ht="60">
      <c r="A1425" s="12">
        <v>43576.996597222227</v>
      </c>
      <c r="B1425" s="13" t="s">
        <v>15948</v>
      </c>
      <c r="C1425" s="14" t="s">
        <v>969</v>
      </c>
      <c r="D1425" s="15" t="s">
        <v>1786</v>
      </c>
      <c r="E1425" s="16" t="s">
        <v>13018</v>
      </c>
      <c r="F1425" s="12">
        <v>43541.326041666667</v>
      </c>
      <c r="G1425" s="17" t="s">
        <v>171</v>
      </c>
      <c r="H1425" s="35" t="s">
        <v>971</v>
      </c>
      <c r="I1425" s="18" t="s">
        <v>972</v>
      </c>
    </row>
    <row r="1426" spans="1:9" s="31" customFormat="1" ht="60">
      <c r="A1426" s="12">
        <v>43575.010497685187</v>
      </c>
      <c r="B1426" s="13" t="s">
        <v>15948</v>
      </c>
      <c r="C1426" s="14" t="s">
        <v>969</v>
      </c>
      <c r="D1426" s="15" t="s">
        <v>2390</v>
      </c>
      <c r="E1426" s="16" t="s">
        <v>13018</v>
      </c>
      <c r="F1426" s="12">
        <v>43541.326041666667</v>
      </c>
      <c r="G1426" s="17" t="s">
        <v>171</v>
      </c>
      <c r="H1426" s="35" t="s">
        <v>971</v>
      </c>
      <c r="I1426" s="18" t="s">
        <v>972</v>
      </c>
    </row>
    <row r="1427" spans="1:9" s="31" customFormat="1" ht="60">
      <c r="A1427" s="12">
        <v>43574.01053240741</v>
      </c>
      <c r="B1427" s="13" t="s">
        <v>15948</v>
      </c>
      <c r="C1427" s="14" t="s">
        <v>969</v>
      </c>
      <c r="D1427" s="15" t="s">
        <v>2696</v>
      </c>
      <c r="E1427" s="16" t="s">
        <v>13018</v>
      </c>
      <c r="F1427" s="12">
        <v>43541.326041666667</v>
      </c>
      <c r="G1427" s="17" t="s">
        <v>171</v>
      </c>
      <c r="H1427" s="35" t="s">
        <v>971</v>
      </c>
      <c r="I1427" s="18" t="s">
        <v>972</v>
      </c>
    </row>
    <row r="1428" spans="1:9" s="31" customFormat="1" ht="60">
      <c r="A1428" s="12">
        <v>43572.003576388888</v>
      </c>
      <c r="B1428" s="13" t="s">
        <v>15948</v>
      </c>
      <c r="C1428" s="14" t="s">
        <v>969</v>
      </c>
      <c r="D1428" s="15" t="s">
        <v>3465</v>
      </c>
      <c r="E1428" s="16" t="s">
        <v>13018</v>
      </c>
      <c r="F1428" s="12">
        <v>43541.326041666667</v>
      </c>
      <c r="G1428" s="17" t="s">
        <v>171</v>
      </c>
      <c r="H1428" s="35" t="s">
        <v>971</v>
      </c>
      <c r="I1428" s="18" t="s">
        <v>972</v>
      </c>
    </row>
    <row r="1429" spans="1:9" s="31" customFormat="1" ht="60">
      <c r="A1429" s="12">
        <v>43567.989664351851</v>
      </c>
      <c r="B1429" s="13" t="s">
        <v>15948</v>
      </c>
      <c r="C1429" s="14" t="s">
        <v>969</v>
      </c>
      <c r="D1429" s="15" t="s">
        <v>4906</v>
      </c>
      <c r="E1429" s="16" t="s">
        <v>13018</v>
      </c>
      <c r="F1429" s="12">
        <v>43541.326041666667</v>
      </c>
      <c r="G1429" s="17" t="s">
        <v>171</v>
      </c>
      <c r="H1429" s="35" t="s">
        <v>971</v>
      </c>
      <c r="I1429" s="18" t="s">
        <v>972</v>
      </c>
    </row>
    <row r="1430" spans="1:9" s="31" customFormat="1" ht="60">
      <c r="A1430" s="12">
        <v>43567.007048611107</v>
      </c>
      <c r="B1430" s="13" t="s">
        <v>15948</v>
      </c>
      <c r="C1430" s="14" t="s">
        <v>969</v>
      </c>
      <c r="D1430" s="15" t="s">
        <v>3465</v>
      </c>
      <c r="E1430" s="16" t="s">
        <v>13018</v>
      </c>
      <c r="F1430" s="12">
        <v>43541.326041666667</v>
      </c>
      <c r="G1430" s="17" t="s">
        <v>171</v>
      </c>
      <c r="H1430" s="35" t="s">
        <v>971</v>
      </c>
      <c r="I1430" s="18" t="s">
        <v>972</v>
      </c>
    </row>
    <row r="1431" spans="1:9" s="31" customFormat="1" ht="90">
      <c r="A1431" s="19">
        <v>43549.512118055558</v>
      </c>
      <c r="B1431" s="20" t="s">
        <v>15949</v>
      </c>
      <c r="C1431" s="21" t="s">
        <v>7999</v>
      </c>
      <c r="D1431" s="22" t="s">
        <v>8000</v>
      </c>
      <c r="E1431" s="23" t="s">
        <v>13011</v>
      </c>
      <c r="F1431" s="19">
        <v>40538.538217592592</v>
      </c>
      <c r="G1431" s="24" t="s">
        <v>171</v>
      </c>
      <c r="H1431" s="35" t="s">
        <v>8001</v>
      </c>
      <c r="I1431" s="25" t="s">
        <v>8002</v>
      </c>
    </row>
    <row r="1432" spans="1:9" s="31" customFormat="1" ht="120">
      <c r="A1432" s="4">
        <v>43557.013043981482</v>
      </c>
      <c r="B1432" s="5" t="s">
        <v>15950</v>
      </c>
      <c r="C1432" s="6" t="s">
        <v>12678</v>
      </c>
      <c r="D1432" s="7" t="s">
        <v>12679</v>
      </c>
      <c r="E1432" s="8" t="s">
        <v>13009</v>
      </c>
      <c r="F1432" s="4">
        <v>42335.186620370368</v>
      </c>
      <c r="G1432" s="17" t="s">
        <v>171</v>
      </c>
      <c r="H1432" s="35" t="s">
        <v>12680</v>
      </c>
      <c r="I1432" s="10" t="s">
        <v>12681</v>
      </c>
    </row>
    <row r="1433" spans="1:9" s="31" customFormat="1" ht="75">
      <c r="A1433" s="12">
        <v>43566.108553240745</v>
      </c>
      <c r="B1433" s="13" t="s">
        <v>15951</v>
      </c>
      <c r="C1433" s="14" t="s">
        <v>5784</v>
      </c>
      <c r="D1433" s="15" t="s">
        <v>5785</v>
      </c>
      <c r="E1433" s="16" t="s">
        <v>13032</v>
      </c>
      <c r="F1433" s="12">
        <v>42425.036805555559</v>
      </c>
      <c r="G1433" s="17" t="s">
        <v>171</v>
      </c>
      <c r="H1433" s="35" t="s">
        <v>5786</v>
      </c>
      <c r="I1433" s="18" t="s">
        <v>5787</v>
      </c>
    </row>
    <row r="1434" spans="1:9" s="31" customFormat="1" ht="120">
      <c r="A1434" s="4">
        <v>43559.024375000001</v>
      </c>
      <c r="B1434" s="5" t="s">
        <v>15952</v>
      </c>
      <c r="C1434" s="6" t="s">
        <v>11975</v>
      </c>
      <c r="D1434" s="7" t="s">
        <v>11976</v>
      </c>
      <c r="E1434" s="8" t="s">
        <v>13018</v>
      </c>
      <c r="F1434" s="4">
        <v>43052.353668981479</v>
      </c>
      <c r="G1434" s="24" t="s">
        <v>171</v>
      </c>
      <c r="H1434" s="35" t="s">
        <v>11977</v>
      </c>
      <c r="I1434" s="10" t="s">
        <v>11978</v>
      </c>
    </row>
    <row r="1435" spans="1:9" s="31" customFormat="1" ht="105">
      <c r="A1435" s="19">
        <v>43542.470023148147</v>
      </c>
      <c r="B1435" s="20" t="s">
        <v>15953</v>
      </c>
      <c r="C1435" s="21" t="s">
        <v>10147</v>
      </c>
      <c r="D1435" s="22" t="s">
        <v>10148</v>
      </c>
      <c r="E1435" s="23" t="s">
        <v>13015</v>
      </c>
      <c r="F1435" s="19">
        <v>39895.923310185186</v>
      </c>
      <c r="G1435" s="24" t="s">
        <v>171</v>
      </c>
      <c r="H1435" s="35" t="s">
        <v>10149</v>
      </c>
      <c r="I1435" s="25" t="s">
        <v>10150</v>
      </c>
    </row>
    <row r="1436" spans="1:9" s="31" customFormat="1" ht="135">
      <c r="A1436" s="4">
        <v>43561.358784722222</v>
      </c>
      <c r="B1436" s="5" t="s">
        <v>15954</v>
      </c>
      <c r="C1436" s="6" t="s">
        <v>11002</v>
      </c>
      <c r="D1436" s="7" t="s">
        <v>11003</v>
      </c>
      <c r="E1436" s="8" t="s">
        <v>13032</v>
      </c>
      <c r="F1436" s="4">
        <v>40822.507557870369</v>
      </c>
      <c r="G1436" s="17" t="s">
        <v>171</v>
      </c>
      <c r="H1436" s="35" t="s">
        <v>3815</v>
      </c>
      <c r="I1436" s="10" t="s">
        <v>11004</v>
      </c>
    </row>
    <row r="1437" spans="1:9" s="31" customFormat="1" ht="75">
      <c r="A1437" s="4">
        <v>43558.645069444443</v>
      </c>
      <c r="B1437" s="5" t="s">
        <v>15955</v>
      </c>
      <c r="C1437" s="6" t="s">
        <v>12089</v>
      </c>
      <c r="D1437" s="7" t="s">
        <v>12090</v>
      </c>
      <c r="E1437" s="8" t="s">
        <v>13011</v>
      </c>
      <c r="F1437" s="4">
        <v>40958.137604166666</v>
      </c>
      <c r="G1437" s="17" t="s">
        <v>171</v>
      </c>
      <c r="H1437" s="35" t="s">
        <v>3815</v>
      </c>
      <c r="I1437" s="10" t="s">
        <v>12091</v>
      </c>
    </row>
    <row r="1438" spans="1:9" s="31" customFormat="1" ht="30">
      <c r="A1438" s="12">
        <v>43571.170648148152</v>
      </c>
      <c r="B1438" s="13" t="s">
        <v>15956</v>
      </c>
      <c r="C1438" s="14" t="s">
        <v>3813</v>
      </c>
      <c r="D1438" s="15" t="s">
        <v>3814</v>
      </c>
      <c r="E1438" s="16" t="s">
        <v>15957</v>
      </c>
      <c r="F1438" s="12">
        <v>40386.360972222225</v>
      </c>
      <c r="G1438" s="17" t="s">
        <v>171</v>
      </c>
      <c r="H1438" s="35" t="s">
        <v>3815</v>
      </c>
      <c r="I1438" s="18" t="s">
        <v>3816</v>
      </c>
    </row>
    <row r="1439" spans="1:9" s="31" customFormat="1" ht="45">
      <c r="A1439" s="4">
        <v>43564.264398148152</v>
      </c>
      <c r="B1439" s="5" t="s">
        <v>15958</v>
      </c>
      <c r="C1439" s="6" t="s">
        <v>6709</v>
      </c>
      <c r="D1439" s="7" t="s">
        <v>6710</v>
      </c>
      <c r="E1439" s="8" t="s">
        <v>13006</v>
      </c>
      <c r="F1439" s="4">
        <v>42127.544895833329</v>
      </c>
      <c r="G1439" s="17" t="s">
        <v>171</v>
      </c>
      <c r="H1439" s="35" t="s">
        <v>149</v>
      </c>
      <c r="I1439" s="10"/>
    </row>
    <row r="1440" spans="1:9" s="31" customFormat="1" ht="45">
      <c r="A1440" s="4">
        <v>43557.974131944444</v>
      </c>
      <c r="B1440" s="5" t="s">
        <v>15959</v>
      </c>
      <c r="C1440" s="6" t="s">
        <v>12352</v>
      </c>
      <c r="D1440" s="7" t="s">
        <v>12353</v>
      </c>
      <c r="E1440" s="8" t="s">
        <v>13013</v>
      </c>
      <c r="F1440" s="4">
        <v>42554.250648148147</v>
      </c>
      <c r="G1440" s="17" t="s">
        <v>171</v>
      </c>
      <c r="H1440" s="35" t="s">
        <v>149</v>
      </c>
      <c r="I1440" s="10"/>
    </row>
    <row r="1441" spans="1:9" s="31" customFormat="1" ht="60">
      <c r="A1441" s="12">
        <v>43580.66851851852</v>
      </c>
      <c r="B1441" s="13" t="s">
        <v>15960</v>
      </c>
      <c r="C1441" s="14" t="s">
        <v>147</v>
      </c>
      <c r="D1441" s="15" t="s">
        <v>148</v>
      </c>
      <c r="E1441" s="16" t="s">
        <v>13013</v>
      </c>
      <c r="F1441" s="12">
        <v>43560.796111111107</v>
      </c>
      <c r="G1441" s="17" t="s">
        <v>171</v>
      </c>
      <c r="H1441" s="35" t="s">
        <v>149</v>
      </c>
      <c r="I1441" s="18" t="s">
        <v>150</v>
      </c>
    </row>
    <row r="1442" spans="1:9" s="31" customFormat="1" ht="60">
      <c r="A1442" s="12">
        <v>43580.668333333335</v>
      </c>
      <c r="B1442" s="13" t="s">
        <v>15960</v>
      </c>
      <c r="C1442" s="14" t="s">
        <v>147</v>
      </c>
      <c r="D1442" s="15" t="s">
        <v>148</v>
      </c>
      <c r="E1442" s="16" t="s">
        <v>13013</v>
      </c>
      <c r="F1442" s="12">
        <v>43560.796111111107</v>
      </c>
      <c r="G1442" s="17" t="s">
        <v>171</v>
      </c>
      <c r="H1442" s="35" t="s">
        <v>149</v>
      </c>
      <c r="I1442" s="18" t="s">
        <v>150</v>
      </c>
    </row>
    <row r="1443" spans="1:9" s="31" customFormat="1" ht="60">
      <c r="A1443" s="12">
        <v>43580.616736111115</v>
      </c>
      <c r="B1443" s="13" t="s">
        <v>15960</v>
      </c>
      <c r="C1443" s="14" t="s">
        <v>147</v>
      </c>
      <c r="D1443" s="15" t="s">
        <v>208</v>
      </c>
      <c r="E1443" s="16" t="s">
        <v>13013</v>
      </c>
      <c r="F1443" s="12">
        <v>43560.796111111107</v>
      </c>
      <c r="G1443" s="17" t="s">
        <v>171</v>
      </c>
      <c r="H1443" s="35" t="s">
        <v>149</v>
      </c>
      <c r="I1443" s="18" t="s">
        <v>150</v>
      </c>
    </row>
    <row r="1444" spans="1:9" s="31" customFormat="1" ht="60">
      <c r="A1444" s="12">
        <v>43577.150590277779</v>
      </c>
      <c r="B1444" s="13" t="s">
        <v>15960</v>
      </c>
      <c r="C1444" s="14" t="s">
        <v>147</v>
      </c>
      <c r="D1444" s="15" t="s">
        <v>1736</v>
      </c>
      <c r="E1444" s="16" t="s">
        <v>13013</v>
      </c>
      <c r="F1444" s="12">
        <v>43560.337777777779</v>
      </c>
      <c r="G1444" s="17" t="s">
        <v>171</v>
      </c>
      <c r="H1444" s="35" t="s">
        <v>149</v>
      </c>
      <c r="I1444" s="18" t="s">
        <v>150</v>
      </c>
    </row>
    <row r="1445" spans="1:9" s="31" customFormat="1" ht="60">
      <c r="A1445" s="12">
        <v>43577.092245370368</v>
      </c>
      <c r="B1445" s="13" t="s">
        <v>15960</v>
      </c>
      <c r="C1445" s="14" t="s">
        <v>147</v>
      </c>
      <c r="D1445" s="15" t="s">
        <v>1736</v>
      </c>
      <c r="E1445" s="16" t="s">
        <v>13013</v>
      </c>
      <c r="F1445" s="12">
        <v>43560.337777777779</v>
      </c>
      <c r="G1445" s="17" t="s">
        <v>171</v>
      </c>
      <c r="H1445" s="35" t="s">
        <v>149</v>
      </c>
      <c r="I1445" s="18" t="s">
        <v>150</v>
      </c>
    </row>
    <row r="1446" spans="1:9" s="31" customFormat="1" ht="60">
      <c r="A1446" s="12">
        <v>43574.965081018519</v>
      </c>
      <c r="B1446" s="13" t="s">
        <v>15960</v>
      </c>
      <c r="C1446" s="14" t="s">
        <v>147</v>
      </c>
      <c r="D1446" s="15" t="s">
        <v>2397</v>
      </c>
      <c r="E1446" s="16" t="s">
        <v>13013</v>
      </c>
      <c r="F1446" s="12">
        <v>43560.337777777779</v>
      </c>
      <c r="G1446" s="17" t="s">
        <v>171</v>
      </c>
      <c r="H1446" s="35" t="s">
        <v>149</v>
      </c>
      <c r="I1446" s="18" t="s">
        <v>150</v>
      </c>
    </row>
    <row r="1447" spans="1:9" s="31" customFormat="1" ht="105">
      <c r="A1447" s="12">
        <v>43566.389085648145</v>
      </c>
      <c r="B1447" s="13" t="s">
        <v>15961</v>
      </c>
      <c r="C1447" s="14" t="s">
        <v>5566</v>
      </c>
      <c r="D1447" s="15" t="s">
        <v>5567</v>
      </c>
      <c r="E1447" s="16" t="s">
        <v>13011</v>
      </c>
      <c r="F1447" s="12">
        <v>43552.541863425926</v>
      </c>
      <c r="G1447" s="17" t="s">
        <v>171</v>
      </c>
      <c r="H1447" s="35" t="s">
        <v>149</v>
      </c>
      <c r="I1447" s="18" t="s">
        <v>5568</v>
      </c>
    </row>
    <row r="1448" spans="1:9" s="31" customFormat="1" ht="105">
      <c r="A1448" s="19">
        <v>43547.013437500005</v>
      </c>
      <c r="B1448" s="20" t="s">
        <v>15962</v>
      </c>
      <c r="C1448" s="21" t="s">
        <v>8673</v>
      </c>
      <c r="D1448" s="22" t="s">
        <v>8674</v>
      </c>
      <c r="E1448" s="23" t="s">
        <v>13013</v>
      </c>
      <c r="F1448" s="19">
        <v>43528.165277777778</v>
      </c>
      <c r="G1448" s="17" t="s">
        <v>171</v>
      </c>
      <c r="H1448" s="35" t="s">
        <v>8675</v>
      </c>
      <c r="I1448" s="25" t="s">
        <v>8676</v>
      </c>
    </row>
    <row r="1449" spans="1:9" s="31" customFormat="1" ht="45">
      <c r="A1449" s="19">
        <v>43549.143136574072</v>
      </c>
      <c r="B1449" s="20" t="s">
        <v>15963</v>
      </c>
      <c r="C1449" s="21" t="s">
        <v>2372</v>
      </c>
      <c r="D1449" s="22" t="s">
        <v>8148</v>
      </c>
      <c r="E1449" s="23" t="s">
        <v>13011</v>
      </c>
      <c r="F1449" s="19">
        <v>39914.555763888886</v>
      </c>
      <c r="G1449" s="17" t="s">
        <v>171</v>
      </c>
      <c r="H1449" s="35" t="s">
        <v>991</v>
      </c>
      <c r="I1449" s="25"/>
    </row>
    <row r="1450" spans="1:9" s="31" customFormat="1" ht="45">
      <c r="A1450" s="19">
        <v>43548.232048611113</v>
      </c>
      <c r="B1450" s="20" t="s">
        <v>15963</v>
      </c>
      <c r="C1450" s="21" t="s">
        <v>2372</v>
      </c>
      <c r="D1450" s="22" t="s">
        <v>8148</v>
      </c>
      <c r="E1450" s="23" t="s">
        <v>13011</v>
      </c>
      <c r="F1450" s="19">
        <v>39914.555763888886</v>
      </c>
      <c r="G1450" s="17" t="s">
        <v>171</v>
      </c>
      <c r="H1450" s="35" t="s">
        <v>991</v>
      </c>
      <c r="I1450" s="25"/>
    </row>
    <row r="1451" spans="1:9" s="31" customFormat="1" ht="45">
      <c r="A1451" s="19">
        <v>43547.322557870371</v>
      </c>
      <c r="B1451" s="20" t="s">
        <v>15963</v>
      </c>
      <c r="C1451" s="21" t="s">
        <v>2372</v>
      </c>
      <c r="D1451" s="22" t="s">
        <v>8148</v>
      </c>
      <c r="E1451" s="23" t="s">
        <v>13011</v>
      </c>
      <c r="F1451" s="19">
        <v>39914.555763888886</v>
      </c>
      <c r="G1451" s="17" t="s">
        <v>171</v>
      </c>
      <c r="H1451" s="35" t="s">
        <v>991</v>
      </c>
      <c r="I1451" s="25"/>
    </row>
    <row r="1452" spans="1:9" s="31" customFormat="1" ht="45">
      <c r="A1452" s="19">
        <v>43544.102673611109</v>
      </c>
      <c r="B1452" s="20" t="s">
        <v>15963</v>
      </c>
      <c r="C1452" s="21" t="s">
        <v>2372</v>
      </c>
      <c r="D1452" s="22" t="s">
        <v>8148</v>
      </c>
      <c r="E1452" s="23" t="s">
        <v>13011</v>
      </c>
      <c r="F1452" s="19">
        <v>39914.555763888886</v>
      </c>
      <c r="G1452" s="17" t="s">
        <v>171</v>
      </c>
      <c r="H1452" s="35" t="s">
        <v>991</v>
      </c>
      <c r="I1452" s="25"/>
    </row>
    <row r="1453" spans="1:9" s="31" customFormat="1" ht="90">
      <c r="A1453" s="12">
        <v>43578.962534722217</v>
      </c>
      <c r="B1453" s="13" t="s">
        <v>15964</v>
      </c>
      <c r="C1453" s="14" t="s">
        <v>989</v>
      </c>
      <c r="D1453" s="15" t="s">
        <v>990</v>
      </c>
      <c r="E1453" s="16" t="s">
        <v>13011</v>
      </c>
      <c r="F1453" s="12">
        <v>40003.16777777778</v>
      </c>
      <c r="G1453" s="17" t="s">
        <v>171</v>
      </c>
      <c r="H1453" s="35" t="s">
        <v>991</v>
      </c>
      <c r="I1453" s="18" t="s">
        <v>992</v>
      </c>
    </row>
    <row r="1454" spans="1:9" s="31" customFormat="1" ht="30">
      <c r="A1454" s="12">
        <v>43575.081203703703</v>
      </c>
      <c r="B1454" s="13" t="s">
        <v>15963</v>
      </c>
      <c r="C1454" s="14" t="s">
        <v>2372</v>
      </c>
      <c r="D1454" s="15" t="s">
        <v>2373</v>
      </c>
      <c r="E1454" s="16" t="s">
        <v>13032</v>
      </c>
      <c r="F1454" s="12">
        <v>39914.555763888886</v>
      </c>
      <c r="G1454" s="17" t="s">
        <v>171</v>
      </c>
      <c r="H1454" s="35" t="s">
        <v>991</v>
      </c>
      <c r="I1454" s="18"/>
    </row>
    <row r="1455" spans="1:9" s="31" customFormat="1" ht="30">
      <c r="A1455" s="12">
        <v>43571.958657407406</v>
      </c>
      <c r="B1455" s="13" t="s">
        <v>15963</v>
      </c>
      <c r="C1455" s="14" t="s">
        <v>2372</v>
      </c>
      <c r="D1455" s="15" t="s">
        <v>3482</v>
      </c>
      <c r="E1455" s="16" t="s">
        <v>13032</v>
      </c>
      <c r="F1455" s="12">
        <v>39914.555763888886</v>
      </c>
      <c r="G1455" s="17" t="s">
        <v>171</v>
      </c>
      <c r="H1455" s="35" t="s">
        <v>991</v>
      </c>
      <c r="I1455" s="18"/>
    </row>
    <row r="1456" spans="1:9" s="31" customFormat="1" ht="105">
      <c r="A1456" s="12">
        <v>43571.756990740745</v>
      </c>
      <c r="B1456" s="13" t="s">
        <v>15965</v>
      </c>
      <c r="C1456" s="14" t="s">
        <v>3559</v>
      </c>
      <c r="D1456" s="15" t="s">
        <v>3560</v>
      </c>
      <c r="E1456" s="16" t="s">
        <v>13018</v>
      </c>
      <c r="F1456" s="12">
        <v>43571.612534722226</v>
      </c>
      <c r="G1456" s="17" t="s">
        <v>171</v>
      </c>
      <c r="H1456" s="35" t="s">
        <v>3561</v>
      </c>
      <c r="I1456" s="18" t="s">
        <v>3562</v>
      </c>
    </row>
    <row r="1457" spans="1:9" s="31" customFormat="1" ht="90">
      <c r="A1457" s="12">
        <v>43572.030381944445</v>
      </c>
      <c r="B1457" s="13" t="s">
        <v>15966</v>
      </c>
      <c r="C1457" s="14" t="s">
        <v>3459</v>
      </c>
      <c r="D1457" s="15" t="s">
        <v>3460</v>
      </c>
      <c r="E1457" s="16" t="s">
        <v>13013</v>
      </c>
      <c r="F1457" s="12">
        <v>42866.208449074074</v>
      </c>
      <c r="G1457" s="17" t="s">
        <v>171</v>
      </c>
      <c r="H1457" s="35" t="s">
        <v>3461</v>
      </c>
      <c r="I1457" s="18" t="s">
        <v>3462</v>
      </c>
    </row>
    <row r="1458" spans="1:9" s="31" customFormat="1" ht="105">
      <c r="A1458" s="19">
        <v>43551.359027777777</v>
      </c>
      <c r="B1458" s="20" t="s">
        <v>15967</v>
      </c>
      <c r="C1458" s="21" t="s">
        <v>7281</v>
      </c>
      <c r="D1458" s="22" t="s">
        <v>7282</v>
      </c>
      <c r="E1458" s="23" t="s">
        <v>13009</v>
      </c>
      <c r="F1458" s="19">
        <v>40658.491840277777</v>
      </c>
      <c r="G1458" s="17" t="s">
        <v>171</v>
      </c>
      <c r="H1458" s="35" t="s">
        <v>7283</v>
      </c>
      <c r="I1458" s="25" t="s">
        <v>7284</v>
      </c>
    </row>
    <row r="1459" spans="1:9" s="31" customFormat="1" ht="90">
      <c r="A1459" s="19">
        <v>43544.040046296301</v>
      </c>
      <c r="B1459" s="20" t="s">
        <v>15968</v>
      </c>
      <c r="C1459" s="21" t="s">
        <v>9626</v>
      </c>
      <c r="D1459" s="22" t="s">
        <v>9627</v>
      </c>
      <c r="E1459" s="23" t="s">
        <v>13013</v>
      </c>
      <c r="F1459" s="19">
        <v>43346.00986111111</v>
      </c>
      <c r="G1459" s="17" t="s">
        <v>171</v>
      </c>
      <c r="H1459" s="35" t="s">
        <v>9628</v>
      </c>
      <c r="I1459" s="25" t="s">
        <v>9629</v>
      </c>
    </row>
    <row r="1460" spans="1:9" s="31" customFormat="1" ht="90">
      <c r="A1460" s="12">
        <v>43566.971956018519</v>
      </c>
      <c r="B1460" s="13" t="s">
        <v>15969</v>
      </c>
      <c r="C1460" s="14" t="s">
        <v>5291</v>
      </c>
      <c r="D1460" s="15" t="s">
        <v>5292</v>
      </c>
      <c r="E1460" s="16" t="s">
        <v>13120</v>
      </c>
      <c r="F1460" s="12">
        <v>39876.328888888893</v>
      </c>
      <c r="G1460" s="17" t="s">
        <v>171</v>
      </c>
      <c r="H1460" s="35" t="s">
        <v>5293</v>
      </c>
      <c r="I1460" s="18" t="s">
        <v>5294</v>
      </c>
    </row>
    <row r="1461" spans="1:9" s="31" customFormat="1" ht="60">
      <c r="A1461" s="12">
        <v>43567.601076388892</v>
      </c>
      <c r="B1461" s="13" t="s">
        <v>15970</v>
      </c>
      <c r="C1461" s="14" t="s">
        <v>5031</v>
      </c>
      <c r="D1461" s="15" t="s">
        <v>5032</v>
      </c>
      <c r="E1461" s="16" t="s">
        <v>13011</v>
      </c>
      <c r="F1461" s="12">
        <v>43171.052268518513</v>
      </c>
      <c r="G1461" s="17" t="s">
        <v>171</v>
      </c>
      <c r="H1461" s="35" t="s">
        <v>5033</v>
      </c>
      <c r="I1461" s="18"/>
    </row>
    <row r="1462" spans="1:9" s="31" customFormat="1" ht="60">
      <c r="A1462" s="12">
        <v>43567.088680555556</v>
      </c>
      <c r="B1462" s="13" t="s">
        <v>15970</v>
      </c>
      <c r="C1462" s="14" t="s">
        <v>5031</v>
      </c>
      <c r="D1462" s="15" t="s">
        <v>5243</v>
      </c>
      <c r="E1462" s="16" t="s">
        <v>13011</v>
      </c>
      <c r="F1462" s="12">
        <v>43171.052268518513</v>
      </c>
      <c r="G1462" s="17" t="s">
        <v>171</v>
      </c>
      <c r="H1462" s="35" t="s">
        <v>5033</v>
      </c>
      <c r="I1462" s="18"/>
    </row>
    <row r="1463" spans="1:9" s="31" customFormat="1" ht="45">
      <c r="A1463" s="12">
        <v>43566.381944444445</v>
      </c>
      <c r="B1463" s="13" t="s">
        <v>15971</v>
      </c>
      <c r="C1463" s="14" t="s">
        <v>5580</v>
      </c>
      <c r="D1463" s="15" t="s">
        <v>405</v>
      </c>
      <c r="E1463" s="16" t="s">
        <v>13034</v>
      </c>
      <c r="F1463" s="12">
        <v>42452.30332175926</v>
      </c>
      <c r="G1463" s="17" t="s">
        <v>171</v>
      </c>
      <c r="H1463" s="35" t="s">
        <v>5581</v>
      </c>
      <c r="I1463" s="18" t="s">
        <v>5582</v>
      </c>
    </row>
    <row r="1464" spans="1:9" s="31" customFormat="1" ht="105">
      <c r="A1464" s="4">
        <v>43564.082615740743</v>
      </c>
      <c r="B1464" s="5" t="s">
        <v>15972</v>
      </c>
      <c r="C1464" s="6" t="s">
        <v>6790</v>
      </c>
      <c r="D1464" s="7" t="s">
        <v>6791</v>
      </c>
      <c r="E1464" s="8" t="s">
        <v>13013</v>
      </c>
      <c r="F1464" s="4">
        <v>43362.538680555561</v>
      </c>
      <c r="G1464" s="17" t="s">
        <v>171</v>
      </c>
      <c r="H1464" s="35" t="s">
        <v>6792</v>
      </c>
      <c r="I1464" s="10" t="s">
        <v>6793</v>
      </c>
    </row>
    <row r="1465" spans="1:9" s="31" customFormat="1" ht="105">
      <c r="A1465" s="19">
        <v>43545.354953703703</v>
      </c>
      <c r="B1465" s="20" t="s">
        <v>15973</v>
      </c>
      <c r="C1465" s="21" t="s">
        <v>4191</v>
      </c>
      <c r="D1465" s="22" t="s">
        <v>9173</v>
      </c>
      <c r="E1465" s="23" t="s">
        <v>13009</v>
      </c>
      <c r="F1465" s="19">
        <v>39871.788402777776</v>
      </c>
      <c r="G1465" s="17" t="s">
        <v>171</v>
      </c>
      <c r="H1465" s="35" t="s">
        <v>4193</v>
      </c>
      <c r="I1465" s="25" t="s">
        <v>4194</v>
      </c>
    </row>
    <row r="1466" spans="1:9" s="31" customFormat="1" ht="105">
      <c r="A1466" s="19">
        <v>43542.518472222218</v>
      </c>
      <c r="B1466" s="20" t="s">
        <v>15973</v>
      </c>
      <c r="C1466" s="21" t="s">
        <v>4191</v>
      </c>
      <c r="D1466" s="22" t="s">
        <v>10126</v>
      </c>
      <c r="E1466" s="23" t="s">
        <v>13009</v>
      </c>
      <c r="F1466" s="19">
        <v>39871.788402777776</v>
      </c>
      <c r="G1466" s="17" t="s">
        <v>171</v>
      </c>
      <c r="H1466" s="35" t="s">
        <v>4193</v>
      </c>
      <c r="I1466" s="25" t="s">
        <v>4194</v>
      </c>
    </row>
    <row r="1467" spans="1:9" s="31" customFormat="1" ht="105">
      <c r="A1467" s="4">
        <v>43565.237997685181</v>
      </c>
      <c r="B1467" s="5" t="s">
        <v>15973</v>
      </c>
      <c r="C1467" s="6" t="s">
        <v>4191</v>
      </c>
      <c r="D1467" s="7" t="s">
        <v>6213</v>
      </c>
      <c r="E1467" s="8" t="s">
        <v>13009</v>
      </c>
      <c r="F1467" s="4">
        <v>39871.788402777776</v>
      </c>
      <c r="G1467" s="17" t="s">
        <v>171</v>
      </c>
      <c r="H1467" s="35" t="s">
        <v>4193</v>
      </c>
      <c r="I1467" s="10" t="s">
        <v>4194</v>
      </c>
    </row>
    <row r="1468" spans="1:9" s="31" customFormat="1" ht="105">
      <c r="A1468" s="12">
        <v>43570.376261574071</v>
      </c>
      <c r="B1468" s="13" t="s">
        <v>15973</v>
      </c>
      <c r="C1468" s="14" t="s">
        <v>4191</v>
      </c>
      <c r="D1468" s="15" t="s">
        <v>4192</v>
      </c>
      <c r="E1468" s="16" t="s">
        <v>13009</v>
      </c>
      <c r="F1468" s="12">
        <v>39871.788402777776</v>
      </c>
      <c r="G1468" s="17" t="s">
        <v>171</v>
      </c>
      <c r="H1468" s="35" t="s">
        <v>4193</v>
      </c>
      <c r="I1468" s="18" t="s">
        <v>4194</v>
      </c>
    </row>
    <row r="1469" spans="1:9" s="31" customFormat="1" ht="105">
      <c r="A1469" s="12">
        <v>43566.512256944443</v>
      </c>
      <c r="B1469" s="13" t="s">
        <v>15973</v>
      </c>
      <c r="C1469" s="14" t="s">
        <v>4191</v>
      </c>
      <c r="D1469" s="15" t="s">
        <v>5472</v>
      </c>
      <c r="E1469" s="16" t="s">
        <v>13009</v>
      </c>
      <c r="F1469" s="12">
        <v>39871.788402777776</v>
      </c>
      <c r="G1469" s="17" t="s">
        <v>171</v>
      </c>
      <c r="H1469" s="35" t="s">
        <v>4193</v>
      </c>
      <c r="I1469" s="18" t="s">
        <v>4194</v>
      </c>
    </row>
    <row r="1470" spans="1:9" s="31" customFormat="1" ht="75">
      <c r="A1470" s="12">
        <v>43570.479166666672</v>
      </c>
      <c r="B1470" s="13" t="s">
        <v>15974</v>
      </c>
      <c r="C1470" s="14" t="s">
        <v>4115</v>
      </c>
      <c r="D1470" s="15" t="s">
        <v>4116</v>
      </c>
      <c r="E1470" s="16" t="s">
        <v>13945</v>
      </c>
      <c r="F1470" s="12">
        <v>41225.258692129632</v>
      </c>
      <c r="G1470" s="17" t="s">
        <v>171</v>
      </c>
      <c r="H1470" s="35" t="s">
        <v>4117</v>
      </c>
      <c r="I1470" s="18" t="s">
        <v>4118</v>
      </c>
    </row>
    <row r="1471" spans="1:9" s="31" customFormat="1" ht="105">
      <c r="A1471" s="4">
        <v>43561.194988425923</v>
      </c>
      <c r="B1471" s="5" t="s">
        <v>15975</v>
      </c>
      <c r="C1471" s="6" t="s">
        <v>11036</v>
      </c>
      <c r="D1471" s="7" t="s">
        <v>11037</v>
      </c>
      <c r="E1471" s="8" t="s">
        <v>13011</v>
      </c>
      <c r="F1471" s="4">
        <v>40148.451122685183</v>
      </c>
      <c r="G1471" s="17" t="s">
        <v>171</v>
      </c>
      <c r="H1471" s="35" t="s">
        <v>11038</v>
      </c>
      <c r="I1471" s="10" t="s">
        <v>11039</v>
      </c>
    </row>
    <row r="1472" spans="1:9" s="31" customFormat="1" ht="120">
      <c r="A1472" s="12">
        <v>43578.009097222224</v>
      </c>
      <c r="B1472" s="13" t="s">
        <v>15976</v>
      </c>
      <c r="C1472" s="14" t="s">
        <v>1432</v>
      </c>
      <c r="D1472" s="15" t="s">
        <v>1433</v>
      </c>
      <c r="E1472" s="16" t="s">
        <v>13009</v>
      </c>
      <c r="F1472" s="12">
        <v>41958.560023148151</v>
      </c>
      <c r="G1472" s="17" t="s">
        <v>171</v>
      </c>
      <c r="H1472" s="35" t="s">
        <v>1434</v>
      </c>
      <c r="I1472" s="18" t="s">
        <v>1435</v>
      </c>
    </row>
    <row r="1473" spans="1:9" s="31" customFormat="1" ht="105">
      <c r="A1473" s="12">
        <v>43566.169699074075</v>
      </c>
      <c r="B1473" s="13" t="s">
        <v>15977</v>
      </c>
      <c r="C1473" s="14" t="s">
        <v>5748</v>
      </c>
      <c r="D1473" s="15" t="s">
        <v>5749</v>
      </c>
      <c r="E1473" s="16" t="s">
        <v>13011</v>
      </c>
      <c r="F1473" s="12">
        <v>43442.104166666672</v>
      </c>
      <c r="G1473" s="17" t="s">
        <v>171</v>
      </c>
      <c r="H1473" s="35" t="s">
        <v>5750</v>
      </c>
      <c r="I1473" s="18" t="s">
        <v>5751</v>
      </c>
    </row>
    <row r="1474" spans="1:9" s="31" customFormat="1" ht="120">
      <c r="A1474" s="4">
        <v>43558.167754629627</v>
      </c>
      <c r="B1474" s="5" t="s">
        <v>15978</v>
      </c>
      <c r="C1474" s="6" t="s">
        <v>12305</v>
      </c>
      <c r="D1474" s="7" t="s">
        <v>12306</v>
      </c>
      <c r="E1474" s="8" t="s">
        <v>15979</v>
      </c>
      <c r="F1474" s="4">
        <v>39513.115231481483</v>
      </c>
      <c r="G1474" s="9" t="s">
        <v>171</v>
      </c>
      <c r="H1474" s="35" t="s">
        <v>12307</v>
      </c>
      <c r="I1474" s="10" t="s">
        <v>12308</v>
      </c>
    </row>
    <row r="1475" spans="1:9" s="31" customFormat="1" ht="105">
      <c r="A1475" s="12">
        <v>43579.994756944448</v>
      </c>
      <c r="B1475" s="13" t="s">
        <v>15980</v>
      </c>
      <c r="C1475" s="14" t="s">
        <v>356</v>
      </c>
      <c r="D1475" s="15" t="s">
        <v>357</v>
      </c>
      <c r="E1475" s="16" t="s">
        <v>13013</v>
      </c>
      <c r="F1475" s="12">
        <v>42695.162569444445</v>
      </c>
      <c r="G1475" s="17" t="s">
        <v>171</v>
      </c>
      <c r="H1475" s="35" t="s">
        <v>358</v>
      </c>
      <c r="I1475" s="18" t="s">
        <v>359</v>
      </c>
    </row>
    <row r="1476" spans="1:9" s="31" customFormat="1" ht="120">
      <c r="A1476" s="19">
        <v>43544.617962962962</v>
      </c>
      <c r="B1476" s="20" t="s">
        <v>15981</v>
      </c>
      <c r="C1476" s="21" t="s">
        <v>9393</v>
      </c>
      <c r="D1476" s="22" t="s">
        <v>9394</v>
      </c>
      <c r="E1476" s="23" t="s">
        <v>13011</v>
      </c>
      <c r="F1476" s="19">
        <v>41290.462650462963</v>
      </c>
      <c r="G1476" s="17" t="s">
        <v>171</v>
      </c>
      <c r="H1476" s="35" t="s">
        <v>9395</v>
      </c>
      <c r="I1476" s="25" t="s">
        <v>9396</v>
      </c>
    </row>
    <row r="1477" spans="1:9" s="31" customFormat="1" ht="105">
      <c r="A1477" s="19">
        <v>43549.259421296301</v>
      </c>
      <c r="B1477" s="20" t="s">
        <v>15982</v>
      </c>
      <c r="C1477" s="21" t="s">
        <v>8112</v>
      </c>
      <c r="D1477" s="22" t="s">
        <v>8113</v>
      </c>
      <c r="E1477" s="23" t="s">
        <v>13009</v>
      </c>
      <c r="F1477" s="19">
        <v>41337.488298611112</v>
      </c>
      <c r="G1477" s="17" t="s">
        <v>171</v>
      </c>
      <c r="H1477" s="35" t="s">
        <v>2394</v>
      </c>
      <c r="I1477" s="25" t="s">
        <v>8114</v>
      </c>
    </row>
    <row r="1478" spans="1:9" s="31" customFormat="1" ht="60">
      <c r="A1478" s="4">
        <v>43559.460416666669</v>
      </c>
      <c r="B1478" s="5" t="s">
        <v>15983</v>
      </c>
      <c r="C1478" s="6" t="s">
        <v>5272</v>
      </c>
      <c r="D1478" s="7" t="s">
        <v>11805</v>
      </c>
      <c r="E1478" s="8" t="s">
        <v>13120</v>
      </c>
      <c r="F1478" s="4">
        <v>41954.131527777776</v>
      </c>
      <c r="G1478" s="17" t="s">
        <v>171</v>
      </c>
      <c r="H1478" s="35" t="s">
        <v>2394</v>
      </c>
      <c r="I1478" s="10" t="s">
        <v>5274</v>
      </c>
    </row>
    <row r="1479" spans="1:9" s="31" customFormat="1" ht="90">
      <c r="A1479" s="12">
        <v>43575.005115740743</v>
      </c>
      <c r="B1479" s="13" t="s">
        <v>15984</v>
      </c>
      <c r="C1479" s="14" t="s">
        <v>2392</v>
      </c>
      <c r="D1479" s="15" t="s">
        <v>2393</v>
      </c>
      <c r="E1479" s="16" t="s">
        <v>13009</v>
      </c>
      <c r="F1479" s="12">
        <v>43214.50712962963</v>
      </c>
      <c r="G1479" s="17" t="s">
        <v>171</v>
      </c>
      <c r="H1479" s="35" t="s">
        <v>2394</v>
      </c>
      <c r="I1479" s="18" t="s">
        <v>2395</v>
      </c>
    </row>
    <row r="1480" spans="1:9" s="31" customFormat="1" ht="60">
      <c r="A1480" s="12">
        <v>43567.013888888891</v>
      </c>
      <c r="B1480" s="13" t="s">
        <v>15983</v>
      </c>
      <c r="C1480" s="14" t="s">
        <v>5272</v>
      </c>
      <c r="D1480" s="15" t="s">
        <v>5273</v>
      </c>
      <c r="E1480" s="16" t="s">
        <v>13120</v>
      </c>
      <c r="F1480" s="12">
        <v>41954.131527777776</v>
      </c>
      <c r="G1480" s="17" t="s">
        <v>171</v>
      </c>
      <c r="H1480" s="35" t="s">
        <v>2394</v>
      </c>
      <c r="I1480" s="18" t="s">
        <v>5274</v>
      </c>
    </row>
    <row r="1481" spans="1:9" s="31" customFormat="1" ht="60">
      <c r="A1481" s="4">
        <v>43564.774340277778</v>
      </c>
      <c r="B1481" s="5" t="s">
        <v>15985</v>
      </c>
      <c r="C1481" s="6" t="s">
        <v>6417</v>
      </c>
      <c r="D1481" s="7" t="s">
        <v>6418</v>
      </c>
      <c r="E1481" s="8" t="s">
        <v>13015</v>
      </c>
      <c r="F1481" s="4">
        <v>42265.503842592589</v>
      </c>
      <c r="G1481" s="17" t="s">
        <v>171</v>
      </c>
      <c r="H1481" s="35" t="s">
        <v>6419</v>
      </c>
      <c r="I1481" s="10" t="s">
        <v>6420</v>
      </c>
    </row>
    <row r="1482" spans="1:9" s="31" customFormat="1" ht="135">
      <c r="A1482" s="19">
        <v>43545.516759259262</v>
      </c>
      <c r="B1482" s="20" t="s">
        <v>15986</v>
      </c>
      <c r="C1482" s="21" t="s">
        <v>9113</v>
      </c>
      <c r="D1482" s="22" t="s">
        <v>9114</v>
      </c>
      <c r="E1482" s="23" t="s">
        <v>14488</v>
      </c>
      <c r="F1482" s="19">
        <v>41237.440208333333</v>
      </c>
      <c r="G1482" s="17" t="s">
        <v>171</v>
      </c>
      <c r="H1482" s="35" t="s">
        <v>9115</v>
      </c>
      <c r="I1482" s="25" t="s">
        <v>9116</v>
      </c>
    </row>
    <row r="1483" spans="1:9" s="31" customFormat="1" ht="135">
      <c r="A1483" s="19">
        <v>43542.514699074076</v>
      </c>
      <c r="B1483" s="20" t="s">
        <v>15986</v>
      </c>
      <c r="C1483" s="21" t="s">
        <v>9113</v>
      </c>
      <c r="D1483" s="22" t="s">
        <v>10127</v>
      </c>
      <c r="E1483" s="23" t="s">
        <v>14488</v>
      </c>
      <c r="F1483" s="19">
        <v>41237.440208333333</v>
      </c>
      <c r="G1483" s="17" t="s">
        <v>171</v>
      </c>
      <c r="H1483" s="35" t="s">
        <v>9115</v>
      </c>
      <c r="I1483" s="25" t="s">
        <v>9116</v>
      </c>
    </row>
    <row r="1484" spans="1:9" s="31" customFormat="1" ht="135">
      <c r="A1484" s="4">
        <v>43559.487511574072</v>
      </c>
      <c r="B1484" s="5" t="s">
        <v>15986</v>
      </c>
      <c r="C1484" s="6" t="s">
        <v>9113</v>
      </c>
      <c r="D1484" s="7" t="s">
        <v>11790</v>
      </c>
      <c r="E1484" s="8" t="s">
        <v>14488</v>
      </c>
      <c r="F1484" s="4">
        <v>41237.440208333333</v>
      </c>
      <c r="G1484" s="17" t="s">
        <v>171</v>
      </c>
      <c r="H1484" s="35" t="s">
        <v>9115</v>
      </c>
      <c r="I1484" s="10" t="s">
        <v>9116</v>
      </c>
    </row>
    <row r="1485" spans="1:9" s="31" customFormat="1" ht="120">
      <c r="A1485" s="19">
        <v>43551.302141203705</v>
      </c>
      <c r="B1485" s="20" t="s">
        <v>15987</v>
      </c>
      <c r="C1485" s="21" t="s">
        <v>1248</v>
      </c>
      <c r="D1485" s="22" t="s">
        <v>1249</v>
      </c>
      <c r="E1485" s="23" t="s">
        <v>13411</v>
      </c>
      <c r="F1485" s="19">
        <v>42693.298287037032</v>
      </c>
      <c r="G1485" s="17" t="s">
        <v>171</v>
      </c>
      <c r="H1485" s="35" t="s">
        <v>1250</v>
      </c>
      <c r="I1485" s="25" t="s">
        <v>1251</v>
      </c>
    </row>
    <row r="1486" spans="1:9" s="31" customFormat="1" ht="120">
      <c r="A1486" s="19">
        <v>43550.368784722217</v>
      </c>
      <c r="B1486" s="20" t="s">
        <v>15987</v>
      </c>
      <c r="C1486" s="21" t="s">
        <v>1248</v>
      </c>
      <c r="D1486" s="22" t="s">
        <v>7705</v>
      </c>
      <c r="E1486" s="23" t="s">
        <v>13411</v>
      </c>
      <c r="F1486" s="19">
        <v>42693.298287037032</v>
      </c>
      <c r="G1486" s="17" t="s">
        <v>171</v>
      </c>
      <c r="H1486" s="35" t="s">
        <v>1250</v>
      </c>
      <c r="I1486" s="25" t="s">
        <v>1251</v>
      </c>
    </row>
    <row r="1487" spans="1:9" s="31" customFormat="1" ht="120">
      <c r="A1487" s="19">
        <v>43546.296550925923</v>
      </c>
      <c r="B1487" s="20" t="s">
        <v>15987</v>
      </c>
      <c r="C1487" s="21" t="s">
        <v>1248</v>
      </c>
      <c r="D1487" s="22" t="s">
        <v>2942</v>
      </c>
      <c r="E1487" s="23" t="s">
        <v>13411</v>
      </c>
      <c r="F1487" s="19">
        <v>42693.298287037032</v>
      </c>
      <c r="G1487" s="17" t="s">
        <v>171</v>
      </c>
      <c r="H1487" s="35" t="s">
        <v>1250</v>
      </c>
      <c r="I1487" s="25" t="s">
        <v>1251</v>
      </c>
    </row>
    <row r="1488" spans="1:9" s="31" customFormat="1" ht="120">
      <c r="A1488" s="19">
        <v>43545.34575231481</v>
      </c>
      <c r="B1488" s="20" t="s">
        <v>15987</v>
      </c>
      <c r="C1488" s="21" t="s">
        <v>1248</v>
      </c>
      <c r="D1488" s="22" t="s">
        <v>7705</v>
      </c>
      <c r="E1488" s="23" t="s">
        <v>13411</v>
      </c>
      <c r="F1488" s="19">
        <v>42693.298287037032</v>
      </c>
      <c r="G1488" s="17" t="s">
        <v>171</v>
      </c>
      <c r="H1488" s="35" t="s">
        <v>1250</v>
      </c>
      <c r="I1488" s="25" t="s">
        <v>1251</v>
      </c>
    </row>
    <row r="1489" spans="1:9" s="31" customFormat="1" ht="120">
      <c r="A1489" s="19">
        <v>43545.241678240738</v>
      </c>
      <c r="B1489" s="20" t="s">
        <v>15987</v>
      </c>
      <c r="C1489" s="21" t="s">
        <v>1248</v>
      </c>
      <c r="D1489" s="22" t="s">
        <v>1249</v>
      </c>
      <c r="E1489" s="23" t="s">
        <v>13411</v>
      </c>
      <c r="F1489" s="19">
        <v>42693.298287037032</v>
      </c>
      <c r="G1489" s="17" t="s">
        <v>171</v>
      </c>
      <c r="H1489" s="35" t="s">
        <v>1250</v>
      </c>
      <c r="I1489" s="25" t="s">
        <v>1251</v>
      </c>
    </row>
    <row r="1490" spans="1:9" s="31" customFormat="1" ht="135">
      <c r="A1490" s="19">
        <v>43543.591516203705</v>
      </c>
      <c r="B1490" s="20" t="s">
        <v>15988</v>
      </c>
      <c r="C1490" s="21" t="s">
        <v>9745</v>
      </c>
      <c r="D1490" s="22" t="s">
        <v>9746</v>
      </c>
      <c r="E1490" s="23" t="s">
        <v>13011</v>
      </c>
      <c r="F1490" s="19">
        <v>41938.07271990741</v>
      </c>
      <c r="G1490" s="17" t="s">
        <v>171</v>
      </c>
      <c r="H1490" s="35" t="s">
        <v>1250</v>
      </c>
      <c r="I1490" s="25" t="s">
        <v>9747</v>
      </c>
    </row>
    <row r="1491" spans="1:9" s="31" customFormat="1" ht="120">
      <c r="A1491" s="4">
        <v>43565.42224537037</v>
      </c>
      <c r="B1491" s="5" t="s">
        <v>15987</v>
      </c>
      <c r="C1491" s="6" t="s">
        <v>1248</v>
      </c>
      <c r="D1491" s="7" t="s">
        <v>2942</v>
      </c>
      <c r="E1491" s="8" t="s">
        <v>13411</v>
      </c>
      <c r="F1491" s="4">
        <v>42693.298287037032</v>
      </c>
      <c r="G1491" s="17" t="s">
        <v>171</v>
      </c>
      <c r="H1491" s="35" t="s">
        <v>1250</v>
      </c>
      <c r="I1491" s="10" t="s">
        <v>1251</v>
      </c>
    </row>
    <row r="1492" spans="1:9" s="31" customFormat="1" ht="120">
      <c r="A1492" s="4">
        <v>43559.258344907408</v>
      </c>
      <c r="B1492" s="5" t="s">
        <v>15987</v>
      </c>
      <c r="C1492" s="6" t="s">
        <v>1248</v>
      </c>
      <c r="D1492" s="7" t="s">
        <v>1249</v>
      </c>
      <c r="E1492" s="8" t="s">
        <v>13411</v>
      </c>
      <c r="F1492" s="4">
        <v>42693.298287037032</v>
      </c>
      <c r="G1492" s="17" t="s">
        <v>171</v>
      </c>
      <c r="H1492" s="35" t="s">
        <v>1250</v>
      </c>
      <c r="I1492" s="10" t="s">
        <v>1251</v>
      </c>
    </row>
    <row r="1493" spans="1:9" s="31" customFormat="1" ht="120">
      <c r="A1493" s="12">
        <v>43578.379178240742</v>
      </c>
      <c r="B1493" s="13" t="s">
        <v>15987</v>
      </c>
      <c r="C1493" s="14" t="s">
        <v>1248</v>
      </c>
      <c r="D1493" s="15" t="s">
        <v>1249</v>
      </c>
      <c r="E1493" s="16" t="s">
        <v>13411</v>
      </c>
      <c r="F1493" s="12">
        <v>42693.298287037032</v>
      </c>
      <c r="G1493" s="17" t="s">
        <v>171</v>
      </c>
      <c r="H1493" s="35" t="s">
        <v>1250</v>
      </c>
      <c r="I1493" s="18" t="s">
        <v>1251</v>
      </c>
    </row>
    <row r="1494" spans="1:9" s="31" customFormat="1" ht="120">
      <c r="A1494" s="12">
        <v>43573.298634259263</v>
      </c>
      <c r="B1494" s="13" t="s">
        <v>15987</v>
      </c>
      <c r="C1494" s="14" t="s">
        <v>1248</v>
      </c>
      <c r="D1494" s="15" t="s">
        <v>2942</v>
      </c>
      <c r="E1494" s="16" t="s">
        <v>13411</v>
      </c>
      <c r="F1494" s="12">
        <v>42693.298287037032</v>
      </c>
      <c r="G1494" s="17" t="s">
        <v>171</v>
      </c>
      <c r="H1494" s="35" t="s">
        <v>1250</v>
      </c>
      <c r="I1494" s="18" t="s">
        <v>1251</v>
      </c>
    </row>
    <row r="1495" spans="1:9" s="31" customFormat="1" ht="120">
      <c r="A1495" s="12">
        <v>43572.427164351851</v>
      </c>
      <c r="B1495" s="13" t="s">
        <v>15987</v>
      </c>
      <c r="C1495" s="14" t="s">
        <v>1248</v>
      </c>
      <c r="D1495" s="15" t="s">
        <v>1249</v>
      </c>
      <c r="E1495" s="16" t="s">
        <v>13411</v>
      </c>
      <c r="F1495" s="12">
        <v>42693.298287037032</v>
      </c>
      <c r="G1495" s="17" t="s">
        <v>171</v>
      </c>
      <c r="H1495" s="35" t="s">
        <v>1250</v>
      </c>
      <c r="I1495" s="18" t="s">
        <v>1251</v>
      </c>
    </row>
    <row r="1496" spans="1:9" s="31" customFormat="1" ht="120">
      <c r="A1496" s="12">
        <v>43567.213206018518</v>
      </c>
      <c r="B1496" s="13" t="s">
        <v>15987</v>
      </c>
      <c r="C1496" s="14" t="s">
        <v>1248</v>
      </c>
      <c r="D1496" s="15" t="s">
        <v>1249</v>
      </c>
      <c r="E1496" s="16" t="s">
        <v>13411</v>
      </c>
      <c r="F1496" s="12">
        <v>42693.298287037032</v>
      </c>
      <c r="G1496" s="17" t="s">
        <v>171</v>
      </c>
      <c r="H1496" s="35" t="s">
        <v>1250</v>
      </c>
      <c r="I1496" s="18" t="s">
        <v>1251</v>
      </c>
    </row>
    <row r="1497" spans="1:9" s="31" customFormat="1" ht="90">
      <c r="A1497" s="19">
        <v>43542.507245370369</v>
      </c>
      <c r="B1497" s="20" t="s">
        <v>15989</v>
      </c>
      <c r="C1497" s="21" t="s">
        <v>10128</v>
      </c>
      <c r="D1497" s="22" t="s">
        <v>10129</v>
      </c>
      <c r="E1497" s="23" t="s">
        <v>13009</v>
      </c>
      <c r="F1497" s="19">
        <v>40530.218900462962</v>
      </c>
      <c r="G1497" s="24" t="s">
        <v>171</v>
      </c>
      <c r="H1497" s="35" t="s">
        <v>10130</v>
      </c>
      <c r="I1497" s="25" t="s">
        <v>10131</v>
      </c>
    </row>
    <row r="1498" spans="1:9" s="31" customFormat="1" ht="90">
      <c r="A1498" s="19">
        <v>43542.4840162037</v>
      </c>
      <c r="B1498" s="20" t="s">
        <v>15989</v>
      </c>
      <c r="C1498" s="21" t="s">
        <v>10128</v>
      </c>
      <c r="D1498" s="22" t="s">
        <v>10146</v>
      </c>
      <c r="E1498" s="23" t="s">
        <v>13032</v>
      </c>
      <c r="F1498" s="19">
        <v>40530.218900462962</v>
      </c>
      <c r="G1498" s="24" t="s">
        <v>171</v>
      </c>
      <c r="H1498" s="35" t="s">
        <v>10130</v>
      </c>
      <c r="I1498" s="25" t="s">
        <v>10131</v>
      </c>
    </row>
    <row r="1499" spans="1:9" s="31" customFormat="1" ht="150">
      <c r="A1499" s="4">
        <v>43563.100729166668</v>
      </c>
      <c r="B1499" s="5" t="s">
        <v>15990</v>
      </c>
      <c r="C1499" s="6" t="s">
        <v>10462</v>
      </c>
      <c r="D1499" s="7" t="s">
        <v>10463</v>
      </c>
      <c r="E1499" s="8" t="s">
        <v>13018</v>
      </c>
      <c r="F1499" s="4">
        <v>39173.217187499999</v>
      </c>
      <c r="G1499" s="9" t="s">
        <v>171</v>
      </c>
      <c r="H1499" s="35" t="s">
        <v>10464</v>
      </c>
      <c r="I1499" s="10" t="s">
        <v>10465</v>
      </c>
    </row>
    <row r="1500" spans="1:9" s="31" customFormat="1" ht="60">
      <c r="A1500" s="4">
        <v>43563.039212962962</v>
      </c>
      <c r="B1500" s="5" t="s">
        <v>15991</v>
      </c>
      <c r="C1500" s="6" t="s">
        <v>10493</v>
      </c>
      <c r="D1500" s="7" t="s">
        <v>10494</v>
      </c>
      <c r="E1500" s="8" t="s">
        <v>13032</v>
      </c>
      <c r="F1500" s="4">
        <v>41671.041134259256</v>
      </c>
      <c r="G1500" s="9" t="s">
        <v>171</v>
      </c>
      <c r="H1500" s="35" t="s">
        <v>10495</v>
      </c>
      <c r="I1500" s="10" t="s">
        <v>10496</v>
      </c>
    </row>
    <row r="1501" spans="1:9" s="31" customFormat="1" ht="105">
      <c r="A1501" s="19">
        <v>43551.384375000001</v>
      </c>
      <c r="B1501" s="20" t="s">
        <v>15992</v>
      </c>
      <c r="C1501" s="21" t="s">
        <v>7255</v>
      </c>
      <c r="D1501" s="22" t="s">
        <v>7256</v>
      </c>
      <c r="E1501" s="23" t="s">
        <v>13032</v>
      </c>
      <c r="F1501" s="19">
        <v>40991.049768518518</v>
      </c>
      <c r="G1501" s="9" t="s">
        <v>171</v>
      </c>
      <c r="H1501" s="35" t="s">
        <v>7257</v>
      </c>
      <c r="I1501" s="25" t="s">
        <v>7258</v>
      </c>
    </row>
    <row r="1502" spans="1:9" s="31" customFormat="1" ht="120">
      <c r="A1502" s="12">
        <v>43567.103298611109</v>
      </c>
      <c r="B1502" s="13" t="s">
        <v>15993</v>
      </c>
      <c r="C1502" s="14" t="s">
        <v>5235</v>
      </c>
      <c r="D1502" s="15" t="s">
        <v>5236</v>
      </c>
      <c r="E1502" s="16" t="s">
        <v>13009</v>
      </c>
      <c r="F1502" s="12">
        <v>40707.501932870371</v>
      </c>
      <c r="G1502" s="9" t="s">
        <v>171</v>
      </c>
      <c r="H1502" s="35" t="s">
        <v>5237</v>
      </c>
      <c r="I1502" s="18" t="s">
        <v>5238</v>
      </c>
    </row>
    <row r="1503" spans="1:9" s="31" customFormat="1" ht="120">
      <c r="A1503" s="4">
        <v>43561.079953703702</v>
      </c>
      <c r="B1503" s="5" t="s">
        <v>15994</v>
      </c>
      <c r="C1503" s="6" t="s">
        <v>11080</v>
      </c>
      <c r="D1503" s="7" t="s">
        <v>11081</v>
      </c>
      <c r="E1503" s="8" t="s">
        <v>13074</v>
      </c>
      <c r="F1503" s="4">
        <v>40880.103680555556</v>
      </c>
      <c r="G1503" s="9" t="s">
        <v>171</v>
      </c>
      <c r="H1503" s="35" t="s">
        <v>11082</v>
      </c>
      <c r="I1503" s="10" t="s">
        <v>11083</v>
      </c>
    </row>
    <row r="1504" spans="1:9" s="31" customFormat="1" ht="120">
      <c r="A1504" s="19">
        <v>43549.449293981481</v>
      </c>
      <c r="B1504" s="20" t="s">
        <v>15995</v>
      </c>
      <c r="C1504" s="21" t="s">
        <v>1745</v>
      </c>
      <c r="D1504" s="22" t="s">
        <v>8031</v>
      </c>
      <c r="E1504" s="23" t="s">
        <v>13013</v>
      </c>
      <c r="F1504" s="19">
        <v>42980.317002314812</v>
      </c>
      <c r="G1504" s="17" t="s">
        <v>171</v>
      </c>
      <c r="H1504" s="35" t="s">
        <v>1747</v>
      </c>
      <c r="I1504" s="25" t="s">
        <v>1748</v>
      </c>
    </row>
    <row r="1505" spans="1:9" s="31" customFormat="1" ht="120">
      <c r="A1505" s="4">
        <v>43563.122754629629</v>
      </c>
      <c r="B1505" s="5" t="s">
        <v>15995</v>
      </c>
      <c r="C1505" s="6" t="s">
        <v>1745</v>
      </c>
      <c r="D1505" s="7" t="s">
        <v>10455</v>
      </c>
      <c r="E1505" s="8" t="s">
        <v>13013</v>
      </c>
      <c r="F1505" s="4">
        <v>42980.317002314812</v>
      </c>
      <c r="G1505" s="17" t="s">
        <v>171</v>
      </c>
      <c r="H1505" s="35" t="s">
        <v>1747</v>
      </c>
      <c r="I1505" s="10" t="s">
        <v>1748</v>
      </c>
    </row>
    <row r="1506" spans="1:9" s="31" customFormat="1" ht="120">
      <c r="A1506" s="4">
        <v>43563.00949074074</v>
      </c>
      <c r="B1506" s="5" t="s">
        <v>15995</v>
      </c>
      <c r="C1506" s="6" t="s">
        <v>1745</v>
      </c>
      <c r="D1506" s="7" t="s">
        <v>10511</v>
      </c>
      <c r="E1506" s="8" t="s">
        <v>13013</v>
      </c>
      <c r="F1506" s="4">
        <v>42980.317002314812</v>
      </c>
      <c r="G1506" s="17" t="s">
        <v>171</v>
      </c>
      <c r="H1506" s="35" t="s">
        <v>1747</v>
      </c>
      <c r="I1506" s="10" t="s">
        <v>1748</v>
      </c>
    </row>
    <row r="1507" spans="1:9" s="31" customFormat="1" ht="120">
      <c r="A1507" s="12">
        <v>43577.115844907406</v>
      </c>
      <c r="B1507" s="13" t="s">
        <v>15995</v>
      </c>
      <c r="C1507" s="14" t="s">
        <v>1745</v>
      </c>
      <c r="D1507" s="15" t="s">
        <v>1746</v>
      </c>
      <c r="E1507" s="16" t="s">
        <v>13013</v>
      </c>
      <c r="F1507" s="12">
        <v>42980.317002314812</v>
      </c>
      <c r="G1507" s="17" t="s">
        <v>171</v>
      </c>
      <c r="H1507" s="35" t="s">
        <v>1747</v>
      </c>
      <c r="I1507" s="18" t="s">
        <v>1748</v>
      </c>
    </row>
    <row r="1508" spans="1:9" s="31" customFormat="1" ht="90">
      <c r="A1508" s="19">
        <v>43550.706099537041</v>
      </c>
      <c r="B1508" s="20" t="s">
        <v>15996</v>
      </c>
      <c r="C1508" s="21" t="s">
        <v>7532</v>
      </c>
      <c r="D1508" s="22" t="s">
        <v>7533</v>
      </c>
      <c r="E1508" s="23" t="s">
        <v>13009</v>
      </c>
      <c r="F1508" s="19">
        <v>40212.138784722221</v>
      </c>
      <c r="G1508" s="24" t="s">
        <v>171</v>
      </c>
      <c r="H1508" s="35" t="s">
        <v>7534</v>
      </c>
      <c r="I1508" s="25" t="s">
        <v>7535</v>
      </c>
    </row>
    <row r="1509" spans="1:9" s="31" customFormat="1" ht="120">
      <c r="A1509" s="4">
        <v>43564.897986111115</v>
      </c>
      <c r="B1509" s="5" t="s">
        <v>15997</v>
      </c>
      <c r="C1509" s="6" t="s">
        <v>400</v>
      </c>
      <c r="D1509" s="7" t="s">
        <v>401</v>
      </c>
      <c r="E1509" s="8" t="s">
        <v>13077</v>
      </c>
      <c r="F1509" s="4">
        <v>39851.088078703702</v>
      </c>
      <c r="G1509" s="17" t="s">
        <v>171</v>
      </c>
      <c r="H1509" s="35" t="s">
        <v>402</v>
      </c>
      <c r="I1509" s="10" t="s">
        <v>403</v>
      </c>
    </row>
    <row r="1510" spans="1:9" s="31" customFormat="1" ht="120">
      <c r="A1510" s="4">
        <v>43563.897986111115</v>
      </c>
      <c r="B1510" s="5" t="s">
        <v>15997</v>
      </c>
      <c r="C1510" s="6" t="s">
        <v>400</v>
      </c>
      <c r="D1510" s="7" t="s">
        <v>401</v>
      </c>
      <c r="E1510" s="8" t="s">
        <v>13077</v>
      </c>
      <c r="F1510" s="4">
        <v>39851.088078703702</v>
      </c>
      <c r="G1510" s="17" t="s">
        <v>171</v>
      </c>
      <c r="H1510" s="35" t="s">
        <v>402</v>
      </c>
      <c r="I1510" s="10" t="s">
        <v>403</v>
      </c>
    </row>
    <row r="1511" spans="1:9" s="31" customFormat="1" ht="120">
      <c r="A1511" s="4">
        <v>43562.897939814815</v>
      </c>
      <c r="B1511" s="5" t="s">
        <v>15997</v>
      </c>
      <c r="C1511" s="6" t="s">
        <v>400</v>
      </c>
      <c r="D1511" s="7" t="s">
        <v>10555</v>
      </c>
      <c r="E1511" s="8" t="s">
        <v>13077</v>
      </c>
      <c r="F1511" s="4">
        <v>39851.088078703702</v>
      </c>
      <c r="G1511" s="17" t="s">
        <v>171</v>
      </c>
      <c r="H1511" s="35" t="s">
        <v>402</v>
      </c>
      <c r="I1511" s="10" t="s">
        <v>403</v>
      </c>
    </row>
    <row r="1512" spans="1:9" s="31" customFormat="1" ht="120">
      <c r="A1512" s="4">
        <v>43561.897986111115</v>
      </c>
      <c r="B1512" s="5" t="s">
        <v>15997</v>
      </c>
      <c r="C1512" s="6" t="s">
        <v>400</v>
      </c>
      <c r="D1512" s="7" t="s">
        <v>401</v>
      </c>
      <c r="E1512" s="8" t="s">
        <v>13077</v>
      </c>
      <c r="F1512" s="4">
        <v>39851.088078703702</v>
      </c>
      <c r="G1512" s="17" t="s">
        <v>171</v>
      </c>
      <c r="H1512" s="35" t="s">
        <v>402</v>
      </c>
      <c r="I1512" s="10" t="s">
        <v>403</v>
      </c>
    </row>
    <row r="1513" spans="1:9" s="31" customFormat="1" ht="120">
      <c r="A1513" s="4">
        <v>43560.897986111115</v>
      </c>
      <c r="B1513" s="5" t="s">
        <v>15997</v>
      </c>
      <c r="C1513" s="6" t="s">
        <v>400</v>
      </c>
      <c r="D1513" s="7" t="s">
        <v>401</v>
      </c>
      <c r="E1513" s="8" t="s">
        <v>13077</v>
      </c>
      <c r="F1513" s="4">
        <v>39851.088078703702</v>
      </c>
      <c r="G1513" s="17" t="s">
        <v>171</v>
      </c>
      <c r="H1513" s="35" t="s">
        <v>402</v>
      </c>
      <c r="I1513" s="10" t="s">
        <v>403</v>
      </c>
    </row>
    <row r="1514" spans="1:9" s="31" customFormat="1" ht="120">
      <c r="A1514" s="4">
        <v>43559.898020833338</v>
      </c>
      <c r="B1514" s="5" t="s">
        <v>15997</v>
      </c>
      <c r="C1514" s="6" t="s">
        <v>400</v>
      </c>
      <c r="D1514" s="7" t="s">
        <v>401</v>
      </c>
      <c r="E1514" s="8" t="s">
        <v>13077</v>
      </c>
      <c r="F1514" s="4">
        <v>39851.088078703702</v>
      </c>
      <c r="G1514" s="17" t="s">
        <v>171</v>
      </c>
      <c r="H1514" s="35" t="s">
        <v>402</v>
      </c>
      <c r="I1514" s="10" t="s">
        <v>403</v>
      </c>
    </row>
    <row r="1515" spans="1:9" s="31" customFormat="1" ht="120">
      <c r="A1515" s="4">
        <v>43558.897962962961</v>
      </c>
      <c r="B1515" s="5" t="s">
        <v>15997</v>
      </c>
      <c r="C1515" s="6" t="s">
        <v>400</v>
      </c>
      <c r="D1515" s="7" t="s">
        <v>401</v>
      </c>
      <c r="E1515" s="8" t="s">
        <v>13077</v>
      </c>
      <c r="F1515" s="4">
        <v>39851.088078703702</v>
      </c>
      <c r="G1515" s="17" t="s">
        <v>171</v>
      </c>
      <c r="H1515" s="35" t="s">
        <v>402</v>
      </c>
      <c r="I1515" s="10" t="s">
        <v>403</v>
      </c>
    </row>
    <row r="1516" spans="1:9" s="31" customFormat="1" ht="120">
      <c r="A1516" s="4">
        <v>43557.898009259261</v>
      </c>
      <c r="B1516" s="5" t="s">
        <v>15997</v>
      </c>
      <c r="C1516" s="6" t="s">
        <v>400</v>
      </c>
      <c r="D1516" s="7" t="s">
        <v>401</v>
      </c>
      <c r="E1516" s="8" t="s">
        <v>13077</v>
      </c>
      <c r="F1516" s="4">
        <v>39851.088078703702</v>
      </c>
      <c r="G1516" s="17" t="s">
        <v>171</v>
      </c>
      <c r="H1516" s="35" t="s">
        <v>402</v>
      </c>
      <c r="I1516" s="10" t="s">
        <v>403</v>
      </c>
    </row>
    <row r="1517" spans="1:9" s="31" customFormat="1" ht="120">
      <c r="A1517" s="12">
        <v>43579.897986111115</v>
      </c>
      <c r="B1517" s="13" t="s">
        <v>15997</v>
      </c>
      <c r="C1517" s="14" t="s">
        <v>400</v>
      </c>
      <c r="D1517" s="15" t="s">
        <v>401</v>
      </c>
      <c r="E1517" s="16" t="s">
        <v>13077</v>
      </c>
      <c r="F1517" s="12">
        <v>39851.088078703702</v>
      </c>
      <c r="G1517" s="17" t="s">
        <v>171</v>
      </c>
      <c r="H1517" s="35" t="s">
        <v>402</v>
      </c>
      <c r="I1517" s="18" t="s">
        <v>403</v>
      </c>
    </row>
    <row r="1518" spans="1:9" s="31" customFormat="1" ht="120">
      <c r="A1518" s="12">
        <v>43578.897974537038</v>
      </c>
      <c r="B1518" s="13" t="s">
        <v>15997</v>
      </c>
      <c r="C1518" s="14" t="s">
        <v>400</v>
      </c>
      <c r="D1518" s="15" t="s">
        <v>401</v>
      </c>
      <c r="E1518" s="16" t="s">
        <v>13077</v>
      </c>
      <c r="F1518" s="12">
        <v>39851.088078703702</v>
      </c>
      <c r="G1518" s="17" t="s">
        <v>171</v>
      </c>
      <c r="H1518" s="35" t="s">
        <v>402</v>
      </c>
      <c r="I1518" s="18" t="s">
        <v>403</v>
      </c>
    </row>
    <row r="1519" spans="1:9" s="31" customFormat="1" ht="120">
      <c r="A1519" s="12">
        <v>43577.897986111115</v>
      </c>
      <c r="B1519" s="13" t="s">
        <v>15997</v>
      </c>
      <c r="C1519" s="14" t="s">
        <v>400</v>
      </c>
      <c r="D1519" s="15" t="s">
        <v>401</v>
      </c>
      <c r="E1519" s="16" t="s">
        <v>13077</v>
      </c>
      <c r="F1519" s="12">
        <v>39851.088078703702</v>
      </c>
      <c r="G1519" s="17" t="s">
        <v>171</v>
      </c>
      <c r="H1519" s="35" t="s">
        <v>402</v>
      </c>
      <c r="I1519" s="18" t="s">
        <v>403</v>
      </c>
    </row>
    <row r="1520" spans="1:9" s="31" customFormat="1" ht="120">
      <c r="A1520" s="12">
        <v>43576.897951388892</v>
      </c>
      <c r="B1520" s="13" t="s">
        <v>15997</v>
      </c>
      <c r="C1520" s="14" t="s">
        <v>400</v>
      </c>
      <c r="D1520" s="15" t="s">
        <v>401</v>
      </c>
      <c r="E1520" s="16" t="s">
        <v>13077</v>
      </c>
      <c r="F1520" s="12">
        <v>39851.088078703702</v>
      </c>
      <c r="G1520" s="17" t="s">
        <v>171</v>
      </c>
      <c r="H1520" s="35" t="s">
        <v>402</v>
      </c>
      <c r="I1520" s="18" t="s">
        <v>403</v>
      </c>
    </row>
    <row r="1521" spans="1:9" s="31" customFormat="1" ht="120">
      <c r="A1521" s="12">
        <v>43575.898009259261</v>
      </c>
      <c r="B1521" s="13" t="s">
        <v>15997</v>
      </c>
      <c r="C1521" s="14" t="s">
        <v>400</v>
      </c>
      <c r="D1521" s="15" t="s">
        <v>401</v>
      </c>
      <c r="E1521" s="16" t="s">
        <v>13077</v>
      </c>
      <c r="F1521" s="12">
        <v>39851.088078703702</v>
      </c>
      <c r="G1521" s="17" t="s">
        <v>171</v>
      </c>
      <c r="H1521" s="35" t="s">
        <v>402</v>
      </c>
      <c r="I1521" s="18" t="s">
        <v>403</v>
      </c>
    </row>
    <row r="1522" spans="1:9" s="31" customFormat="1" ht="120">
      <c r="A1522" s="12">
        <v>43574.898402777777</v>
      </c>
      <c r="B1522" s="13" t="s">
        <v>15997</v>
      </c>
      <c r="C1522" s="14" t="s">
        <v>400</v>
      </c>
      <c r="D1522" s="15" t="s">
        <v>401</v>
      </c>
      <c r="E1522" s="16" t="s">
        <v>13077</v>
      </c>
      <c r="F1522" s="12">
        <v>39851.088078703702</v>
      </c>
      <c r="G1522" s="17" t="s">
        <v>171</v>
      </c>
      <c r="H1522" s="35" t="s">
        <v>402</v>
      </c>
      <c r="I1522" s="18" t="s">
        <v>403</v>
      </c>
    </row>
    <row r="1523" spans="1:9" s="31" customFormat="1" ht="120">
      <c r="A1523" s="12">
        <v>43573.897986111115</v>
      </c>
      <c r="B1523" s="13" t="s">
        <v>15997</v>
      </c>
      <c r="C1523" s="14" t="s">
        <v>400</v>
      </c>
      <c r="D1523" s="15" t="s">
        <v>401</v>
      </c>
      <c r="E1523" s="16" t="s">
        <v>13077</v>
      </c>
      <c r="F1523" s="12">
        <v>39851.088078703702</v>
      </c>
      <c r="G1523" s="17" t="s">
        <v>171</v>
      </c>
      <c r="H1523" s="35" t="s">
        <v>402</v>
      </c>
      <c r="I1523" s="18" t="s">
        <v>403</v>
      </c>
    </row>
    <row r="1524" spans="1:9" s="31" customFormat="1" ht="120">
      <c r="A1524" s="12">
        <v>43572.897997685184</v>
      </c>
      <c r="B1524" s="13" t="s">
        <v>15997</v>
      </c>
      <c r="C1524" s="14" t="s">
        <v>400</v>
      </c>
      <c r="D1524" s="15" t="s">
        <v>401</v>
      </c>
      <c r="E1524" s="16" t="s">
        <v>13077</v>
      </c>
      <c r="F1524" s="12">
        <v>39851.088078703702</v>
      </c>
      <c r="G1524" s="17" t="s">
        <v>171</v>
      </c>
      <c r="H1524" s="35" t="s">
        <v>402</v>
      </c>
      <c r="I1524" s="18" t="s">
        <v>403</v>
      </c>
    </row>
    <row r="1525" spans="1:9" s="31" customFormat="1" ht="120">
      <c r="A1525" s="12">
        <v>43571.897974537038</v>
      </c>
      <c r="B1525" s="13" t="s">
        <v>15997</v>
      </c>
      <c r="C1525" s="14" t="s">
        <v>400</v>
      </c>
      <c r="D1525" s="15" t="s">
        <v>401</v>
      </c>
      <c r="E1525" s="16" t="s">
        <v>13077</v>
      </c>
      <c r="F1525" s="12">
        <v>39851.088078703702</v>
      </c>
      <c r="G1525" s="17" t="s">
        <v>171</v>
      </c>
      <c r="H1525" s="35" t="s">
        <v>402</v>
      </c>
      <c r="I1525" s="18" t="s">
        <v>403</v>
      </c>
    </row>
    <row r="1526" spans="1:9" s="31" customFormat="1" ht="120">
      <c r="A1526" s="12">
        <v>43570.897974537038</v>
      </c>
      <c r="B1526" s="13" t="s">
        <v>15997</v>
      </c>
      <c r="C1526" s="14" t="s">
        <v>400</v>
      </c>
      <c r="D1526" s="15" t="s">
        <v>401</v>
      </c>
      <c r="E1526" s="16" t="s">
        <v>13077</v>
      </c>
      <c r="F1526" s="12">
        <v>39851.088078703702</v>
      </c>
      <c r="G1526" s="17" t="s">
        <v>171</v>
      </c>
      <c r="H1526" s="35" t="s">
        <v>402</v>
      </c>
      <c r="I1526" s="18" t="s">
        <v>403</v>
      </c>
    </row>
    <row r="1527" spans="1:9" s="31" customFormat="1" ht="120">
      <c r="A1527" s="12">
        <v>43569.897986111115</v>
      </c>
      <c r="B1527" s="13" t="s">
        <v>15997</v>
      </c>
      <c r="C1527" s="14" t="s">
        <v>400</v>
      </c>
      <c r="D1527" s="15" t="s">
        <v>401</v>
      </c>
      <c r="E1527" s="16" t="s">
        <v>13077</v>
      </c>
      <c r="F1527" s="12">
        <v>39851.088078703702</v>
      </c>
      <c r="G1527" s="17" t="s">
        <v>171</v>
      </c>
      <c r="H1527" s="35" t="s">
        <v>402</v>
      </c>
      <c r="I1527" s="18" t="s">
        <v>403</v>
      </c>
    </row>
    <row r="1528" spans="1:9" s="31" customFormat="1" ht="120">
      <c r="A1528" s="12">
        <v>43568.897986111115</v>
      </c>
      <c r="B1528" s="13" t="s">
        <v>15997</v>
      </c>
      <c r="C1528" s="14" t="s">
        <v>400</v>
      </c>
      <c r="D1528" s="15" t="s">
        <v>401</v>
      </c>
      <c r="E1528" s="16" t="s">
        <v>13077</v>
      </c>
      <c r="F1528" s="12">
        <v>39851.088078703702</v>
      </c>
      <c r="G1528" s="17" t="s">
        <v>171</v>
      </c>
      <c r="H1528" s="35" t="s">
        <v>402</v>
      </c>
      <c r="I1528" s="18" t="s">
        <v>403</v>
      </c>
    </row>
    <row r="1529" spans="1:9" s="31" customFormat="1" ht="120">
      <c r="A1529" s="12">
        <v>43567.897986111115</v>
      </c>
      <c r="B1529" s="13" t="s">
        <v>15997</v>
      </c>
      <c r="C1529" s="14" t="s">
        <v>400</v>
      </c>
      <c r="D1529" s="15" t="s">
        <v>401</v>
      </c>
      <c r="E1529" s="16" t="s">
        <v>13077</v>
      </c>
      <c r="F1529" s="12">
        <v>39851.088078703702</v>
      </c>
      <c r="G1529" s="17" t="s">
        <v>171</v>
      </c>
      <c r="H1529" s="35" t="s">
        <v>402</v>
      </c>
      <c r="I1529" s="18" t="s">
        <v>403</v>
      </c>
    </row>
    <row r="1530" spans="1:9" s="31" customFormat="1" ht="120">
      <c r="A1530" s="12">
        <v>43566.898043981477</v>
      </c>
      <c r="B1530" s="13" t="s">
        <v>15997</v>
      </c>
      <c r="C1530" s="14" t="s">
        <v>400</v>
      </c>
      <c r="D1530" s="15" t="s">
        <v>401</v>
      </c>
      <c r="E1530" s="16" t="s">
        <v>13077</v>
      </c>
      <c r="F1530" s="12">
        <v>39851.088078703702</v>
      </c>
      <c r="G1530" s="17" t="s">
        <v>171</v>
      </c>
      <c r="H1530" s="35" t="s">
        <v>402</v>
      </c>
      <c r="I1530" s="18" t="s">
        <v>403</v>
      </c>
    </row>
    <row r="1531" spans="1:9" s="31" customFormat="1" ht="120">
      <c r="A1531" s="12">
        <v>43565.897974537038</v>
      </c>
      <c r="B1531" s="13" t="s">
        <v>15997</v>
      </c>
      <c r="C1531" s="14" t="s">
        <v>400</v>
      </c>
      <c r="D1531" s="15" t="s">
        <v>401</v>
      </c>
      <c r="E1531" s="16" t="s">
        <v>13077</v>
      </c>
      <c r="F1531" s="12">
        <v>39851.088078703702</v>
      </c>
      <c r="G1531" s="17" t="s">
        <v>171</v>
      </c>
      <c r="H1531" s="35" t="s">
        <v>402</v>
      </c>
      <c r="I1531" s="18" t="s">
        <v>403</v>
      </c>
    </row>
    <row r="1532" spans="1:9" s="31" customFormat="1" ht="120">
      <c r="A1532" s="19">
        <v>43546.363402777773</v>
      </c>
      <c r="B1532" s="20" t="s">
        <v>15998</v>
      </c>
      <c r="C1532" s="21" t="s">
        <v>8884</v>
      </c>
      <c r="D1532" s="22" t="s">
        <v>8885</v>
      </c>
      <c r="E1532" s="23" t="s">
        <v>13032</v>
      </c>
      <c r="F1532" s="19">
        <v>40088.284629629634</v>
      </c>
      <c r="G1532" s="24" t="s">
        <v>171</v>
      </c>
      <c r="H1532" s="35" t="s">
        <v>8886</v>
      </c>
      <c r="I1532" s="25" t="s">
        <v>8887</v>
      </c>
    </row>
    <row r="1533" spans="1:9" s="31" customFormat="1" ht="120">
      <c r="A1533" s="4">
        <v>43563.645381944443</v>
      </c>
      <c r="B1533" s="5" t="s">
        <v>15999</v>
      </c>
      <c r="C1533" s="6" t="s">
        <v>6928</v>
      </c>
      <c r="D1533" s="7" t="s">
        <v>6929</v>
      </c>
      <c r="E1533" s="8" t="s">
        <v>13009</v>
      </c>
      <c r="F1533" s="4">
        <v>39866.542233796295</v>
      </c>
      <c r="G1533" s="17" t="s">
        <v>171</v>
      </c>
      <c r="H1533" s="35" t="s">
        <v>6930</v>
      </c>
      <c r="I1533" s="10" t="s">
        <v>10215</v>
      </c>
    </row>
    <row r="1534" spans="1:9" s="31" customFormat="1" ht="90">
      <c r="A1534" s="12">
        <v>43563.645381944443</v>
      </c>
      <c r="B1534" s="13" t="s">
        <v>15999</v>
      </c>
      <c r="C1534" s="14" t="s">
        <v>6928</v>
      </c>
      <c r="D1534" s="15" t="s">
        <v>6929</v>
      </c>
      <c r="E1534" s="16" t="s">
        <v>13009</v>
      </c>
      <c r="F1534" s="12">
        <v>39866.542233796295</v>
      </c>
      <c r="G1534" s="17" t="s">
        <v>171</v>
      </c>
      <c r="H1534" s="35" t="s">
        <v>6930</v>
      </c>
      <c r="I1534" s="18" t="s">
        <v>6931</v>
      </c>
    </row>
    <row r="1535" spans="1:9" s="31" customFormat="1" ht="60">
      <c r="A1535" s="12">
        <v>43572.426504629635</v>
      </c>
      <c r="B1535" s="13" t="s">
        <v>16000</v>
      </c>
      <c r="C1535" s="14" t="s">
        <v>3253</v>
      </c>
      <c r="D1535" s="15" t="s">
        <v>3254</v>
      </c>
      <c r="E1535" s="16" t="s">
        <v>13011</v>
      </c>
      <c r="F1535" s="12">
        <v>43563.118900462963</v>
      </c>
      <c r="G1535" s="17" t="s">
        <v>171</v>
      </c>
      <c r="H1535" s="35" t="s">
        <v>3255</v>
      </c>
      <c r="I1535" s="18" t="s">
        <v>3256</v>
      </c>
    </row>
    <row r="1536" spans="1:9" s="31" customFormat="1" ht="60">
      <c r="A1536" s="12">
        <v>43569.494131944448</v>
      </c>
      <c r="B1536" s="13" t="s">
        <v>16001</v>
      </c>
      <c r="C1536" s="14" t="s">
        <v>4508</v>
      </c>
      <c r="D1536" s="15" t="s">
        <v>4509</v>
      </c>
      <c r="E1536" s="16" t="s">
        <v>13013</v>
      </c>
      <c r="F1536" s="12">
        <v>40125.567824074074</v>
      </c>
      <c r="G1536" s="17" t="s">
        <v>171</v>
      </c>
      <c r="H1536" s="35" t="s">
        <v>3255</v>
      </c>
      <c r="I1536" s="18" t="s">
        <v>4510</v>
      </c>
    </row>
    <row r="1537" spans="1:9" s="31" customFormat="1" ht="60">
      <c r="A1537" s="12">
        <v>43568.986782407403</v>
      </c>
      <c r="B1537" s="13" t="s">
        <v>16000</v>
      </c>
      <c r="C1537" s="14" t="s">
        <v>3253</v>
      </c>
      <c r="D1537" s="15" t="s">
        <v>4616</v>
      </c>
      <c r="E1537" s="16" t="s">
        <v>13009</v>
      </c>
      <c r="F1537" s="12">
        <v>43563.118900462963</v>
      </c>
      <c r="G1537" s="17" t="s">
        <v>171</v>
      </c>
      <c r="H1537" s="35" t="s">
        <v>3255</v>
      </c>
      <c r="I1537" s="18" t="s">
        <v>3256</v>
      </c>
    </row>
    <row r="1538" spans="1:9" s="31" customFormat="1" ht="105">
      <c r="A1538" s="12">
        <v>43568.395844907413</v>
      </c>
      <c r="B1538" s="13" t="s">
        <v>16002</v>
      </c>
      <c r="C1538" s="14" t="s">
        <v>4797</v>
      </c>
      <c r="D1538" s="15" t="s">
        <v>4798</v>
      </c>
      <c r="E1538" s="16" t="s">
        <v>15871</v>
      </c>
      <c r="F1538" s="12">
        <v>41681.11446759259</v>
      </c>
      <c r="G1538" s="17" t="s">
        <v>171</v>
      </c>
      <c r="H1538" s="35" t="s">
        <v>3255</v>
      </c>
      <c r="I1538" s="18" t="s">
        <v>4799</v>
      </c>
    </row>
    <row r="1539" spans="1:9" s="31" customFormat="1" ht="105">
      <c r="A1539" s="19">
        <v>43551.249490740738</v>
      </c>
      <c r="B1539" s="20" t="s">
        <v>16003</v>
      </c>
      <c r="C1539" s="21" t="s">
        <v>7384</v>
      </c>
      <c r="D1539" s="22" t="s">
        <v>7385</v>
      </c>
      <c r="E1539" s="23" t="s">
        <v>13006</v>
      </c>
      <c r="F1539" s="19">
        <v>40006.561574074076</v>
      </c>
      <c r="G1539" s="24" t="s">
        <v>171</v>
      </c>
      <c r="H1539" s="35" t="s">
        <v>7386</v>
      </c>
      <c r="I1539" s="25" t="s">
        <v>7387</v>
      </c>
    </row>
    <row r="1540" spans="1:9" s="31" customFormat="1" ht="90">
      <c r="A1540" s="12">
        <v>43570.983831018515</v>
      </c>
      <c r="B1540" s="13" t="s">
        <v>16004</v>
      </c>
      <c r="C1540" s="14" t="s">
        <v>3907</v>
      </c>
      <c r="D1540" s="15" t="s">
        <v>3908</v>
      </c>
      <c r="E1540" s="16" t="s">
        <v>13011</v>
      </c>
      <c r="F1540" s="12">
        <v>43512.028298611112</v>
      </c>
      <c r="G1540" s="17" t="s">
        <v>171</v>
      </c>
      <c r="H1540" s="35" t="s">
        <v>3909</v>
      </c>
      <c r="I1540" s="18" t="s">
        <v>3910</v>
      </c>
    </row>
    <row r="1541" spans="1:9" s="31" customFormat="1" ht="120">
      <c r="A1541" s="12">
        <v>43567.168425925927</v>
      </c>
      <c r="B1541" s="13" t="s">
        <v>16005</v>
      </c>
      <c r="C1541" s="14" t="s">
        <v>5220</v>
      </c>
      <c r="D1541" s="15" t="s">
        <v>5221</v>
      </c>
      <c r="E1541" s="16" t="s">
        <v>13011</v>
      </c>
      <c r="F1541" s="12">
        <v>43323.149328703701</v>
      </c>
      <c r="G1541" s="17" t="s">
        <v>171</v>
      </c>
      <c r="H1541" s="35" t="s">
        <v>3909</v>
      </c>
      <c r="I1541" s="18" t="s">
        <v>5222</v>
      </c>
    </row>
    <row r="1542" spans="1:9" s="31" customFormat="1" ht="90">
      <c r="A1542" s="12">
        <v>43567.09510416667</v>
      </c>
      <c r="B1542" s="13" t="s">
        <v>16006</v>
      </c>
      <c r="C1542" s="14" t="s">
        <v>5239</v>
      </c>
      <c r="D1542" s="15" t="s">
        <v>5240</v>
      </c>
      <c r="E1542" s="16" t="s">
        <v>13009</v>
      </c>
      <c r="F1542" s="12">
        <v>42020.170254629629</v>
      </c>
      <c r="G1542" s="17" t="s">
        <v>171</v>
      </c>
      <c r="H1542" s="35" t="s">
        <v>5241</v>
      </c>
      <c r="I1542" s="18" t="s">
        <v>5242</v>
      </c>
    </row>
    <row r="1543" spans="1:9" s="31" customFormat="1" ht="105">
      <c r="A1543" s="12">
        <v>43567.155960648146</v>
      </c>
      <c r="B1543" s="13" t="s">
        <v>16007</v>
      </c>
      <c r="C1543" s="14" t="s">
        <v>5224</v>
      </c>
      <c r="D1543" s="15" t="s">
        <v>5225</v>
      </c>
      <c r="E1543" s="16" t="s">
        <v>13013</v>
      </c>
      <c r="F1543" s="12">
        <v>43416.050046296295</v>
      </c>
      <c r="G1543" s="17" t="s">
        <v>171</v>
      </c>
      <c r="H1543" s="35" t="s">
        <v>5226</v>
      </c>
      <c r="I1543" s="18" t="s">
        <v>5227</v>
      </c>
    </row>
    <row r="1544" spans="1:9" s="31" customFormat="1" ht="120">
      <c r="A1544" s="12">
        <v>43577.302349537036</v>
      </c>
      <c r="B1544" s="13" t="s">
        <v>16008</v>
      </c>
      <c r="C1544" s="14" t="s">
        <v>1676</v>
      </c>
      <c r="D1544" s="15" t="s">
        <v>1677</v>
      </c>
      <c r="E1544" s="16" t="s">
        <v>13018</v>
      </c>
      <c r="F1544" s="12">
        <v>39820.062118055554</v>
      </c>
      <c r="G1544" s="17" t="s">
        <v>171</v>
      </c>
      <c r="H1544" s="35" t="s">
        <v>1678</v>
      </c>
      <c r="I1544" s="18" t="s">
        <v>1679</v>
      </c>
    </row>
    <row r="1545" spans="1:9" s="31" customFormat="1" ht="30">
      <c r="A1545" s="4">
        <v>43562.480937500004</v>
      </c>
      <c r="B1545" s="5" t="s">
        <v>16009</v>
      </c>
      <c r="C1545" s="6" t="s">
        <v>10666</v>
      </c>
      <c r="D1545" s="7" t="s">
        <v>10667</v>
      </c>
      <c r="E1545" s="8" t="s">
        <v>13009</v>
      </c>
      <c r="F1545" s="4">
        <v>39149.391423611109</v>
      </c>
      <c r="G1545" s="9" t="s">
        <v>171</v>
      </c>
      <c r="H1545" s="35" t="s">
        <v>10668</v>
      </c>
      <c r="I1545" s="10" t="s">
        <v>10669</v>
      </c>
    </row>
    <row r="1546" spans="1:9" s="31" customFormat="1" ht="105">
      <c r="A1546" s="19">
        <v>43545.010520833333</v>
      </c>
      <c r="B1546" s="20" t="s">
        <v>16010</v>
      </c>
      <c r="C1546" s="21" t="s">
        <v>9303</v>
      </c>
      <c r="D1546" s="22" t="s">
        <v>9304</v>
      </c>
      <c r="E1546" s="23" t="s">
        <v>13013</v>
      </c>
      <c r="F1546" s="19">
        <v>41749.391365740739</v>
      </c>
      <c r="G1546" s="9" t="s">
        <v>171</v>
      </c>
      <c r="H1546" s="35" t="s">
        <v>1096</v>
      </c>
      <c r="I1546" s="25" t="s">
        <v>9305</v>
      </c>
    </row>
    <row r="1547" spans="1:9" s="31" customFormat="1" ht="75">
      <c r="A1547" s="12">
        <v>43578.695590277777</v>
      </c>
      <c r="B1547" s="13" t="s">
        <v>16011</v>
      </c>
      <c r="C1547" s="14" t="s">
        <v>1094</v>
      </c>
      <c r="D1547" s="15" t="s">
        <v>1095</v>
      </c>
      <c r="E1547" s="16" t="s">
        <v>13011</v>
      </c>
      <c r="F1547" s="12">
        <v>40627.278078703705</v>
      </c>
      <c r="G1547" s="9" t="s">
        <v>171</v>
      </c>
      <c r="H1547" s="35" t="s">
        <v>1096</v>
      </c>
      <c r="I1547" s="18" t="s">
        <v>1097</v>
      </c>
    </row>
    <row r="1548" spans="1:9" s="31" customFormat="1" ht="120">
      <c r="A1548" s="12">
        <v>43569.163217592592</v>
      </c>
      <c r="B1548" s="13" t="s">
        <v>16012</v>
      </c>
      <c r="C1548" s="14" t="s">
        <v>4590</v>
      </c>
      <c r="D1548" s="15" t="s">
        <v>4591</v>
      </c>
      <c r="E1548" s="16" t="s">
        <v>13032</v>
      </c>
      <c r="F1548" s="12">
        <v>42932.414097222223</v>
      </c>
      <c r="G1548" s="9" t="s">
        <v>171</v>
      </c>
      <c r="H1548" s="35" t="s">
        <v>1096</v>
      </c>
      <c r="I1548" s="18" t="s">
        <v>4592</v>
      </c>
    </row>
    <row r="1549" spans="1:9" s="31" customFormat="1" ht="120">
      <c r="A1549" s="4">
        <v>43561.336851851855</v>
      </c>
      <c r="B1549" s="5" t="s">
        <v>16013</v>
      </c>
      <c r="C1549" s="6" t="s">
        <v>11006</v>
      </c>
      <c r="D1549" s="7" t="s">
        <v>11007</v>
      </c>
      <c r="E1549" s="8" t="s">
        <v>13018</v>
      </c>
      <c r="F1549" s="4">
        <v>39711.544490740736</v>
      </c>
      <c r="G1549" s="9" t="s">
        <v>171</v>
      </c>
      <c r="H1549" s="35" t="s">
        <v>11008</v>
      </c>
      <c r="I1549" s="10" t="s">
        <v>11009</v>
      </c>
    </row>
    <row r="1550" spans="1:9" s="31" customFormat="1" ht="120">
      <c r="A1550" s="12">
        <v>43574.027812500004</v>
      </c>
      <c r="B1550" s="13" t="s">
        <v>16014</v>
      </c>
      <c r="C1550" s="14" t="s">
        <v>2689</v>
      </c>
      <c r="D1550" s="15" t="s">
        <v>2690</v>
      </c>
      <c r="E1550" s="16" t="s">
        <v>13018</v>
      </c>
      <c r="F1550" s="12">
        <v>39926.033425925925</v>
      </c>
      <c r="G1550" s="17" t="s">
        <v>171</v>
      </c>
      <c r="H1550" s="35" t="s">
        <v>2691</v>
      </c>
      <c r="I1550" s="18" t="s">
        <v>2692</v>
      </c>
    </row>
    <row r="1551" spans="1:9" s="31" customFormat="1" ht="75">
      <c r="A1551" s="12">
        <v>43572.507094907407</v>
      </c>
      <c r="B1551" s="13" t="s">
        <v>16015</v>
      </c>
      <c r="C1551" s="14" t="s">
        <v>3206</v>
      </c>
      <c r="D1551" s="15" t="s">
        <v>3207</v>
      </c>
      <c r="E1551" s="16" t="s">
        <v>14412</v>
      </c>
      <c r="F1551" s="12">
        <v>39649.326284722221</v>
      </c>
      <c r="G1551" s="17" t="s">
        <v>171</v>
      </c>
      <c r="H1551" s="35" t="s">
        <v>3208</v>
      </c>
      <c r="I1551" s="18" t="s">
        <v>3209</v>
      </c>
    </row>
    <row r="1552" spans="1:9" s="31" customFormat="1" ht="45">
      <c r="A1552" s="12">
        <v>43576.133773148147</v>
      </c>
      <c r="B1552" s="13" t="s">
        <v>16016</v>
      </c>
      <c r="C1552" s="14" t="s">
        <v>2041</v>
      </c>
      <c r="D1552" s="15" t="s">
        <v>2042</v>
      </c>
      <c r="E1552" s="16" t="s">
        <v>13099</v>
      </c>
      <c r="F1552" s="12">
        <v>39874.15152777778</v>
      </c>
      <c r="G1552" s="17" t="s">
        <v>171</v>
      </c>
      <c r="H1552" s="35" t="s">
        <v>2043</v>
      </c>
      <c r="I1552" s="18"/>
    </row>
    <row r="1553" spans="1:9" s="31" customFormat="1" ht="60">
      <c r="A1553" s="19">
        <v>43551.34039351852</v>
      </c>
      <c r="B1553" s="20" t="s">
        <v>16017</v>
      </c>
      <c r="C1553" s="21" t="s">
        <v>7294</v>
      </c>
      <c r="D1553" s="22" t="s">
        <v>7295</v>
      </c>
      <c r="E1553" s="23" t="s">
        <v>13009</v>
      </c>
      <c r="F1553" s="19">
        <v>41912.635613425926</v>
      </c>
      <c r="G1553" s="9" t="s">
        <v>171</v>
      </c>
      <c r="H1553" s="35" t="s">
        <v>7296</v>
      </c>
      <c r="I1553" s="25" t="s">
        <v>7297</v>
      </c>
    </row>
    <row r="1554" spans="1:9" s="31" customFormat="1" ht="120">
      <c r="A1554" s="19">
        <v>43543.172939814816</v>
      </c>
      <c r="B1554" s="20" t="s">
        <v>16018</v>
      </c>
      <c r="C1554" s="21" t="s">
        <v>9909</v>
      </c>
      <c r="D1554" s="22" t="s">
        <v>9910</v>
      </c>
      <c r="E1554" s="23" t="s">
        <v>13011</v>
      </c>
      <c r="F1554" s="19">
        <v>39463.353981481479</v>
      </c>
      <c r="G1554" s="9" t="s">
        <v>171</v>
      </c>
      <c r="H1554" s="35" t="s">
        <v>7296</v>
      </c>
      <c r="I1554" s="25" t="s">
        <v>9911</v>
      </c>
    </row>
    <row r="1555" spans="1:9" s="31" customFormat="1" ht="105">
      <c r="A1555" s="19">
        <v>43551.000937500001</v>
      </c>
      <c r="B1555" s="20" t="s">
        <v>16019</v>
      </c>
      <c r="C1555" s="21" t="s">
        <v>3478</v>
      </c>
      <c r="D1555" s="22" t="s">
        <v>7459</v>
      </c>
      <c r="E1555" s="23" t="s">
        <v>13462</v>
      </c>
      <c r="F1555" s="19">
        <v>42459.23332175926</v>
      </c>
      <c r="G1555" s="9" t="s">
        <v>171</v>
      </c>
      <c r="H1555" s="35" t="s">
        <v>3480</v>
      </c>
      <c r="I1555" s="25" t="s">
        <v>3481</v>
      </c>
    </row>
    <row r="1556" spans="1:9" s="31" customFormat="1" ht="105">
      <c r="A1556" s="19">
        <v>43550.652974537035</v>
      </c>
      <c r="B1556" s="20" t="s">
        <v>16019</v>
      </c>
      <c r="C1556" s="21" t="s">
        <v>3478</v>
      </c>
      <c r="D1556" s="22" t="s">
        <v>7570</v>
      </c>
      <c r="E1556" s="23" t="s">
        <v>13462</v>
      </c>
      <c r="F1556" s="19">
        <v>42459.23332175926</v>
      </c>
      <c r="G1556" s="9" t="s">
        <v>171</v>
      </c>
      <c r="H1556" s="35" t="s">
        <v>3480</v>
      </c>
      <c r="I1556" s="25" t="s">
        <v>3481</v>
      </c>
    </row>
    <row r="1557" spans="1:9" s="31" customFormat="1" ht="105">
      <c r="A1557" s="19">
        <v>43549.180729166663</v>
      </c>
      <c r="B1557" s="20" t="s">
        <v>16019</v>
      </c>
      <c r="C1557" s="21" t="s">
        <v>3478</v>
      </c>
      <c r="D1557" s="22" t="s">
        <v>8142</v>
      </c>
      <c r="E1557" s="23" t="s">
        <v>13462</v>
      </c>
      <c r="F1557" s="19">
        <v>42459.23332175926</v>
      </c>
      <c r="G1557" s="9" t="s">
        <v>171</v>
      </c>
      <c r="H1557" s="35" t="s">
        <v>3480</v>
      </c>
      <c r="I1557" s="25" t="s">
        <v>3481</v>
      </c>
    </row>
    <row r="1558" spans="1:9" s="31" customFormat="1" ht="105">
      <c r="A1558" s="19">
        <v>43544.652974537035</v>
      </c>
      <c r="B1558" s="20" t="s">
        <v>16019</v>
      </c>
      <c r="C1558" s="21" t="s">
        <v>3478</v>
      </c>
      <c r="D1558" s="22" t="s">
        <v>9380</v>
      </c>
      <c r="E1558" s="23" t="s">
        <v>13462</v>
      </c>
      <c r="F1558" s="19">
        <v>42459.23332175926</v>
      </c>
      <c r="G1558" s="9" t="s">
        <v>171</v>
      </c>
      <c r="H1558" s="35" t="s">
        <v>3480</v>
      </c>
      <c r="I1558" s="25" t="s">
        <v>3481</v>
      </c>
    </row>
    <row r="1559" spans="1:9" s="31" customFormat="1" ht="105">
      <c r="A1559" s="19">
        <v>43544.355787037042</v>
      </c>
      <c r="B1559" s="20" t="s">
        <v>16019</v>
      </c>
      <c r="C1559" s="21" t="s">
        <v>3478</v>
      </c>
      <c r="D1559" s="22" t="s">
        <v>9498</v>
      </c>
      <c r="E1559" s="23" t="s">
        <v>13462</v>
      </c>
      <c r="F1559" s="19">
        <v>42459.23332175926</v>
      </c>
      <c r="G1559" s="9" t="s">
        <v>171</v>
      </c>
      <c r="H1559" s="35" t="s">
        <v>3480</v>
      </c>
      <c r="I1559" s="25" t="s">
        <v>3481</v>
      </c>
    </row>
    <row r="1560" spans="1:9" s="31" customFormat="1" ht="105">
      <c r="A1560" s="4">
        <v>43564.001076388886</v>
      </c>
      <c r="B1560" s="5" t="s">
        <v>16019</v>
      </c>
      <c r="C1560" s="6" t="s">
        <v>3478</v>
      </c>
      <c r="D1560" s="7" t="s">
        <v>6828</v>
      </c>
      <c r="E1560" s="8" t="s">
        <v>13462</v>
      </c>
      <c r="F1560" s="4">
        <v>42459.23332175926</v>
      </c>
      <c r="G1560" s="9" t="s">
        <v>171</v>
      </c>
      <c r="H1560" s="35" t="s">
        <v>3480</v>
      </c>
      <c r="I1560" s="10" t="s">
        <v>3481</v>
      </c>
    </row>
    <row r="1561" spans="1:9" s="31" customFormat="1" ht="105">
      <c r="A1561" s="4">
        <v>43563.959374999999</v>
      </c>
      <c r="B1561" s="5" t="s">
        <v>16019</v>
      </c>
      <c r="C1561" s="6" t="s">
        <v>3478</v>
      </c>
      <c r="D1561" s="7" t="s">
        <v>6845</v>
      </c>
      <c r="E1561" s="8" t="s">
        <v>13462</v>
      </c>
      <c r="F1561" s="4">
        <v>42459.23332175926</v>
      </c>
      <c r="G1561" s="9" t="s">
        <v>171</v>
      </c>
      <c r="H1561" s="35" t="s">
        <v>3480</v>
      </c>
      <c r="I1561" s="10" t="s">
        <v>3481</v>
      </c>
    </row>
    <row r="1562" spans="1:9" s="31" customFormat="1" ht="105">
      <c r="A1562" s="4">
        <v>43560.001145833332</v>
      </c>
      <c r="B1562" s="5" t="s">
        <v>16019</v>
      </c>
      <c r="C1562" s="6" t="s">
        <v>3478</v>
      </c>
      <c r="D1562" s="7" t="s">
        <v>11640</v>
      </c>
      <c r="E1562" s="8" t="s">
        <v>13462</v>
      </c>
      <c r="F1562" s="4">
        <v>42459.23332175926</v>
      </c>
      <c r="G1562" s="9" t="s">
        <v>171</v>
      </c>
      <c r="H1562" s="35" t="s">
        <v>3480</v>
      </c>
      <c r="I1562" s="10" t="s">
        <v>3481</v>
      </c>
    </row>
    <row r="1563" spans="1:9" s="31" customFormat="1" ht="105">
      <c r="A1563" s="4">
        <v>43558.959409722222</v>
      </c>
      <c r="B1563" s="5" t="s">
        <v>16019</v>
      </c>
      <c r="C1563" s="6" t="s">
        <v>3478</v>
      </c>
      <c r="D1563" s="7" t="s">
        <v>11990</v>
      </c>
      <c r="E1563" s="8" t="s">
        <v>13462</v>
      </c>
      <c r="F1563" s="4">
        <v>42459.23332175926</v>
      </c>
      <c r="G1563" s="9" t="s">
        <v>171</v>
      </c>
      <c r="H1563" s="35" t="s">
        <v>3480</v>
      </c>
      <c r="I1563" s="10" t="s">
        <v>3481</v>
      </c>
    </row>
    <row r="1564" spans="1:9" s="31" customFormat="1" ht="105">
      <c r="A1564" s="4">
        <v>43558.001099537039</v>
      </c>
      <c r="B1564" s="5" t="s">
        <v>16019</v>
      </c>
      <c r="C1564" s="6" t="s">
        <v>3478</v>
      </c>
      <c r="D1564" s="7" t="s">
        <v>12347</v>
      </c>
      <c r="E1564" s="8" t="s">
        <v>13462</v>
      </c>
      <c r="F1564" s="4">
        <v>42459.23332175926</v>
      </c>
      <c r="G1564" s="9" t="s">
        <v>171</v>
      </c>
      <c r="H1564" s="35" t="s">
        <v>3480</v>
      </c>
      <c r="I1564" s="10" t="s">
        <v>3481</v>
      </c>
    </row>
    <row r="1565" spans="1:9" s="31" customFormat="1" ht="105">
      <c r="A1565" s="12">
        <v>43571.960104166668</v>
      </c>
      <c r="B1565" s="13" t="s">
        <v>16019</v>
      </c>
      <c r="C1565" s="14" t="s">
        <v>3478</v>
      </c>
      <c r="D1565" s="15" t="s">
        <v>3479</v>
      </c>
      <c r="E1565" s="16" t="s">
        <v>13462</v>
      </c>
      <c r="F1565" s="12">
        <v>42459.23332175926</v>
      </c>
      <c r="G1565" s="9" t="s">
        <v>171</v>
      </c>
      <c r="H1565" s="35" t="s">
        <v>3480</v>
      </c>
      <c r="I1565" s="18" t="s">
        <v>3481</v>
      </c>
    </row>
    <row r="1566" spans="1:9" s="31" customFormat="1" ht="105">
      <c r="A1566" s="12">
        <v>43571.139247685191</v>
      </c>
      <c r="B1566" s="13" t="s">
        <v>16019</v>
      </c>
      <c r="C1566" s="14" t="s">
        <v>3478</v>
      </c>
      <c r="D1566" s="15" t="s">
        <v>3837</v>
      </c>
      <c r="E1566" s="16" t="s">
        <v>13462</v>
      </c>
      <c r="F1566" s="12">
        <v>42459.23332175926</v>
      </c>
      <c r="G1566" s="9" t="s">
        <v>171</v>
      </c>
      <c r="H1566" s="35" t="s">
        <v>3480</v>
      </c>
      <c r="I1566" s="18" t="s">
        <v>3481</v>
      </c>
    </row>
    <row r="1567" spans="1:9" s="31" customFormat="1" ht="105">
      <c r="A1567" s="12">
        <v>43567.611458333333</v>
      </c>
      <c r="B1567" s="13" t="s">
        <v>16019</v>
      </c>
      <c r="C1567" s="14" t="s">
        <v>3478</v>
      </c>
      <c r="D1567" s="15" t="s">
        <v>5024</v>
      </c>
      <c r="E1567" s="16" t="s">
        <v>13462</v>
      </c>
      <c r="F1567" s="12">
        <v>42459.23332175926</v>
      </c>
      <c r="G1567" s="9" t="s">
        <v>171</v>
      </c>
      <c r="H1567" s="35" t="s">
        <v>3480</v>
      </c>
      <c r="I1567" s="18" t="s">
        <v>3481</v>
      </c>
    </row>
    <row r="1568" spans="1:9" s="31" customFormat="1" ht="105">
      <c r="A1568" s="12">
        <v>43565.96025462963</v>
      </c>
      <c r="B1568" s="13" t="s">
        <v>16019</v>
      </c>
      <c r="C1568" s="14" t="s">
        <v>3478</v>
      </c>
      <c r="D1568" s="15" t="s">
        <v>5832</v>
      </c>
      <c r="E1568" s="16" t="s">
        <v>13462</v>
      </c>
      <c r="F1568" s="12">
        <v>42459.23332175926</v>
      </c>
      <c r="G1568" s="9" t="s">
        <v>171</v>
      </c>
      <c r="H1568" s="35" t="s">
        <v>3480</v>
      </c>
      <c r="I1568" s="18" t="s">
        <v>3481</v>
      </c>
    </row>
    <row r="1569" spans="1:9" s="31" customFormat="1" ht="75">
      <c r="A1569" s="12">
        <v>43576.683796296296</v>
      </c>
      <c r="B1569" s="13" t="s">
        <v>16020</v>
      </c>
      <c r="C1569" s="14" t="s">
        <v>1864</v>
      </c>
      <c r="D1569" s="15" t="s">
        <v>1865</v>
      </c>
      <c r="E1569" s="16" t="s">
        <v>13013</v>
      </c>
      <c r="F1569" s="12">
        <v>41334.149293981478</v>
      </c>
      <c r="G1569" s="9" t="s">
        <v>171</v>
      </c>
      <c r="H1569" s="35" t="s">
        <v>1866</v>
      </c>
      <c r="I1569" s="18" t="s">
        <v>1867</v>
      </c>
    </row>
    <row r="1570" spans="1:9" s="31" customFormat="1" ht="45">
      <c r="A1570" s="4">
        <v>43557.3205787037</v>
      </c>
      <c r="B1570" s="5" t="s">
        <v>16021</v>
      </c>
      <c r="C1570" s="6" t="s">
        <v>12559</v>
      </c>
      <c r="D1570" s="7" t="s">
        <v>12560</v>
      </c>
      <c r="E1570" s="8" t="s">
        <v>13032</v>
      </c>
      <c r="F1570" s="4">
        <v>42785.431585648148</v>
      </c>
      <c r="G1570" s="9" t="s">
        <v>171</v>
      </c>
      <c r="H1570" s="35" t="s">
        <v>12561</v>
      </c>
      <c r="I1570" s="10" t="s">
        <v>12562</v>
      </c>
    </row>
    <row r="1571" spans="1:9" s="31" customFormat="1" ht="120">
      <c r="A1571" s="12">
        <v>43576.134884259256</v>
      </c>
      <c r="B1571" s="13" t="s">
        <v>16022</v>
      </c>
      <c r="C1571" s="14" t="s">
        <v>2037</v>
      </c>
      <c r="D1571" s="15" t="s">
        <v>2038</v>
      </c>
      <c r="E1571" s="16" t="s">
        <v>13011</v>
      </c>
      <c r="F1571" s="12">
        <v>40061.129444444443</v>
      </c>
      <c r="G1571" s="17" t="s">
        <v>171</v>
      </c>
      <c r="H1571" s="35" t="s">
        <v>2039</v>
      </c>
      <c r="I1571" s="18" t="s">
        <v>2040</v>
      </c>
    </row>
    <row r="1572" spans="1:9" s="31" customFormat="1" ht="60">
      <c r="A1572" s="19">
        <v>43545.009270833332</v>
      </c>
      <c r="B1572" s="20" t="s">
        <v>16023</v>
      </c>
      <c r="C1572" s="21" t="s">
        <v>9306</v>
      </c>
      <c r="D1572" s="22" t="s">
        <v>9307</v>
      </c>
      <c r="E1572" s="23" t="s">
        <v>13011</v>
      </c>
      <c r="F1572" s="19">
        <v>39917.416608796295</v>
      </c>
      <c r="G1572" s="9" t="s">
        <v>171</v>
      </c>
      <c r="H1572" s="35" t="s">
        <v>9308</v>
      </c>
      <c r="I1572" s="25" t="s">
        <v>9309</v>
      </c>
    </row>
    <row r="1573" spans="1:9" s="31" customFormat="1" ht="30">
      <c r="A1573" s="12">
        <v>43579.868078703701</v>
      </c>
      <c r="B1573" s="13" t="s">
        <v>16024</v>
      </c>
      <c r="C1573" s="14" t="s">
        <v>427</v>
      </c>
      <c r="D1573" s="15" t="s">
        <v>428</v>
      </c>
      <c r="E1573" s="16" t="s">
        <v>13032</v>
      </c>
      <c r="F1573" s="12">
        <v>40711.985555555555</v>
      </c>
      <c r="G1573" s="9" t="s">
        <v>171</v>
      </c>
      <c r="H1573" s="35" t="s">
        <v>429</v>
      </c>
      <c r="I1573" s="18"/>
    </row>
    <row r="1574" spans="1:9" s="31" customFormat="1" ht="105">
      <c r="A1574" s="4">
        <v>43558.716249999998</v>
      </c>
      <c r="B1574" s="5" t="s">
        <v>16025</v>
      </c>
      <c r="C1574" s="6" t="s">
        <v>12055</v>
      </c>
      <c r="D1574" s="7" t="s">
        <v>12056</v>
      </c>
      <c r="E1574" s="8" t="s">
        <v>13013</v>
      </c>
      <c r="F1574" s="4">
        <v>43110.372847222221</v>
      </c>
      <c r="G1574" s="9" t="s">
        <v>171</v>
      </c>
      <c r="H1574" s="35" t="s">
        <v>12057</v>
      </c>
      <c r="I1574" s="10" t="s">
        <v>12058</v>
      </c>
    </row>
    <row r="1575" spans="1:9" s="31" customFormat="1" ht="75">
      <c r="A1575" s="12">
        <v>43566.292499999996</v>
      </c>
      <c r="B1575" s="13" t="s">
        <v>16026</v>
      </c>
      <c r="C1575" s="14" t="s">
        <v>5673</v>
      </c>
      <c r="D1575" s="15" t="s">
        <v>5674</v>
      </c>
      <c r="E1575" s="16" t="s">
        <v>13034</v>
      </c>
      <c r="F1575" s="12">
        <v>42923.351331018523</v>
      </c>
      <c r="G1575" s="24" t="s">
        <v>171</v>
      </c>
      <c r="H1575" s="35" t="s">
        <v>5675</v>
      </c>
      <c r="I1575" s="18" t="s">
        <v>5676</v>
      </c>
    </row>
    <row r="1576" spans="1:9" s="31" customFormat="1" ht="135">
      <c r="A1576" s="12">
        <v>43580.149907407409</v>
      </c>
      <c r="B1576" s="13" t="s">
        <v>16027</v>
      </c>
      <c r="C1576" s="14" t="s">
        <v>217</v>
      </c>
      <c r="D1576" s="15" t="s">
        <v>218</v>
      </c>
      <c r="E1576" s="16" t="s">
        <v>13130</v>
      </c>
      <c r="F1576" s="12">
        <v>40883.122997685183</v>
      </c>
      <c r="G1576" s="24" t="s">
        <v>171</v>
      </c>
      <c r="H1576" s="35" t="s">
        <v>219</v>
      </c>
      <c r="I1576" s="18" t="s">
        <v>220</v>
      </c>
    </row>
    <row r="1577" spans="1:9" s="31" customFormat="1" ht="45">
      <c r="A1577" s="19">
        <v>43551.087870370371</v>
      </c>
      <c r="B1577" s="20" t="s">
        <v>16028</v>
      </c>
      <c r="C1577" s="21" t="s">
        <v>313</v>
      </c>
      <c r="D1577" s="22" t="s">
        <v>7440</v>
      </c>
      <c r="E1577" s="23" t="s">
        <v>13201</v>
      </c>
      <c r="F1577" s="19">
        <v>43026.254780092597</v>
      </c>
      <c r="G1577" s="24" t="s">
        <v>171</v>
      </c>
      <c r="H1577" s="35" t="s">
        <v>315</v>
      </c>
      <c r="I1577" s="25" t="s">
        <v>316</v>
      </c>
    </row>
    <row r="1578" spans="1:9" s="31" customFormat="1" ht="45">
      <c r="A1578" s="19">
        <v>43550.087187500001</v>
      </c>
      <c r="B1578" s="20" t="s">
        <v>16028</v>
      </c>
      <c r="C1578" s="21" t="s">
        <v>313</v>
      </c>
      <c r="D1578" s="22" t="s">
        <v>7847</v>
      </c>
      <c r="E1578" s="23" t="s">
        <v>13201</v>
      </c>
      <c r="F1578" s="19">
        <v>43026.254780092597</v>
      </c>
      <c r="G1578" s="24" t="s">
        <v>171</v>
      </c>
      <c r="H1578" s="35" t="s">
        <v>315</v>
      </c>
      <c r="I1578" s="25" t="s">
        <v>316</v>
      </c>
    </row>
    <row r="1579" spans="1:9" s="31" customFormat="1" ht="45">
      <c r="A1579" s="19">
        <v>43549.088564814811</v>
      </c>
      <c r="B1579" s="20" t="s">
        <v>16028</v>
      </c>
      <c r="C1579" s="21" t="s">
        <v>313</v>
      </c>
      <c r="D1579" s="22" t="s">
        <v>8176</v>
      </c>
      <c r="E1579" s="23" t="s">
        <v>13201</v>
      </c>
      <c r="F1579" s="19">
        <v>43026.254780092597</v>
      </c>
      <c r="G1579" s="24" t="s">
        <v>171</v>
      </c>
      <c r="H1579" s="35" t="s">
        <v>315</v>
      </c>
      <c r="I1579" s="25" t="s">
        <v>316</v>
      </c>
    </row>
    <row r="1580" spans="1:9" s="31" customFormat="1" ht="45">
      <c r="A1580" s="19">
        <v>43548.089467592596</v>
      </c>
      <c r="B1580" s="20" t="s">
        <v>16028</v>
      </c>
      <c r="C1580" s="21" t="s">
        <v>313</v>
      </c>
      <c r="D1580" s="22" t="s">
        <v>8415</v>
      </c>
      <c r="E1580" s="23" t="s">
        <v>13201</v>
      </c>
      <c r="F1580" s="19">
        <v>43026.254780092597</v>
      </c>
      <c r="G1580" s="24" t="s">
        <v>171</v>
      </c>
      <c r="H1580" s="35" t="s">
        <v>315</v>
      </c>
      <c r="I1580" s="25" t="s">
        <v>316</v>
      </c>
    </row>
    <row r="1581" spans="1:9" s="31" customFormat="1" ht="135">
      <c r="A1581" s="19">
        <v>43547.271018518513</v>
      </c>
      <c r="B1581" s="20" t="s">
        <v>16029</v>
      </c>
      <c r="C1581" s="21" t="s">
        <v>8607</v>
      </c>
      <c r="D1581" s="22" t="s">
        <v>8608</v>
      </c>
      <c r="E1581" s="23" t="s">
        <v>13034</v>
      </c>
      <c r="F1581" s="19">
        <v>43172.068206018521</v>
      </c>
      <c r="G1581" s="24" t="s">
        <v>171</v>
      </c>
      <c r="H1581" s="35" t="s">
        <v>315</v>
      </c>
      <c r="I1581" s="25" t="s">
        <v>8609</v>
      </c>
    </row>
    <row r="1582" spans="1:9" s="31" customFormat="1" ht="30">
      <c r="A1582" s="19">
        <v>43547.214351851857</v>
      </c>
      <c r="B1582" s="20" t="s">
        <v>16028</v>
      </c>
      <c r="C1582" s="21" t="s">
        <v>313</v>
      </c>
      <c r="D1582" s="22" t="s">
        <v>8634</v>
      </c>
      <c r="E1582" s="23" t="s">
        <v>13011</v>
      </c>
      <c r="F1582" s="19">
        <v>43026.254780092597</v>
      </c>
      <c r="G1582" s="24" t="s">
        <v>171</v>
      </c>
      <c r="H1582" s="35" t="s">
        <v>315</v>
      </c>
      <c r="I1582" s="25" t="s">
        <v>316</v>
      </c>
    </row>
    <row r="1583" spans="1:9" s="31" customFormat="1" ht="45">
      <c r="A1583" s="19">
        <v>43547.086180555554</v>
      </c>
      <c r="B1583" s="20" t="s">
        <v>16028</v>
      </c>
      <c r="C1583" s="21" t="s">
        <v>313</v>
      </c>
      <c r="D1583" s="22" t="s">
        <v>8655</v>
      </c>
      <c r="E1583" s="23" t="s">
        <v>13201</v>
      </c>
      <c r="F1583" s="19">
        <v>43026.254780092597</v>
      </c>
      <c r="G1583" s="24" t="s">
        <v>171</v>
      </c>
      <c r="H1583" s="35" t="s">
        <v>315</v>
      </c>
      <c r="I1583" s="25" t="s">
        <v>316</v>
      </c>
    </row>
    <row r="1584" spans="1:9" s="31" customFormat="1" ht="45">
      <c r="A1584" s="19">
        <v>43546.090567129635</v>
      </c>
      <c r="B1584" s="20" t="s">
        <v>16028</v>
      </c>
      <c r="C1584" s="21" t="s">
        <v>313</v>
      </c>
      <c r="D1584" s="22" t="s">
        <v>8961</v>
      </c>
      <c r="E1584" s="23" t="s">
        <v>13201</v>
      </c>
      <c r="F1584" s="19">
        <v>43026.254780092597</v>
      </c>
      <c r="G1584" s="24" t="s">
        <v>171</v>
      </c>
      <c r="H1584" s="35" t="s">
        <v>315</v>
      </c>
      <c r="I1584" s="25" t="s">
        <v>316</v>
      </c>
    </row>
    <row r="1585" spans="1:9" s="31" customFormat="1" ht="135">
      <c r="A1585" s="19">
        <v>43545.40626157407</v>
      </c>
      <c r="B1585" s="20" t="s">
        <v>16029</v>
      </c>
      <c r="C1585" s="21" t="s">
        <v>8607</v>
      </c>
      <c r="D1585" s="22" t="s">
        <v>9151</v>
      </c>
      <c r="E1585" s="23" t="s">
        <v>13034</v>
      </c>
      <c r="F1585" s="19">
        <v>43172.068206018521</v>
      </c>
      <c r="G1585" s="24" t="s">
        <v>171</v>
      </c>
      <c r="H1585" s="35" t="s">
        <v>315</v>
      </c>
      <c r="I1585" s="25" t="s">
        <v>8609</v>
      </c>
    </row>
    <row r="1586" spans="1:9" s="31" customFormat="1" ht="45">
      <c r="A1586" s="19">
        <v>43545.086782407408</v>
      </c>
      <c r="B1586" s="20" t="s">
        <v>16028</v>
      </c>
      <c r="C1586" s="21" t="s">
        <v>313</v>
      </c>
      <c r="D1586" s="22" t="s">
        <v>9283</v>
      </c>
      <c r="E1586" s="23" t="s">
        <v>13201</v>
      </c>
      <c r="F1586" s="19">
        <v>43026.254780092597</v>
      </c>
      <c r="G1586" s="24" t="s">
        <v>171</v>
      </c>
      <c r="H1586" s="35" t="s">
        <v>315</v>
      </c>
      <c r="I1586" s="25" t="s">
        <v>316</v>
      </c>
    </row>
    <row r="1587" spans="1:9" s="31" customFormat="1" ht="45">
      <c r="A1587" s="19">
        <v>43544.095208333332</v>
      </c>
      <c r="B1587" s="20" t="s">
        <v>16028</v>
      </c>
      <c r="C1587" s="21" t="s">
        <v>313</v>
      </c>
      <c r="D1587" s="22" t="s">
        <v>9617</v>
      </c>
      <c r="E1587" s="23" t="s">
        <v>13201</v>
      </c>
      <c r="F1587" s="19">
        <v>43026.254780092597</v>
      </c>
      <c r="G1587" s="24" t="s">
        <v>171</v>
      </c>
      <c r="H1587" s="35" t="s">
        <v>315</v>
      </c>
      <c r="I1587" s="25" t="s">
        <v>316</v>
      </c>
    </row>
    <row r="1588" spans="1:9" s="31" customFormat="1" ht="45">
      <c r="A1588" s="19">
        <v>43543.084374999999</v>
      </c>
      <c r="B1588" s="20" t="s">
        <v>16028</v>
      </c>
      <c r="C1588" s="21" t="s">
        <v>313</v>
      </c>
      <c r="D1588" s="22" t="s">
        <v>9940</v>
      </c>
      <c r="E1588" s="23" t="s">
        <v>13201</v>
      </c>
      <c r="F1588" s="19">
        <v>43026.254780092597</v>
      </c>
      <c r="G1588" s="24" t="s">
        <v>171</v>
      </c>
      <c r="H1588" s="35" t="s">
        <v>315</v>
      </c>
      <c r="I1588" s="25" t="s">
        <v>316</v>
      </c>
    </row>
    <row r="1589" spans="1:9" s="31" customFormat="1" ht="45">
      <c r="A1589" s="4">
        <v>43565.043287037042</v>
      </c>
      <c r="B1589" s="5" t="s">
        <v>16028</v>
      </c>
      <c r="C1589" s="6" t="s">
        <v>313</v>
      </c>
      <c r="D1589" s="7" t="s">
        <v>6333</v>
      </c>
      <c r="E1589" s="8" t="s">
        <v>13201</v>
      </c>
      <c r="F1589" s="4">
        <v>43026.254780092597</v>
      </c>
      <c r="G1589" s="24" t="s">
        <v>171</v>
      </c>
      <c r="H1589" s="35" t="s">
        <v>315</v>
      </c>
      <c r="I1589" s="10" t="s">
        <v>316</v>
      </c>
    </row>
    <row r="1590" spans="1:9" s="31" customFormat="1" ht="45">
      <c r="A1590" s="4">
        <v>43564.045324074075</v>
      </c>
      <c r="B1590" s="5" t="s">
        <v>16028</v>
      </c>
      <c r="C1590" s="6" t="s">
        <v>313</v>
      </c>
      <c r="D1590" s="7" t="s">
        <v>6809</v>
      </c>
      <c r="E1590" s="8" t="s">
        <v>13201</v>
      </c>
      <c r="F1590" s="4">
        <v>43026.254780092597</v>
      </c>
      <c r="G1590" s="24" t="s">
        <v>171</v>
      </c>
      <c r="H1590" s="35" t="s">
        <v>315</v>
      </c>
      <c r="I1590" s="10" t="s">
        <v>316</v>
      </c>
    </row>
    <row r="1591" spans="1:9" s="31" customFormat="1" ht="45">
      <c r="A1591" s="4">
        <v>43563.045775462961</v>
      </c>
      <c r="B1591" s="5" t="s">
        <v>16028</v>
      </c>
      <c r="C1591" s="6" t="s">
        <v>313</v>
      </c>
      <c r="D1591" s="7" t="s">
        <v>10486</v>
      </c>
      <c r="E1591" s="8" t="s">
        <v>13201</v>
      </c>
      <c r="F1591" s="4">
        <v>43026.254780092597</v>
      </c>
      <c r="G1591" s="24" t="s">
        <v>171</v>
      </c>
      <c r="H1591" s="35" t="s">
        <v>315</v>
      </c>
      <c r="I1591" s="10" t="s">
        <v>316</v>
      </c>
    </row>
    <row r="1592" spans="1:9" s="31" customFormat="1" ht="45">
      <c r="A1592" s="4">
        <v>43562.04378472222</v>
      </c>
      <c r="B1592" s="5" t="s">
        <v>16028</v>
      </c>
      <c r="C1592" s="6" t="s">
        <v>313</v>
      </c>
      <c r="D1592" s="7" t="s">
        <v>10768</v>
      </c>
      <c r="E1592" s="8" t="s">
        <v>13201</v>
      </c>
      <c r="F1592" s="4">
        <v>43026.254780092597</v>
      </c>
      <c r="G1592" s="24" t="s">
        <v>171</v>
      </c>
      <c r="H1592" s="35" t="s">
        <v>315</v>
      </c>
      <c r="I1592" s="10" t="s">
        <v>316</v>
      </c>
    </row>
    <row r="1593" spans="1:9" s="31" customFormat="1" ht="45">
      <c r="A1593" s="4">
        <v>43561.042476851857</v>
      </c>
      <c r="B1593" s="5" t="s">
        <v>16028</v>
      </c>
      <c r="C1593" s="6" t="s">
        <v>313</v>
      </c>
      <c r="D1593" s="7" t="s">
        <v>11108</v>
      </c>
      <c r="E1593" s="8" t="s">
        <v>13201</v>
      </c>
      <c r="F1593" s="4">
        <v>43026.254780092597</v>
      </c>
      <c r="G1593" s="24" t="s">
        <v>171</v>
      </c>
      <c r="H1593" s="35" t="s">
        <v>315</v>
      </c>
      <c r="I1593" s="10" t="s">
        <v>316</v>
      </c>
    </row>
    <row r="1594" spans="1:9" s="31" customFormat="1" ht="45">
      <c r="A1594" s="4">
        <v>43560.047372685185</v>
      </c>
      <c r="B1594" s="5" t="s">
        <v>16028</v>
      </c>
      <c r="C1594" s="6" t="s">
        <v>313</v>
      </c>
      <c r="D1594" s="7" t="s">
        <v>11629</v>
      </c>
      <c r="E1594" s="8" t="s">
        <v>13201</v>
      </c>
      <c r="F1594" s="4">
        <v>43026.254780092597</v>
      </c>
      <c r="G1594" s="24" t="s">
        <v>171</v>
      </c>
      <c r="H1594" s="35" t="s">
        <v>315</v>
      </c>
      <c r="I1594" s="10" t="s">
        <v>316</v>
      </c>
    </row>
    <row r="1595" spans="1:9" s="31" customFormat="1" ht="45">
      <c r="A1595" s="4">
        <v>43559.047812500001</v>
      </c>
      <c r="B1595" s="5" t="s">
        <v>16028</v>
      </c>
      <c r="C1595" s="6" t="s">
        <v>313</v>
      </c>
      <c r="D1595" s="7" t="s">
        <v>11956</v>
      </c>
      <c r="E1595" s="8" t="s">
        <v>13201</v>
      </c>
      <c r="F1595" s="4">
        <v>43026.254780092597</v>
      </c>
      <c r="G1595" s="24" t="s">
        <v>171</v>
      </c>
      <c r="H1595" s="35" t="s">
        <v>315</v>
      </c>
      <c r="I1595" s="10" t="s">
        <v>316</v>
      </c>
    </row>
    <row r="1596" spans="1:9" s="31" customFormat="1" ht="135">
      <c r="A1596" s="4">
        <v>43558.361157407402</v>
      </c>
      <c r="B1596" s="5" t="s">
        <v>16029</v>
      </c>
      <c r="C1596" s="6" t="s">
        <v>8607</v>
      </c>
      <c r="D1596" s="7" t="s">
        <v>12224</v>
      </c>
      <c r="E1596" s="8" t="s">
        <v>13034</v>
      </c>
      <c r="F1596" s="4">
        <v>43172.068206018521</v>
      </c>
      <c r="G1596" s="24" t="s">
        <v>171</v>
      </c>
      <c r="H1596" s="35" t="s">
        <v>315</v>
      </c>
      <c r="I1596" s="10" t="s">
        <v>8609</v>
      </c>
    </row>
    <row r="1597" spans="1:9" s="31" customFormat="1" ht="45">
      <c r="A1597" s="4">
        <v>43558.045601851853</v>
      </c>
      <c r="B1597" s="5" t="s">
        <v>16028</v>
      </c>
      <c r="C1597" s="6" t="s">
        <v>313</v>
      </c>
      <c r="D1597" s="7" t="s">
        <v>12339</v>
      </c>
      <c r="E1597" s="8" t="s">
        <v>13201</v>
      </c>
      <c r="F1597" s="4">
        <v>43026.254780092597</v>
      </c>
      <c r="G1597" s="24" t="s">
        <v>171</v>
      </c>
      <c r="H1597" s="35" t="s">
        <v>315</v>
      </c>
      <c r="I1597" s="10" t="s">
        <v>316</v>
      </c>
    </row>
    <row r="1598" spans="1:9" s="31" customFormat="1" ht="45">
      <c r="A1598" s="4">
        <v>43557.045416666668</v>
      </c>
      <c r="B1598" s="5" t="s">
        <v>16028</v>
      </c>
      <c r="C1598" s="6" t="s">
        <v>313</v>
      </c>
      <c r="D1598" s="7" t="s">
        <v>12671</v>
      </c>
      <c r="E1598" s="8" t="s">
        <v>13201</v>
      </c>
      <c r="F1598" s="4">
        <v>43026.254780092597</v>
      </c>
      <c r="G1598" s="24" t="s">
        <v>171</v>
      </c>
      <c r="H1598" s="35" t="s">
        <v>315</v>
      </c>
      <c r="I1598" s="10" t="s">
        <v>316</v>
      </c>
    </row>
    <row r="1599" spans="1:9" s="31" customFormat="1" ht="45">
      <c r="A1599" s="12">
        <v>43580.043958333335</v>
      </c>
      <c r="B1599" s="13" t="s">
        <v>16028</v>
      </c>
      <c r="C1599" s="14" t="s">
        <v>313</v>
      </c>
      <c r="D1599" s="15" t="s">
        <v>314</v>
      </c>
      <c r="E1599" s="16" t="s">
        <v>13201</v>
      </c>
      <c r="F1599" s="12">
        <v>43026.254780092597</v>
      </c>
      <c r="G1599" s="24" t="s">
        <v>171</v>
      </c>
      <c r="H1599" s="35" t="s">
        <v>315</v>
      </c>
      <c r="I1599" s="18" t="s">
        <v>316</v>
      </c>
    </row>
    <row r="1600" spans="1:9" s="31" customFormat="1" ht="45">
      <c r="A1600" s="12">
        <v>43579.046134259261</v>
      </c>
      <c r="B1600" s="13" t="s">
        <v>16028</v>
      </c>
      <c r="C1600" s="14" t="s">
        <v>313</v>
      </c>
      <c r="D1600" s="15" t="s">
        <v>951</v>
      </c>
      <c r="E1600" s="16" t="s">
        <v>13201</v>
      </c>
      <c r="F1600" s="12">
        <v>43026.254780092597</v>
      </c>
      <c r="G1600" s="24" t="s">
        <v>171</v>
      </c>
      <c r="H1600" s="35" t="s">
        <v>315</v>
      </c>
      <c r="I1600" s="18" t="s">
        <v>316</v>
      </c>
    </row>
    <row r="1601" spans="1:9" s="31" customFormat="1" ht="45">
      <c r="A1601" s="12">
        <v>43578.048344907409</v>
      </c>
      <c r="B1601" s="13" t="s">
        <v>16028</v>
      </c>
      <c r="C1601" s="14" t="s">
        <v>313</v>
      </c>
      <c r="D1601" s="15" t="s">
        <v>1409</v>
      </c>
      <c r="E1601" s="16" t="s">
        <v>13201</v>
      </c>
      <c r="F1601" s="12">
        <v>43026.254780092597</v>
      </c>
      <c r="G1601" s="24" t="s">
        <v>171</v>
      </c>
      <c r="H1601" s="35" t="s">
        <v>315</v>
      </c>
      <c r="I1601" s="18" t="s">
        <v>316</v>
      </c>
    </row>
    <row r="1602" spans="1:9" s="31" customFormat="1" ht="45">
      <c r="A1602" s="12">
        <v>43577.045555555553</v>
      </c>
      <c r="B1602" s="13" t="s">
        <v>16028</v>
      </c>
      <c r="C1602" s="14" t="s">
        <v>313</v>
      </c>
      <c r="D1602" s="15" t="s">
        <v>1764</v>
      </c>
      <c r="E1602" s="16" t="s">
        <v>13201</v>
      </c>
      <c r="F1602" s="12">
        <v>43026.254780092597</v>
      </c>
      <c r="G1602" s="24" t="s">
        <v>171</v>
      </c>
      <c r="H1602" s="35" t="s">
        <v>315</v>
      </c>
      <c r="I1602" s="18" t="s">
        <v>316</v>
      </c>
    </row>
    <row r="1603" spans="1:9" s="31" customFormat="1" ht="45">
      <c r="A1603" s="12">
        <v>43576.051423611112</v>
      </c>
      <c r="B1603" s="13" t="s">
        <v>16028</v>
      </c>
      <c r="C1603" s="14" t="s">
        <v>313</v>
      </c>
      <c r="D1603" s="15" t="s">
        <v>2065</v>
      </c>
      <c r="E1603" s="16" t="s">
        <v>13201</v>
      </c>
      <c r="F1603" s="12">
        <v>43026.254780092597</v>
      </c>
      <c r="G1603" s="24" t="s">
        <v>171</v>
      </c>
      <c r="H1603" s="35" t="s">
        <v>315</v>
      </c>
      <c r="I1603" s="18" t="s">
        <v>316</v>
      </c>
    </row>
    <row r="1604" spans="1:9" s="31" customFormat="1" ht="45">
      <c r="A1604" s="12">
        <v>43575.045219907406</v>
      </c>
      <c r="B1604" s="13" t="s">
        <v>16028</v>
      </c>
      <c r="C1604" s="14" t="s">
        <v>313</v>
      </c>
      <c r="D1604" s="15" t="s">
        <v>2381</v>
      </c>
      <c r="E1604" s="16" t="s">
        <v>13201</v>
      </c>
      <c r="F1604" s="12">
        <v>43026.254780092597</v>
      </c>
      <c r="G1604" s="24" t="s">
        <v>171</v>
      </c>
      <c r="H1604" s="35" t="s">
        <v>315</v>
      </c>
      <c r="I1604" s="18" t="s">
        <v>316</v>
      </c>
    </row>
    <row r="1605" spans="1:9" s="31" customFormat="1" ht="30">
      <c r="A1605" s="12">
        <v>43575.007222222222</v>
      </c>
      <c r="B1605" s="13" t="s">
        <v>16028</v>
      </c>
      <c r="C1605" s="14" t="s">
        <v>313</v>
      </c>
      <c r="D1605" s="15" t="s">
        <v>2391</v>
      </c>
      <c r="E1605" s="16" t="s">
        <v>13011</v>
      </c>
      <c r="F1605" s="12">
        <v>43026.254780092597</v>
      </c>
      <c r="G1605" s="24" t="s">
        <v>171</v>
      </c>
      <c r="H1605" s="35" t="s">
        <v>315</v>
      </c>
      <c r="I1605" s="18" t="s">
        <v>316</v>
      </c>
    </row>
    <row r="1606" spans="1:9" s="31" customFormat="1" ht="45">
      <c r="A1606" s="12">
        <v>43574.048668981486</v>
      </c>
      <c r="B1606" s="13" t="s">
        <v>16028</v>
      </c>
      <c r="C1606" s="14" t="s">
        <v>313</v>
      </c>
      <c r="D1606" s="15" t="s">
        <v>2679</v>
      </c>
      <c r="E1606" s="16" t="s">
        <v>13201</v>
      </c>
      <c r="F1606" s="12">
        <v>43026.254780092597</v>
      </c>
      <c r="G1606" s="24" t="s">
        <v>171</v>
      </c>
      <c r="H1606" s="35" t="s">
        <v>315</v>
      </c>
      <c r="I1606" s="18" t="s">
        <v>316</v>
      </c>
    </row>
    <row r="1607" spans="1:9" s="31" customFormat="1" ht="45">
      <c r="A1607" s="12">
        <v>43573.045983796299</v>
      </c>
      <c r="B1607" s="13" t="s">
        <v>16028</v>
      </c>
      <c r="C1607" s="14" t="s">
        <v>313</v>
      </c>
      <c r="D1607" s="15" t="s">
        <v>3020</v>
      </c>
      <c r="E1607" s="16" t="s">
        <v>13201</v>
      </c>
      <c r="F1607" s="12">
        <v>43026.254780092597</v>
      </c>
      <c r="G1607" s="24" t="s">
        <v>171</v>
      </c>
      <c r="H1607" s="35" t="s">
        <v>315</v>
      </c>
      <c r="I1607" s="18" t="s">
        <v>316</v>
      </c>
    </row>
    <row r="1608" spans="1:9" s="31" customFormat="1" ht="45">
      <c r="A1608" s="12">
        <v>43572.04724537037</v>
      </c>
      <c r="B1608" s="13" t="s">
        <v>16028</v>
      </c>
      <c r="C1608" s="14" t="s">
        <v>313</v>
      </c>
      <c r="D1608" s="15" t="s">
        <v>3453</v>
      </c>
      <c r="E1608" s="16" t="s">
        <v>13201</v>
      </c>
      <c r="F1608" s="12">
        <v>43026.254780092597</v>
      </c>
      <c r="G1608" s="24" t="s">
        <v>171</v>
      </c>
      <c r="H1608" s="35" t="s">
        <v>315</v>
      </c>
      <c r="I1608" s="18" t="s">
        <v>316</v>
      </c>
    </row>
    <row r="1609" spans="1:9" s="31" customFormat="1" ht="45">
      <c r="A1609" s="12">
        <v>43571.043113425927</v>
      </c>
      <c r="B1609" s="13" t="s">
        <v>16028</v>
      </c>
      <c r="C1609" s="14" t="s">
        <v>313</v>
      </c>
      <c r="D1609" s="15" t="s">
        <v>3890</v>
      </c>
      <c r="E1609" s="16" t="s">
        <v>13201</v>
      </c>
      <c r="F1609" s="12">
        <v>43026.254780092597</v>
      </c>
      <c r="G1609" s="24" t="s">
        <v>171</v>
      </c>
      <c r="H1609" s="35" t="s">
        <v>315</v>
      </c>
      <c r="I1609" s="18" t="s">
        <v>316</v>
      </c>
    </row>
    <row r="1610" spans="1:9" s="31" customFormat="1" ht="120">
      <c r="A1610" s="12">
        <v>43570.107025462959</v>
      </c>
      <c r="B1610" s="13" t="s">
        <v>16030</v>
      </c>
      <c r="C1610" s="14" t="s">
        <v>4329</v>
      </c>
      <c r="D1610" s="15" t="s">
        <v>4330</v>
      </c>
      <c r="E1610" s="16" t="s">
        <v>13099</v>
      </c>
      <c r="F1610" s="12">
        <v>42947.286805555559</v>
      </c>
      <c r="G1610" s="24" t="s">
        <v>171</v>
      </c>
      <c r="H1610" s="35" t="s">
        <v>315</v>
      </c>
      <c r="I1610" s="18" t="s">
        <v>4331</v>
      </c>
    </row>
    <row r="1611" spans="1:9" s="31" customFormat="1" ht="45">
      <c r="A1611" s="12">
        <v>43570.052025462966</v>
      </c>
      <c r="B1611" s="13" t="s">
        <v>16028</v>
      </c>
      <c r="C1611" s="14" t="s">
        <v>313</v>
      </c>
      <c r="D1611" s="15" t="s">
        <v>4355</v>
      </c>
      <c r="E1611" s="16" t="s">
        <v>13201</v>
      </c>
      <c r="F1611" s="12">
        <v>43026.254780092597</v>
      </c>
      <c r="G1611" s="24" t="s">
        <v>171</v>
      </c>
      <c r="H1611" s="35" t="s">
        <v>315</v>
      </c>
      <c r="I1611" s="18" t="s">
        <v>316</v>
      </c>
    </row>
    <row r="1612" spans="1:9" s="31" customFormat="1" ht="45">
      <c r="A1612" s="12">
        <v>43569.042442129634</v>
      </c>
      <c r="B1612" s="13" t="s">
        <v>16028</v>
      </c>
      <c r="C1612" s="14" t="s">
        <v>313</v>
      </c>
      <c r="D1612" s="15" t="s">
        <v>4605</v>
      </c>
      <c r="E1612" s="16" t="s">
        <v>13201</v>
      </c>
      <c r="F1612" s="12">
        <v>43026.254780092597</v>
      </c>
      <c r="G1612" s="24" t="s">
        <v>171</v>
      </c>
      <c r="H1612" s="35" t="s">
        <v>315</v>
      </c>
      <c r="I1612" s="18" t="s">
        <v>316</v>
      </c>
    </row>
    <row r="1613" spans="1:9" s="31" customFormat="1" ht="45">
      <c r="A1613" s="12">
        <v>43568.045717592591</v>
      </c>
      <c r="B1613" s="13" t="s">
        <v>16028</v>
      </c>
      <c r="C1613" s="14" t="s">
        <v>313</v>
      </c>
      <c r="D1613" s="15" t="s">
        <v>4889</v>
      </c>
      <c r="E1613" s="16" t="s">
        <v>13201</v>
      </c>
      <c r="F1613" s="12">
        <v>43026.254780092597</v>
      </c>
      <c r="G1613" s="24" t="s">
        <v>171</v>
      </c>
      <c r="H1613" s="35" t="s">
        <v>315</v>
      </c>
      <c r="I1613" s="18" t="s">
        <v>316</v>
      </c>
    </row>
    <row r="1614" spans="1:9" s="31" customFormat="1" ht="45">
      <c r="A1614" s="12">
        <v>43567.050023148149</v>
      </c>
      <c r="B1614" s="13" t="s">
        <v>16028</v>
      </c>
      <c r="C1614" s="14" t="s">
        <v>313</v>
      </c>
      <c r="D1614" s="15" t="s">
        <v>5258</v>
      </c>
      <c r="E1614" s="16" t="s">
        <v>13201</v>
      </c>
      <c r="F1614" s="12">
        <v>43026.254780092597</v>
      </c>
      <c r="G1614" s="24" t="s">
        <v>171</v>
      </c>
      <c r="H1614" s="35" t="s">
        <v>315</v>
      </c>
      <c r="I1614" s="18" t="s">
        <v>316</v>
      </c>
    </row>
    <row r="1615" spans="1:9" s="31" customFormat="1" ht="45">
      <c r="A1615" s="12">
        <v>43566.043645833328</v>
      </c>
      <c r="B1615" s="13" t="s">
        <v>16028</v>
      </c>
      <c r="C1615" s="14" t="s">
        <v>313</v>
      </c>
      <c r="D1615" s="15" t="s">
        <v>5811</v>
      </c>
      <c r="E1615" s="16" t="s">
        <v>13201</v>
      </c>
      <c r="F1615" s="12">
        <v>43026.254780092597</v>
      </c>
      <c r="G1615" s="24" t="s">
        <v>171</v>
      </c>
      <c r="H1615" s="35" t="s">
        <v>315</v>
      </c>
      <c r="I1615" s="18" t="s">
        <v>316</v>
      </c>
    </row>
    <row r="1616" spans="1:9" s="31" customFormat="1" ht="120">
      <c r="A1616" s="19">
        <v>43542.5466087963</v>
      </c>
      <c r="B1616" s="20" t="s">
        <v>16031</v>
      </c>
      <c r="C1616" s="21" t="s">
        <v>10109</v>
      </c>
      <c r="D1616" s="22" t="s">
        <v>10110</v>
      </c>
      <c r="E1616" s="23" t="s">
        <v>13011</v>
      </c>
      <c r="F1616" s="19">
        <v>41250.265150462961</v>
      </c>
      <c r="G1616" s="24" t="s">
        <v>171</v>
      </c>
      <c r="H1616" s="35" t="s">
        <v>10111</v>
      </c>
      <c r="I1616" s="25" t="s">
        <v>10112</v>
      </c>
    </row>
    <row r="1617" spans="1:9" s="31" customFormat="1" ht="90">
      <c r="A1617" s="12">
        <v>43569.123668981483</v>
      </c>
      <c r="B1617" s="13" t="s">
        <v>16032</v>
      </c>
      <c r="C1617" s="14" t="s">
        <v>4594</v>
      </c>
      <c r="D1617" s="15" t="s">
        <v>4595</v>
      </c>
      <c r="E1617" s="16" t="s">
        <v>13009</v>
      </c>
      <c r="F1617" s="12">
        <v>43204.127372685187</v>
      </c>
      <c r="G1617" s="24" t="s">
        <v>171</v>
      </c>
      <c r="H1617" s="35" t="s">
        <v>4596</v>
      </c>
      <c r="I1617" s="18" t="s">
        <v>4597</v>
      </c>
    </row>
    <row r="1618" spans="1:9" s="31" customFormat="1" ht="30">
      <c r="A1618" s="4">
        <v>43559.057881944449</v>
      </c>
      <c r="B1618" s="5" t="s">
        <v>16033</v>
      </c>
      <c r="C1618" s="6" t="s">
        <v>11948</v>
      </c>
      <c r="D1618" s="7" t="s">
        <v>11949</v>
      </c>
      <c r="E1618" s="8" t="s">
        <v>13009</v>
      </c>
      <c r="F1618" s="4">
        <v>41245.623541666668</v>
      </c>
      <c r="G1618" s="24" t="s">
        <v>171</v>
      </c>
      <c r="H1618" s="35" t="s">
        <v>11950</v>
      </c>
      <c r="I1618" s="10"/>
    </row>
    <row r="1619" spans="1:9" s="31" customFormat="1" ht="135">
      <c r="A1619" s="4">
        <v>43561.150127314817</v>
      </c>
      <c r="B1619" s="5" t="s">
        <v>16034</v>
      </c>
      <c r="C1619" s="6" t="s">
        <v>11049</v>
      </c>
      <c r="D1619" s="7" t="s">
        <v>12794</v>
      </c>
      <c r="E1619" s="8" t="s">
        <v>13011</v>
      </c>
      <c r="F1619" s="4">
        <v>39852.147962962961</v>
      </c>
      <c r="G1619" s="24" t="s">
        <v>171</v>
      </c>
      <c r="H1619" s="35" t="s">
        <v>12795</v>
      </c>
      <c r="I1619" s="10" t="s">
        <v>12796</v>
      </c>
    </row>
    <row r="1620" spans="1:9" s="31" customFormat="1" ht="135">
      <c r="A1620" s="19">
        <v>43551.678449074076</v>
      </c>
      <c r="B1620" s="20" t="s">
        <v>16035</v>
      </c>
      <c r="C1620" s="21" t="s">
        <v>7053</v>
      </c>
      <c r="D1620" s="22" t="s">
        <v>7054</v>
      </c>
      <c r="E1620" s="23" t="s">
        <v>13013</v>
      </c>
      <c r="F1620" s="19">
        <v>41194.013356481482</v>
      </c>
      <c r="G1620" s="24" t="s">
        <v>171</v>
      </c>
      <c r="H1620" s="35" t="s">
        <v>7055</v>
      </c>
      <c r="I1620" s="25" t="s">
        <v>7056</v>
      </c>
    </row>
    <row r="1621" spans="1:9" s="31" customFormat="1" ht="105">
      <c r="A1621" s="12">
        <v>43570.123784722222</v>
      </c>
      <c r="B1621" s="13" t="s">
        <v>16036</v>
      </c>
      <c r="C1621" s="14" t="s">
        <v>4325</v>
      </c>
      <c r="D1621" s="15" t="s">
        <v>4326</v>
      </c>
      <c r="E1621" s="16" t="s">
        <v>14068</v>
      </c>
      <c r="F1621" s="12">
        <v>39962.97519675926</v>
      </c>
      <c r="G1621" s="24" t="s">
        <v>171</v>
      </c>
      <c r="H1621" s="35" t="s">
        <v>4327</v>
      </c>
      <c r="I1621" s="18" t="s">
        <v>4328</v>
      </c>
    </row>
    <row r="1622" spans="1:9" s="31" customFormat="1" ht="120">
      <c r="A1622" s="12">
        <v>43575.6877662037</v>
      </c>
      <c r="B1622" s="13" t="s">
        <v>16037</v>
      </c>
      <c r="C1622" s="14" t="s">
        <v>2145</v>
      </c>
      <c r="D1622" s="15" t="s">
        <v>2146</v>
      </c>
      <c r="E1622" s="16" t="s">
        <v>13812</v>
      </c>
      <c r="F1622" s="12">
        <v>40234.098854166667</v>
      </c>
      <c r="G1622" s="24" t="s">
        <v>171</v>
      </c>
      <c r="H1622" s="35" t="s">
        <v>2147</v>
      </c>
      <c r="I1622" s="18" t="s">
        <v>2148</v>
      </c>
    </row>
    <row r="1623" spans="1:9" s="31" customFormat="1" ht="45">
      <c r="A1623" s="19">
        <v>43549.096307870372</v>
      </c>
      <c r="B1623" s="20" t="s">
        <v>16038</v>
      </c>
      <c r="C1623" s="21" t="s">
        <v>8172</v>
      </c>
      <c r="D1623" s="22" t="s">
        <v>8173</v>
      </c>
      <c r="E1623" s="23" t="s">
        <v>13009</v>
      </c>
      <c r="F1623" s="19">
        <v>42758.456423611111</v>
      </c>
      <c r="G1623" s="24" t="s">
        <v>171</v>
      </c>
      <c r="H1623" s="35" t="s">
        <v>4122</v>
      </c>
      <c r="I1623" s="25" t="s">
        <v>8174</v>
      </c>
    </row>
    <row r="1624" spans="1:9" s="31" customFormat="1" ht="75">
      <c r="A1624" s="4">
        <v>43564.379583333328</v>
      </c>
      <c r="B1624" s="5" t="s">
        <v>16039</v>
      </c>
      <c r="C1624" s="6" t="s">
        <v>6644</v>
      </c>
      <c r="D1624" s="7" t="s">
        <v>6645</v>
      </c>
      <c r="E1624" s="8" t="s">
        <v>13009</v>
      </c>
      <c r="F1624" s="4">
        <v>39830.220821759256</v>
      </c>
      <c r="G1624" s="24" t="s">
        <v>171</v>
      </c>
      <c r="H1624" s="35" t="s">
        <v>4122</v>
      </c>
      <c r="I1624" s="10" t="s">
        <v>6646</v>
      </c>
    </row>
    <row r="1625" spans="1:9" s="31" customFormat="1" ht="105">
      <c r="A1625" s="4">
        <v>43561.244004629625</v>
      </c>
      <c r="B1625" s="5" t="s">
        <v>16040</v>
      </c>
      <c r="C1625" s="6" t="s">
        <v>11016</v>
      </c>
      <c r="D1625" s="7" t="s">
        <v>11017</v>
      </c>
      <c r="E1625" s="8" t="s">
        <v>13099</v>
      </c>
      <c r="F1625" s="4">
        <v>42139.579317129625</v>
      </c>
      <c r="G1625" s="24" t="s">
        <v>171</v>
      </c>
      <c r="H1625" s="35" t="s">
        <v>4122</v>
      </c>
      <c r="I1625" s="10" t="s">
        <v>11018</v>
      </c>
    </row>
    <row r="1626" spans="1:9" s="31" customFormat="1" ht="105">
      <c r="A1626" s="12">
        <v>43570.477581018524</v>
      </c>
      <c r="B1626" s="13" t="s">
        <v>16041</v>
      </c>
      <c r="C1626" s="14" t="s">
        <v>4120</v>
      </c>
      <c r="D1626" s="15" t="s">
        <v>4121</v>
      </c>
      <c r="E1626" s="16" t="s">
        <v>13099</v>
      </c>
      <c r="F1626" s="12">
        <v>39867.153946759259</v>
      </c>
      <c r="G1626" s="24" t="s">
        <v>171</v>
      </c>
      <c r="H1626" s="35" t="s">
        <v>4122</v>
      </c>
      <c r="I1626" s="18" t="s">
        <v>4123</v>
      </c>
    </row>
    <row r="1627" spans="1:9" s="31" customFormat="1" ht="60">
      <c r="A1627" s="19">
        <v>43545.034768518519</v>
      </c>
      <c r="B1627" s="20" t="s">
        <v>16042</v>
      </c>
      <c r="C1627" s="21" t="s">
        <v>9294</v>
      </c>
      <c r="D1627" s="22" t="s">
        <v>9295</v>
      </c>
      <c r="E1627" s="23" t="s">
        <v>13034</v>
      </c>
      <c r="F1627" s="19">
        <v>40282.05196759259</v>
      </c>
      <c r="G1627" s="24" t="s">
        <v>171</v>
      </c>
      <c r="H1627" s="35" t="s">
        <v>9296</v>
      </c>
      <c r="I1627" s="25" t="s">
        <v>9297</v>
      </c>
    </row>
    <row r="1628" spans="1:9" s="31" customFormat="1" ht="90">
      <c r="A1628" s="4">
        <v>43565.538043981476</v>
      </c>
      <c r="B1628" s="5" t="s">
        <v>16043</v>
      </c>
      <c r="C1628" s="6" t="s">
        <v>52</v>
      </c>
      <c r="D1628" s="7" t="s">
        <v>6038</v>
      </c>
      <c r="E1628" s="8" t="s">
        <v>13011</v>
      </c>
      <c r="F1628" s="4">
        <v>43562.530775462961</v>
      </c>
      <c r="G1628" s="17" t="s">
        <v>171</v>
      </c>
      <c r="H1628" s="35" t="s">
        <v>54</v>
      </c>
      <c r="I1628" s="10" t="s">
        <v>55</v>
      </c>
    </row>
    <row r="1629" spans="1:9" s="31" customFormat="1" ht="90">
      <c r="A1629" s="4">
        <v>43565.305833333332</v>
      </c>
      <c r="B1629" s="5" t="s">
        <v>16043</v>
      </c>
      <c r="C1629" s="6" t="s">
        <v>52</v>
      </c>
      <c r="D1629" s="7" t="s">
        <v>6186</v>
      </c>
      <c r="E1629" s="8" t="s">
        <v>13011</v>
      </c>
      <c r="F1629" s="4">
        <v>43562.530775462961</v>
      </c>
      <c r="G1629" s="17" t="s">
        <v>171</v>
      </c>
      <c r="H1629" s="35" t="s">
        <v>54</v>
      </c>
      <c r="I1629" s="10" t="s">
        <v>55</v>
      </c>
    </row>
    <row r="1630" spans="1:9" s="31" customFormat="1" ht="90">
      <c r="A1630" s="4">
        <v>43564.266099537039</v>
      </c>
      <c r="B1630" s="5" t="s">
        <v>16043</v>
      </c>
      <c r="C1630" s="6" t="s">
        <v>52</v>
      </c>
      <c r="D1630" s="7" t="s">
        <v>6708</v>
      </c>
      <c r="E1630" s="8" t="s">
        <v>13011</v>
      </c>
      <c r="F1630" s="4">
        <v>43562.530775462961</v>
      </c>
      <c r="G1630" s="17" t="s">
        <v>171</v>
      </c>
      <c r="H1630" s="35" t="s">
        <v>54</v>
      </c>
      <c r="I1630" s="10" t="s">
        <v>55</v>
      </c>
    </row>
    <row r="1631" spans="1:9" s="31" customFormat="1" ht="90">
      <c r="A1631" s="4">
        <v>43564.01152777778</v>
      </c>
      <c r="B1631" s="5" t="s">
        <v>16043</v>
      </c>
      <c r="C1631" s="6" t="s">
        <v>52</v>
      </c>
      <c r="D1631" s="7" t="s">
        <v>6827</v>
      </c>
      <c r="E1631" s="8" t="s">
        <v>13011</v>
      </c>
      <c r="F1631" s="4">
        <v>43562.530775462961</v>
      </c>
      <c r="G1631" s="17" t="s">
        <v>171</v>
      </c>
      <c r="H1631" s="35" t="s">
        <v>54</v>
      </c>
      <c r="I1631" s="10" t="s">
        <v>55</v>
      </c>
    </row>
    <row r="1632" spans="1:9" s="31" customFormat="1" ht="90">
      <c r="A1632" s="12">
        <v>43580.811689814815</v>
      </c>
      <c r="B1632" s="13" t="s">
        <v>16043</v>
      </c>
      <c r="C1632" s="14" t="s">
        <v>52</v>
      </c>
      <c r="D1632" s="15" t="s">
        <v>53</v>
      </c>
      <c r="E1632" s="16" t="s">
        <v>13032</v>
      </c>
      <c r="F1632" s="12">
        <v>43562.989108796297</v>
      </c>
      <c r="G1632" s="17" t="s">
        <v>171</v>
      </c>
      <c r="H1632" s="35" t="s">
        <v>54</v>
      </c>
      <c r="I1632" s="18" t="s">
        <v>55</v>
      </c>
    </row>
    <row r="1633" spans="1:9" s="31" customFormat="1" ht="90">
      <c r="A1633" s="12">
        <v>43580.809247685189</v>
      </c>
      <c r="B1633" s="13" t="s">
        <v>16043</v>
      </c>
      <c r="C1633" s="14" t="s">
        <v>52</v>
      </c>
      <c r="D1633" s="15" t="s">
        <v>56</v>
      </c>
      <c r="E1633" s="16" t="s">
        <v>13032</v>
      </c>
      <c r="F1633" s="12">
        <v>43562.989108796297</v>
      </c>
      <c r="G1633" s="17" t="s">
        <v>171</v>
      </c>
      <c r="H1633" s="35" t="s">
        <v>54</v>
      </c>
      <c r="I1633" s="18" t="s">
        <v>55</v>
      </c>
    </row>
    <row r="1634" spans="1:9" s="31" customFormat="1" ht="90">
      <c r="A1634" s="12">
        <v>43580.798333333332</v>
      </c>
      <c r="B1634" s="13" t="s">
        <v>16043</v>
      </c>
      <c r="C1634" s="14" t="s">
        <v>52</v>
      </c>
      <c r="D1634" s="15" t="s">
        <v>65</v>
      </c>
      <c r="E1634" s="16" t="s">
        <v>13011</v>
      </c>
      <c r="F1634" s="12">
        <v>43562.989108796297</v>
      </c>
      <c r="G1634" s="17" t="s">
        <v>171</v>
      </c>
      <c r="H1634" s="35" t="s">
        <v>54</v>
      </c>
      <c r="I1634" s="18" t="s">
        <v>55</v>
      </c>
    </row>
    <row r="1635" spans="1:9" s="31" customFormat="1" ht="90">
      <c r="A1635" s="12">
        <v>43570.369456018518</v>
      </c>
      <c r="B1635" s="13" t="s">
        <v>16043</v>
      </c>
      <c r="C1635" s="14" t="s">
        <v>52</v>
      </c>
      <c r="D1635" s="15" t="s">
        <v>4205</v>
      </c>
      <c r="E1635" s="16" t="s">
        <v>13011</v>
      </c>
      <c r="F1635" s="12">
        <v>43562.530775462961</v>
      </c>
      <c r="G1635" s="17" t="s">
        <v>171</v>
      </c>
      <c r="H1635" s="35" t="s">
        <v>54</v>
      </c>
      <c r="I1635" s="18" t="s">
        <v>55</v>
      </c>
    </row>
    <row r="1636" spans="1:9" s="31" customFormat="1" ht="90">
      <c r="A1636" s="12">
        <v>43566.188101851847</v>
      </c>
      <c r="B1636" s="13" t="s">
        <v>16043</v>
      </c>
      <c r="C1636" s="14" t="s">
        <v>52</v>
      </c>
      <c r="D1636" s="15" t="s">
        <v>5739</v>
      </c>
      <c r="E1636" s="16" t="s">
        <v>13011</v>
      </c>
      <c r="F1636" s="12">
        <v>43562.530775462961</v>
      </c>
      <c r="G1636" s="17" t="s">
        <v>171</v>
      </c>
      <c r="H1636" s="35" t="s">
        <v>54</v>
      </c>
      <c r="I1636" s="18" t="s">
        <v>55</v>
      </c>
    </row>
    <row r="1637" spans="1:9" s="31" customFormat="1" ht="75">
      <c r="A1637" s="4">
        <v>43564.350949074069</v>
      </c>
      <c r="B1637" s="5" t="s">
        <v>16044</v>
      </c>
      <c r="C1637" s="6" t="s">
        <v>6666</v>
      </c>
      <c r="D1637" s="7" t="s">
        <v>6642</v>
      </c>
      <c r="E1637" s="8" t="s">
        <v>13077</v>
      </c>
      <c r="F1637" s="4">
        <v>43482.490324074075</v>
      </c>
      <c r="G1637" s="17" t="s">
        <v>171</v>
      </c>
      <c r="H1637" s="35" t="s">
        <v>6667</v>
      </c>
      <c r="I1637" s="10" t="s">
        <v>6668</v>
      </c>
    </row>
    <row r="1638" spans="1:9" s="31" customFormat="1" ht="30">
      <c r="A1638" s="12">
        <v>43580.646620370375</v>
      </c>
      <c r="B1638" s="13" t="s">
        <v>16045</v>
      </c>
      <c r="C1638" s="14" t="s">
        <v>177</v>
      </c>
      <c r="D1638" s="15" t="s">
        <v>178</v>
      </c>
      <c r="E1638" s="16" t="s">
        <v>13009</v>
      </c>
      <c r="F1638" s="12">
        <v>42378.111770833333</v>
      </c>
      <c r="G1638" s="17" t="s">
        <v>171</v>
      </c>
      <c r="H1638" s="35" t="s">
        <v>179</v>
      </c>
      <c r="I1638" s="18"/>
    </row>
    <row r="1639" spans="1:9" s="31" customFormat="1" ht="60">
      <c r="A1639" s="12">
        <v>43580.639641203699</v>
      </c>
      <c r="B1639" s="13" t="s">
        <v>16045</v>
      </c>
      <c r="C1639" s="14" t="s">
        <v>177</v>
      </c>
      <c r="D1639" s="15" t="s">
        <v>194</v>
      </c>
      <c r="E1639" s="16" t="s">
        <v>13009</v>
      </c>
      <c r="F1639" s="12">
        <v>42378.111770833333</v>
      </c>
      <c r="G1639" s="17" t="s">
        <v>171</v>
      </c>
      <c r="H1639" s="35" t="s">
        <v>179</v>
      </c>
      <c r="I1639" s="18"/>
    </row>
    <row r="1640" spans="1:9" s="31" customFormat="1" ht="45">
      <c r="A1640" s="12">
        <v>43571.426851851851</v>
      </c>
      <c r="B1640" s="13" t="s">
        <v>16046</v>
      </c>
      <c r="C1640" s="14" t="s">
        <v>3673</v>
      </c>
      <c r="D1640" s="15" t="s">
        <v>3674</v>
      </c>
      <c r="E1640" s="16" t="s">
        <v>13006</v>
      </c>
      <c r="F1640" s="12">
        <v>40075.144085648149</v>
      </c>
      <c r="G1640" s="17" t="s">
        <v>171</v>
      </c>
      <c r="H1640" s="35" t="s">
        <v>3675</v>
      </c>
      <c r="I1640" s="18" t="s">
        <v>3676</v>
      </c>
    </row>
    <row r="1641" spans="1:9" s="31" customFormat="1" ht="120">
      <c r="A1641" s="12">
        <v>43571.209444444445</v>
      </c>
      <c r="B1641" s="13" t="s">
        <v>16047</v>
      </c>
      <c r="C1641" s="14" t="s">
        <v>3785</v>
      </c>
      <c r="D1641" s="15" t="s">
        <v>3786</v>
      </c>
      <c r="E1641" s="16" t="s">
        <v>13018</v>
      </c>
      <c r="F1641" s="12">
        <v>40677.589733796296</v>
      </c>
      <c r="G1641" s="17" t="s">
        <v>171</v>
      </c>
      <c r="H1641" s="35" t="s">
        <v>3787</v>
      </c>
      <c r="I1641" s="18" t="s">
        <v>3788</v>
      </c>
    </row>
    <row r="1642" spans="1:9" s="31" customFormat="1" ht="120">
      <c r="A1642" s="19">
        <v>43551.062893518523</v>
      </c>
      <c r="B1642" s="20" t="s">
        <v>16048</v>
      </c>
      <c r="C1642" s="21" t="s">
        <v>1398</v>
      </c>
      <c r="D1642" s="22" t="s">
        <v>7450</v>
      </c>
      <c r="E1642" s="23" t="s">
        <v>13018</v>
      </c>
      <c r="F1642" s="19">
        <v>43125.260752314818</v>
      </c>
      <c r="G1642" s="17" t="s">
        <v>171</v>
      </c>
      <c r="H1642" s="35" t="s">
        <v>1400</v>
      </c>
      <c r="I1642" s="25" t="s">
        <v>1401</v>
      </c>
    </row>
    <row r="1643" spans="1:9" s="31" customFormat="1" ht="120">
      <c r="A1643" s="19">
        <v>43548.146087962959</v>
      </c>
      <c r="B1643" s="20" t="s">
        <v>16048</v>
      </c>
      <c r="C1643" s="21" t="s">
        <v>1398</v>
      </c>
      <c r="D1643" s="22" t="s">
        <v>7450</v>
      </c>
      <c r="E1643" s="23" t="s">
        <v>13018</v>
      </c>
      <c r="F1643" s="19">
        <v>43125.260752314818</v>
      </c>
      <c r="G1643" s="17" t="s">
        <v>171</v>
      </c>
      <c r="H1643" s="35" t="s">
        <v>1400</v>
      </c>
      <c r="I1643" s="25" t="s">
        <v>1401</v>
      </c>
    </row>
    <row r="1644" spans="1:9" s="31" customFormat="1" ht="120">
      <c r="A1644" s="19">
        <v>43544.062835648147</v>
      </c>
      <c r="B1644" s="20" t="s">
        <v>16048</v>
      </c>
      <c r="C1644" s="21" t="s">
        <v>1398</v>
      </c>
      <c r="D1644" s="22" t="s">
        <v>7450</v>
      </c>
      <c r="E1644" s="23" t="s">
        <v>13018</v>
      </c>
      <c r="F1644" s="19">
        <v>43125.260752314818</v>
      </c>
      <c r="G1644" s="17" t="s">
        <v>171</v>
      </c>
      <c r="H1644" s="35" t="s">
        <v>1400</v>
      </c>
      <c r="I1644" s="25" t="s">
        <v>1401</v>
      </c>
    </row>
    <row r="1645" spans="1:9" s="31" customFormat="1" ht="120">
      <c r="A1645" s="4">
        <v>43564.104537037041</v>
      </c>
      <c r="B1645" s="5" t="s">
        <v>16048</v>
      </c>
      <c r="C1645" s="6" t="s">
        <v>1398</v>
      </c>
      <c r="D1645" s="7" t="s">
        <v>1399</v>
      </c>
      <c r="E1645" s="8" t="s">
        <v>13018</v>
      </c>
      <c r="F1645" s="4">
        <v>43125.260752314818</v>
      </c>
      <c r="G1645" s="17" t="s">
        <v>171</v>
      </c>
      <c r="H1645" s="35" t="s">
        <v>1400</v>
      </c>
      <c r="I1645" s="10" t="s">
        <v>1401</v>
      </c>
    </row>
    <row r="1646" spans="1:9" s="31" customFormat="1" ht="120">
      <c r="A1646" s="4">
        <v>43560.354814814811</v>
      </c>
      <c r="B1646" s="5" t="s">
        <v>16048</v>
      </c>
      <c r="C1646" s="6" t="s">
        <v>1398</v>
      </c>
      <c r="D1646" s="7" t="s">
        <v>1399</v>
      </c>
      <c r="E1646" s="8" t="s">
        <v>13018</v>
      </c>
      <c r="F1646" s="4">
        <v>43125.260752314818</v>
      </c>
      <c r="G1646" s="17" t="s">
        <v>171</v>
      </c>
      <c r="H1646" s="35" t="s">
        <v>1400</v>
      </c>
      <c r="I1646" s="10" t="s">
        <v>1401</v>
      </c>
    </row>
    <row r="1647" spans="1:9" s="31" customFormat="1" ht="120">
      <c r="A1647" s="12">
        <v>43578.104537037041</v>
      </c>
      <c r="B1647" s="13" t="s">
        <v>16048</v>
      </c>
      <c r="C1647" s="14" t="s">
        <v>1398</v>
      </c>
      <c r="D1647" s="15" t="s">
        <v>1399</v>
      </c>
      <c r="E1647" s="16" t="s">
        <v>13018</v>
      </c>
      <c r="F1647" s="12">
        <v>43125.260752314818</v>
      </c>
      <c r="G1647" s="17" t="s">
        <v>171</v>
      </c>
      <c r="H1647" s="35" t="s">
        <v>1400</v>
      </c>
      <c r="I1647" s="18" t="s">
        <v>1401</v>
      </c>
    </row>
    <row r="1648" spans="1:9" s="31" customFormat="1" ht="120">
      <c r="A1648" s="12">
        <v>43574.354803240742</v>
      </c>
      <c r="B1648" s="13" t="s">
        <v>16048</v>
      </c>
      <c r="C1648" s="14" t="s">
        <v>1398</v>
      </c>
      <c r="D1648" s="15" t="s">
        <v>1399</v>
      </c>
      <c r="E1648" s="16" t="s">
        <v>13018</v>
      </c>
      <c r="F1648" s="12">
        <v>43125.260752314818</v>
      </c>
      <c r="G1648" s="17" t="s">
        <v>171</v>
      </c>
      <c r="H1648" s="35" t="s">
        <v>1400</v>
      </c>
      <c r="I1648" s="18" t="s">
        <v>1401</v>
      </c>
    </row>
    <row r="1649" spans="1:9" s="31" customFormat="1" ht="120">
      <c r="A1649" s="12">
        <v>43570.104502314818</v>
      </c>
      <c r="B1649" s="13" t="s">
        <v>16048</v>
      </c>
      <c r="C1649" s="14" t="s">
        <v>1398</v>
      </c>
      <c r="D1649" s="15" t="s">
        <v>1399</v>
      </c>
      <c r="E1649" s="16" t="s">
        <v>13018</v>
      </c>
      <c r="F1649" s="12">
        <v>43125.260752314818</v>
      </c>
      <c r="G1649" s="17" t="s">
        <v>171</v>
      </c>
      <c r="H1649" s="35" t="s">
        <v>1400</v>
      </c>
      <c r="I1649" s="18" t="s">
        <v>1401</v>
      </c>
    </row>
    <row r="1650" spans="1:9" s="31" customFormat="1" ht="120">
      <c r="A1650" s="12">
        <v>43569.146111111113</v>
      </c>
      <c r="B1650" s="13" t="s">
        <v>16048</v>
      </c>
      <c r="C1650" s="14" t="s">
        <v>1398</v>
      </c>
      <c r="D1650" s="15" t="s">
        <v>4593</v>
      </c>
      <c r="E1650" s="16" t="s">
        <v>13018</v>
      </c>
      <c r="F1650" s="12">
        <v>43125.260752314818</v>
      </c>
      <c r="G1650" s="17" t="s">
        <v>171</v>
      </c>
      <c r="H1650" s="35" t="s">
        <v>1400</v>
      </c>
      <c r="I1650" s="18" t="s">
        <v>1401</v>
      </c>
    </row>
    <row r="1651" spans="1:9" s="31" customFormat="1" ht="120">
      <c r="A1651" s="12">
        <v>43567.354872685188</v>
      </c>
      <c r="B1651" s="13" t="s">
        <v>16048</v>
      </c>
      <c r="C1651" s="14" t="s">
        <v>1398</v>
      </c>
      <c r="D1651" s="15" t="s">
        <v>1399</v>
      </c>
      <c r="E1651" s="16" t="s">
        <v>13018</v>
      </c>
      <c r="F1651" s="12">
        <v>43125.260752314818</v>
      </c>
      <c r="G1651" s="17" t="s">
        <v>171</v>
      </c>
      <c r="H1651" s="35" t="s">
        <v>1400</v>
      </c>
      <c r="I1651" s="18" t="s">
        <v>1401</v>
      </c>
    </row>
    <row r="1652" spans="1:9" s="31" customFormat="1" ht="75">
      <c r="A1652" s="4">
        <v>43559.037048611106</v>
      </c>
      <c r="B1652" s="5" t="s">
        <v>16049</v>
      </c>
      <c r="C1652" s="6" t="s">
        <v>11962</v>
      </c>
      <c r="D1652" s="7" t="s">
        <v>11963</v>
      </c>
      <c r="E1652" s="8" t="s">
        <v>13011</v>
      </c>
      <c r="F1652" s="4">
        <v>43534.237534722226</v>
      </c>
      <c r="G1652" s="9" t="s">
        <v>171</v>
      </c>
      <c r="H1652" s="35" t="s">
        <v>11964</v>
      </c>
      <c r="I1652" s="10" t="s">
        <v>11965</v>
      </c>
    </row>
    <row r="1653" spans="1:9" s="31" customFormat="1" ht="90">
      <c r="A1653" s="19">
        <v>43547.203668981485</v>
      </c>
      <c r="B1653" s="20" t="s">
        <v>16050</v>
      </c>
      <c r="C1653" s="21" t="s">
        <v>8635</v>
      </c>
      <c r="D1653" s="22" t="s">
        <v>8636</v>
      </c>
      <c r="E1653" s="23" t="s">
        <v>13462</v>
      </c>
      <c r="F1653" s="19">
        <v>39855.891724537039</v>
      </c>
      <c r="G1653" s="17" t="s">
        <v>171</v>
      </c>
      <c r="H1653" s="35" t="s">
        <v>4314</v>
      </c>
      <c r="I1653" s="25" t="s">
        <v>8637</v>
      </c>
    </row>
    <row r="1654" spans="1:9" s="31" customFormat="1" ht="90">
      <c r="A1654" s="12">
        <v>43570.167013888888</v>
      </c>
      <c r="B1654" s="13" t="s">
        <v>16051</v>
      </c>
      <c r="C1654" s="14" t="s">
        <v>4312</v>
      </c>
      <c r="D1654" s="15" t="s">
        <v>4313</v>
      </c>
      <c r="E1654" s="16" t="s">
        <v>13034</v>
      </c>
      <c r="F1654" s="12">
        <v>42628.014999999999</v>
      </c>
      <c r="G1654" s="17" t="s">
        <v>171</v>
      </c>
      <c r="H1654" s="35" t="s">
        <v>4314</v>
      </c>
      <c r="I1654" s="18" t="s">
        <v>4315</v>
      </c>
    </row>
    <row r="1655" spans="1:9" s="31" customFormat="1" ht="120">
      <c r="A1655" s="4">
        <v>43561.767766203702</v>
      </c>
      <c r="B1655" s="5" t="s">
        <v>16052</v>
      </c>
      <c r="C1655" s="6" t="s">
        <v>10838</v>
      </c>
      <c r="D1655" s="7" t="s">
        <v>10839</v>
      </c>
      <c r="E1655" s="8" t="s">
        <v>13015</v>
      </c>
      <c r="F1655" s="4">
        <v>43545.683564814812</v>
      </c>
      <c r="G1655" s="9" t="s">
        <v>171</v>
      </c>
      <c r="H1655" s="35" t="s">
        <v>10840</v>
      </c>
      <c r="I1655" s="10" t="s">
        <v>10841</v>
      </c>
    </row>
    <row r="1656" spans="1:9" s="31" customFormat="1" ht="120">
      <c r="A1656" s="12">
        <v>43574.478020833332</v>
      </c>
      <c r="B1656" s="13" t="s">
        <v>16053</v>
      </c>
      <c r="C1656" s="14" t="s">
        <v>2533</v>
      </c>
      <c r="D1656" s="15" t="s">
        <v>2534</v>
      </c>
      <c r="E1656" s="16" t="s">
        <v>13009</v>
      </c>
      <c r="F1656" s="12">
        <v>40376.59611111111</v>
      </c>
      <c r="G1656" s="17" t="s">
        <v>171</v>
      </c>
      <c r="H1656" s="35" t="s">
        <v>2535</v>
      </c>
      <c r="I1656" s="18" t="s">
        <v>2536</v>
      </c>
    </row>
    <row r="1657" spans="1:9" s="31" customFormat="1" ht="90">
      <c r="A1657" s="19">
        <v>43551.500868055555</v>
      </c>
      <c r="B1657" s="20" t="s">
        <v>16054</v>
      </c>
      <c r="C1657" s="21" t="s">
        <v>7148</v>
      </c>
      <c r="D1657" s="22" t="s">
        <v>7149</v>
      </c>
      <c r="E1657" s="23" t="s">
        <v>13027</v>
      </c>
      <c r="F1657" s="19">
        <v>43479.652245370366</v>
      </c>
      <c r="G1657" s="24" t="s">
        <v>171</v>
      </c>
      <c r="H1657" s="35" t="s">
        <v>7150</v>
      </c>
      <c r="I1657" s="25" t="s">
        <v>7151</v>
      </c>
    </row>
    <row r="1658" spans="1:9" s="31" customFormat="1" ht="60">
      <c r="A1658" s="12">
        <v>43565.91920138889</v>
      </c>
      <c r="B1658" s="13" t="s">
        <v>16055</v>
      </c>
      <c r="C1658" s="14" t="s">
        <v>5860</v>
      </c>
      <c r="D1658" s="15" t="s">
        <v>5861</v>
      </c>
      <c r="E1658" s="16" t="s">
        <v>13032</v>
      </c>
      <c r="F1658" s="12">
        <v>43175.236956018518</v>
      </c>
      <c r="G1658" s="17" t="s">
        <v>171</v>
      </c>
      <c r="H1658" s="35" t="s">
        <v>5862</v>
      </c>
      <c r="I1658" s="18" t="s">
        <v>5863</v>
      </c>
    </row>
    <row r="1659" spans="1:9" s="31" customFormat="1" ht="135">
      <c r="A1659" s="4">
        <v>43564.502627314811</v>
      </c>
      <c r="B1659" s="5" t="s">
        <v>16056</v>
      </c>
      <c r="C1659" s="6" t="s">
        <v>1754</v>
      </c>
      <c r="D1659" s="7" t="s">
        <v>6571</v>
      </c>
      <c r="E1659" s="8" t="s">
        <v>13032</v>
      </c>
      <c r="F1659" s="4">
        <v>42175.185543981483</v>
      </c>
      <c r="G1659" s="17" t="s">
        <v>171</v>
      </c>
      <c r="H1659" s="35" t="s">
        <v>1756</v>
      </c>
      <c r="I1659" s="10" t="s">
        <v>1757</v>
      </c>
    </row>
    <row r="1660" spans="1:9" s="31" customFormat="1" ht="135">
      <c r="A1660" s="4">
        <v>43557.486215277779</v>
      </c>
      <c r="B1660" s="5" t="s">
        <v>16056</v>
      </c>
      <c r="C1660" s="6" t="s">
        <v>1754</v>
      </c>
      <c r="D1660" s="7" t="s">
        <v>12502</v>
      </c>
      <c r="E1660" s="8" t="s">
        <v>13032</v>
      </c>
      <c r="F1660" s="4">
        <v>42175.185543981483</v>
      </c>
      <c r="G1660" s="17" t="s">
        <v>171</v>
      </c>
      <c r="H1660" s="35" t="s">
        <v>1756</v>
      </c>
      <c r="I1660" s="10" t="s">
        <v>1757</v>
      </c>
    </row>
    <row r="1661" spans="1:9" s="31" customFormat="1" ht="135">
      <c r="A1661" s="12">
        <v>43577.104502314818</v>
      </c>
      <c r="B1661" s="13" t="s">
        <v>16056</v>
      </c>
      <c r="C1661" s="14" t="s">
        <v>1754</v>
      </c>
      <c r="D1661" s="15" t="s">
        <v>1755</v>
      </c>
      <c r="E1661" s="16" t="s">
        <v>13032</v>
      </c>
      <c r="F1661" s="12">
        <v>42175.185543981483</v>
      </c>
      <c r="G1661" s="17" t="s">
        <v>171</v>
      </c>
      <c r="H1661" s="35" t="s">
        <v>1756</v>
      </c>
      <c r="I1661" s="18" t="s">
        <v>1757</v>
      </c>
    </row>
    <row r="1662" spans="1:9" s="31" customFormat="1" ht="135">
      <c r="A1662" s="12">
        <v>43574.413194444445</v>
      </c>
      <c r="B1662" s="13" t="s">
        <v>16056</v>
      </c>
      <c r="C1662" s="14" t="s">
        <v>1754</v>
      </c>
      <c r="D1662" s="15" t="s">
        <v>2559</v>
      </c>
      <c r="E1662" s="16" t="s">
        <v>13032</v>
      </c>
      <c r="F1662" s="12">
        <v>42175.185543981483</v>
      </c>
      <c r="G1662" s="17" t="s">
        <v>171</v>
      </c>
      <c r="H1662" s="35" t="s">
        <v>1756</v>
      </c>
      <c r="I1662" s="18" t="s">
        <v>1757</v>
      </c>
    </row>
    <row r="1663" spans="1:9" s="31" customFormat="1" ht="75">
      <c r="A1663" s="12">
        <v>43570.327604166669</v>
      </c>
      <c r="B1663" s="13" t="s">
        <v>16057</v>
      </c>
      <c r="C1663" s="14" t="s">
        <v>4223</v>
      </c>
      <c r="D1663" s="15" t="s">
        <v>4224</v>
      </c>
      <c r="E1663" s="16" t="s">
        <v>13013</v>
      </c>
      <c r="F1663" s="12">
        <v>43538.365173611106</v>
      </c>
      <c r="G1663" s="17" t="s">
        <v>171</v>
      </c>
      <c r="H1663" s="35" t="s">
        <v>4225</v>
      </c>
      <c r="I1663" s="18" t="s">
        <v>4226</v>
      </c>
    </row>
    <row r="1664" spans="1:9" s="31" customFormat="1" ht="75">
      <c r="A1664" s="19">
        <v>43545.208425925928</v>
      </c>
      <c r="B1664" s="20" t="s">
        <v>16058</v>
      </c>
      <c r="C1664" s="21" t="s">
        <v>9248</v>
      </c>
      <c r="D1664" s="22" t="s">
        <v>9249</v>
      </c>
      <c r="E1664" s="23" t="s">
        <v>13009</v>
      </c>
      <c r="F1664" s="19">
        <v>42180.629074074073</v>
      </c>
      <c r="G1664" s="24" t="s">
        <v>171</v>
      </c>
      <c r="H1664" s="35" t="s">
        <v>9250</v>
      </c>
      <c r="I1664" s="25" t="s">
        <v>9251</v>
      </c>
    </row>
    <row r="1665" spans="1:9" s="31" customFormat="1" ht="120">
      <c r="A1665" s="19">
        <v>43548.551747685182</v>
      </c>
      <c r="B1665" s="20" t="s">
        <v>16059</v>
      </c>
      <c r="C1665" s="21" t="s">
        <v>8279</v>
      </c>
      <c r="D1665" s="22" t="s">
        <v>8280</v>
      </c>
      <c r="E1665" s="23" t="s">
        <v>13013</v>
      </c>
      <c r="F1665" s="19">
        <v>40324.812743055554</v>
      </c>
      <c r="G1665" s="24" t="s">
        <v>171</v>
      </c>
      <c r="H1665" s="35" t="s">
        <v>8281</v>
      </c>
      <c r="I1665" s="25" t="s">
        <v>8282</v>
      </c>
    </row>
    <row r="1666" spans="1:9" s="31" customFormat="1" ht="60">
      <c r="A1666" s="12">
        <v>43570.060081018513</v>
      </c>
      <c r="B1666" s="13" t="s">
        <v>16060</v>
      </c>
      <c r="C1666" s="14" t="s">
        <v>4349</v>
      </c>
      <c r="D1666" s="15" t="s">
        <v>4350</v>
      </c>
      <c r="E1666" s="16" t="s">
        <v>13013</v>
      </c>
      <c r="F1666" s="12">
        <v>42149.32068287037</v>
      </c>
      <c r="G1666" s="17" t="s">
        <v>171</v>
      </c>
      <c r="H1666" s="35" t="s">
        <v>4351</v>
      </c>
      <c r="I1666" s="18" t="s">
        <v>4352</v>
      </c>
    </row>
    <row r="1667" spans="1:9" s="31" customFormat="1" ht="30">
      <c r="A1667" s="12">
        <v>43566.121898148151</v>
      </c>
      <c r="B1667" s="13" t="s">
        <v>16060</v>
      </c>
      <c r="C1667" s="14" t="s">
        <v>4349</v>
      </c>
      <c r="D1667" s="15" t="s">
        <v>5777</v>
      </c>
      <c r="E1667" s="16" t="s">
        <v>13013</v>
      </c>
      <c r="F1667" s="12">
        <v>42149.32068287037</v>
      </c>
      <c r="G1667" s="17" t="s">
        <v>171</v>
      </c>
      <c r="H1667" s="35" t="s">
        <v>4351</v>
      </c>
      <c r="I1667" s="18" t="s">
        <v>4352</v>
      </c>
    </row>
    <row r="1668" spans="1:9" s="31" customFormat="1" ht="105">
      <c r="A1668" s="12">
        <v>43565.452025462961</v>
      </c>
      <c r="B1668" s="13" t="s">
        <v>16061</v>
      </c>
      <c r="C1668" s="14" t="s">
        <v>6080</v>
      </c>
      <c r="D1668" s="15" t="s">
        <v>6081</v>
      </c>
      <c r="E1668" s="16" t="s">
        <v>13013</v>
      </c>
      <c r="F1668" s="12">
        <v>39926.47819444444</v>
      </c>
      <c r="G1668" s="17" t="s">
        <v>171</v>
      </c>
      <c r="H1668" s="35" t="s">
        <v>6082</v>
      </c>
      <c r="I1668" s="18" t="s">
        <v>6083</v>
      </c>
    </row>
    <row r="1669" spans="1:9" s="31" customFormat="1" ht="120">
      <c r="A1669" s="19">
        <v>43548.024618055555</v>
      </c>
      <c r="B1669" s="20" t="s">
        <v>16062</v>
      </c>
      <c r="C1669" s="21" t="s">
        <v>8425</v>
      </c>
      <c r="D1669" s="22" t="s">
        <v>8426</v>
      </c>
      <c r="E1669" s="23" t="s">
        <v>13013</v>
      </c>
      <c r="F1669" s="19">
        <v>39997.041574074072</v>
      </c>
      <c r="G1669" s="9" t="s">
        <v>171</v>
      </c>
      <c r="H1669" s="35" t="s">
        <v>8427</v>
      </c>
      <c r="I1669" s="25" t="s">
        <v>8428</v>
      </c>
    </row>
    <row r="1670" spans="1:9" s="31" customFormat="1">
      <c r="A1670" s="4">
        <v>43561.783483796295</v>
      </c>
      <c r="B1670" s="5" t="s">
        <v>16063</v>
      </c>
      <c r="C1670" s="6" t="s">
        <v>10834</v>
      </c>
      <c r="D1670" s="7" t="s">
        <v>10835</v>
      </c>
      <c r="E1670" s="8" t="s">
        <v>16064</v>
      </c>
      <c r="F1670" s="4">
        <v>41421.100902777776</v>
      </c>
      <c r="G1670" s="9" t="s">
        <v>171</v>
      </c>
      <c r="H1670" s="35" t="s">
        <v>10836</v>
      </c>
      <c r="I1670" s="10" t="s">
        <v>10837</v>
      </c>
    </row>
    <row r="1671" spans="1:9" s="31" customFormat="1" ht="30">
      <c r="A1671" s="4">
        <v>43560.79996527778</v>
      </c>
      <c r="B1671" s="5" t="s">
        <v>16063</v>
      </c>
      <c r="C1671" s="6" t="s">
        <v>10834</v>
      </c>
      <c r="D1671" s="7" t="s">
        <v>11158</v>
      </c>
      <c r="E1671" s="8" t="s">
        <v>16064</v>
      </c>
      <c r="F1671" s="4">
        <v>41421.100902777776</v>
      </c>
      <c r="G1671" s="9" t="s">
        <v>171</v>
      </c>
      <c r="H1671" s="35" t="s">
        <v>10836</v>
      </c>
      <c r="I1671" s="10" t="s">
        <v>10837</v>
      </c>
    </row>
    <row r="1672" spans="1:9" s="31" customFormat="1" ht="30">
      <c r="A1672" s="4">
        <v>43560.247847222221</v>
      </c>
      <c r="B1672" s="5" t="s">
        <v>16063</v>
      </c>
      <c r="C1672" s="6" t="s">
        <v>10834</v>
      </c>
      <c r="D1672" s="7" t="s">
        <v>11536</v>
      </c>
      <c r="E1672" s="8" t="s">
        <v>16064</v>
      </c>
      <c r="F1672" s="4">
        <v>41421.100902777776</v>
      </c>
      <c r="G1672" s="9" t="s">
        <v>171</v>
      </c>
      <c r="H1672" s="35" t="s">
        <v>10836</v>
      </c>
      <c r="I1672" s="10" t="s">
        <v>10837</v>
      </c>
    </row>
    <row r="1673" spans="1:9" s="31" customFormat="1" ht="45">
      <c r="A1673" s="19">
        <v>43547.217546296291</v>
      </c>
      <c r="B1673" s="20" t="s">
        <v>16065</v>
      </c>
      <c r="C1673" s="21" t="s">
        <v>8625</v>
      </c>
      <c r="D1673" s="22" t="s">
        <v>8626</v>
      </c>
      <c r="E1673" s="23" t="s">
        <v>13013</v>
      </c>
      <c r="F1673" s="19">
        <v>40800.420555555553</v>
      </c>
      <c r="G1673" s="24" t="s">
        <v>171</v>
      </c>
      <c r="H1673" s="35" t="s">
        <v>8627</v>
      </c>
      <c r="I1673" s="25" t="s">
        <v>8628</v>
      </c>
    </row>
    <row r="1674" spans="1:9" s="31" customFormat="1" ht="135">
      <c r="A1674" s="19">
        <v>43551.28534722222</v>
      </c>
      <c r="B1674" s="20" t="s">
        <v>16066</v>
      </c>
      <c r="C1674" s="21" t="s">
        <v>7351</v>
      </c>
      <c r="D1674" s="22" t="s">
        <v>7352</v>
      </c>
      <c r="E1674" s="23" t="s">
        <v>13011</v>
      </c>
      <c r="F1674" s="19">
        <v>40414.791886574072</v>
      </c>
      <c r="G1674" s="9" t="s">
        <v>171</v>
      </c>
      <c r="H1674" s="35" t="s">
        <v>7353</v>
      </c>
      <c r="I1674" s="25" t="s">
        <v>7354</v>
      </c>
    </row>
    <row r="1675" spans="1:9" s="31" customFormat="1" ht="120">
      <c r="A1675" s="19">
        <v>43551.166087962964</v>
      </c>
      <c r="B1675" s="20" t="s">
        <v>16067</v>
      </c>
      <c r="C1675" s="21" t="s">
        <v>7407</v>
      </c>
      <c r="D1675" s="22" t="s">
        <v>12888</v>
      </c>
      <c r="E1675" s="23" t="s">
        <v>13009</v>
      </c>
      <c r="F1675" s="19">
        <v>41813.07576388889</v>
      </c>
      <c r="G1675" s="9" t="s">
        <v>171</v>
      </c>
      <c r="H1675" s="35" t="s">
        <v>7408</v>
      </c>
      <c r="I1675" s="25" t="s">
        <v>12889</v>
      </c>
    </row>
    <row r="1676" spans="1:9" s="31" customFormat="1" ht="105">
      <c r="A1676" s="12">
        <v>43577.627037037033</v>
      </c>
      <c r="B1676" s="13" t="s">
        <v>16068</v>
      </c>
      <c r="C1676" s="14" t="s">
        <v>1538</v>
      </c>
      <c r="D1676" s="15" t="s">
        <v>12800</v>
      </c>
      <c r="E1676" s="16" t="s">
        <v>13009</v>
      </c>
      <c r="F1676" s="12">
        <v>42108.691099537042</v>
      </c>
      <c r="G1676" s="9" t="s">
        <v>171</v>
      </c>
      <c r="H1676" s="35" t="s">
        <v>12801</v>
      </c>
      <c r="I1676" s="18" t="s">
        <v>12802</v>
      </c>
    </row>
    <row r="1677" spans="1:9" s="31" customFormat="1" ht="105">
      <c r="A1677" s="19">
        <v>43549.142523148148</v>
      </c>
      <c r="B1677" s="20" t="s">
        <v>16069</v>
      </c>
      <c r="C1677" s="21" t="s">
        <v>1402</v>
      </c>
      <c r="D1677" s="22" t="s">
        <v>12830</v>
      </c>
      <c r="E1677" s="23" t="s">
        <v>13009</v>
      </c>
      <c r="F1677" s="19">
        <v>41080.311620370368</v>
      </c>
      <c r="G1677" s="9" t="s">
        <v>171</v>
      </c>
      <c r="H1677" s="35" t="s">
        <v>1403</v>
      </c>
      <c r="I1677" s="25" t="s">
        <v>1404</v>
      </c>
    </row>
    <row r="1678" spans="1:9" s="31" customFormat="1" ht="105">
      <c r="A1678" s="4">
        <v>43565.105682870373</v>
      </c>
      <c r="B1678" s="5" t="s">
        <v>16069</v>
      </c>
      <c r="C1678" s="6" t="s">
        <v>1402</v>
      </c>
      <c r="D1678" s="7" t="s">
        <v>12831</v>
      </c>
      <c r="E1678" s="8" t="s">
        <v>13009</v>
      </c>
      <c r="F1678" s="4">
        <v>41080.311620370368</v>
      </c>
      <c r="G1678" s="9" t="s">
        <v>171</v>
      </c>
      <c r="H1678" s="35" t="s">
        <v>1403</v>
      </c>
      <c r="I1678" s="10" t="s">
        <v>1404</v>
      </c>
    </row>
    <row r="1679" spans="1:9" s="31" customFormat="1" ht="105">
      <c r="A1679" s="4">
        <v>43564.123796296291</v>
      </c>
      <c r="B1679" s="5" t="s">
        <v>16069</v>
      </c>
      <c r="C1679" s="6" t="s">
        <v>1402</v>
      </c>
      <c r="D1679" s="7" t="s">
        <v>12832</v>
      </c>
      <c r="E1679" s="8" t="s">
        <v>13009</v>
      </c>
      <c r="F1679" s="4">
        <v>41080.311620370368</v>
      </c>
      <c r="G1679" s="9" t="s">
        <v>171</v>
      </c>
      <c r="H1679" s="35" t="s">
        <v>1403</v>
      </c>
      <c r="I1679" s="10" t="s">
        <v>1404</v>
      </c>
    </row>
    <row r="1680" spans="1:9" s="31" customFormat="1" ht="105">
      <c r="A1680" s="4">
        <v>43564.071539351848</v>
      </c>
      <c r="B1680" s="5" t="s">
        <v>16069</v>
      </c>
      <c r="C1680" s="6" t="s">
        <v>1402</v>
      </c>
      <c r="D1680" s="7" t="s">
        <v>12833</v>
      </c>
      <c r="E1680" s="8" t="s">
        <v>13034</v>
      </c>
      <c r="F1680" s="4">
        <v>41080.311620370368</v>
      </c>
      <c r="G1680" s="9" t="s">
        <v>171</v>
      </c>
      <c r="H1680" s="35" t="s">
        <v>1403</v>
      </c>
      <c r="I1680" s="10" t="s">
        <v>1404</v>
      </c>
    </row>
    <row r="1681" spans="1:9" s="31" customFormat="1" ht="105">
      <c r="A1681" s="4">
        <v>43563.277581018519</v>
      </c>
      <c r="B1681" s="5" t="s">
        <v>16069</v>
      </c>
      <c r="C1681" s="6" t="s">
        <v>1402</v>
      </c>
      <c r="D1681" s="7" t="s">
        <v>12834</v>
      </c>
      <c r="E1681" s="8" t="s">
        <v>13009</v>
      </c>
      <c r="F1681" s="4">
        <v>41080.311620370368</v>
      </c>
      <c r="G1681" s="9" t="s">
        <v>171</v>
      </c>
      <c r="H1681" s="35" t="s">
        <v>1403</v>
      </c>
      <c r="I1681" s="10" t="s">
        <v>1404</v>
      </c>
    </row>
    <row r="1682" spans="1:9" s="31" customFormat="1" ht="105">
      <c r="A1682" s="4">
        <v>43563.115532407406</v>
      </c>
      <c r="B1682" s="5" t="s">
        <v>16069</v>
      </c>
      <c r="C1682" s="6" t="s">
        <v>1402</v>
      </c>
      <c r="D1682" s="7" t="s">
        <v>12835</v>
      </c>
      <c r="E1682" s="8" t="s">
        <v>13009</v>
      </c>
      <c r="F1682" s="4">
        <v>41080.311620370368</v>
      </c>
      <c r="G1682" s="9" t="s">
        <v>171</v>
      </c>
      <c r="H1682" s="35" t="s">
        <v>1403</v>
      </c>
      <c r="I1682" s="10" t="s">
        <v>1404</v>
      </c>
    </row>
    <row r="1683" spans="1:9" s="31" customFormat="1" ht="105">
      <c r="A1683" s="4">
        <v>43561.116805555561</v>
      </c>
      <c r="B1683" s="5" t="s">
        <v>16069</v>
      </c>
      <c r="C1683" s="6" t="s">
        <v>1402</v>
      </c>
      <c r="D1683" s="7" t="s">
        <v>12836</v>
      </c>
      <c r="E1683" s="8" t="s">
        <v>13009</v>
      </c>
      <c r="F1683" s="4">
        <v>41080.311620370368</v>
      </c>
      <c r="G1683" s="9" t="s">
        <v>171</v>
      </c>
      <c r="H1683" s="35" t="s">
        <v>1403</v>
      </c>
      <c r="I1683" s="10" t="s">
        <v>1404</v>
      </c>
    </row>
    <row r="1684" spans="1:9" s="31" customFormat="1" ht="105">
      <c r="A1684" s="4">
        <v>43560.017395833333</v>
      </c>
      <c r="B1684" s="5" t="s">
        <v>16069</v>
      </c>
      <c r="C1684" s="6" t="s">
        <v>1402</v>
      </c>
      <c r="D1684" s="7" t="s">
        <v>12837</v>
      </c>
      <c r="E1684" s="8" t="s">
        <v>13034</v>
      </c>
      <c r="F1684" s="4">
        <v>41080.311620370368</v>
      </c>
      <c r="G1684" s="9" t="s">
        <v>171</v>
      </c>
      <c r="H1684" s="35" t="s">
        <v>1403</v>
      </c>
      <c r="I1684" s="10" t="s">
        <v>1404</v>
      </c>
    </row>
    <row r="1685" spans="1:9" s="31" customFormat="1" ht="105">
      <c r="A1685" s="4">
        <v>43559.150347222225</v>
      </c>
      <c r="B1685" s="5" t="s">
        <v>16069</v>
      </c>
      <c r="C1685" s="6" t="s">
        <v>1402</v>
      </c>
      <c r="D1685" s="7" t="s">
        <v>12838</v>
      </c>
      <c r="E1685" s="8" t="s">
        <v>13009</v>
      </c>
      <c r="F1685" s="4">
        <v>41080.311620370368</v>
      </c>
      <c r="G1685" s="9" t="s">
        <v>171</v>
      </c>
      <c r="H1685" s="35" t="s">
        <v>1403</v>
      </c>
      <c r="I1685" s="10" t="s">
        <v>1404</v>
      </c>
    </row>
    <row r="1686" spans="1:9" s="31" customFormat="1" ht="105">
      <c r="A1686" s="4">
        <v>43558.134479166663</v>
      </c>
      <c r="B1686" s="5" t="s">
        <v>16069</v>
      </c>
      <c r="C1686" s="6" t="s">
        <v>1402</v>
      </c>
      <c r="D1686" s="7" t="s">
        <v>12839</v>
      </c>
      <c r="E1686" s="8" t="s">
        <v>13009</v>
      </c>
      <c r="F1686" s="4">
        <v>41080.311620370368</v>
      </c>
      <c r="G1686" s="9" t="s">
        <v>171</v>
      </c>
      <c r="H1686" s="35" t="s">
        <v>1403</v>
      </c>
      <c r="I1686" s="10" t="s">
        <v>1404</v>
      </c>
    </row>
    <row r="1687" spans="1:9" s="31" customFormat="1" ht="105">
      <c r="A1687" s="4">
        <v>43558.029872685191</v>
      </c>
      <c r="B1687" s="5" t="s">
        <v>16069</v>
      </c>
      <c r="C1687" s="6" t="s">
        <v>1402</v>
      </c>
      <c r="D1687" s="7" t="s">
        <v>12840</v>
      </c>
      <c r="E1687" s="8" t="s">
        <v>13034</v>
      </c>
      <c r="F1687" s="4">
        <v>41080.311620370368</v>
      </c>
      <c r="G1687" s="9" t="s">
        <v>171</v>
      </c>
      <c r="H1687" s="35" t="s">
        <v>1403</v>
      </c>
      <c r="I1687" s="10" t="s">
        <v>1404</v>
      </c>
    </row>
    <row r="1688" spans="1:9" s="31" customFormat="1" ht="105">
      <c r="A1688" s="4">
        <v>43557.113877314812</v>
      </c>
      <c r="B1688" s="5" t="s">
        <v>16069</v>
      </c>
      <c r="C1688" s="6" t="s">
        <v>1402</v>
      </c>
      <c r="D1688" s="7" t="s">
        <v>12841</v>
      </c>
      <c r="E1688" s="8" t="s">
        <v>13034</v>
      </c>
      <c r="F1688" s="4">
        <v>41080.311620370368</v>
      </c>
      <c r="G1688" s="9" t="s">
        <v>171</v>
      </c>
      <c r="H1688" s="35" t="s">
        <v>1403</v>
      </c>
      <c r="I1688" s="10" t="s">
        <v>1404</v>
      </c>
    </row>
    <row r="1689" spans="1:9" s="31" customFormat="1" ht="105">
      <c r="A1689" s="12">
        <v>43578.103680555556</v>
      </c>
      <c r="B1689" s="13" t="s">
        <v>16069</v>
      </c>
      <c r="C1689" s="14" t="s">
        <v>1402</v>
      </c>
      <c r="D1689" s="15" t="s">
        <v>12842</v>
      </c>
      <c r="E1689" s="16" t="s">
        <v>13009</v>
      </c>
      <c r="F1689" s="12">
        <v>41080.311620370368</v>
      </c>
      <c r="G1689" s="9" t="s">
        <v>171</v>
      </c>
      <c r="H1689" s="35" t="s">
        <v>1403</v>
      </c>
      <c r="I1689" s="18" t="s">
        <v>1404</v>
      </c>
    </row>
    <row r="1690" spans="1:9" s="31" customFormat="1" ht="105">
      <c r="A1690" s="12">
        <v>43571.108611111107</v>
      </c>
      <c r="B1690" s="13" t="s">
        <v>16069</v>
      </c>
      <c r="C1690" s="14" t="s">
        <v>1402</v>
      </c>
      <c r="D1690" s="15" t="s">
        <v>12843</v>
      </c>
      <c r="E1690" s="16" t="s">
        <v>13009</v>
      </c>
      <c r="F1690" s="12">
        <v>41080.311620370368</v>
      </c>
      <c r="G1690" s="9" t="s">
        <v>171</v>
      </c>
      <c r="H1690" s="35" t="s">
        <v>1403</v>
      </c>
      <c r="I1690" s="18" t="s">
        <v>1404</v>
      </c>
    </row>
    <row r="1691" spans="1:9" s="31" customFormat="1" ht="105">
      <c r="A1691" s="12">
        <v>43570.161539351851</v>
      </c>
      <c r="B1691" s="13" t="s">
        <v>16069</v>
      </c>
      <c r="C1691" s="14" t="s">
        <v>1402</v>
      </c>
      <c r="D1691" s="15" t="s">
        <v>12844</v>
      </c>
      <c r="E1691" s="16" t="s">
        <v>13009</v>
      </c>
      <c r="F1691" s="12">
        <v>41080.311620370368</v>
      </c>
      <c r="G1691" s="9" t="s">
        <v>171</v>
      </c>
      <c r="H1691" s="35" t="s">
        <v>1403</v>
      </c>
      <c r="I1691" s="18" t="s">
        <v>1404</v>
      </c>
    </row>
    <row r="1692" spans="1:9" s="31" customFormat="1" ht="105">
      <c r="A1692" s="12">
        <v>43570.095590277779</v>
      </c>
      <c r="B1692" s="13" t="s">
        <v>16069</v>
      </c>
      <c r="C1692" s="14" t="s">
        <v>1402</v>
      </c>
      <c r="D1692" s="15" t="s">
        <v>12845</v>
      </c>
      <c r="E1692" s="16" t="s">
        <v>13009</v>
      </c>
      <c r="F1692" s="12">
        <v>41080.311620370368</v>
      </c>
      <c r="G1692" s="9" t="s">
        <v>171</v>
      </c>
      <c r="H1692" s="35" t="s">
        <v>1403</v>
      </c>
      <c r="I1692" s="18" t="s">
        <v>1404</v>
      </c>
    </row>
    <row r="1693" spans="1:9" s="31" customFormat="1" ht="105">
      <c r="A1693" s="12">
        <v>43568.003495370373</v>
      </c>
      <c r="B1693" s="13" t="s">
        <v>16069</v>
      </c>
      <c r="C1693" s="14" t="s">
        <v>1402</v>
      </c>
      <c r="D1693" s="15" t="s">
        <v>12846</v>
      </c>
      <c r="E1693" s="16" t="s">
        <v>13034</v>
      </c>
      <c r="F1693" s="12">
        <v>41080.311620370368</v>
      </c>
      <c r="G1693" s="9" t="s">
        <v>171</v>
      </c>
      <c r="H1693" s="35" t="s">
        <v>1403</v>
      </c>
      <c r="I1693" s="18" t="s">
        <v>1404</v>
      </c>
    </row>
    <row r="1694" spans="1:9" s="31" customFormat="1" ht="105">
      <c r="A1694" s="12">
        <v>43567.326284722221</v>
      </c>
      <c r="B1694" s="13" t="s">
        <v>16069</v>
      </c>
      <c r="C1694" s="14" t="s">
        <v>1402</v>
      </c>
      <c r="D1694" s="15" t="s">
        <v>12847</v>
      </c>
      <c r="E1694" s="16" t="s">
        <v>13009</v>
      </c>
      <c r="F1694" s="12">
        <v>41080.311620370368</v>
      </c>
      <c r="G1694" s="9" t="s">
        <v>171</v>
      </c>
      <c r="H1694" s="35" t="s">
        <v>1403</v>
      </c>
      <c r="I1694" s="18" t="s">
        <v>1404</v>
      </c>
    </row>
    <row r="1695" spans="1:9" s="31" customFormat="1" ht="105">
      <c r="A1695" s="12">
        <v>43567.043773148151</v>
      </c>
      <c r="B1695" s="13" t="s">
        <v>16069</v>
      </c>
      <c r="C1695" s="14" t="s">
        <v>1402</v>
      </c>
      <c r="D1695" s="15" t="s">
        <v>12848</v>
      </c>
      <c r="E1695" s="16" t="s">
        <v>13034</v>
      </c>
      <c r="F1695" s="12">
        <v>41080.311620370368</v>
      </c>
      <c r="G1695" s="9" t="s">
        <v>171</v>
      </c>
      <c r="H1695" s="35" t="s">
        <v>1403</v>
      </c>
      <c r="I1695" s="18" t="s">
        <v>1404</v>
      </c>
    </row>
    <row r="1696" spans="1:9" s="31" customFormat="1" ht="105">
      <c r="A1696" s="12">
        <v>43566.918761574074</v>
      </c>
      <c r="B1696" s="13" t="s">
        <v>16069</v>
      </c>
      <c r="C1696" s="14" t="s">
        <v>1402</v>
      </c>
      <c r="D1696" s="15" t="s">
        <v>12849</v>
      </c>
      <c r="E1696" s="16" t="s">
        <v>13034</v>
      </c>
      <c r="F1696" s="12">
        <v>41080.311620370368</v>
      </c>
      <c r="G1696" s="9" t="s">
        <v>171</v>
      </c>
      <c r="H1696" s="35" t="s">
        <v>1403</v>
      </c>
      <c r="I1696" s="18" t="s">
        <v>1404</v>
      </c>
    </row>
    <row r="1697" spans="1:9" s="31" customFormat="1" ht="105">
      <c r="A1697" s="12">
        <v>43566.113865740743</v>
      </c>
      <c r="B1697" s="13" t="s">
        <v>16069</v>
      </c>
      <c r="C1697" s="14" t="s">
        <v>1402</v>
      </c>
      <c r="D1697" s="15" t="s">
        <v>12850</v>
      </c>
      <c r="E1697" s="16" t="s">
        <v>13009</v>
      </c>
      <c r="F1697" s="12">
        <v>41080.311620370368</v>
      </c>
      <c r="G1697" s="9" t="s">
        <v>171</v>
      </c>
      <c r="H1697" s="35" t="s">
        <v>1403</v>
      </c>
      <c r="I1697" s="18" t="s">
        <v>1404</v>
      </c>
    </row>
    <row r="1698" spans="1:9" s="31" customFormat="1" ht="60">
      <c r="A1698" s="4">
        <v>43563.500405092593</v>
      </c>
      <c r="B1698" s="5" t="s">
        <v>16070</v>
      </c>
      <c r="C1698" s="6" t="s">
        <v>10259</v>
      </c>
      <c r="D1698" s="7" t="s">
        <v>12863</v>
      </c>
      <c r="E1698" s="8" t="s">
        <v>13011</v>
      </c>
      <c r="F1698" s="4">
        <v>40685.250474537039</v>
      </c>
      <c r="G1698" s="9" t="s">
        <v>171</v>
      </c>
      <c r="H1698" s="35" t="s">
        <v>10260</v>
      </c>
      <c r="I1698" s="10" t="s">
        <v>10261</v>
      </c>
    </row>
    <row r="1699" spans="1:9" s="31" customFormat="1" ht="60">
      <c r="A1699" s="19">
        <v>43551.562673611115</v>
      </c>
      <c r="B1699" s="20" t="s">
        <v>16071</v>
      </c>
      <c r="C1699" s="21" t="s">
        <v>7122</v>
      </c>
      <c r="D1699" s="22" t="s">
        <v>7123</v>
      </c>
      <c r="E1699" s="23" t="s">
        <v>13011</v>
      </c>
      <c r="F1699" s="19">
        <v>41673.578692129631</v>
      </c>
      <c r="G1699" s="9" t="s">
        <v>171</v>
      </c>
      <c r="H1699" s="35" t="s">
        <v>396</v>
      </c>
      <c r="I1699" s="25" t="s">
        <v>7124</v>
      </c>
    </row>
    <row r="1700" spans="1:9" s="31" customFormat="1" ht="60">
      <c r="A1700" s="19">
        <v>43551.555844907409</v>
      </c>
      <c r="B1700" s="20" t="s">
        <v>16071</v>
      </c>
      <c r="C1700" s="21" t="s">
        <v>7122</v>
      </c>
      <c r="D1700" s="22" t="s">
        <v>7135</v>
      </c>
      <c r="E1700" s="23" t="s">
        <v>13011</v>
      </c>
      <c r="F1700" s="19">
        <v>41673.578692129631</v>
      </c>
      <c r="G1700" s="9" t="s">
        <v>171</v>
      </c>
      <c r="H1700" s="35" t="s">
        <v>396</v>
      </c>
      <c r="I1700" s="25" t="s">
        <v>7124</v>
      </c>
    </row>
    <row r="1701" spans="1:9" s="31" customFormat="1" ht="105">
      <c r="A1701" s="19">
        <v>43551.393587962964</v>
      </c>
      <c r="B1701" s="20" t="s">
        <v>16072</v>
      </c>
      <c r="C1701" s="21" t="s">
        <v>7243</v>
      </c>
      <c r="D1701" s="22" t="s">
        <v>7244</v>
      </c>
      <c r="E1701" s="23" t="s">
        <v>13013</v>
      </c>
      <c r="F1701" s="19">
        <v>40653.044016203705</v>
      </c>
      <c r="G1701" s="9" t="s">
        <v>171</v>
      </c>
      <c r="H1701" s="35" t="s">
        <v>396</v>
      </c>
      <c r="I1701" s="25" t="s">
        <v>7245</v>
      </c>
    </row>
    <row r="1702" spans="1:9" s="31" customFormat="1" ht="60">
      <c r="A1702" s="19">
        <v>43551.309733796297</v>
      </c>
      <c r="B1702" s="20" t="s">
        <v>16073</v>
      </c>
      <c r="C1702" s="21" t="s">
        <v>7319</v>
      </c>
      <c r="D1702" s="22" t="s">
        <v>7320</v>
      </c>
      <c r="E1702" s="23" t="s">
        <v>13034</v>
      </c>
      <c r="F1702" s="19">
        <v>39891.91920138889</v>
      </c>
      <c r="G1702" s="9" t="s">
        <v>171</v>
      </c>
      <c r="H1702" s="35" t="s">
        <v>396</v>
      </c>
      <c r="I1702" s="25" t="s">
        <v>7321</v>
      </c>
    </row>
    <row r="1703" spans="1:9" s="31" customFormat="1" ht="135">
      <c r="A1703" s="19">
        <v>43551.239664351851</v>
      </c>
      <c r="B1703" s="20" t="s">
        <v>16074</v>
      </c>
      <c r="C1703" s="21" t="s">
        <v>394</v>
      </c>
      <c r="D1703" s="22" t="s">
        <v>7388</v>
      </c>
      <c r="E1703" s="23" t="s">
        <v>13018</v>
      </c>
      <c r="F1703" s="19">
        <v>41529.280868055554</v>
      </c>
      <c r="G1703" s="9" t="s">
        <v>171</v>
      </c>
      <c r="H1703" s="35" t="s">
        <v>396</v>
      </c>
      <c r="I1703" s="25" t="s">
        <v>397</v>
      </c>
    </row>
    <row r="1704" spans="1:9" s="31" customFormat="1" ht="105">
      <c r="A1704" s="19">
        <v>43551.220405092594</v>
      </c>
      <c r="B1704" s="20" t="s">
        <v>16075</v>
      </c>
      <c r="C1704" s="21" t="s">
        <v>7391</v>
      </c>
      <c r="D1704" s="22" t="s">
        <v>7392</v>
      </c>
      <c r="E1704" s="23" t="s">
        <v>13013</v>
      </c>
      <c r="F1704" s="19">
        <v>40136.100185185183</v>
      </c>
      <c r="G1704" s="9" t="s">
        <v>171</v>
      </c>
      <c r="H1704" s="35" t="s">
        <v>396</v>
      </c>
      <c r="I1704" s="25" t="s">
        <v>7393</v>
      </c>
    </row>
    <row r="1705" spans="1:9" s="31" customFormat="1" ht="135">
      <c r="A1705" s="19">
        <v>43550.225752314815</v>
      </c>
      <c r="B1705" s="20" t="s">
        <v>16074</v>
      </c>
      <c r="C1705" s="21" t="s">
        <v>394</v>
      </c>
      <c r="D1705" s="22" t="s">
        <v>7784</v>
      </c>
      <c r="E1705" s="23" t="s">
        <v>13018</v>
      </c>
      <c r="F1705" s="19">
        <v>41529.280868055554</v>
      </c>
      <c r="G1705" s="9" t="s">
        <v>171</v>
      </c>
      <c r="H1705" s="35" t="s">
        <v>396</v>
      </c>
      <c r="I1705" s="25" t="s">
        <v>397</v>
      </c>
    </row>
    <row r="1706" spans="1:9" s="31" customFormat="1" ht="135">
      <c r="A1706" s="19">
        <v>43549.503599537042</v>
      </c>
      <c r="B1706" s="20" t="s">
        <v>16076</v>
      </c>
      <c r="C1706" s="21" t="s">
        <v>8012</v>
      </c>
      <c r="D1706" s="22" t="s">
        <v>8013</v>
      </c>
      <c r="E1706" s="23" t="s">
        <v>14476</v>
      </c>
      <c r="F1706" s="19">
        <v>42917.243078703701</v>
      </c>
      <c r="G1706" s="9" t="s">
        <v>171</v>
      </c>
      <c r="H1706" s="35" t="s">
        <v>396</v>
      </c>
      <c r="I1706" s="25" t="s">
        <v>8014</v>
      </c>
    </row>
    <row r="1707" spans="1:9" s="31" customFormat="1" ht="135">
      <c r="A1707" s="19">
        <v>43549.218831018516</v>
      </c>
      <c r="B1707" s="20" t="s">
        <v>16074</v>
      </c>
      <c r="C1707" s="21" t="s">
        <v>394</v>
      </c>
      <c r="D1707" s="28" t="s">
        <v>8131</v>
      </c>
      <c r="E1707" s="23" t="s">
        <v>13018</v>
      </c>
      <c r="F1707" s="19">
        <v>41529.280868055554</v>
      </c>
      <c r="G1707" s="9" t="s">
        <v>171</v>
      </c>
      <c r="H1707" s="35" t="s">
        <v>396</v>
      </c>
      <c r="I1707" s="25" t="s">
        <v>397</v>
      </c>
    </row>
    <row r="1708" spans="1:9" s="31" customFormat="1" ht="135">
      <c r="A1708" s="19">
        <v>43545.26054398148</v>
      </c>
      <c r="B1708" s="20" t="s">
        <v>16074</v>
      </c>
      <c r="C1708" s="21" t="s">
        <v>394</v>
      </c>
      <c r="D1708" s="22" t="s">
        <v>9229</v>
      </c>
      <c r="E1708" s="23" t="s">
        <v>13018</v>
      </c>
      <c r="F1708" s="19">
        <v>41529.280868055554</v>
      </c>
      <c r="G1708" s="9" t="s">
        <v>171</v>
      </c>
      <c r="H1708" s="35" t="s">
        <v>396</v>
      </c>
      <c r="I1708" s="25" t="s">
        <v>397</v>
      </c>
    </row>
    <row r="1709" spans="1:9" s="31" customFormat="1" ht="135">
      <c r="A1709" s="19">
        <v>43545.096736111111</v>
      </c>
      <c r="B1709" s="20" t="s">
        <v>16076</v>
      </c>
      <c r="C1709" s="21" t="s">
        <v>8012</v>
      </c>
      <c r="D1709" s="22" t="s">
        <v>9281</v>
      </c>
      <c r="E1709" s="23" t="s">
        <v>13440</v>
      </c>
      <c r="F1709" s="19">
        <v>42917.243078703701</v>
      </c>
      <c r="G1709" s="9" t="s">
        <v>171</v>
      </c>
      <c r="H1709" s="35" t="s">
        <v>396</v>
      </c>
      <c r="I1709" s="25" t="s">
        <v>8014</v>
      </c>
    </row>
    <row r="1710" spans="1:9" s="31" customFormat="1" ht="135">
      <c r="A1710" s="19">
        <v>43544.218831018516</v>
      </c>
      <c r="B1710" s="20" t="s">
        <v>16074</v>
      </c>
      <c r="C1710" s="21" t="s">
        <v>394</v>
      </c>
      <c r="D1710" s="22" t="s">
        <v>9579</v>
      </c>
      <c r="E1710" s="23" t="s">
        <v>13018</v>
      </c>
      <c r="F1710" s="19">
        <v>41529.280868055554</v>
      </c>
      <c r="G1710" s="9" t="s">
        <v>171</v>
      </c>
      <c r="H1710" s="35" t="s">
        <v>396</v>
      </c>
      <c r="I1710" s="25" t="s">
        <v>397</v>
      </c>
    </row>
    <row r="1711" spans="1:9" s="31" customFormat="1" ht="30">
      <c r="A1711" s="19">
        <v>43543.324826388889</v>
      </c>
      <c r="B1711" s="20" t="s">
        <v>16077</v>
      </c>
      <c r="C1711" s="21" t="s">
        <v>9866</v>
      </c>
      <c r="D1711" s="22" t="s">
        <v>9867</v>
      </c>
      <c r="E1711" s="23" t="s">
        <v>13009</v>
      </c>
      <c r="F1711" s="19">
        <v>41217.60900462963</v>
      </c>
      <c r="G1711" s="9" t="s">
        <v>171</v>
      </c>
      <c r="H1711" s="35" t="s">
        <v>396</v>
      </c>
      <c r="I1711" s="25" t="s">
        <v>9868</v>
      </c>
    </row>
    <row r="1712" spans="1:9" s="31" customFormat="1" ht="135">
      <c r="A1712" s="19">
        <v>43543.083831018521</v>
      </c>
      <c r="B1712" s="20" t="s">
        <v>16074</v>
      </c>
      <c r="C1712" s="21" t="s">
        <v>394</v>
      </c>
      <c r="D1712" s="22" t="s">
        <v>9941</v>
      </c>
      <c r="E1712" s="23" t="s">
        <v>13018</v>
      </c>
      <c r="F1712" s="19">
        <v>41529.280868055554</v>
      </c>
      <c r="G1712" s="9" t="s">
        <v>171</v>
      </c>
      <c r="H1712" s="35" t="s">
        <v>396</v>
      </c>
      <c r="I1712" s="25" t="s">
        <v>397</v>
      </c>
    </row>
    <row r="1713" spans="1:9" s="31" customFormat="1" ht="135">
      <c r="A1713" s="4">
        <v>43565.177152777775</v>
      </c>
      <c r="B1713" s="5" t="s">
        <v>16074</v>
      </c>
      <c r="C1713" s="6" t="s">
        <v>394</v>
      </c>
      <c r="D1713" s="7" t="s">
        <v>6256</v>
      </c>
      <c r="E1713" s="8" t="s">
        <v>13018</v>
      </c>
      <c r="F1713" s="4">
        <v>41529.280868055554</v>
      </c>
      <c r="G1713" s="9" t="s">
        <v>171</v>
      </c>
      <c r="H1713" s="35" t="s">
        <v>396</v>
      </c>
      <c r="I1713" s="10" t="s">
        <v>397</v>
      </c>
    </row>
    <row r="1714" spans="1:9" s="31" customFormat="1" ht="105">
      <c r="A1714" s="4">
        <v>43564.501932870371</v>
      </c>
      <c r="B1714" s="5" t="s">
        <v>16078</v>
      </c>
      <c r="C1714" s="6" t="s">
        <v>6572</v>
      </c>
      <c r="D1714" s="7" t="s">
        <v>6573</v>
      </c>
      <c r="E1714" s="8" t="s">
        <v>13009</v>
      </c>
      <c r="F1714" s="4">
        <v>41669.561203703706</v>
      </c>
      <c r="G1714" s="9" t="s">
        <v>171</v>
      </c>
      <c r="H1714" s="35" t="s">
        <v>396</v>
      </c>
      <c r="I1714" s="10" t="s">
        <v>6574</v>
      </c>
    </row>
    <row r="1715" spans="1:9" s="31" customFormat="1" ht="135">
      <c r="A1715" s="4">
        <v>43564.257037037038</v>
      </c>
      <c r="B1715" s="5" t="s">
        <v>16074</v>
      </c>
      <c r="C1715" s="6" t="s">
        <v>394</v>
      </c>
      <c r="D1715" s="7" t="s">
        <v>6712</v>
      </c>
      <c r="E1715" s="8" t="s">
        <v>13018</v>
      </c>
      <c r="F1715" s="4">
        <v>41529.280868055554</v>
      </c>
      <c r="G1715" s="9" t="s">
        <v>171</v>
      </c>
      <c r="H1715" s="35" t="s">
        <v>396</v>
      </c>
      <c r="I1715" s="10" t="s">
        <v>397</v>
      </c>
    </row>
    <row r="1716" spans="1:9" s="31" customFormat="1" ht="105">
      <c r="A1716" s="4">
        <v>43564.128703703704</v>
      </c>
      <c r="B1716" s="5" t="s">
        <v>16079</v>
      </c>
      <c r="C1716" s="6" t="s">
        <v>2925</v>
      </c>
      <c r="D1716" s="7" t="s">
        <v>6771</v>
      </c>
      <c r="E1716" s="8" t="s">
        <v>13120</v>
      </c>
      <c r="F1716" s="4">
        <v>40504.333877314813</v>
      </c>
      <c r="G1716" s="9" t="s">
        <v>171</v>
      </c>
      <c r="H1716" s="35" t="s">
        <v>396</v>
      </c>
      <c r="I1716" s="10" t="s">
        <v>2927</v>
      </c>
    </row>
    <row r="1717" spans="1:9" s="31" customFormat="1" ht="105">
      <c r="A1717" s="4">
        <v>43559.942743055552</v>
      </c>
      <c r="B1717" s="5" t="s">
        <v>16080</v>
      </c>
      <c r="C1717" s="6" t="s">
        <v>11656</v>
      </c>
      <c r="D1717" s="7" t="s">
        <v>11657</v>
      </c>
      <c r="E1717" s="8" t="s">
        <v>13011</v>
      </c>
      <c r="F1717" s="4">
        <v>40226.583136574074</v>
      </c>
      <c r="G1717" s="9" t="s">
        <v>171</v>
      </c>
      <c r="H1717" s="35" t="s">
        <v>396</v>
      </c>
      <c r="I1717" s="10" t="s">
        <v>11658</v>
      </c>
    </row>
    <row r="1718" spans="1:9" s="31" customFormat="1" ht="60">
      <c r="A1718" s="4">
        <v>43559.469340277778</v>
      </c>
      <c r="B1718" s="5" t="s">
        <v>16081</v>
      </c>
      <c r="C1718" s="6" t="s">
        <v>11802</v>
      </c>
      <c r="D1718" s="7" t="s">
        <v>11803</v>
      </c>
      <c r="E1718" s="8" t="s">
        <v>13011</v>
      </c>
      <c r="F1718" s="4">
        <v>40212.512812499997</v>
      </c>
      <c r="G1718" s="9" t="s">
        <v>171</v>
      </c>
      <c r="H1718" s="35" t="s">
        <v>396</v>
      </c>
      <c r="I1718" s="10" t="s">
        <v>11804</v>
      </c>
    </row>
    <row r="1719" spans="1:9" s="31" customFormat="1" ht="135">
      <c r="A1719" s="4">
        <v>43559.287511574075</v>
      </c>
      <c r="B1719" s="5" t="s">
        <v>16082</v>
      </c>
      <c r="C1719" s="6" t="s">
        <v>11890</v>
      </c>
      <c r="D1719" s="7" t="s">
        <v>11891</v>
      </c>
      <c r="E1719" s="8" t="s">
        <v>13011</v>
      </c>
      <c r="F1719" s="4">
        <v>40634.352685185186</v>
      </c>
      <c r="G1719" s="9" t="s">
        <v>171</v>
      </c>
      <c r="H1719" s="35" t="s">
        <v>396</v>
      </c>
      <c r="I1719" s="10" t="s">
        <v>11892</v>
      </c>
    </row>
    <row r="1720" spans="1:9" s="31" customFormat="1" ht="135">
      <c r="A1720" s="4">
        <v>43559.180613425924</v>
      </c>
      <c r="B1720" s="5" t="s">
        <v>16074</v>
      </c>
      <c r="C1720" s="6" t="s">
        <v>394</v>
      </c>
      <c r="D1720" s="7" t="s">
        <v>11917</v>
      </c>
      <c r="E1720" s="8" t="s">
        <v>13018</v>
      </c>
      <c r="F1720" s="4">
        <v>41529.280868055554</v>
      </c>
      <c r="G1720" s="9" t="s">
        <v>171</v>
      </c>
      <c r="H1720" s="35" t="s">
        <v>396</v>
      </c>
      <c r="I1720" s="10" t="s">
        <v>397</v>
      </c>
    </row>
    <row r="1721" spans="1:9" s="31" customFormat="1" ht="135">
      <c r="A1721" s="4">
        <v>43558.177141203705</v>
      </c>
      <c r="B1721" s="5" t="s">
        <v>16074</v>
      </c>
      <c r="C1721" s="6" t="s">
        <v>394</v>
      </c>
      <c r="D1721" s="7" t="s">
        <v>12300</v>
      </c>
      <c r="E1721" s="8" t="s">
        <v>13018</v>
      </c>
      <c r="F1721" s="4">
        <v>41529.280868055554</v>
      </c>
      <c r="G1721" s="9" t="s">
        <v>171</v>
      </c>
      <c r="H1721" s="35" t="s">
        <v>396</v>
      </c>
      <c r="I1721" s="10" t="s">
        <v>397</v>
      </c>
    </row>
    <row r="1722" spans="1:9" s="31" customFormat="1" ht="105">
      <c r="A1722" s="4">
        <v>43558.108414351853</v>
      </c>
      <c r="B1722" s="5" t="s">
        <v>16078</v>
      </c>
      <c r="C1722" s="6" t="s">
        <v>6572</v>
      </c>
      <c r="D1722" s="7" t="s">
        <v>12321</v>
      </c>
      <c r="E1722" s="8" t="s">
        <v>13009</v>
      </c>
      <c r="F1722" s="4">
        <v>41669.561203703706</v>
      </c>
      <c r="G1722" s="9" t="s">
        <v>171</v>
      </c>
      <c r="H1722" s="35" t="s">
        <v>396</v>
      </c>
      <c r="I1722" s="10" t="s">
        <v>6574</v>
      </c>
    </row>
    <row r="1723" spans="1:9" s="31" customFormat="1" ht="120">
      <c r="A1723" s="4">
        <v>43558.093969907408</v>
      </c>
      <c r="B1723" s="5" t="s">
        <v>16083</v>
      </c>
      <c r="C1723" s="6" t="s">
        <v>12323</v>
      </c>
      <c r="D1723" s="7" t="s">
        <v>12324</v>
      </c>
      <c r="E1723" s="8" t="s">
        <v>13013</v>
      </c>
      <c r="F1723" s="4">
        <v>39987.194224537037</v>
      </c>
      <c r="G1723" s="9" t="s">
        <v>171</v>
      </c>
      <c r="H1723" s="35" t="s">
        <v>396</v>
      </c>
      <c r="I1723" s="10" t="s">
        <v>12325</v>
      </c>
    </row>
    <row r="1724" spans="1:9" s="31" customFormat="1" ht="135">
      <c r="A1724" s="4">
        <v>43557.191018518519</v>
      </c>
      <c r="B1724" s="5" t="s">
        <v>16074</v>
      </c>
      <c r="C1724" s="6" t="s">
        <v>394</v>
      </c>
      <c r="D1724" s="7" t="s">
        <v>12620</v>
      </c>
      <c r="E1724" s="8" t="s">
        <v>13018</v>
      </c>
      <c r="F1724" s="4">
        <v>41529.280868055554</v>
      </c>
      <c r="G1724" s="9" t="s">
        <v>171</v>
      </c>
      <c r="H1724" s="35" t="s">
        <v>396</v>
      </c>
      <c r="I1724" s="10" t="s">
        <v>397</v>
      </c>
    </row>
    <row r="1725" spans="1:9" s="31" customFormat="1" ht="135">
      <c r="A1725" s="12">
        <v>43579.927083333328</v>
      </c>
      <c r="B1725" s="13" t="s">
        <v>16074</v>
      </c>
      <c r="C1725" s="14" t="s">
        <v>394</v>
      </c>
      <c r="D1725" s="15" t="s">
        <v>395</v>
      </c>
      <c r="E1725" s="16" t="s">
        <v>13280</v>
      </c>
      <c r="F1725" s="12">
        <v>41529.280868055554</v>
      </c>
      <c r="G1725" s="9" t="s">
        <v>171</v>
      </c>
      <c r="H1725" s="35" t="s">
        <v>396</v>
      </c>
      <c r="I1725" s="18" t="s">
        <v>397</v>
      </c>
    </row>
    <row r="1726" spans="1:9" s="31" customFormat="1" ht="135">
      <c r="A1726" s="12">
        <v>43579.177175925928</v>
      </c>
      <c r="B1726" s="13" t="s">
        <v>16074</v>
      </c>
      <c r="C1726" s="14" t="s">
        <v>394</v>
      </c>
      <c r="D1726" s="15" t="s">
        <v>882</v>
      </c>
      <c r="E1726" s="16" t="s">
        <v>13280</v>
      </c>
      <c r="F1726" s="12">
        <v>41529.280868055554</v>
      </c>
      <c r="G1726" s="9" t="s">
        <v>171</v>
      </c>
      <c r="H1726" s="35" t="s">
        <v>396</v>
      </c>
      <c r="I1726" s="18" t="s">
        <v>397</v>
      </c>
    </row>
    <row r="1727" spans="1:9" s="31" customFormat="1" ht="135">
      <c r="A1727" s="12">
        <v>43578.177175925928</v>
      </c>
      <c r="B1727" s="13" t="s">
        <v>16074</v>
      </c>
      <c r="C1727" s="14" t="s">
        <v>394</v>
      </c>
      <c r="D1727" s="15" t="s">
        <v>1376</v>
      </c>
      <c r="E1727" s="16" t="s">
        <v>13280</v>
      </c>
      <c r="F1727" s="12">
        <v>41529.280868055554</v>
      </c>
      <c r="G1727" s="9" t="s">
        <v>171</v>
      </c>
      <c r="H1727" s="35" t="s">
        <v>396</v>
      </c>
      <c r="I1727" s="18" t="s">
        <v>397</v>
      </c>
    </row>
    <row r="1728" spans="1:9" s="31" customFormat="1" ht="120">
      <c r="A1728" s="12">
        <v>43575.40351851852</v>
      </c>
      <c r="B1728" s="13" t="s">
        <v>16084</v>
      </c>
      <c r="C1728" s="14" t="s">
        <v>2230</v>
      </c>
      <c r="D1728" s="15" t="s">
        <v>2231</v>
      </c>
      <c r="E1728" s="16" t="s">
        <v>13013</v>
      </c>
      <c r="F1728" s="12">
        <v>41557.623784722222</v>
      </c>
      <c r="G1728" s="9" t="s">
        <v>171</v>
      </c>
      <c r="H1728" s="35" t="s">
        <v>396</v>
      </c>
      <c r="I1728" s="18" t="s">
        <v>2232</v>
      </c>
    </row>
    <row r="1729" spans="1:9" s="31" customFormat="1" ht="105">
      <c r="A1729" s="12">
        <v>43573.32949074074</v>
      </c>
      <c r="B1729" s="13" t="s">
        <v>16079</v>
      </c>
      <c r="C1729" s="14" t="s">
        <v>2925</v>
      </c>
      <c r="D1729" s="15" t="s">
        <v>2926</v>
      </c>
      <c r="E1729" s="16" t="s">
        <v>13120</v>
      </c>
      <c r="F1729" s="12">
        <v>40504.333877314813</v>
      </c>
      <c r="G1729" s="9" t="s">
        <v>171</v>
      </c>
      <c r="H1729" s="35" t="s">
        <v>396</v>
      </c>
      <c r="I1729" s="18" t="s">
        <v>2927</v>
      </c>
    </row>
    <row r="1730" spans="1:9" s="31" customFormat="1" ht="135">
      <c r="A1730" s="12">
        <v>43572.385428240741</v>
      </c>
      <c r="B1730" s="13" t="s">
        <v>16074</v>
      </c>
      <c r="C1730" s="14" t="s">
        <v>394</v>
      </c>
      <c r="D1730" s="15" t="s">
        <v>3273</v>
      </c>
      <c r="E1730" s="16" t="s">
        <v>13280</v>
      </c>
      <c r="F1730" s="12">
        <v>41529.280868055554</v>
      </c>
      <c r="G1730" s="9" t="s">
        <v>171</v>
      </c>
      <c r="H1730" s="35" t="s">
        <v>396</v>
      </c>
      <c r="I1730" s="18" t="s">
        <v>397</v>
      </c>
    </row>
    <row r="1731" spans="1:9" s="31" customFormat="1" ht="135">
      <c r="A1731" s="12">
        <v>43571.34376157407</v>
      </c>
      <c r="B1731" s="13" t="s">
        <v>16074</v>
      </c>
      <c r="C1731" s="14" t="s">
        <v>394</v>
      </c>
      <c r="D1731" s="15" t="s">
        <v>3719</v>
      </c>
      <c r="E1731" s="16" t="s">
        <v>13280</v>
      </c>
      <c r="F1731" s="12">
        <v>41529.280868055554</v>
      </c>
      <c r="G1731" s="9" t="s">
        <v>171</v>
      </c>
      <c r="H1731" s="35" t="s">
        <v>396</v>
      </c>
      <c r="I1731" s="18" t="s">
        <v>397</v>
      </c>
    </row>
    <row r="1732" spans="1:9" s="31" customFormat="1" ht="135">
      <c r="A1732" s="12">
        <v>43570.385567129633</v>
      </c>
      <c r="B1732" s="13" t="s">
        <v>16074</v>
      </c>
      <c r="C1732" s="14" t="s">
        <v>394</v>
      </c>
      <c r="D1732" s="15" t="s">
        <v>4186</v>
      </c>
      <c r="E1732" s="16" t="s">
        <v>13280</v>
      </c>
      <c r="F1732" s="12">
        <v>41529.280868055554</v>
      </c>
      <c r="G1732" s="9" t="s">
        <v>171</v>
      </c>
      <c r="H1732" s="35" t="s">
        <v>396</v>
      </c>
      <c r="I1732" s="18" t="s">
        <v>397</v>
      </c>
    </row>
    <row r="1733" spans="1:9" s="31" customFormat="1" ht="105">
      <c r="A1733" s="12">
        <v>43567.196516203709</v>
      </c>
      <c r="B1733" s="13" t="s">
        <v>16085</v>
      </c>
      <c r="C1733" s="14" t="s">
        <v>5212</v>
      </c>
      <c r="D1733" s="15" t="s">
        <v>5213</v>
      </c>
      <c r="E1733" s="16" t="s">
        <v>13011</v>
      </c>
      <c r="F1733" s="12">
        <v>40518.42251157407</v>
      </c>
      <c r="G1733" s="9" t="s">
        <v>171</v>
      </c>
      <c r="H1733" s="35" t="s">
        <v>5214</v>
      </c>
      <c r="I1733" s="18" t="s">
        <v>5215</v>
      </c>
    </row>
    <row r="1734" spans="1:9" s="31" customFormat="1" ht="120">
      <c r="A1734" s="12">
        <v>43566.463622685187</v>
      </c>
      <c r="B1734" s="13" t="s">
        <v>16084</v>
      </c>
      <c r="C1734" s="14" t="s">
        <v>2230</v>
      </c>
      <c r="D1734" s="15" t="s">
        <v>5511</v>
      </c>
      <c r="E1734" s="16" t="s">
        <v>13013</v>
      </c>
      <c r="F1734" s="12">
        <v>41557.623784722222</v>
      </c>
      <c r="G1734" s="9" t="s">
        <v>171</v>
      </c>
      <c r="H1734" s="35" t="s">
        <v>396</v>
      </c>
      <c r="I1734" s="18" t="s">
        <v>2232</v>
      </c>
    </row>
    <row r="1735" spans="1:9" s="31" customFormat="1" ht="135">
      <c r="A1735" s="12">
        <v>43566.170185185183</v>
      </c>
      <c r="B1735" s="13" t="s">
        <v>16074</v>
      </c>
      <c r="C1735" s="14" t="s">
        <v>394</v>
      </c>
      <c r="D1735" s="15" t="s">
        <v>5747</v>
      </c>
      <c r="E1735" s="16" t="s">
        <v>13018</v>
      </c>
      <c r="F1735" s="12">
        <v>41529.280868055554</v>
      </c>
      <c r="G1735" s="9" t="s">
        <v>171</v>
      </c>
      <c r="H1735" s="35" t="s">
        <v>396</v>
      </c>
      <c r="I1735" s="18" t="s">
        <v>397</v>
      </c>
    </row>
    <row r="1736" spans="1:9" s="31" customFormat="1" ht="105">
      <c r="A1736" s="12">
        <v>43566.026550925926</v>
      </c>
      <c r="B1736" s="13" t="s">
        <v>16086</v>
      </c>
      <c r="C1736" s="14" t="s">
        <v>5819</v>
      </c>
      <c r="D1736" s="15" t="s">
        <v>5820</v>
      </c>
      <c r="E1736" s="16" t="s">
        <v>13013</v>
      </c>
      <c r="F1736" s="12">
        <v>41231.435567129629</v>
      </c>
      <c r="G1736" s="9" t="s">
        <v>171</v>
      </c>
      <c r="H1736" s="35" t="s">
        <v>396</v>
      </c>
      <c r="I1736" s="18" t="s">
        <v>5821</v>
      </c>
    </row>
    <row r="1737" spans="1:9" s="31" customFormat="1" ht="45">
      <c r="A1737" s="12">
        <v>43575.516585648147</v>
      </c>
      <c r="B1737" s="13" t="s">
        <v>16087</v>
      </c>
      <c r="C1737" s="14" t="s">
        <v>2178</v>
      </c>
      <c r="D1737" s="15" t="s">
        <v>2179</v>
      </c>
      <c r="E1737" s="16" t="s">
        <v>13009</v>
      </c>
      <c r="F1737" s="12">
        <v>41669.238634259258</v>
      </c>
      <c r="G1737" s="9" t="s">
        <v>171</v>
      </c>
      <c r="H1737" s="35" t="s">
        <v>2180</v>
      </c>
      <c r="I1737" s="18" t="s">
        <v>2181</v>
      </c>
    </row>
    <row r="1738" spans="1:9" s="31" customFormat="1" ht="75">
      <c r="A1738" s="4">
        <v>43558.051736111112</v>
      </c>
      <c r="B1738" s="5" t="s">
        <v>16088</v>
      </c>
      <c r="C1738" s="6" t="s">
        <v>12335</v>
      </c>
      <c r="D1738" s="7" t="s">
        <v>12336</v>
      </c>
      <c r="E1738" s="8" t="s">
        <v>13011</v>
      </c>
      <c r="F1738" s="4">
        <v>41877.266134259262</v>
      </c>
      <c r="G1738" s="9" t="s">
        <v>171</v>
      </c>
      <c r="H1738" s="35" t="s">
        <v>12337</v>
      </c>
      <c r="I1738" s="10" t="s">
        <v>12338</v>
      </c>
    </row>
    <row r="1739" spans="1:9" s="31" customFormat="1" ht="75">
      <c r="A1739" s="19">
        <v>43546.402835648143</v>
      </c>
      <c r="B1739" s="20" t="s">
        <v>16089</v>
      </c>
      <c r="C1739" s="21" t="s">
        <v>2211</v>
      </c>
      <c r="D1739" s="22" t="s">
        <v>2212</v>
      </c>
      <c r="E1739" s="23" t="s">
        <v>13034</v>
      </c>
      <c r="F1739" s="19">
        <v>40728.179756944446</v>
      </c>
      <c r="G1739" s="9" t="s">
        <v>171</v>
      </c>
      <c r="H1739" s="35" t="s">
        <v>2213</v>
      </c>
      <c r="I1739" s="25" t="s">
        <v>2214</v>
      </c>
    </row>
    <row r="1740" spans="1:9" s="31" customFormat="1" ht="75">
      <c r="A1740" s="19">
        <v>43543.458715277782</v>
      </c>
      <c r="B1740" s="20" t="s">
        <v>16089</v>
      </c>
      <c r="C1740" s="21" t="s">
        <v>2211</v>
      </c>
      <c r="D1740" s="22" t="s">
        <v>2212</v>
      </c>
      <c r="E1740" s="23" t="s">
        <v>13034</v>
      </c>
      <c r="F1740" s="19">
        <v>40728.179756944446</v>
      </c>
      <c r="G1740" s="9" t="s">
        <v>171</v>
      </c>
      <c r="H1740" s="35" t="s">
        <v>2213</v>
      </c>
      <c r="I1740" s="25" t="s">
        <v>2214</v>
      </c>
    </row>
    <row r="1741" spans="1:9" s="31" customFormat="1" ht="75">
      <c r="A1741" s="4">
        <v>43563.500162037039</v>
      </c>
      <c r="B1741" s="5" t="s">
        <v>16089</v>
      </c>
      <c r="C1741" s="6" t="s">
        <v>2211</v>
      </c>
      <c r="D1741" s="7" t="s">
        <v>2212</v>
      </c>
      <c r="E1741" s="8" t="s">
        <v>13034</v>
      </c>
      <c r="F1741" s="4">
        <v>40728.179756944446</v>
      </c>
      <c r="G1741" s="9" t="s">
        <v>171</v>
      </c>
      <c r="H1741" s="35" t="s">
        <v>2213</v>
      </c>
      <c r="I1741" s="10" t="s">
        <v>2214</v>
      </c>
    </row>
    <row r="1742" spans="1:9" s="31" customFormat="1" ht="75">
      <c r="A1742" s="4">
        <v>43557.666967592595</v>
      </c>
      <c r="B1742" s="5" t="s">
        <v>16089</v>
      </c>
      <c r="C1742" s="6" t="s">
        <v>2211</v>
      </c>
      <c r="D1742" s="7" t="s">
        <v>2212</v>
      </c>
      <c r="E1742" s="8" t="s">
        <v>13034</v>
      </c>
      <c r="F1742" s="4">
        <v>40728.179756944446</v>
      </c>
      <c r="G1742" s="9" t="s">
        <v>171</v>
      </c>
      <c r="H1742" s="35" t="s">
        <v>2213</v>
      </c>
      <c r="I1742" s="10" t="s">
        <v>2214</v>
      </c>
    </row>
    <row r="1743" spans="1:9" s="31" customFormat="1" ht="75">
      <c r="A1743" s="12">
        <v>43575.458506944444</v>
      </c>
      <c r="B1743" s="13" t="s">
        <v>16089</v>
      </c>
      <c r="C1743" s="14" t="s">
        <v>2211</v>
      </c>
      <c r="D1743" s="15" t="s">
        <v>2212</v>
      </c>
      <c r="E1743" s="16" t="s">
        <v>13034</v>
      </c>
      <c r="F1743" s="12">
        <v>40728.179756944446</v>
      </c>
      <c r="G1743" s="9" t="s">
        <v>171</v>
      </c>
      <c r="H1743" s="35" t="s">
        <v>2213</v>
      </c>
      <c r="I1743" s="18" t="s">
        <v>2214</v>
      </c>
    </row>
    <row r="1744" spans="1:9" s="31" customFormat="1" ht="75">
      <c r="A1744" s="12">
        <v>43569.458333333328</v>
      </c>
      <c r="B1744" s="13" t="s">
        <v>16089</v>
      </c>
      <c r="C1744" s="14" t="s">
        <v>2211</v>
      </c>
      <c r="D1744" s="15" t="s">
        <v>2212</v>
      </c>
      <c r="E1744" s="16" t="s">
        <v>13034</v>
      </c>
      <c r="F1744" s="12">
        <v>40728.179756944446</v>
      </c>
      <c r="G1744" s="9" t="s">
        <v>171</v>
      </c>
      <c r="H1744" s="35" t="s">
        <v>2213</v>
      </c>
      <c r="I1744" s="18" t="s">
        <v>2214</v>
      </c>
    </row>
    <row r="1745" spans="1:9" s="31" customFormat="1" ht="135">
      <c r="A1745" s="19">
        <v>43546.194502314815</v>
      </c>
      <c r="B1745" s="20" t="s">
        <v>16090</v>
      </c>
      <c r="C1745" s="21" t="s">
        <v>8942</v>
      </c>
      <c r="D1745" s="22" t="s">
        <v>8943</v>
      </c>
      <c r="E1745" s="23" t="s">
        <v>13018</v>
      </c>
      <c r="F1745" s="19">
        <v>42137.364722222221</v>
      </c>
      <c r="G1745" s="9" t="s">
        <v>171</v>
      </c>
      <c r="H1745" s="35" t="s">
        <v>8944</v>
      </c>
      <c r="I1745" s="25" t="s">
        <v>8945</v>
      </c>
    </row>
    <row r="1746" spans="1:9" s="31" customFormat="1" ht="120">
      <c r="A1746" s="19">
        <v>43548.920555555553</v>
      </c>
      <c r="B1746" s="20" t="s">
        <v>16091</v>
      </c>
      <c r="C1746" s="21" t="s">
        <v>8198</v>
      </c>
      <c r="D1746" s="22" t="s">
        <v>8199</v>
      </c>
      <c r="E1746" s="23" t="s">
        <v>13009</v>
      </c>
      <c r="F1746" s="19">
        <v>43357.513969907406</v>
      </c>
      <c r="G1746" s="9" t="s">
        <v>171</v>
      </c>
      <c r="H1746" s="35" t="s">
        <v>8200</v>
      </c>
      <c r="I1746" s="25" t="s">
        <v>8201</v>
      </c>
    </row>
    <row r="1747" spans="1:9" s="31" customFormat="1" ht="120">
      <c r="A1747" s="19">
        <v>43548.0784837963</v>
      </c>
      <c r="B1747" s="20" t="s">
        <v>16091</v>
      </c>
      <c r="C1747" s="21" t="s">
        <v>8198</v>
      </c>
      <c r="D1747" s="22" t="s">
        <v>8420</v>
      </c>
      <c r="E1747" s="23" t="s">
        <v>13009</v>
      </c>
      <c r="F1747" s="19">
        <v>43357.513969907406</v>
      </c>
      <c r="G1747" s="9" t="s">
        <v>171</v>
      </c>
      <c r="H1747" s="35" t="s">
        <v>8200</v>
      </c>
      <c r="I1747" s="25" t="s">
        <v>8201</v>
      </c>
    </row>
    <row r="1748" spans="1:9" s="31" customFormat="1" ht="120">
      <c r="A1748" s="19">
        <v>43547.006400462968</v>
      </c>
      <c r="B1748" s="20" t="s">
        <v>16091</v>
      </c>
      <c r="C1748" s="21" t="s">
        <v>8198</v>
      </c>
      <c r="D1748" s="22" t="s">
        <v>8685</v>
      </c>
      <c r="E1748" s="23" t="s">
        <v>13009</v>
      </c>
      <c r="F1748" s="19">
        <v>43357.513969907406</v>
      </c>
      <c r="G1748" s="9" t="s">
        <v>171</v>
      </c>
      <c r="H1748" s="35" t="s">
        <v>8200</v>
      </c>
      <c r="I1748" s="25" t="s">
        <v>8201</v>
      </c>
    </row>
    <row r="1749" spans="1:9" s="31" customFormat="1" ht="120">
      <c r="A1749" s="19">
        <v>43546.251689814817</v>
      </c>
      <c r="B1749" s="20" t="s">
        <v>16091</v>
      </c>
      <c r="C1749" s="21" t="s">
        <v>8198</v>
      </c>
      <c r="D1749" s="22" t="s">
        <v>8923</v>
      </c>
      <c r="E1749" s="23" t="s">
        <v>13009</v>
      </c>
      <c r="F1749" s="19">
        <v>43357.513969907406</v>
      </c>
      <c r="G1749" s="9" t="s">
        <v>171</v>
      </c>
      <c r="H1749" s="35" t="s">
        <v>8200</v>
      </c>
      <c r="I1749" s="25" t="s">
        <v>8201</v>
      </c>
    </row>
    <row r="1750" spans="1:9" s="31" customFormat="1" ht="120">
      <c r="A1750" s="19">
        <v>43543.971851851849</v>
      </c>
      <c r="B1750" s="20" t="s">
        <v>16091</v>
      </c>
      <c r="C1750" s="21" t="s">
        <v>8198</v>
      </c>
      <c r="D1750" s="22" t="s">
        <v>9651</v>
      </c>
      <c r="E1750" s="23" t="s">
        <v>13009</v>
      </c>
      <c r="F1750" s="19">
        <v>43357.513969907406</v>
      </c>
      <c r="G1750" s="9" t="s">
        <v>171</v>
      </c>
      <c r="H1750" s="35" t="s">
        <v>8200</v>
      </c>
      <c r="I1750" s="25" t="s">
        <v>8201</v>
      </c>
    </row>
    <row r="1751" spans="1:9" s="31" customFormat="1" ht="120">
      <c r="A1751" s="19">
        <v>43542.95711805555</v>
      </c>
      <c r="B1751" s="20" t="s">
        <v>16091</v>
      </c>
      <c r="C1751" s="21" t="s">
        <v>8198</v>
      </c>
      <c r="D1751" s="22" t="s">
        <v>9986</v>
      </c>
      <c r="E1751" s="23" t="s">
        <v>13009</v>
      </c>
      <c r="F1751" s="19">
        <v>43357.513969907406</v>
      </c>
      <c r="G1751" s="9" t="s">
        <v>171</v>
      </c>
      <c r="H1751" s="35" t="s">
        <v>8200</v>
      </c>
      <c r="I1751" s="25" t="s">
        <v>8201</v>
      </c>
    </row>
    <row r="1752" spans="1:9" s="31" customFormat="1" ht="135">
      <c r="A1752" s="4">
        <v>43558.458831018521</v>
      </c>
      <c r="B1752" s="5" t="s">
        <v>16092</v>
      </c>
      <c r="C1752" s="6" t="s">
        <v>12170</v>
      </c>
      <c r="D1752" s="7" t="s">
        <v>12171</v>
      </c>
      <c r="E1752" s="8" t="s">
        <v>13034</v>
      </c>
      <c r="F1752" s="4">
        <v>40028.098576388889</v>
      </c>
      <c r="G1752" s="9" t="s">
        <v>171</v>
      </c>
      <c r="H1752" s="35" t="s">
        <v>8200</v>
      </c>
      <c r="I1752" s="10" t="s">
        <v>12172</v>
      </c>
    </row>
    <row r="1753" spans="1:9" s="31" customFormat="1" ht="45">
      <c r="A1753" s="4">
        <v>43559.322060185186</v>
      </c>
      <c r="B1753" s="5" t="s">
        <v>16093</v>
      </c>
      <c r="C1753" s="6" t="s">
        <v>11885</v>
      </c>
      <c r="D1753" s="7" t="s">
        <v>11886</v>
      </c>
      <c r="E1753" s="8" t="s">
        <v>13009</v>
      </c>
      <c r="F1753" s="4">
        <v>40706.944039351853</v>
      </c>
      <c r="G1753" s="9" t="s">
        <v>171</v>
      </c>
      <c r="H1753" s="35" t="s">
        <v>11887</v>
      </c>
      <c r="I1753" s="10" t="s">
        <v>11888</v>
      </c>
    </row>
    <row r="1754" spans="1:9" s="31" customFormat="1" ht="30">
      <c r="A1754" s="19">
        <v>43551.250462962962</v>
      </c>
      <c r="B1754" s="20" t="s">
        <v>16094</v>
      </c>
      <c r="C1754" s="21" t="s">
        <v>7381</v>
      </c>
      <c r="D1754" s="22" t="s">
        <v>7382</v>
      </c>
      <c r="E1754" s="23" t="s">
        <v>13034</v>
      </c>
      <c r="F1754" s="19">
        <v>40726.0778125</v>
      </c>
      <c r="G1754" s="17" t="s">
        <v>171</v>
      </c>
      <c r="H1754" s="35" t="s">
        <v>146</v>
      </c>
      <c r="I1754" s="25" t="s">
        <v>7383</v>
      </c>
    </row>
    <row r="1755" spans="1:9" s="31" customFormat="1" ht="90">
      <c r="A1755" s="19">
        <v>43546.239606481482</v>
      </c>
      <c r="B1755" s="20" t="s">
        <v>16095</v>
      </c>
      <c r="C1755" s="21" t="s">
        <v>8924</v>
      </c>
      <c r="D1755" s="22" t="s">
        <v>8925</v>
      </c>
      <c r="E1755" s="23" t="s">
        <v>13411</v>
      </c>
      <c r="F1755" s="19">
        <v>42117.388368055559</v>
      </c>
      <c r="G1755" s="17" t="s">
        <v>171</v>
      </c>
      <c r="H1755" s="35" t="s">
        <v>146</v>
      </c>
      <c r="I1755" s="25" t="s">
        <v>8926</v>
      </c>
    </row>
    <row r="1756" spans="1:9" s="31" customFormat="1" ht="30">
      <c r="A1756" s="4">
        <v>43565.634606481486</v>
      </c>
      <c r="B1756" s="5" t="s">
        <v>16096</v>
      </c>
      <c r="C1756" s="6" t="s">
        <v>5981</v>
      </c>
      <c r="D1756" s="7" t="s">
        <v>5982</v>
      </c>
      <c r="E1756" s="8" t="s">
        <v>13011</v>
      </c>
      <c r="F1756" s="4">
        <v>43531.972731481481</v>
      </c>
      <c r="G1756" s="17" t="s">
        <v>171</v>
      </c>
      <c r="H1756" s="35" t="s">
        <v>146</v>
      </c>
      <c r="I1756" s="10" t="s">
        <v>5983</v>
      </c>
    </row>
    <row r="1757" spans="1:9" s="31" customFormat="1" ht="75">
      <c r="A1757" s="4">
        <v>43565.234421296293</v>
      </c>
      <c r="B1757" s="5" t="s">
        <v>16097</v>
      </c>
      <c r="C1757" s="6" t="s">
        <v>6220</v>
      </c>
      <c r="D1757" s="7" t="s">
        <v>6221</v>
      </c>
      <c r="E1757" s="8" t="s">
        <v>13009</v>
      </c>
      <c r="F1757" s="4">
        <v>43483.399872685186</v>
      </c>
      <c r="G1757" s="17" t="s">
        <v>171</v>
      </c>
      <c r="H1757" s="35" t="s">
        <v>146</v>
      </c>
      <c r="I1757" s="10" t="s">
        <v>6222</v>
      </c>
    </row>
    <row r="1758" spans="1:9" s="31" customFormat="1" ht="90">
      <c r="A1758" s="4">
        <v>43565.068773148145</v>
      </c>
      <c r="B1758" s="5" t="s">
        <v>16098</v>
      </c>
      <c r="C1758" s="6" t="s">
        <v>6303</v>
      </c>
      <c r="D1758" s="7" t="s">
        <v>6304</v>
      </c>
      <c r="E1758" s="8" t="s">
        <v>13009</v>
      </c>
      <c r="F1758" s="4">
        <v>40891.531145833331</v>
      </c>
      <c r="G1758" s="17" t="s">
        <v>171</v>
      </c>
      <c r="H1758" s="35" t="s">
        <v>146</v>
      </c>
      <c r="I1758" s="10" t="s">
        <v>6305</v>
      </c>
    </row>
    <row r="1759" spans="1:9" s="31" customFormat="1" ht="45">
      <c r="A1759" s="4">
        <v>43564.579872685186</v>
      </c>
      <c r="B1759" s="5" t="s">
        <v>16099</v>
      </c>
      <c r="C1759" s="6" t="s">
        <v>803</v>
      </c>
      <c r="D1759" s="7" t="s">
        <v>804</v>
      </c>
      <c r="E1759" s="8" t="s">
        <v>13945</v>
      </c>
      <c r="F1759" s="4">
        <v>41050.149178240739</v>
      </c>
      <c r="G1759" s="17" t="s">
        <v>171</v>
      </c>
      <c r="H1759" s="35" t="s">
        <v>146</v>
      </c>
      <c r="I1759" s="10" t="s">
        <v>805</v>
      </c>
    </row>
    <row r="1760" spans="1:9" s="31" customFormat="1" ht="105">
      <c r="A1760" s="4">
        <v>43564.382048611107</v>
      </c>
      <c r="B1760" s="5" t="s">
        <v>16100</v>
      </c>
      <c r="C1760" s="6" t="s">
        <v>6641</v>
      </c>
      <c r="D1760" s="7" t="s">
        <v>6642</v>
      </c>
      <c r="E1760" s="8" t="s">
        <v>13077</v>
      </c>
      <c r="F1760" s="4">
        <v>42907.120520833334</v>
      </c>
      <c r="G1760" s="17" t="s">
        <v>171</v>
      </c>
      <c r="H1760" s="35" t="s">
        <v>146</v>
      </c>
      <c r="I1760" s="10" t="s">
        <v>6643</v>
      </c>
    </row>
    <row r="1761" spans="1:9" s="31" customFormat="1" ht="105">
      <c r="A1761" s="4">
        <v>43563.98269675926</v>
      </c>
      <c r="B1761" s="5" t="s">
        <v>16101</v>
      </c>
      <c r="C1761" s="6" t="s">
        <v>6836</v>
      </c>
      <c r="D1761" s="7" t="s">
        <v>6835</v>
      </c>
      <c r="E1761" s="8" t="s">
        <v>13018</v>
      </c>
      <c r="F1761" s="4">
        <v>42814.346689814818</v>
      </c>
      <c r="G1761" s="17" t="s">
        <v>171</v>
      </c>
      <c r="H1761" s="35" t="s">
        <v>146</v>
      </c>
      <c r="I1761" s="10" t="s">
        <v>6837</v>
      </c>
    </row>
    <row r="1762" spans="1:9" s="31" customFormat="1" ht="75">
      <c r="A1762" s="4">
        <v>43561.65829861111</v>
      </c>
      <c r="B1762" s="5" t="s">
        <v>16102</v>
      </c>
      <c r="C1762" s="6" t="s">
        <v>10876</v>
      </c>
      <c r="D1762" s="7" t="s">
        <v>10877</v>
      </c>
      <c r="E1762" s="8" t="s">
        <v>13027</v>
      </c>
      <c r="F1762" s="4">
        <v>39884.299212962964</v>
      </c>
      <c r="G1762" s="17" t="s">
        <v>171</v>
      </c>
      <c r="H1762" s="35" t="s">
        <v>146</v>
      </c>
      <c r="I1762" s="10" t="s">
        <v>10878</v>
      </c>
    </row>
    <row r="1763" spans="1:9" s="31" customFormat="1" ht="45">
      <c r="A1763" s="4">
        <v>43560.244456018518</v>
      </c>
      <c r="B1763" s="5" t="s">
        <v>16099</v>
      </c>
      <c r="C1763" s="6" t="s">
        <v>803</v>
      </c>
      <c r="D1763" s="7" t="s">
        <v>804</v>
      </c>
      <c r="E1763" s="8" t="s">
        <v>13945</v>
      </c>
      <c r="F1763" s="4">
        <v>41050.149178240739</v>
      </c>
      <c r="G1763" s="17" t="s">
        <v>171</v>
      </c>
      <c r="H1763" s="35" t="s">
        <v>146</v>
      </c>
      <c r="I1763" s="10" t="s">
        <v>805</v>
      </c>
    </row>
    <row r="1764" spans="1:9" s="31" customFormat="1" ht="45">
      <c r="A1764" s="4">
        <v>43558.511122685188</v>
      </c>
      <c r="B1764" s="5" t="s">
        <v>16099</v>
      </c>
      <c r="C1764" s="6" t="s">
        <v>803</v>
      </c>
      <c r="D1764" s="7" t="s">
        <v>12149</v>
      </c>
      <c r="E1764" s="8" t="s">
        <v>13945</v>
      </c>
      <c r="F1764" s="4">
        <v>41050.149178240739</v>
      </c>
      <c r="G1764" s="17" t="s">
        <v>171</v>
      </c>
      <c r="H1764" s="35" t="s">
        <v>146</v>
      </c>
      <c r="I1764" s="10" t="s">
        <v>805</v>
      </c>
    </row>
    <row r="1765" spans="1:9" s="31" customFormat="1" ht="120">
      <c r="A1765" s="4">
        <v>43557.341678240744</v>
      </c>
      <c r="B1765" s="5" t="s">
        <v>16103</v>
      </c>
      <c r="C1765" s="6" t="s">
        <v>12548</v>
      </c>
      <c r="D1765" s="7" t="s">
        <v>12549</v>
      </c>
      <c r="E1765" s="8" t="s">
        <v>13280</v>
      </c>
      <c r="F1765" s="4">
        <v>39974.362592592595</v>
      </c>
      <c r="G1765" s="17" t="s">
        <v>171</v>
      </c>
      <c r="H1765" s="35" t="s">
        <v>146</v>
      </c>
      <c r="I1765" s="10" t="s">
        <v>12550</v>
      </c>
    </row>
    <row r="1766" spans="1:9" s="31" customFormat="1" ht="105">
      <c r="A1766" s="12">
        <v>43580.142777777779</v>
      </c>
      <c r="B1766" s="13" t="s">
        <v>16104</v>
      </c>
      <c r="C1766" s="14" t="s">
        <v>235</v>
      </c>
      <c r="D1766" s="15" t="s">
        <v>236</v>
      </c>
      <c r="E1766" s="16" t="s">
        <v>13009</v>
      </c>
      <c r="F1766" s="12">
        <v>39988.31009259259</v>
      </c>
      <c r="G1766" s="17" t="s">
        <v>171</v>
      </c>
      <c r="H1766" s="35" t="s">
        <v>146</v>
      </c>
      <c r="I1766" s="18" t="s">
        <v>237</v>
      </c>
    </row>
    <row r="1767" spans="1:9" s="31" customFormat="1" ht="120">
      <c r="A1767" s="12">
        <v>43580.131377314814</v>
      </c>
      <c r="B1767" s="13" t="s">
        <v>16105</v>
      </c>
      <c r="C1767" s="14" t="s">
        <v>264</v>
      </c>
      <c r="D1767" s="15" t="s">
        <v>265</v>
      </c>
      <c r="E1767" s="16" t="s">
        <v>13099</v>
      </c>
      <c r="F1767" s="12">
        <v>41717.346550925926</v>
      </c>
      <c r="G1767" s="17" t="s">
        <v>171</v>
      </c>
      <c r="H1767" s="35" t="s">
        <v>146</v>
      </c>
      <c r="I1767" s="18" t="s">
        <v>266</v>
      </c>
    </row>
    <row r="1768" spans="1:9" s="31" customFormat="1" ht="45">
      <c r="A1768" s="12">
        <v>43579.278483796297</v>
      </c>
      <c r="B1768" s="13" t="s">
        <v>16099</v>
      </c>
      <c r="C1768" s="14" t="s">
        <v>803</v>
      </c>
      <c r="D1768" s="15" t="s">
        <v>804</v>
      </c>
      <c r="E1768" s="16" t="s">
        <v>13945</v>
      </c>
      <c r="F1768" s="12">
        <v>41050.149178240739</v>
      </c>
      <c r="G1768" s="17" t="s">
        <v>171</v>
      </c>
      <c r="H1768" s="35" t="s">
        <v>146</v>
      </c>
      <c r="I1768" s="18" t="s">
        <v>805</v>
      </c>
    </row>
    <row r="1769" spans="1:9" s="31" customFormat="1" ht="75">
      <c r="A1769" s="12">
        <v>43577.414976851855</v>
      </c>
      <c r="B1769" s="13" t="s">
        <v>16106</v>
      </c>
      <c r="C1769" s="14" t="s">
        <v>1643</v>
      </c>
      <c r="D1769" s="15" t="s">
        <v>1644</v>
      </c>
      <c r="E1769" s="16" t="s">
        <v>13009</v>
      </c>
      <c r="F1769" s="12">
        <v>42163.23133101852</v>
      </c>
      <c r="G1769" s="17" t="s">
        <v>171</v>
      </c>
      <c r="H1769" s="35" t="s">
        <v>146</v>
      </c>
      <c r="I1769" s="18" t="s">
        <v>1645</v>
      </c>
    </row>
    <row r="1770" spans="1:9" s="31" customFormat="1" ht="105">
      <c r="A1770" s="12">
        <v>43576.348611111112</v>
      </c>
      <c r="B1770" s="13" t="s">
        <v>16107</v>
      </c>
      <c r="C1770" s="14" t="s">
        <v>1981</v>
      </c>
      <c r="D1770" s="15" t="s">
        <v>405</v>
      </c>
      <c r="E1770" s="16" t="s">
        <v>13034</v>
      </c>
      <c r="F1770" s="12">
        <v>42046.213900462964</v>
      </c>
      <c r="G1770" s="17" t="s">
        <v>171</v>
      </c>
      <c r="H1770" s="35" t="s">
        <v>146</v>
      </c>
      <c r="I1770" s="18" t="s">
        <v>1982</v>
      </c>
    </row>
    <row r="1771" spans="1:9" s="31" customFormat="1" ht="120">
      <c r="A1771" s="12">
        <v>43574.281296296293</v>
      </c>
      <c r="B1771" s="13" t="s">
        <v>16108</v>
      </c>
      <c r="C1771" s="14" t="s">
        <v>2631</v>
      </c>
      <c r="D1771" s="15" t="s">
        <v>2632</v>
      </c>
      <c r="E1771" s="16" t="s">
        <v>13013</v>
      </c>
      <c r="F1771" s="12">
        <v>41493.081516203703</v>
      </c>
      <c r="G1771" s="17" t="s">
        <v>171</v>
      </c>
      <c r="H1771" s="35" t="s">
        <v>146</v>
      </c>
      <c r="I1771" s="18" t="s">
        <v>2633</v>
      </c>
    </row>
    <row r="1772" spans="1:9" s="31" customFormat="1" ht="45">
      <c r="A1772" s="12">
        <v>43573.584733796291</v>
      </c>
      <c r="B1772" s="13" t="s">
        <v>16099</v>
      </c>
      <c r="C1772" s="14" t="s">
        <v>803</v>
      </c>
      <c r="D1772" s="15" t="s">
        <v>804</v>
      </c>
      <c r="E1772" s="16" t="s">
        <v>13945</v>
      </c>
      <c r="F1772" s="12">
        <v>41050.149178240739</v>
      </c>
      <c r="G1772" s="17" t="s">
        <v>171</v>
      </c>
      <c r="H1772" s="35" t="s">
        <v>146</v>
      </c>
      <c r="I1772" s="18" t="s">
        <v>805</v>
      </c>
    </row>
    <row r="1773" spans="1:9" s="31" customFormat="1" ht="75">
      <c r="A1773" s="12">
        <v>43570.9534837963</v>
      </c>
      <c r="B1773" s="13" t="s">
        <v>16109</v>
      </c>
      <c r="C1773" s="14" t="s">
        <v>3922</v>
      </c>
      <c r="D1773" s="15" t="s">
        <v>405</v>
      </c>
      <c r="E1773" s="16" t="s">
        <v>13034</v>
      </c>
      <c r="F1773" s="12">
        <v>42669.128425925926</v>
      </c>
      <c r="G1773" s="17" t="s">
        <v>171</v>
      </c>
      <c r="H1773" s="35" t="s">
        <v>146</v>
      </c>
      <c r="I1773" s="18" t="s">
        <v>3923</v>
      </c>
    </row>
    <row r="1774" spans="1:9" s="31" customFormat="1" ht="120">
      <c r="A1774" s="12">
        <v>43568.194456018522</v>
      </c>
      <c r="B1774" s="13" t="s">
        <v>16110</v>
      </c>
      <c r="C1774" s="14" t="s">
        <v>4848</v>
      </c>
      <c r="D1774" s="15" t="s">
        <v>4849</v>
      </c>
      <c r="E1774" s="16" t="s">
        <v>13034</v>
      </c>
      <c r="F1774" s="12">
        <v>42607.336111111115</v>
      </c>
      <c r="G1774" s="17" t="s">
        <v>171</v>
      </c>
      <c r="H1774" s="35" t="s">
        <v>146</v>
      </c>
      <c r="I1774" s="18" t="s">
        <v>4850</v>
      </c>
    </row>
    <row r="1775" spans="1:9" s="31" customFormat="1" ht="45">
      <c r="A1775" s="12">
        <v>43566.734803240739</v>
      </c>
      <c r="B1775" s="13" t="s">
        <v>16111</v>
      </c>
      <c r="C1775" s="14" t="s">
        <v>5365</v>
      </c>
      <c r="D1775" s="15" t="s">
        <v>5366</v>
      </c>
      <c r="E1775" s="16" t="s">
        <v>13013</v>
      </c>
      <c r="F1775" s="12">
        <v>41394.582731481481</v>
      </c>
      <c r="G1775" s="17" t="s">
        <v>171</v>
      </c>
      <c r="H1775" s="35" t="s">
        <v>146</v>
      </c>
      <c r="I1775" s="18" t="s">
        <v>5367</v>
      </c>
    </row>
    <row r="1776" spans="1:9" s="31" customFormat="1" ht="90">
      <c r="A1776" s="12">
        <v>43579.304907407408</v>
      </c>
      <c r="B1776" s="13" t="s">
        <v>16112</v>
      </c>
      <c r="C1776" s="14" t="s">
        <v>786</v>
      </c>
      <c r="D1776" s="15" t="s">
        <v>787</v>
      </c>
      <c r="E1776" s="16" t="s">
        <v>13011</v>
      </c>
      <c r="F1776" s="12">
        <v>43577.290763888886</v>
      </c>
      <c r="G1776" s="17" t="s">
        <v>171</v>
      </c>
      <c r="H1776" s="35" t="s">
        <v>788</v>
      </c>
      <c r="I1776" s="18" t="s">
        <v>789</v>
      </c>
    </row>
    <row r="1777" spans="1:9" s="31" customFormat="1" ht="90">
      <c r="A1777" s="12">
        <v>43577.314467592594</v>
      </c>
      <c r="B1777" s="13" t="s">
        <v>16112</v>
      </c>
      <c r="C1777" s="14" t="s">
        <v>1666</v>
      </c>
      <c r="D1777" s="15" t="s">
        <v>1667</v>
      </c>
      <c r="E1777" s="16" t="s">
        <v>13011</v>
      </c>
      <c r="F1777" s="12">
        <v>43577.290763888886</v>
      </c>
      <c r="G1777" s="17" t="s">
        <v>171</v>
      </c>
      <c r="H1777" s="35" t="s">
        <v>788</v>
      </c>
      <c r="I1777" s="18" t="s">
        <v>789</v>
      </c>
    </row>
    <row r="1778" spans="1:9" s="31" customFormat="1" ht="120">
      <c r="A1778" s="19">
        <v>43546.791666666672</v>
      </c>
      <c r="B1778" s="20" t="s">
        <v>16113</v>
      </c>
      <c r="C1778" s="21" t="s">
        <v>8722</v>
      </c>
      <c r="D1778" s="22" t="s">
        <v>8723</v>
      </c>
      <c r="E1778" s="23" t="s">
        <v>16114</v>
      </c>
      <c r="F1778" s="19">
        <v>39535.241122685184</v>
      </c>
      <c r="G1778" s="24" t="s">
        <v>171</v>
      </c>
      <c r="H1778" s="35" t="s">
        <v>8724</v>
      </c>
      <c r="I1778" s="25" t="s">
        <v>8725</v>
      </c>
    </row>
    <row r="1779" spans="1:9" s="31" customFormat="1" ht="120">
      <c r="A1779" s="12">
        <v>43580.056250000001</v>
      </c>
      <c r="B1779" s="13" t="s">
        <v>16115</v>
      </c>
      <c r="C1779" s="14" t="s">
        <v>305</v>
      </c>
      <c r="D1779" s="15" t="s">
        <v>306</v>
      </c>
      <c r="E1779" s="16" t="s">
        <v>13011</v>
      </c>
      <c r="F1779" s="12">
        <v>39635.478414351848</v>
      </c>
      <c r="G1779" s="17" t="s">
        <v>171</v>
      </c>
      <c r="H1779" s="35" t="s">
        <v>307</v>
      </c>
      <c r="I1779" s="18" t="s">
        <v>308</v>
      </c>
    </row>
    <row r="1780" spans="1:9" s="31" customFormat="1" ht="75">
      <c r="A1780" s="19">
        <v>43547.042222222226</v>
      </c>
      <c r="B1780" s="20" t="s">
        <v>16116</v>
      </c>
      <c r="C1780" s="21" t="s">
        <v>8668</v>
      </c>
      <c r="D1780" s="22" t="s">
        <v>8669</v>
      </c>
      <c r="E1780" s="23" t="s">
        <v>13013</v>
      </c>
      <c r="F1780" s="19">
        <v>43497.618726851855</v>
      </c>
      <c r="G1780" s="24" t="s">
        <v>171</v>
      </c>
      <c r="H1780" s="35" t="s">
        <v>8670</v>
      </c>
      <c r="I1780" s="25" t="s">
        <v>8671</v>
      </c>
    </row>
    <row r="1781" spans="1:9" s="31" customFormat="1" ht="135">
      <c r="A1781" s="4">
        <v>43557.290104166663</v>
      </c>
      <c r="B1781" s="5" t="s">
        <v>16117</v>
      </c>
      <c r="C1781" s="6" t="s">
        <v>12582</v>
      </c>
      <c r="D1781" s="7" t="s">
        <v>12583</v>
      </c>
      <c r="E1781" s="8" t="s">
        <v>16118</v>
      </c>
      <c r="F1781" s="4">
        <v>40067.51048611111</v>
      </c>
      <c r="G1781" s="24" t="s">
        <v>171</v>
      </c>
      <c r="H1781" s="35" t="s">
        <v>12584</v>
      </c>
      <c r="I1781" s="10" t="s">
        <v>12585</v>
      </c>
    </row>
    <row r="1782" spans="1:9" s="31" customFormat="1" ht="105">
      <c r="A1782" s="4">
        <v>43564.412546296298</v>
      </c>
      <c r="B1782" s="5" t="s">
        <v>16119</v>
      </c>
      <c r="C1782" s="6" t="s">
        <v>6619</v>
      </c>
      <c r="D1782" s="7" t="s">
        <v>6620</v>
      </c>
      <c r="E1782" s="8" t="s">
        <v>13009</v>
      </c>
      <c r="F1782" s="4">
        <v>42196.602280092593</v>
      </c>
      <c r="G1782" s="24" t="s">
        <v>171</v>
      </c>
      <c r="H1782" s="35" t="s">
        <v>6621</v>
      </c>
      <c r="I1782" s="10" t="s">
        <v>6622</v>
      </c>
    </row>
    <row r="1783" spans="1:9" s="31" customFormat="1" ht="105">
      <c r="A1783" s="19">
        <v>43544.228310185186</v>
      </c>
      <c r="B1783" s="20" t="s">
        <v>16120</v>
      </c>
      <c r="C1783" s="21" t="s">
        <v>9573</v>
      </c>
      <c r="D1783" s="22" t="s">
        <v>9574</v>
      </c>
      <c r="E1783" s="23" t="s">
        <v>13130</v>
      </c>
      <c r="F1783" s="19">
        <v>40823.705648148149</v>
      </c>
      <c r="G1783" s="24" t="s">
        <v>171</v>
      </c>
      <c r="H1783" s="35" t="s">
        <v>9575</v>
      </c>
      <c r="I1783" s="25" t="s">
        <v>9576</v>
      </c>
    </row>
    <row r="1784" spans="1:9" s="31" customFormat="1" ht="90">
      <c r="A1784" s="19">
        <v>43551.118611111116</v>
      </c>
      <c r="B1784" s="20" t="s">
        <v>16121</v>
      </c>
      <c r="C1784" s="21" t="s">
        <v>7436</v>
      </c>
      <c r="D1784" s="22" t="s">
        <v>7437</v>
      </c>
      <c r="E1784" s="23" t="s">
        <v>13013</v>
      </c>
      <c r="F1784" s="19">
        <v>42009.322939814811</v>
      </c>
      <c r="G1784" s="9" t="s">
        <v>171</v>
      </c>
      <c r="H1784" s="35" t="s">
        <v>7438</v>
      </c>
      <c r="I1784" s="25" t="s">
        <v>7439</v>
      </c>
    </row>
    <row r="1785" spans="1:9" s="31" customFormat="1" ht="75">
      <c r="A1785" s="4">
        <v>43557.100601851853</v>
      </c>
      <c r="B1785" s="5" t="s">
        <v>16121</v>
      </c>
      <c r="C1785" s="6" t="s">
        <v>7436</v>
      </c>
      <c r="D1785" s="7" t="s">
        <v>12654</v>
      </c>
      <c r="E1785" s="8" t="s">
        <v>13013</v>
      </c>
      <c r="F1785" s="4">
        <v>42009.322939814811</v>
      </c>
      <c r="G1785" s="9" t="s">
        <v>171</v>
      </c>
      <c r="H1785" s="35" t="s">
        <v>7438</v>
      </c>
      <c r="I1785" s="10" t="s">
        <v>7439</v>
      </c>
    </row>
    <row r="1786" spans="1:9" s="31" customFormat="1" ht="30">
      <c r="A1786" s="19">
        <v>43551.675520833334</v>
      </c>
      <c r="B1786" s="20" t="s">
        <v>16122</v>
      </c>
      <c r="C1786" s="21" t="s">
        <v>155</v>
      </c>
      <c r="D1786" s="22" t="s">
        <v>7057</v>
      </c>
      <c r="E1786" s="23" t="s">
        <v>13009</v>
      </c>
      <c r="F1786" s="19">
        <v>40017.696712962963</v>
      </c>
      <c r="G1786" s="17" t="s">
        <v>171</v>
      </c>
      <c r="H1786" s="35" t="s">
        <v>156</v>
      </c>
      <c r="I1786" s="25" t="s">
        <v>157</v>
      </c>
    </row>
    <row r="1787" spans="1:9" s="31" customFormat="1" ht="30">
      <c r="A1787" s="12">
        <v>43580.659826388888</v>
      </c>
      <c r="B1787" s="13" t="s">
        <v>16122</v>
      </c>
      <c r="C1787" s="14" t="s">
        <v>155</v>
      </c>
      <c r="D1787" s="15" t="s">
        <v>144</v>
      </c>
      <c r="E1787" s="16" t="s">
        <v>13009</v>
      </c>
      <c r="F1787" s="12">
        <v>40018.155046296299</v>
      </c>
      <c r="G1787" s="17" t="s">
        <v>171</v>
      </c>
      <c r="H1787" s="35" t="s">
        <v>156</v>
      </c>
      <c r="I1787" s="18" t="s">
        <v>157</v>
      </c>
    </row>
    <row r="1788" spans="1:9" s="31" customFormat="1" ht="120">
      <c r="A1788" s="12">
        <v>43577.30841435185</v>
      </c>
      <c r="B1788" s="13" t="s">
        <v>16123</v>
      </c>
      <c r="C1788" s="14" t="s">
        <v>1668</v>
      </c>
      <c r="D1788" s="15" t="s">
        <v>1669</v>
      </c>
      <c r="E1788" s="16" t="s">
        <v>13013</v>
      </c>
      <c r="F1788" s="12">
        <v>43318.09103009259</v>
      </c>
      <c r="G1788" s="17" t="s">
        <v>171</v>
      </c>
      <c r="H1788" s="35" t="s">
        <v>156</v>
      </c>
      <c r="I1788" s="18" t="s">
        <v>1670</v>
      </c>
    </row>
    <row r="1789" spans="1:9" s="31" customFormat="1" ht="45">
      <c r="A1789" s="12">
        <v>43566.167615740742</v>
      </c>
      <c r="B1789" s="13" t="s">
        <v>16124</v>
      </c>
      <c r="C1789" s="14" t="s">
        <v>5752</v>
      </c>
      <c r="D1789" s="15" t="s">
        <v>5753</v>
      </c>
      <c r="E1789" s="16" t="s">
        <v>13032</v>
      </c>
      <c r="F1789" s="12">
        <v>42375.122893518521</v>
      </c>
      <c r="G1789" s="17" t="s">
        <v>171</v>
      </c>
      <c r="H1789" s="35" t="s">
        <v>5754</v>
      </c>
      <c r="I1789" s="18"/>
    </row>
    <row r="1790" spans="1:9" s="31" customFormat="1" ht="120">
      <c r="A1790" s="12">
        <v>43579.887372685189</v>
      </c>
      <c r="B1790" s="13" t="s">
        <v>16125</v>
      </c>
      <c r="C1790" s="14" t="s">
        <v>411</v>
      </c>
      <c r="D1790" s="15" t="s">
        <v>412</v>
      </c>
      <c r="E1790" s="16" t="s">
        <v>13009</v>
      </c>
      <c r="F1790" s="12">
        <v>42679.233530092592</v>
      </c>
      <c r="G1790" s="17" t="s">
        <v>171</v>
      </c>
      <c r="H1790" s="35" t="s">
        <v>413</v>
      </c>
      <c r="I1790" s="18" t="s">
        <v>414</v>
      </c>
    </row>
    <row r="1791" spans="1:9" s="31" customFormat="1" ht="60">
      <c r="A1791" s="4">
        <v>43561.061967592592</v>
      </c>
      <c r="B1791" s="5" t="s">
        <v>16126</v>
      </c>
      <c r="C1791" s="6" t="s">
        <v>11091</v>
      </c>
      <c r="D1791" s="7" t="s">
        <v>11092</v>
      </c>
      <c r="E1791" s="8" t="s">
        <v>13130</v>
      </c>
      <c r="F1791" s="4">
        <v>41363.18104166667</v>
      </c>
      <c r="G1791" s="9" t="s">
        <v>171</v>
      </c>
      <c r="H1791" s="35" t="s">
        <v>11093</v>
      </c>
      <c r="I1791" s="10" t="s">
        <v>11094</v>
      </c>
    </row>
    <row r="1792" spans="1:9" s="31" customFormat="1" ht="105">
      <c r="A1792" s="19">
        <v>43548.375960648147</v>
      </c>
      <c r="B1792" s="20" t="s">
        <v>16127</v>
      </c>
      <c r="C1792" s="21" t="s">
        <v>5130</v>
      </c>
      <c r="D1792" s="22" t="s">
        <v>6071</v>
      </c>
      <c r="E1792" s="23" t="s">
        <v>13018</v>
      </c>
      <c r="F1792" s="19">
        <v>43275.453680555554</v>
      </c>
      <c r="G1792" s="17" t="s">
        <v>171</v>
      </c>
      <c r="H1792" s="35" t="s">
        <v>5132</v>
      </c>
      <c r="I1792" s="25" t="s">
        <v>5133</v>
      </c>
    </row>
    <row r="1793" spans="1:9" s="31" customFormat="1" ht="105">
      <c r="A1793" s="4">
        <v>43565.459745370375</v>
      </c>
      <c r="B1793" s="5" t="s">
        <v>16127</v>
      </c>
      <c r="C1793" s="6" t="s">
        <v>5130</v>
      </c>
      <c r="D1793" s="7" t="s">
        <v>6071</v>
      </c>
      <c r="E1793" s="8" t="s">
        <v>13018</v>
      </c>
      <c r="F1793" s="4">
        <v>43275.453680555554</v>
      </c>
      <c r="G1793" s="17" t="s">
        <v>171</v>
      </c>
      <c r="H1793" s="35" t="s">
        <v>5132</v>
      </c>
      <c r="I1793" s="10" t="s">
        <v>5133</v>
      </c>
    </row>
    <row r="1794" spans="1:9" s="31" customFormat="1" ht="105">
      <c r="A1794" s="12">
        <v>43567.382245370369</v>
      </c>
      <c r="B1794" s="13" t="s">
        <v>16127</v>
      </c>
      <c r="C1794" s="14" t="s">
        <v>5130</v>
      </c>
      <c r="D1794" s="15" t="s">
        <v>5131</v>
      </c>
      <c r="E1794" s="16" t="s">
        <v>13018</v>
      </c>
      <c r="F1794" s="12">
        <v>43275.453680555554</v>
      </c>
      <c r="G1794" s="17" t="s">
        <v>171</v>
      </c>
      <c r="H1794" s="35" t="s">
        <v>5132</v>
      </c>
      <c r="I1794" s="18" t="s">
        <v>5133</v>
      </c>
    </row>
    <row r="1795" spans="1:9" s="31" customFormat="1" ht="90">
      <c r="A1795" s="4">
        <v>43558.246076388888</v>
      </c>
      <c r="B1795" s="5" t="s">
        <v>16128</v>
      </c>
      <c r="C1795" s="6" t="s">
        <v>12270</v>
      </c>
      <c r="D1795" s="7" t="s">
        <v>12271</v>
      </c>
      <c r="E1795" s="8" t="s">
        <v>13006</v>
      </c>
      <c r="F1795" s="4">
        <v>40252.688599537039</v>
      </c>
      <c r="G1795" s="9" t="s">
        <v>171</v>
      </c>
      <c r="H1795" s="35" t="s">
        <v>12272</v>
      </c>
      <c r="I1795" s="10" t="s">
        <v>12273</v>
      </c>
    </row>
    <row r="1796" spans="1:9" s="31" customFormat="1" ht="105">
      <c r="A1796" s="19">
        <v>43543.007488425923</v>
      </c>
      <c r="B1796" s="20" t="s">
        <v>16129</v>
      </c>
      <c r="C1796" s="21" t="s">
        <v>9965</v>
      </c>
      <c r="D1796" s="22" t="s">
        <v>9966</v>
      </c>
      <c r="E1796" s="23" t="s">
        <v>13013</v>
      </c>
      <c r="F1796" s="19">
        <v>39785.081585648149</v>
      </c>
      <c r="G1796" s="9" t="s">
        <v>171</v>
      </c>
      <c r="H1796" s="35" t="s">
        <v>9967</v>
      </c>
      <c r="I1796" s="25" t="s">
        <v>9968</v>
      </c>
    </row>
    <row r="1797" spans="1:9" s="31" customFormat="1" ht="105">
      <c r="A1797" s="4">
        <v>43560.116469907407</v>
      </c>
      <c r="B1797" s="5" t="s">
        <v>16129</v>
      </c>
      <c r="C1797" s="6" t="s">
        <v>9965</v>
      </c>
      <c r="D1797" s="7" t="s">
        <v>11604</v>
      </c>
      <c r="E1797" s="8" t="s">
        <v>13013</v>
      </c>
      <c r="F1797" s="4">
        <v>39785.081585648149</v>
      </c>
      <c r="G1797" s="9" t="s">
        <v>171</v>
      </c>
      <c r="H1797" s="35" t="s">
        <v>9967</v>
      </c>
      <c r="I1797" s="10" t="s">
        <v>9968</v>
      </c>
    </row>
    <row r="1798" spans="1:9" s="31" customFormat="1" ht="120">
      <c r="A1798" s="12">
        <v>43580.134641203702</v>
      </c>
      <c r="B1798" s="13" t="s">
        <v>16130</v>
      </c>
      <c r="C1798" s="14" t="s">
        <v>258</v>
      </c>
      <c r="D1798" s="15" t="s">
        <v>74</v>
      </c>
      <c r="E1798" s="16" t="s">
        <v>13015</v>
      </c>
      <c r="F1798" s="12">
        <v>40448.457858796297</v>
      </c>
      <c r="G1798" s="17" t="s">
        <v>171</v>
      </c>
      <c r="H1798" s="35" t="s">
        <v>259</v>
      </c>
      <c r="I1798" s="18" t="s">
        <v>260</v>
      </c>
    </row>
    <row r="1799" spans="1:9" s="31" customFormat="1" ht="120">
      <c r="A1799" s="19">
        <v>43545.089699074073</v>
      </c>
      <c r="B1799" s="20" t="s">
        <v>16131</v>
      </c>
      <c r="C1799" s="21" t="s">
        <v>965</v>
      </c>
      <c r="D1799" s="22" t="s">
        <v>9282</v>
      </c>
      <c r="E1799" s="23" t="s">
        <v>13009</v>
      </c>
      <c r="F1799" s="19">
        <v>42109.03396990741</v>
      </c>
      <c r="G1799" s="17" t="s">
        <v>171</v>
      </c>
      <c r="H1799" s="35" t="s">
        <v>967</v>
      </c>
      <c r="I1799" s="25" t="s">
        <v>968</v>
      </c>
    </row>
    <row r="1800" spans="1:9" s="31" customFormat="1" ht="120">
      <c r="A1800" s="4">
        <v>43565.311099537037</v>
      </c>
      <c r="B1800" s="5" t="s">
        <v>16131</v>
      </c>
      <c r="C1800" s="6" t="s">
        <v>965</v>
      </c>
      <c r="D1800" s="7" t="s">
        <v>6184</v>
      </c>
      <c r="E1800" s="8" t="s">
        <v>13009</v>
      </c>
      <c r="F1800" s="4">
        <v>42109.03396990741</v>
      </c>
      <c r="G1800" s="17" t="s">
        <v>171</v>
      </c>
      <c r="H1800" s="35" t="s">
        <v>967</v>
      </c>
      <c r="I1800" s="10" t="s">
        <v>968</v>
      </c>
    </row>
    <row r="1801" spans="1:9" s="31" customFormat="1" ht="120">
      <c r="A1801" s="12">
        <v>43579.002418981487</v>
      </c>
      <c r="B1801" s="13" t="s">
        <v>16131</v>
      </c>
      <c r="C1801" s="14" t="s">
        <v>965</v>
      </c>
      <c r="D1801" s="15" t="s">
        <v>966</v>
      </c>
      <c r="E1801" s="16" t="s">
        <v>13009</v>
      </c>
      <c r="F1801" s="12">
        <v>42109.03396990741</v>
      </c>
      <c r="G1801" s="17" t="s">
        <v>171</v>
      </c>
      <c r="H1801" s="35" t="s">
        <v>967</v>
      </c>
      <c r="I1801" s="18" t="s">
        <v>968</v>
      </c>
    </row>
    <row r="1802" spans="1:9" s="31" customFormat="1" ht="120">
      <c r="A1802" s="12">
        <v>43573.083032407405</v>
      </c>
      <c r="B1802" s="13" t="s">
        <v>16131</v>
      </c>
      <c r="C1802" s="14" t="s">
        <v>965</v>
      </c>
      <c r="D1802" s="15" t="s">
        <v>3014</v>
      </c>
      <c r="E1802" s="16" t="s">
        <v>13009</v>
      </c>
      <c r="F1802" s="12">
        <v>42109.03396990741</v>
      </c>
      <c r="G1802" s="17" t="s">
        <v>171</v>
      </c>
      <c r="H1802" s="35" t="s">
        <v>967</v>
      </c>
      <c r="I1802" s="18" t="s">
        <v>968</v>
      </c>
    </row>
    <row r="1803" spans="1:9" s="31" customFormat="1" ht="120">
      <c r="A1803" s="12">
        <v>43571.071851851855</v>
      </c>
      <c r="B1803" s="13" t="s">
        <v>16131</v>
      </c>
      <c r="C1803" s="14" t="s">
        <v>965</v>
      </c>
      <c r="D1803" s="15" t="s">
        <v>3860</v>
      </c>
      <c r="E1803" s="16" t="s">
        <v>13009</v>
      </c>
      <c r="F1803" s="12">
        <v>42109.03396990741</v>
      </c>
      <c r="G1803" s="17" t="s">
        <v>171</v>
      </c>
      <c r="H1803" s="35" t="s">
        <v>967</v>
      </c>
      <c r="I1803" s="18" t="s">
        <v>968</v>
      </c>
    </row>
    <row r="1804" spans="1:9" s="31" customFormat="1" ht="120">
      <c r="A1804" s="12">
        <v>43566.995532407411</v>
      </c>
      <c r="B1804" s="13" t="s">
        <v>16131</v>
      </c>
      <c r="C1804" s="14" t="s">
        <v>965</v>
      </c>
      <c r="D1804" s="15" t="s">
        <v>5282</v>
      </c>
      <c r="E1804" s="16" t="s">
        <v>13009</v>
      </c>
      <c r="F1804" s="12">
        <v>42109.03396990741</v>
      </c>
      <c r="G1804" s="17" t="s">
        <v>171</v>
      </c>
      <c r="H1804" s="35" t="s">
        <v>967</v>
      </c>
      <c r="I1804" s="18" t="s">
        <v>968</v>
      </c>
    </row>
    <row r="1805" spans="1:9" s="31" customFormat="1" ht="105">
      <c r="A1805" s="19">
        <v>43542.959467592591</v>
      </c>
      <c r="B1805" s="20" t="s">
        <v>16132</v>
      </c>
      <c r="C1805" s="21" t="s">
        <v>9981</v>
      </c>
      <c r="D1805" s="22" t="s">
        <v>9982</v>
      </c>
      <c r="E1805" s="23" t="s">
        <v>13011</v>
      </c>
      <c r="F1805" s="19">
        <v>43228.164004629631</v>
      </c>
      <c r="G1805" s="24" t="s">
        <v>171</v>
      </c>
      <c r="H1805" s="35" t="s">
        <v>9983</v>
      </c>
      <c r="I1805" s="25" t="s">
        <v>9984</v>
      </c>
    </row>
    <row r="1806" spans="1:9" s="31" customFormat="1" ht="120">
      <c r="A1806" s="19">
        <v>43543.446956018517</v>
      </c>
      <c r="B1806" s="20" t="s">
        <v>16133</v>
      </c>
      <c r="C1806" s="21" t="s">
        <v>9793</v>
      </c>
      <c r="D1806" s="22" t="s">
        <v>9794</v>
      </c>
      <c r="E1806" s="23" t="s">
        <v>13120</v>
      </c>
      <c r="F1806" s="19">
        <v>39945.635509259257</v>
      </c>
      <c r="G1806" s="24" t="s">
        <v>171</v>
      </c>
      <c r="H1806" s="35" t="s">
        <v>9795</v>
      </c>
      <c r="I1806" s="25" t="s">
        <v>9796</v>
      </c>
    </row>
    <row r="1807" spans="1:9" s="31" customFormat="1" ht="120">
      <c r="A1807" s="19">
        <v>43543.221284722225</v>
      </c>
      <c r="B1807" s="20" t="s">
        <v>16134</v>
      </c>
      <c r="C1807" s="21" t="s">
        <v>9897</v>
      </c>
      <c r="D1807" s="22" t="s">
        <v>9898</v>
      </c>
      <c r="E1807" s="23" t="s">
        <v>13009</v>
      </c>
      <c r="F1807" s="19">
        <v>42532.34983796296</v>
      </c>
      <c r="G1807" s="24" t="s">
        <v>171</v>
      </c>
      <c r="H1807" s="35" t="s">
        <v>9899</v>
      </c>
      <c r="I1807" s="25" t="s">
        <v>9900</v>
      </c>
    </row>
    <row r="1808" spans="1:9" s="31" customFormat="1" ht="105">
      <c r="A1808" s="19">
        <v>43542.465763888889</v>
      </c>
      <c r="B1808" s="20" t="s">
        <v>16135</v>
      </c>
      <c r="C1808" s="21" t="s">
        <v>10151</v>
      </c>
      <c r="D1808" s="22" t="s">
        <v>10152</v>
      </c>
      <c r="E1808" s="23" t="s">
        <v>13032</v>
      </c>
      <c r="F1808" s="19">
        <v>43485.470034722224</v>
      </c>
      <c r="G1808" s="24" t="s">
        <v>171</v>
      </c>
      <c r="H1808" s="35" t="s">
        <v>10153</v>
      </c>
      <c r="I1808" s="25" t="s">
        <v>10154</v>
      </c>
    </row>
    <row r="1809" spans="1:9" s="31" customFormat="1" ht="105">
      <c r="A1809" s="19">
        <v>43548.545254629629</v>
      </c>
      <c r="B1809" s="20" t="s">
        <v>16136</v>
      </c>
      <c r="C1809" s="21" t="s">
        <v>8287</v>
      </c>
      <c r="D1809" s="22" t="s">
        <v>8288</v>
      </c>
      <c r="E1809" s="23" t="s">
        <v>13011</v>
      </c>
      <c r="F1809" s="19">
        <v>41540.624849537038</v>
      </c>
      <c r="G1809" s="17" t="s">
        <v>171</v>
      </c>
      <c r="H1809" s="35" t="s">
        <v>8289</v>
      </c>
      <c r="I1809" s="25" t="s">
        <v>8290</v>
      </c>
    </row>
    <row r="1810" spans="1:9" s="31" customFormat="1" ht="90">
      <c r="A1810" s="19">
        <v>43545.097141203703</v>
      </c>
      <c r="B1810" s="20" t="s">
        <v>16137</v>
      </c>
      <c r="C1810" s="21" t="s">
        <v>9277</v>
      </c>
      <c r="D1810" s="22" t="s">
        <v>9278</v>
      </c>
      <c r="E1810" s="23" t="s">
        <v>13011</v>
      </c>
      <c r="F1810" s="19">
        <v>42590.460752314815</v>
      </c>
      <c r="G1810" s="17" t="s">
        <v>171</v>
      </c>
      <c r="H1810" s="35" t="s">
        <v>9279</v>
      </c>
      <c r="I1810" s="25" t="s">
        <v>9280</v>
      </c>
    </row>
    <row r="1811" spans="1:9" s="31" customFormat="1" ht="60">
      <c r="A1811" s="4">
        <v>43560.058321759258</v>
      </c>
      <c r="B1811" s="5" t="s">
        <v>16138</v>
      </c>
      <c r="C1811" s="6" t="s">
        <v>11623</v>
      </c>
      <c r="D1811" s="7" t="s">
        <v>11624</v>
      </c>
      <c r="E1811" s="8" t="s">
        <v>13032</v>
      </c>
      <c r="F1811" s="4">
        <v>43392.182395833333</v>
      </c>
      <c r="G1811" s="17" t="s">
        <v>171</v>
      </c>
      <c r="H1811" s="35" t="s">
        <v>11625</v>
      </c>
      <c r="I1811" s="10" t="s">
        <v>11626</v>
      </c>
    </row>
    <row r="1812" spans="1:9" s="31" customFormat="1" ht="45">
      <c r="A1812" s="19">
        <v>43549.533645833333</v>
      </c>
      <c r="B1812" s="20" t="s">
        <v>16139</v>
      </c>
      <c r="C1812" s="21" t="s">
        <v>7993</v>
      </c>
      <c r="D1812" s="22" t="s">
        <v>7994</v>
      </c>
      <c r="E1812" s="23" t="s">
        <v>13032</v>
      </c>
      <c r="F1812" s="19">
        <v>40614.389837962961</v>
      </c>
      <c r="G1812" s="17" t="s">
        <v>171</v>
      </c>
      <c r="H1812" s="35" t="s">
        <v>7995</v>
      </c>
      <c r="I1812" s="25"/>
    </row>
    <row r="1813" spans="1:9" s="31" customFormat="1" ht="45">
      <c r="A1813" s="19">
        <v>43551.459479166668</v>
      </c>
      <c r="B1813" s="20" t="s">
        <v>16140</v>
      </c>
      <c r="C1813" s="21" t="s">
        <v>3641</v>
      </c>
      <c r="D1813" s="22" t="s">
        <v>7189</v>
      </c>
      <c r="E1813" s="23" t="s">
        <v>13032</v>
      </c>
      <c r="F1813" s="19">
        <v>42180.58493055556</v>
      </c>
      <c r="G1813" s="17" t="s">
        <v>171</v>
      </c>
      <c r="H1813" s="35" t="s">
        <v>3643</v>
      </c>
      <c r="I1813" s="25" t="s">
        <v>3644</v>
      </c>
    </row>
    <row r="1814" spans="1:9" s="31" customFormat="1" ht="75">
      <c r="A1814" s="12">
        <v>43571.542048611111</v>
      </c>
      <c r="B1814" s="13" t="s">
        <v>16140</v>
      </c>
      <c r="C1814" s="14" t="s">
        <v>3641</v>
      </c>
      <c r="D1814" s="15" t="s">
        <v>3642</v>
      </c>
      <c r="E1814" s="16" t="s">
        <v>13290</v>
      </c>
      <c r="F1814" s="12">
        <v>42180.58493055556</v>
      </c>
      <c r="G1814" s="17" t="s">
        <v>171</v>
      </c>
      <c r="H1814" s="35" t="s">
        <v>3643</v>
      </c>
      <c r="I1814" s="18" t="s">
        <v>3644</v>
      </c>
    </row>
    <row r="1815" spans="1:9" s="31" customFormat="1" ht="120">
      <c r="A1815" s="4">
        <v>43564.207974537036</v>
      </c>
      <c r="B1815" s="5" t="s">
        <v>16141</v>
      </c>
      <c r="C1815" s="6" t="s">
        <v>6731</v>
      </c>
      <c r="D1815" s="7" t="s">
        <v>6732</v>
      </c>
      <c r="E1815" s="8" t="s">
        <v>13013</v>
      </c>
      <c r="F1815" s="4">
        <v>43158.308391203704</v>
      </c>
      <c r="G1815" s="17" t="s">
        <v>171</v>
      </c>
      <c r="H1815" s="35" t="s">
        <v>6733</v>
      </c>
      <c r="I1815" s="10" t="s">
        <v>6734</v>
      </c>
    </row>
    <row r="1816" spans="1:9" s="31" customFormat="1" ht="75">
      <c r="A1816" s="4">
        <v>43557.16814814815</v>
      </c>
      <c r="B1816" s="5" t="s">
        <v>16142</v>
      </c>
      <c r="C1816" s="6" t="s">
        <v>12628</v>
      </c>
      <c r="D1816" s="7" t="s">
        <v>12629</v>
      </c>
      <c r="E1816" s="8" t="s">
        <v>13011</v>
      </c>
      <c r="F1816" s="4">
        <v>42450.599016203705</v>
      </c>
      <c r="G1816" s="9" t="s">
        <v>171</v>
      </c>
      <c r="H1816" s="35" t="s">
        <v>12630</v>
      </c>
      <c r="I1816" s="10" t="s">
        <v>12631</v>
      </c>
    </row>
  </sheetData>
  <autoFilter ref="A1:I1816"/>
  <dataValidations count="1">
    <dataValidation type="textLength" allowBlank="1" showInputMessage="1" showErrorMessage="1" sqref="G1:H1816">
      <formula1>1</formula1>
      <formula2>50</formula2>
    </dataValidation>
  </dataValidations>
  <hyperlinks>
    <hyperlink ref="C86" r:id="rId1"/>
    <hyperlink ref="C1175" r:id="rId2"/>
    <hyperlink ref="I764" r:id="rId3"/>
    <hyperlink ref="I765" r:id="rId4"/>
    <hyperlink ref="I766" r:id="rId5"/>
    <hyperlink ref="C972" r:id="rId6"/>
    <hyperlink ref="C697" r:id="rId7"/>
    <hyperlink ref="C1177" r:id="rId8"/>
    <hyperlink ref="I231" r:id="rId9"/>
    <hyperlink ref="C1096" r:id="rId10"/>
    <hyperlink ref="C1179" r:id="rId11"/>
    <hyperlink ref="C1357" r:id="rId12"/>
    <hyperlink ref="C1180" r:id="rId13"/>
    <hyperlink ref="C450" r:id="rId14"/>
    <hyperlink ref="C1182" r:id="rId15"/>
    <hyperlink ref="C1183" r:id="rId16"/>
    <hyperlink ref="C1148" r:id="rId17"/>
    <hyperlink ref="C1187" r:id="rId1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45"/>
  <sheetViews>
    <sheetView zoomScale="55" zoomScaleNormal="55" workbookViewId="0">
      <selection activeCell="L1" sqref="L1:N1048576"/>
    </sheetView>
  </sheetViews>
  <sheetFormatPr defaultRowHeight="15"/>
  <cols>
    <col min="1" max="1" width="13.5703125" customWidth="1"/>
    <col min="2" max="2" width="15" customWidth="1"/>
    <col min="3" max="3" width="21.140625" customWidth="1"/>
    <col min="4" max="4" width="56.85546875" customWidth="1"/>
    <col min="5" max="5" width="17" customWidth="1"/>
    <col min="6" max="6" width="16.28515625" customWidth="1"/>
    <col min="7" max="7" width="20.5703125" customWidth="1"/>
    <col min="8" max="8" width="16" customWidth="1"/>
    <col min="9" max="9" width="28.42578125" customWidth="1"/>
    <col min="12" max="12" width="14" customWidth="1"/>
  </cols>
  <sheetData>
    <row r="1" spans="1:12" s="3" customFormat="1" ht="29.25" customHeight="1">
      <c r="A1" s="36" t="s">
        <v>0</v>
      </c>
      <c r="B1" s="1" t="s">
        <v>1</v>
      </c>
      <c r="C1" s="1" t="s">
        <v>2</v>
      </c>
      <c r="D1" s="2" t="s">
        <v>3</v>
      </c>
      <c r="E1" s="1" t="s">
        <v>5</v>
      </c>
      <c r="F1" s="1" t="s">
        <v>6</v>
      </c>
      <c r="G1" s="1" t="s">
        <v>13003</v>
      </c>
      <c r="H1" s="1" t="s">
        <v>4</v>
      </c>
      <c r="I1" s="2" t="s">
        <v>7</v>
      </c>
    </row>
    <row r="2" spans="1:12" s="11" customFormat="1" ht="79.5" customHeight="1">
      <c r="A2" s="12">
        <v>43565.533865740741</v>
      </c>
      <c r="B2" s="13" t="s">
        <v>13405</v>
      </c>
      <c r="C2" s="14" t="s">
        <v>6039</v>
      </c>
      <c r="D2" s="15" t="s">
        <v>12790</v>
      </c>
      <c r="E2" s="16" t="s">
        <v>13009</v>
      </c>
      <c r="F2" s="12">
        <v>40510.492696759262</v>
      </c>
      <c r="G2" s="17" t="s">
        <v>13004</v>
      </c>
      <c r="H2" s="35" t="s">
        <v>6040</v>
      </c>
      <c r="I2" s="18" t="s">
        <v>6041</v>
      </c>
    </row>
    <row r="3" spans="1:12" s="11" customFormat="1" ht="82.5" customHeight="1">
      <c r="A3" s="19">
        <v>43544.782314814816</v>
      </c>
      <c r="B3" s="20" t="s">
        <v>13406</v>
      </c>
      <c r="C3" s="21" t="s">
        <v>9337</v>
      </c>
      <c r="D3" s="22" t="s">
        <v>12811</v>
      </c>
      <c r="E3" s="23" t="s">
        <v>13011</v>
      </c>
      <c r="F3" s="19">
        <v>40860.382962962962</v>
      </c>
      <c r="G3" s="24" t="s">
        <v>13004</v>
      </c>
      <c r="H3" s="35" t="s">
        <v>12812</v>
      </c>
      <c r="I3" s="25" t="s">
        <v>12813</v>
      </c>
    </row>
    <row r="4" spans="1:12" s="31" customFormat="1" ht="82.5" customHeight="1">
      <c r="A4" s="4">
        <v>43565.533865740741</v>
      </c>
      <c r="B4" s="5" t="s">
        <v>13405</v>
      </c>
      <c r="C4" s="6" t="s">
        <v>6039</v>
      </c>
      <c r="D4" s="7" t="s">
        <v>12790</v>
      </c>
      <c r="E4" s="8" t="s">
        <v>13009</v>
      </c>
      <c r="F4" s="4">
        <v>40510.492696759262</v>
      </c>
      <c r="G4" s="9" t="s">
        <v>13000</v>
      </c>
      <c r="H4" s="35" t="s">
        <v>6040</v>
      </c>
      <c r="I4" s="10" t="s">
        <v>6041</v>
      </c>
      <c r="L4" s="11"/>
    </row>
    <row r="5" spans="1:12" s="31" customFormat="1" ht="60">
      <c r="A5" s="19">
        <v>43548.439629629633</v>
      </c>
      <c r="B5" s="20" t="s">
        <v>13407</v>
      </c>
      <c r="C5" s="21" t="s">
        <v>8317</v>
      </c>
      <c r="D5" s="22" t="s">
        <v>8318</v>
      </c>
      <c r="E5" s="23" t="s">
        <v>13015</v>
      </c>
      <c r="F5" s="19">
        <v>40448.387685185182</v>
      </c>
      <c r="G5" s="24" t="s">
        <v>13000</v>
      </c>
      <c r="H5" s="35" t="s">
        <v>736</v>
      </c>
      <c r="I5" s="25"/>
      <c r="L5" s="11"/>
    </row>
    <row r="6" spans="1:12" s="31" customFormat="1" ht="105">
      <c r="A6" s="4">
        <v>43560.700902777782</v>
      </c>
      <c r="B6" s="5" t="s">
        <v>13408</v>
      </c>
      <c r="C6" s="6" t="s">
        <v>11220</v>
      </c>
      <c r="D6" s="7" t="s">
        <v>11221</v>
      </c>
      <c r="E6" s="8" t="s">
        <v>13009</v>
      </c>
      <c r="F6" s="4">
        <v>39847.491655092592</v>
      </c>
      <c r="G6" s="24" t="s">
        <v>13000</v>
      </c>
      <c r="H6" s="35" t="s">
        <v>736</v>
      </c>
      <c r="I6" s="10" t="s">
        <v>11222</v>
      </c>
      <c r="L6" s="11"/>
    </row>
    <row r="7" spans="1:12" s="31" customFormat="1" ht="105">
      <c r="A7" s="4">
        <v>43558.711805555555</v>
      </c>
      <c r="B7" s="5" t="s">
        <v>13409</v>
      </c>
      <c r="C7" s="6" t="s">
        <v>12059</v>
      </c>
      <c r="D7" s="7" t="s">
        <v>12060</v>
      </c>
      <c r="E7" s="8" t="s">
        <v>13120</v>
      </c>
      <c r="F7" s="4">
        <v>39649.882326388892</v>
      </c>
      <c r="G7" s="24" t="s">
        <v>13000</v>
      </c>
      <c r="H7" s="35" t="s">
        <v>736</v>
      </c>
      <c r="I7" s="10" t="s">
        <v>12061</v>
      </c>
      <c r="L7" s="11"/>
    </row>
    <row r="8" spans="1:12" s="31" customFormat="1" ht="120">
      <c r="A8" s="12">
        <v>43579.360439814816</v>
      </c>
      <c r="B8" s="13" t="s">
        <v>13410</v>
      </c>
      <c r="C8" s="14" t="s">
        <v>734</v>
      </c>
      <c r="D8" s="15" t="s">
        <v>735</v>
      </c>
      <c r="E8" s="16" t="s">
        <v>13411</v>
      </c>
      <c r="F8" s="12">
        <v>39854.296886574077</v>
      </c>
      <c r="G8" s="24" t="s">
        <v>13000</v>
      </c>
      <c r="H8" s="35" t="s">
        <v>736</v>
      </c>
      <c r="I8" s="18" t="s">
        <v>737</v>
      </c>
      <c r="L8" s="11"/>
    </row>
    <row r="9" spans="1:12" s="31" customFormat="1" ht="60">
      <c r="A9" s="12">
        <v>43571.354953703703</v>
      </c>
      <c r="B9" s="13" t="s">
        <v>13412</v>
      </c>
      <c r="C9" s="14" t="s">
        <v>3713</v>
      </c>
      <c r="D9" s="15" t="s">
        <v>3714</v>
      </c>
      <c r="E9" s="16" t="s">
        <v>13027</v>
      </c>
      <c r="F9" s="12">
        <v>40645.562546296293</v>
      </c>
      <c r="G9" s="24" t="s">
        <v>13000</v>
      </c>
      <c r="H9" s="35" t="s">
        <v>3715</v>
      </c>
      <c r="I9" s="18" t="s">
        <v>3716</v>
      </c>
      <c r="L9" s="11"/>
    </row>
    <row r="10" spans="1:12" s="31" customFormat="1" ht="120">
      <c r="A10" s="12">
        <v>43570.401249999995</v>
      </c>
      <c r="B10" s="13" t="s">
        <v>13413</v>
      </c>
      <c r="C10" s="14" t="s">
        <v>4175</v>
      </c>
      <c r="D10" s="15" t="s">
        <v>4176</v>
      </c>
      <c r="E10" s="16" t="s">
        <v>13009</v>
      </c>
      <c r="F10" s="12">
        <v>40577.849525462967</v>
      </c>
      <c r="G10" s="24" t="s">
        <v>13000</v>
      </c>
      <c r="H10" s="35" t="s">
        <v>736</v>
      </c>
      <c r="I10" s="18" t="s">
        <v>4177</v>
      </c>
      <c r="L10" s="11"/>
    </row>
    <row r="11" spans="1:12" s="31" customFormat="1" ht="120">
      <c r="A11" s="12">
        <v>43569.307060185187</v>
      </c>
      <c r="B11" s="13" t="s">
        <v>13413</v>
      </c>
      <c r="C11" s="14" t="s">
        <v>4175</v>
      </c>
      <c r="D11" s="15" t="s">
        <v>4558</v>
      </c>
      <c r="E11" s="16" t="s">
        <v>13009</v>
      </c>
      <c r="F11" s="12">
        <v>40577.849525462967</v>
      </c>
      <c r="G11" s="24" t="s">
        <v>13000</v>
      </c>
      <c r="H11" s="35" t="s">
        <v>736</v>
      </c>
      <c r="I11" s="18" t="s">
        <v>4177</v>
      </c>
      <c r="L11" s="11"/>
    </row>
    <row r="12" spans="1:12" s="31" customFormat="1" ht="45">
      <c r="A12" s="4">
        <v>43564.4606712963</v>
      </c>
      <c r="B12" s="5" t="s">
        <v>13414</v>
      </c>
      <c r="C12" s="6" t="s">
        <v>6594</v>
      </c>
      <c r="D12" s="7" t="s">
        <v>6595</v>
      </c>
      <c r="E12" s="8" t="s">
        <v>13009</v>
      </c>
      <c r="F12" s="4">
        <v>39903.368900462963</v>
      </c>
      <c r="G12" s="24" t="s">
        <v>13000</v>
      </c>
      <c r="H12" s="35" t="s">
        <v>6596</v>
      </c>
      <c r="I12" s="10" t="s">
        <v>6597</v>
      </c>
      <c r="L12" s="11"/>
    </row>
    <row r="13" spans="1:12" s="31" customFormat="1" ht="60">
      <c r="A13" s="19">
        <v>43551.872662037036</v>
      </c>
      <c r="B13" s="20" t="s">
        <v>13415</v>
      </c>
      <c r="C13" s="21" t="s">
        <v>4294</v>
      </c>
      <c r="D13" s="22" t="s">
        <v>6975</v>
      </c>
      <c r="E13" s="23" t="s">
        <v>13032</v>
      </c>
      <c r="F13" s="19">
        <v>39830.894224537034</v>
      </c>
      <c r="G13" s="24" t="s">
        <v>13000</v>
      </c>
      <c r="H13" s="35" t="s">
        <v>687</v>
      </c>
      <c r="I13" s="25"/>
      <c r="L13" s="11"/>
    </row>
    <row r="14" spans="1:12" s="31" customFormat="1" ht="60">
      <c r="A14" s="19">
        <v>43551.830682870372</v>
      </c>
      <c r="B14" s="20" t="s">
        <v>13415</v>
      </c>
      <c r="C14" s="21" t="s">
        <v>4294</v>
      </c>
      <c r="D14" s="22" t="s">
        <v>6988</v>
      </c>
      <c r="E14" s="23" t="s">
        <v>13032</v>
      </c>
      <c r="F14" s="19">
        <v>39830.894224537034</v>
      </c>
      <c r="G14" s="24" t="s">
        <v>13000</v>
      </c>
      <c r="H14" s="35" t="s">
        <v>687</v>
      </c>
      <c r="I14" s="25"/>
      <c r="L14" s="11"/>
    </row>
    <row r="15" spans="1:12" s="31" customFormat="1" ht="120">
      <c r="A15" s="19">
        <v>43551.393217592587</v>
      </c>
      <c r="B15" s="20" t="s">
        <v>13416</v>
      </c>
      <c r="C15" s="21" t="s">
        <v>7246</v>
      </c>
      <c r="D15" s="22" t="s">
        <v>7247</v>
      </c>
      <c r="E15" s="23" t="s">
        <v>13009</v>
      </c>
      <c r="F15" s="19">
        <v>39234.522638888891</v>
      </c>
      <c r="G15" s="24" t="s">
        <v>13000</v>
      </c>
      <c r="H15" s="35" t="s">
        <v>687</v>
      </c>
      <c r="I15" s="25" t="s">
        <v>7248</v>
      </c>
      <c r="L15" s="11"/>
    </row>
    <row r="16" spans="1:12" s="31" customFormat="1" ht="60">
      <c r="A16" s="19">
        <v>43550.869699074072</v>
      </c>
      <c r="B16" s="20" t="s">
        <v>13415</v>
      </c>
      <c r="C16" s="21" t="s">
        <v>4294</v>
      </c>
      <c r="D16" s="22" t="s">
        <v>7484</v>
      </c>
      <c r="E16" s="23" t="s">
        <v>13032</v>
      </c>
      <c r="F16" s="19">
        <v>39830.894224537034</v>
      </c>
      <c r="G16" s="24" t="s">
        <v>13000</v>
      </c>
      <c r="H16" s="35" t="s">
        <v>687</v>
      </c>
      <c r="I16" s="25"/>
      <c r="L16" s="11"/>
    </row>
    <row r="17" spans="1:12" s="31" customFormat="1" ht="60">
      <c r="A17" s="19">
        <v>43550.862326388888</v>
      </c>
      <c r="B17" s="20" t="s">
        <v>13415</v>
      </c>
      <c r="C17" s="21" t="s">
        <v>4294</v>
      </c>
      <c r="D17" s="22" t="s">
        <v>7485</v>
      </c>
      <c r="E17" s="23" t="s">
        <v>13032</v>
      </c>
      <c r="F17" s="19">
        <v>39830.894224537034</v>
      </c>
      <c r="G17" s="24" t="s">
        <v>13000</v>
      </c>
      <c r="H17" s="35" t="s">
        <v>687</v>
      </c>
      <c r="I17" s="25"/>
      <c r="L17" s="11"/>
    </row>
    <row r="18" spans="1:12" s="31" customFormat="1" ht="60">
      <c r="A18" s="19">
        <v>43550.689687499995</v>
      </c>
      <c r="B18" s="20" t="s">
        <v>13415</v>
      </c>
      <c r="C18" s="21" t="s">
        <v>4294</v>
      </c>
      <c r="D18" s="22" t="s">
        <v>7551</v>
      </c>
      <c r="E18" s="23" t="s">
        <v>13032</v>
      </c>
      <c r="F18" s="19">
        <v>39830.894224537034</v>
      </c>
      <c r="G18" s="24" t="s">
        <v>13000</v>
      </c>
      <c r="H18" s="35" t="s">
        <v>687</v>
      </c>
      <c r="I18" s="25"/>
      <c r="L18" s="11"/>
    </row>
    <row r="19" spans="1:12" s="31" customFormat="1" ht="60">
      <c r="A19" s="19">
        <v>43550.623310185183</v>
      </c>
      <c r="B19" s="20" t="s">
        <v>13415</v>
      </c>
      <c r="C19" s="21" t="s">
        <v>4294</v>
      </c>
      <c r="D19" s="22" t="s">
        <v>7582</v>
      </c>
      <c r="E19" s="23" t="s">
        <v>13032</v>
      </c>
      <c r="F19" s="19">
        <v>39830.894224537034</v>
      </c>
      <c r="G19" s="24" t="s">
        <v>13000</v>
      </c>
      <c r="H19" s="35" t="s">
        <v>687</v>
      </c>
      <c r="I19" s="25"/>
      <c r="L19" s="11"/>
    </row>
    <row r="20" spans="1:12" s="31" customFormat="1" ht="90">
      <c r="A20" s="19">
        <v>43550.422824074078</v>
      </c>
      <c r="B20" s="20" t="s">
        <v>13417</v>
      </c>
      <c r="C20" s="21" t="s">
        <v>7676</v>
      </c>
      <c r="D20" s="22" t="s">
        <v>7677</v>
      </c>
      <c r="E20" s="23" t="s">
        <v>13009</v>
      </c>
      <c r="F20" s="19">
        <v>41960.522013888884</v>
      </c>
      <c r="G20" s="24" t="s">
        <v>13000</v>
      </c>
      <c r="H20" s="35" t="s">
        <v>687</v>
      </c>
      <c r="I20" s="25" t="s">
        <v>7678</v>
      </c>
      <c r="L20" s="11"/>
    </row>
    <row r="21" spans="1:12" s="31" customFormat="1" ht="120">
      <c r="A21" s="19">
        <v>43550.418668981481</v>
      </c>
      <c r="B21" s="20" t="s">
        <v>13416</v>
      </c>
      <c r="C21" s="21" t="s">
        <v>7246</v>
      </c>
      <c r="D21" s="22" t="s">
        <v>7679</v>
      </c>
      <c r="E21" s="23" t="s">
        <v>13009</v>
      </c>
      <c r="F21" s="19">
        <v>39234.522638888891</v>
      </c>
      <c r="G21" s="24" t="s">
        <v>13000</v>
      </c>
      <c r="H21" s="35" t="s">
        <v>687</v>
      </c>
      <c r="I21" s="25" t="s">
        <v>7248</v>
      </c>
      <c r="L21" s="11"/>
    </row>
    <row r="22" spans="1:12" s="31" customFormat="1" ht="60">
      <c r="A22" s="19">
        <v>43549.844895833332</v>
      </c>
      <c r="B22" s="20" t="s">
        <v>13415</v>
      </c>
      <c r="C22" s="21" t="s">
        <v>4294</v>
      </c>
      <c r="D22" s="22" t="s">
        <v>7893</v>
      </c>
      <c r="E22" s="23" t="s">
        <v>13032</v>
      </c>
      <c r="F22" s="19">
        <v>39830.894224537034</v>
      </c>
      <c r="G22" s="24" t="s">
        <v>13000</v>
      </c>
      <c r="H22" s="35" t="s">
        <v>687</v>
      </c>
      <c r="I22" s="25"/>
    </row>
    <row r="23" spans="1:12" s="31" customFormat="1" ht="60">
      <c r="A23" s="19">
        <v>43549.842650462961</v>
      </c>
      <c r="B23" s="20" t="s">
        <v>13415</v>
      </c>
      <c r="C23" s="21" t="s">
        <v>4294</v>
      </c>
      <c r="D23" s="22" t="s">
        <v>7893</v>
      </c>
      <c r="E23" s="23" t="s">
        <v>13032</v>
      </c>
      <c r="F23" s="19">
        <v>39830.894224537034</v>
      </c>
      <c r="G23" s="24" t="s">
        <v>13000</v>
      </c>
      <c r="H23" s="35" t="s">
        <v>687</v>
      </c>
      <c r="I23" s="25"/>
    </row>
    <row r="24" spans="1:12" s="31" customFormat="1" ht="60">
      <c r="A24" s="19">
        <v>43549.833645833336</v>
      </c>
      <c r="B24" s="20" t="s">
        <v>13415</v>
      </c>
      <c r="C24" s="21" t="s">
        <v>4294</v>
      </c>
      <c r="D24" s="22" t="s">
        <v>7906</v>
      </c>
      <c r="E24" s="23" t="s">
        <v>13032</v>
      </c>
      <c r="F24" s="19">
        <v>39830.894224537034</v>
      </c>
      <c r="G24" s="24" t="s">
        <v>13000</v>
      </c>
      <c r="H24" s="35" t="s">
        <v>687</v>
      </c>
      <c r="I24" s="25"/>
    </row>
    <row r="25" spans="1:12" s="31" customFormat="1" ht="60">
      <c r="A25" s="19">
        <v>43549.831747685181</v>
      </c>
      <c r="B25" s="20" t="s">
        <v>13415</v>
      </c>
      <c r="C25" s="21" t="s">
        <v>4294</v>
      </c>
      <c r="D25" s="22" t="s">
        <v>7913</v>
      </c>
      <c r="E25" s="23" t="s">
        <v>13032</v>
      </c>
      <c r="F25" s="19">
        <v>39830.894224537034</v>
      </c>
      <c r="G25" s="24" t="s">
        <v>13000</v>
      </c>
      <c r="H25" s="35" t="s">
        <v>687</v>
      </c>
      <c r="I25" s="25"/>
    </row>
    <row r="26" spans="1:12" s="31" customFormat="1" ht="60">
      <c r="A26" s="19">
        <v>43549.663449074069</v>
      </c>
      <c r="B26" s="20" t="s">
        <v>13415</v>
      </c>
      <c r="C26" s="21" t="s">
        <v>4294</v>
      </c>
      <c r="D26" s="22" t="s">
        <v>7893</v>
      </c>
      <c r="E26" s="23" t="s">
        <v>13032</v>
      </c>
      <c r="F26" s="19">
        <v>39830.894224537034</v>
      </c>
      <c r="G26" s="24" t="s">
        <v>13000</v>
      </c>
      <c r="H26" s="35" t="s">
        <v>687</v>
      </c>
      <c r="I26" s="25"/>
    </row>
    <row r="27" spans="1:12" s="31" customFormat="1" ht="60">
      <c r="A27" s="19">
        <v>43548.346631944441</v>
      </c>
      <c r="B27" s="20" t="s">
        <v>13415</v>
      </c>
      <c r="C27" s="21" t="s">
        <v>4294</v>
      </c>
      <c r="D27" s="22" t="s">
        <v>8348</v>
      </c>
      <c r="E27" s="23" t="s">
        <v>13032</v>
      </c>
      <c r="F27" s="19">
        <v>39830.894224537034</v>
      </c>
      <c r="G27" s="24" t="s">
        <v>13000</v>
      </c>
      <c r="H27" s="35" t="s">
        <v>687</v>
      </c>
      <c r="I27" s="25"/>
    </row>
    <row r="28" spans="1:12" s="31" customFormat="1" ht="60">
      <c r="A28" s="19">
        <v>43548.184178240743</v>
      </c>
      <c r="B28" s="20" t="s">
        <v>13415</v>
      </c>
      <c r="C28" s="21" t="s">
        <v>4294</v>
      </c>
      <c r="D28" s="22" t="s">
        <v>8391</v>
      </c>
      <c r="E28" s="23" t="s">
        <v>13032</v>
      </c>
      <c r="F28" s="19">
        <v>39830.894224537034</v>
      </c>
      <c r="G28" s="24" t="s">
        <v>13000</v>
      </c>
      <c r="H28" s="35" t="s">
        <v>687</v>
      </c>
      <c r="I28" s="25"/>
    </row>
    <row r="29" spans="1:12" s="31" customFormat="1" ht="75">
      <c r="A29" s="19">
        <v>43547.612118055556</v>
      </c>
      <c r="B29" s="20" t="s">
        <v>13418</v>
      </c>
      <c r="C29" s="21" t="s">
        <v>8495</v>
      </c>
      <c r="D29" s="22" t="s">
        <v>8496</v>
      </c>
      <c r="E29" s="23" t="s">
        <v>13032</v>
      </c>
      <c r="F29" s="19">
        <v>43366.793935185182</v>
      </c>
      <c r="G29" s="24" t="s">
        <v>13000</v>
      </c>
      <c r="H29" s="35" t="s">
        <v>687</v>
      </c>
      <c r="I29" s="25" t="s">
        <v>8497</v>
      </c>
    </row>
    <row r="30" spans="1:12" s="31" customFormat="1" ht="60">
      <c r="A30" s="19">
        <v>43547.261550925927</v>
      </c>
      <c r="B30" s="20" t="s">
        <v>13415</v>
      </c>
      <c r="C30" s="21" t="s">
        <v>4294</v>
      </c>
      <c r="D30" s="22" t="s">
        <v>8614</v>
      </c>
      <c r="E30" s="23" t="s">
        <v>13032</v>
      </c>
      <c r="F30" s="19">
        <v>39830.894224537034</v>
      </c>
      <c r="G30" s="24" t="s">
        <v>13000</v>
      </c>
      <c r="H30" s="35" t="s">
        <v>687</v>
      </c>
      <c r="I30" s="25"/>
    </row>
    <row r="31" spans="1:12" s="31" customFormat="1" ht="60">
      <c r="A31" s="19">
        <v>43547.234340277777</v>
      </c>
      <c r="B31" s="20" t="s">
        <v>13415</v>
      </c>
      <c r="C31" s="21" t="s">
        <v>4294</v>
      </c>
      <c r="D31" s="22" t="s">
        <v>8620</v>
      </c>
      <c r="E31" s="23" t="s">
        <v>13032</v>
      </c>
      <c r="F31" s="19">
        <v>39830.894224537034</v>
      </c>
      <c r="G31" s="24" t="s">
        <v>13000</v>
      </c>
      <c r="H31" s="35" t="s">
        <v>687</v>
      </c>
      <c r="I31" s="25"/>
    </row>
    <row r="32" spans="1:12" s="31" customFormat="1" ht="60">
      <c r="A32" s="19">
        <v>43546.645034722227</v>
      </c>
      <c r="B32" s="20" t="s">
        <v>13415</v>
      </c>
      <c r="C32" s="21" t="s">
        <v>4294</v>
      </c>
      <c r="D32" s="22" t="s">
        <v>8783</v>
      </c>
      <c r="E32" s="23" t="s">
        <v>13032</v>
      </c>
      <c r="F32" s="19">
        <v>39830.894224537034</v>
      </c>
      <c r="G32" s="24" t="s">
        <v>13000</v>
      </c>
      <c r="H32" s="35" t="s">
        <v>687</v>
      </c>
      <c r="I32" s="25"/>
    </row>
    <row r="33" spans="1:9" s="31" customFormat="1" ht="60">
      <c r="A33" s="19">
        <v>43545.471215277779</v>
      </c>
      <c r="B33" s="20" t="s">
        <v>13415</v>
      </c>
      <c r="C33" s="21" t="s">
        <v>4294</v>
      </c>
      <c r="D33" s="22" t="s">
        <v>9124</v>
      </c>
      <c r="E33" s="23" t="s">
        <v>13032</v>
      </c>
      <c r="F33" s="19">
        <v>39830.894224537034</v>
      </c>
      <c r="G33" s="24" t="s">
        <v>13000</v>
      </c>
      <c r="H33" s="35" t="s">
        <v>687</v>
      </c>
      <c r="I33" s="25"/>
    </row>
    <row r="34" spans="1:9" s="31" customFormat="1" ht="60">
      <c r="A34" s="19">
        <v>43545.327939814815</v>
      </c>
      <c r="B34" s="20" t="s">
        <v>13419</v>
      </c>
      <c r="C34" s="21" t="s">
        <v>1235</v>
      </c>
      <c r="D34" s="22" t="s">
        <v>9206</v>
      </c>
      <c r="E34" s="23" t="s">
        <v>13032</v>
      </c>
      <c r="F34" s="19">
        <v>43284.362592592588</v>
      </c>
      <c r="G34" s="24" t="s">
        <v>13000</v>
      </c>
      <c r="H34" s="35" t="s">
        <v>687</v>
      </c>
      <c r="I34" s="25" t="s">
        <v>1237</v>
      </c>
    </row>
    <row r="35" spans="1:9" s="31" customFormat="1" ht="105">
      <c r="A35" s="19">
        <v>43544.509618055556</v>
      </c>
      <c r="B35" s="20" t="s">
        <v>13420</v>
      </c>
      <c r="C35" s="21" t="s">
        <v>9428</v>
      </c>
      <c r="D35" s="22" t="s">
        <v>9429</v>
      </c>
      <c r="E35" s="23" t="s">
        <v>13011</v>
      </c>
      <c r="F35" s="19">
        <v>42525.793009259258</v>
      </c>
      <c r="G35" s="24" t="s">
        <v>13000</v>
      </c>
      <c r="H35" s="35" t="s">
        <v>687</v>
      </c>
      <c r="I35" s="25" t="s">
        <v>9430</v>
      </c>
    </row>
    <row r="36" spans="1:9" s="31" customFormat="1" ht="105">
      <c r="A36" s="19">
        <v>43544.428703703699</v>
      </c>
      <c r="B36" s="20" t="s">
        <v>13420</v>
      </c>
      <c r="C36" s="21" t="s">
        <v>9428</v>
      </c>
      <c r="D36" s="22" t="s">
        <v>9469</v>
      </c>
      <c r="E36" s="23" t="s">
        <v>13032</v>
      </c>
      <c r="F36" s="19">
        <v>42525.793009259258</v>
      </c>
      <c r="G36" s="24" t="s">
        <v>13000</v>
      </c>
      <c r="H36" s="35" t="s">
        <v>687</v>
      </c>
      <c r="I36" s="25" t="s">
        <v>9430</v>
      </c>
    </row>
    <row r="37" spans="1:9" s="31" customFormat="1" ht="105">
      <c r="A37" s="19">
        <v>43544.421724537038</v>
      </c>
      <c r="B37" s="20" t="s">
        <v>13420</v>
      </c>
      <c r="C37" s="21" t="s">
        <v>9428</v>
      </c>
      <c r="D37" s="22" t="s">
        <v>9470</v>
      </c>
      <c r="E37" s="23" t="s">
        <v>13032</v>
      </c>
      <c r="F37" s="19">
        <v>42525.793009259258</v>
      </c>
      <c r="G37" s="24" t="s">
        <v>13000</v>
      </c>
      <c r="H37" s="35" t="s">
        <v>687</v>
      </c>
      <c r="I37" s="25" t="s">
        <v>9430</v>
      </c>
    </row>
    <row r="38" spans="1:9" s="31" customFormat="1" ht="105">
      <c r="A38" s="19">
        <v>43544.417546296296</v>
      </c>
      <c r="B38" s="20" t="s">
        <v>13420</v>
      </c>
      <c r="C38" s="21" t="s">
        <v>9428</v>
      </c>
      <c r="D38" s="22" t="s">
        <v>9471</v>
      </c>
      <c r="E38" s="23" t="s">
        <v>13032</v>
      </c>
      <c r="F38" s="19">
        <v>42525.793009259258</v>
      </c>
      <c r="G38" s="24" t="s">
        <v>13000</v>
      </c>
      <c r="H38" s="35" t="s">
        <v>687</v>
      </c>
      <c r="I38" s="25" t="s">
        <v>9430</v>
      </c>
    </row>
    <row r="39" spans="1:9" s="31" customFormat="1" ht="105">
      <c r="A39" s="19">
        <v>43544.27851851852</v>
      </c>
      <c r="B39" s="20" t="s">
        <v>13421</v>
      </c>
      <c r="C39" s="21" t="s">
        <v>1062</v>
      </c>
      <c r="D39" s="22" t="s">
        <v>9561</v>
      </c>
      <c r="E39" s="23" t="s">
        <v>13013</v>
      </c>
      <c r="F39" s="19">
        <v>40925.483842592592</v>
      </c>
      <c r="G39" s="24" t="s">
        <v>13000</v>
      </c>
      <c r="H39" s="35" t="s">
        <v>687</v>
      </c>
      <c r="I39" s="25" t="s">
        <v>1064</v>
      </c>
    </row>
    <row r="40" spans="1:9" s="31" customFormat="1" ht="105">
      <c r="A40" s="19">
        <v>43543.374178240745</v>
      </c>
      <c r="B40" s="20" t="s">
        <v>13421</v>
      </c>
      <c r="C40" s="21" t="s">
        <v>1062</v>
      </c>
      <c r="D40" s="22" t="s">
        <v>9837</v>
      </c>
      <c r="E40" s="23" t="s">
        <v>13013</v>
      </c>
      <c r="F40" s="19">
        <v>40925.483842592592</v>
      </c>
      <c r="G40" s="24" t="s">
        <v>13000</v>
      </c>
      <c r="H40" s="35" t="s">
        <v>687</v>
      </c>
      <c r="I40" s="25" t="s">
        <v>1064</v>
      </c>
    </row>
    <row r="41" spans="1:9" s="31" customFormat="1" ht="105">
      <c r="A41" s="19">
        <v>43543.372766203705</v>
      </c>
      <c r="B41" s="20" t="s">
        <v>13421</v>
      </c>
      <c r="C41" s="21" t="s">
        <v>1062</v>
      </c>
      <c r="D41" s="22" t="s">
        <v>9838</v>
      </c>
      <c r="E41" s="23" t="s">
        <v>13013</v>
      </c>
      <c r="F41" s="19">
        <v>40925.483842592592</v>
      </c>
      <c r="G41" s="24" t="s">
        <v>13000</v>
      </c>
      <c r="H41" s="35" t="s">
        <v>687</v>
      </c>
      <c r="I41" s="25" t="s">
        <v>1064</v>
      </c>
    </row>
    <row r="42" spans="1:9" s="31" customFormat="1" ht="105">
      <c r="A42" s="19">
        <v>43543.371319444443</v>
      </c>
      <c r="B42" s="20" t="s">
        <v>13421</v>
      </c>
      <c r="C42" s="21" t="s">
        <v>1062</v>
      </c>
      <c r="D42" s="22" t="s">
        <v>9843</v>
      </c>
      <c r="E42" s="23" t="s">
        <v>13013</v>
      </c>
      <c r="F42" s="19">
        <v>40925.483842592592</v>
      </c>
      <c r="G42" s="24" t="s">
        <v>13000</v>
      </c>
      <c r="H42" s="35" t="s">
        <v>687</v>
      </c>
      <c r="I42" s="25" t="s">
        <v>1064</v>
      </c>
    </row>
    <row r="43" spans="1:9" s="31" customFormat="1" ht="105">
      <c r="A43" s="19">
        <v>43543.181504629625</v>
      </c>
      <c r="B43" s="20" t="s">
        <v>13421</v>
      </c>
      <c r="C43" s="21" t="s">
        <v>1062</v>
      </c>
      <c r="D43" s="22" t="s">
        <v>9906</v>
      </c>
      <c r="E43" s="23" t="s">
        <v>13013</v>
      </c>
      <c r="F43" s="19">
        <v>40925.483842592592</v>
      </c>
      <c r="G43" s="24" t="s">
        <v>13000</v>
      </c>
      <c r="H43" s="35" t="s">
        <v>687</v>
      </c>
      <c r="I43" s="25" t="s">
        <v>1064</v>
      </c>
    </row>
    <row r="44" spans="1:9" s="31" customFormat="1" ht="60">
      <c r="A44" s="19">
        <v>43542.58284722222</v>
      </c>
      <c r="B44" s="20" t="s">
        <v>13415</v>
      </c>
      <c r="C44" s="21" t="s">
        <v>4294</v>
      </c>
      <c r="D44" s="22" t="s">
        <v>10090</v>
      </c>
      <c r="E44" s="23" t="s">
        <v>13032</v>
      </c>
      <c r="F44" s="19">
        <v>39830.894224537034</v>
      </c>
      <c r="G44" s="24" t="s">
        <v>13000</v>
      </c>
      <c r="H44" s="35" t="s">
        <v>687</v>
      </c>
      <c r="I44" s="25"/>
    </row>
    <row r="45" spans="1:9" s="31" customFormat="1" ht="105">
      <c r="A45" s="4">
        <v>43565.375798611116</v>
      </c>
      <c r="B45" s="5" t="s">
        <v>13422</v>
      </c>
      <c r="C45" s="6" t="s">
        <v>6138</v>
      </c>
      <c r="D45" s="7" t="s">
        <v>6139</v>
      </c>
      <c r="E45" s="8" t="s">
        <v>13034</v>
      </c>
      <c r="F45" s="4">
        <v>42923.370266203703</v>
      </c>
      <c r="G45" s="24" t="s">
        <v>13000</v>
      </c>
      <c r="H45" s="35" t="s">
        <v>687</v>
      </c>
      <c r="I45" s="10" t="s">
        <v>6140</v>
      </c>
    </row>
    <row r="46" spans="1:9" s="31" customFormat="1" ht="60">
      <c r="A46" s="4">
        <v>43564.738587962958</v>
      </c>
      <c r="B46" s="5" t="s">
        <v>13415</v>
      </c>
      <c r="C46" s="6" t="s">
        <v>4294</v>
      </c>
      <c r="D46" s="7" t="s">
        <v>6436</v>
      </c>
      <c r="E46" s="8" t="s">
        <v>13032</v>
      </c>
      <c r="F46" s="4">
        <v>39830.894224537034</v>
      </c>
      <c r="G46" s="24" t="s">
        <v>13000</v>
      </c>
      <c r="H46" s="35" t="s">
        <v>687</v>
      </c>
      <c r="I46" s="10"/>
    </row>
    <row r="47" spans="1:9" s="31" customFormat="1" ht="60">
      <c r="A47" s="4">
        <v>43562.965729166666</v>
      </c>
      <c r="B47" s="5" t="s">
        <v>13415</v>
      </c>
      <c r="C47" s="6" t="s">
        <v>4294</v>
      </c>
      <c r="D47" s="7" t="s">
        <v>7551</v>
      </c>
      <c r="E47" s="8" t="s">
        <v>13032</v>
      </c>
      <c r="F47" s="4">
        <v>39830.894224537034</v>
      </c>
      <c r="G47" s="24" t="s">
        <v>13000</v>
      </c>
      <c r="H47" s="35" t="s">
        <v>687</v>
      </c>
      <c r="I47" s="10"/>
    </row>
    <row r="48" spans="1:9" s="31" customFormat="1" ht="45">
      <c r="A48" s="4">
        <v>43562.798298611116</v>
      </c>
      <c r="B48" s="5" t="s">
        <v>13423</v>
      </c>
      <c r="C48" s="6" t="s">
        <v>10577</v>
      </c>
      <c r="D48" s="7" t="s">
        <v>10578</v>
      </c>
      <c r="E48" s="8" t="s">
        <v>13011</v>
      </c>
      <c r="F48" s="4">
        <v>43234.093599537038</v>
      </c>
      <c r="G48" s="24" t="s">
        <v>13000</v>
      </c>
      <c r="H48" s="35" t="s">
        <v>687</v>
      </c>
      <c r="I48" s="10" t="s">
        <v>10579</v>
      </c>
    </row>
    <row r="49" spans="1:9" s="31" customFormat="1" ht="75">
      <c r="A49" s="4">
        <v>43561.904641203699</v>
      </c>
      <c r="B49" s="5" t="s">
        <v>13424</v>
      </c>
      <c r="C49" s="6" t="s">
        <v>10803</v>
      </c>
      <c r="D49" s="7" t="s">
        <v>10804</v>
      </c>
      <c r="E49" s="8" t="s">
        <v>13011</v>
      </c>
      <c r="F49" s="4">
        <v>40904.545439814814</v>
      </c>
      <c r="G49" s="24" t="s">
        <v>13000</v>
      </c>
      <c r="H49" s="35" t="s">
        <v>687</v>
      </c>
      <c r="I49" s="10" t="s">
        <v>10805</v>
      </c>
    </row>
    <row r="50" spans="1:9" s="31" customFormat="1" ht="60">
      <c r="A50" s="4">
        <v>43560.935081018513</v>
      </c>
      <c r="B50" s="5" t="s">
        <v>13415</v>
      </c>
      <c r="C50" s="6" t="s">
        <v>4294</v>
      </c>
      <c r="D50" s="7" t="s">
        <v>11125</v>
      </c>
      <c r="E50" s="8" t="s">
        <v>13032</v>
      </c>
      <c r="F50" s="4">
        <v>39830.894224537034</v>
      </c>
      <c r="G50" s="24" t="s">
        <v>13000</v>
      </c>
      <c r="H50" s="35" t="s">
        <v>687</v>
      </c>
      <c r="I50" s="10"/>
    </row>
    <row r="51" spans="1:9" s="31" customFormat="1" ht="45">
      <c r="A51" s="4">
        <v>43559.084722222222</v>
      </c>
      <c r="B51" s="5" t="s">
        <v>13415</v>
      </c>
      <c r="C51" s="6" t="s">
        <v>4294</v>
      </c>
      <c r="D51" s="7" t="s">
        <v>11946</v>
      </c>
      <c r="E51" s="8" t="s">
        <v>13032</v>
      </c>
      <c r="F51" s="4">
        <v>39830.894224537034</v>
      </c>
      <c r="G51" s="24" t="s">
        <v>13000</v>
      </c>
      <c r="H51" s="35" t="s">
        <v>687</v>
      </c>
      <c r="I51" s="10"/>
    </row>
    <row r="52" spans="1:9" s="31" customFormat="1" ht="60">
      <c r="A52" s="4">
        <v>43558.602002314816</v>
      </c>
      <c r="B52" s="5" t="s">
        <v>13425</v>
      </c>
      <c r="C52" s="6" t="s">
        <v>1691</v>
      </c>
      <c r="D52" s="7" t="s">
        <v>12110</v>
      </c>
      <c r="E52" s="8" t="s">
        <v>13011</v>
      </c>
      <c r="F52" s="4">
        <v>42611.378587962958</v>
      </c>
      <c r="G52" s="24" t="s">
        <v>13000</v>
      </c>
      <c r="H52" s="35" t="s">
        <v>687</v>
      </c>
      <c r="I52" s="10" t="s">
        <v>1693</v>
      </c>
    </row>
    <row r="53" spans="1:9" s="31" customFormat="1" ht="60">
      <c r="A53" s="4">
        <v>43558.561655092592</v>
      </c>
      <c r="B53" s="5" t="s">
        <v>13415</v>
      </c>
      <c r="C53" s="6" t="s">
        <v>4294</v>
      </c>
      <c r="D53" s="7" t="s">
        <v>12132</v>
      </c>
      <c r="E53" s="8" t="s">
        <v>13032</v>
      </c>
      <c r="F53" s="4">
        <v>39830.894224537034</v>
      </c>
      <c r="G53" s="24" t="s">
        <v>13000</v>
      </c>
      <c r="H53" s="35" t="s">
        <v>687</v>
      </c>
      <c r="I53" s="10"/>
    </row>
    <row r="54" spans="1:9" s="31" customFormat="1" ht="60">
      <c r="A54" s="4">
        <v>43558.209988425922</v>
      </c>
      <c r="B54" s="5" t="s">
        <v>13415</v>
      </c>
      <c r="C54" s="6" t="s">
        <v>4294</v>
      </c>
      <c r="D54" s="7" t="s">
        <v>12277</v>
      </c>
      <c r="E54" s="8" t="s">
        <v>13032</v>
      </c>
      <c r="F54" s="4">
        <v>39830.894224537034</v>
      </c>
      <c r="G54" s="24" t="s">
        <v>13000</v>
      </c>
      <c r="H54" s="35" t="s">
        <v>687</v>
      </c>
      <c r="I54" s="10"/>
    </row>
    <row r="55" spans="1:9" s="31" customFormat="1" ht="60">
      <c r="A55" s="4">
        <v>43557.658333333333</v>
      </c>
      <c r="B55" s="5" t="s">
        <v>13415</v>
      </c>
      <c r="C55" s="6" t="s">
        <v>4294</v>
      </c>
      <c r="D55" s="7" t="s">
        <v>12420</v>
      </c>
      <c r="E55" s="8" t="s">
        <v>13032</v>
      </c>
      <c r="F55" s="4">
        <v>39830.894224537034</v>
      </c>
      <c r="G55" s="24" t="s">
        <v>13000</v>
      </c>
      <c r="H55" s="35" t="s">
        <v>687</v>
      </c>
      <c r="I55" s="10"/>
    </row>
    <row r="56" spans="1:9" s="31" customFormat="1" ht="45">
      <c r="A56" s="4">
        <v>43557.202453703707</v>
      </c>
      <c r="B56" s="5" t="s">
        <v>13415</v>
      </c>
      <c r="C56" s="6" t="s">
        <v>4294</v>
      </c>
      <c r="D56" s="7" t="s">
        <v>12619</v>
      </c>
      <c r="E56" s="8" t="s">
        <v>13032</v>
      </c>
      <c r="F56" s="4">
        <v>39830.894224537034</v>
      </c>
      <c r="G56" s="24" t="s">
        <v>13000</v>
      </c>
      <c r="H56" s="35" t="s">
        <v>687</v>
      </c>
      <c r="I56" s="10"/>
    </row>
    <row r="57" spans="1:9" s="31" customFormat="1" ht="45">
      <c r="A57" s="4">
        <v>43556.873553240745</v>
      </c>
      <c r="B57" s="5" t="s">
        <v>13415</v>
      </c>
      <c r="C57" s="6" t="s">
        <v>4294</v>
      </c>
      <c r="D57" s="7" t="s">
        <v>12619</v>
      </c>
      <c r="E57" s="8" t="s">
        <v>13032</v>
      </c>
      <c r="F57" s="4">
        <v>39830.894224537034</v>
      </c>
      <c r="G57" s="24" t="s">
        <v>13000</v>
      </c>
      <c r="H57" s="35" t="s">
        <v>687</v>
      </c>
      <c r="I57" s="10"/>
    </row>
    <row r="58" spans="1:9" s="31" customFormat="1" ht="120">
      <c r="A58" s="4">
        <v>43556.769641203704</v>
      </c>
      <c r="B58" s="5" t="s">
        <v>13426</v>
      </c>
      <c r="C58" s="6" t="s">
        <v>12747</v>
      </c>
      <c r="D58" s="7" t="s">
        <v>12748</v>
      </c>
      <c r="E58" s="8" t="s">
        <v>13009</v>
      </c>
      <c r="F58" s="4">
        <v>41904.428113425922</v>
      </c>
      <c r="G58" s="24" t="s">
        <v>13000</v>
      </c>
      <c r="H58" s="35" t="s">
        <v>687</v>
      </c>
      <c r="I58" s="10" t="s">
        <v>12749</v>
      </c>
    </row>
    <row r="59" spans="1:9" s="31" customFormat="1" ht="120">
      <c r="A59" s="4">
        <v>43556.767604166671</v>
      </c>
      <c r="B59" s="5" t="s">
        <v>13426</v>
      </c>
      <c r="C59" s="6" t="s">
        <v>12747</v>
      </c>
      <c r="D59" s="7" t="s">
        <v>12750</v>
      </c>
      <c r="E59" s="8" t="s">
        <v>13009</v>
      </c>
      <c r="F59" s="4">
        <v>41904.428113425922</v>
      </c>
      <c r="G59" s="24" t="s">
        <v>13000</v>
      </c>
      <c r="H59" s="35" t="s">
        <v>687</v>
      </c>
      <c r="I59" s="10" t="s">
        <v>12749</v>
      </c>
    </row>
    <row r="60" spans="1:9" s="31" customFormat="1" ht="45">
      <c r="A60" s="12">
        <v>43579.410138888888</v>
      </c>
      <c r="B60" s="13" t="s">
        <v>13427</v>
      </c>
      <c r="C60" s="14" t="s">
        <v>686</v>
      </c>
      <c r="D60" s="15" t="s">
        <v>594</v>
      </c>
      <c r="E60" s="16" t="s">
        <v>13015</v>
      </c>
      <c r="F60" s="12">
        <v>43294.581030092595</v>
      </c>
      <c r="G60" s="24" t="s">
        <v>13000</v>
      </c>
      <c r="H60" s="35" t="s">
        <v>687</v>
      </c>
      <c r="I60" s="18" t="s">
        <v>688</v>
      </c>
    </row>
    <row r="61" spans="1:9" s="31" customFormat="1" ht="120">
      <c r="A61" s="12">
        <v>43579.346828703703</v>
      </c>
      <c r="B61" s="13" t="s">
        <v>13428</v>
      </c>
      <c r="C61" s="14" t="s">
        <v>745</v>
      </c>
      <c r="D61" s="15" t="s">
        <v>746</v>
      </c>
      <c r="E61" s="16" t="s">
        <v>13009</v>
      </c>
      <c r="F61" s="12">
        <v>42494.302546296298</v>
      </c>
      <c r="G61" s="24" t="s">
        <v>13000</v>
      </c>
      <c r="H61" s="35" t="s">
        <v>687</v>
      </c>
      <c r="I61" s="18" t="s">
        <v>747</v>
      </c>
    </row>
    <row r="62" spans="1:9" s="31" customFormat="1" ht="60">
      <c r="A62" s="12">
        <v>43579.169027777782</v>
      </c>
      <c r="B62" s="13" t="s">
        <v>13429</v>
      </c>
      <c r="C62" s="14" t="s">
        <v>893</v>
      </c>
      <c r="D62" s="15" t="s">
        <v>301</v>
      </c>
      <c r="E62" s="16" t="s">
        <v>13009</v>
      </c>
      <c r="F62" s="12">
        <v>43568.652037037042</v>
      </c>
      <c r="G62" s="24" t="s">
        <v>13000</v>
      </c>
      <c r="H62" s="35" t="s">
        <v>687</v>
      </c>
      <c r="I62" s="18" t="s">
        <v>894</v>
      </c>
    </row>
    <row r="63" spans="1:9" s="31" customFormat="1" ht="60">
      <c r="A63" s="12">
        <v>43579.168564814812</v>
      </c>
      <c r="B63" s="13" t="s">
        <v>13430</v>
      </c>
      <c r="C63" s="14" t="s">
        <v>901</v>
      </c>
      <c r="D63" s="15" t="s">
        <v>301</v>
      </c>
      <c r="E63" s="16" t="s">
        <v>13009</v>
      </c>
      <c r="F63" s="12">
        <v>43568.672777777778</v>
      </c>
      <c r="G63" s="24" t="s">
        <v>13000</v>
      </c>
      <c r="H63" s="35" t="s">
        <v>687</v>
      </c>
      <c r="I63" s="18" t="s">
        <v>902</v>
      </c>
    </row>
    <row r="64" spans="1:9" s="31" customFormat="1" ht="60">
      <c r="A64" s="12">
        <v>43579.167951388888</v>
      </c>
      <c r="B64" s="13" t="s">
        <v>13431</v>
      </c>
      <c r="C64" s="14" t="s">
        <v>905</v>
      </c>
      <c r="D64" s="15" t="s">
        <v>301</v>
      </c>
      <c r="E64" s="16" t="s">
        <v>13009</v>
      </c>
      <c r="F64" s="12">
        <v>43569.830243055556</v>
      </c>
      <c r="G64" s="24" t="s">
        <v>13000</v>
      </c>
      <c r="H64" s="35" t="s">
        <v>687</v>
      </c>
      <c r="I64" s="18" t="s">
        <v>906</v>
      </c>
    </row>
    <row r="65" spans="1:9" s="31" customFormat="1" ht="105">
      <c r="A65" s="12">
        <v>43578.728148148148</v>
      </c>
      <c r="B65" s="13" t="s">
        <v>13421</v>
      </c>
      <c r="C65" s="14" t="s">
        <v>1062</v>
      </c>
      <c r="D65" s="15" t="s">
        <v>1063</v>
      </c>
      <c r="E65" s="16" t="s">
        <v>13013</v>
      </c>
      <c r="F65" s="12">
        <v>40925.483842592592</v>
      </c>
      <c r="G65" s="24" t="s">
        <v>13000</v>
      </c>
      <c r="H65" s="35" t="s">
        <v>687</v>
      </c>
      <c r="I65" s="18" t="s">
        <v>1064</v>
      </c>
    </row>
    <row r="66" spans="1:9" s="31" customFormat="1" ht="90">
      <c r="A66" s="12">
        <v>43578.392361111109</v>
      </c>
      <c r="B66" s="13" t="s">
        <v>13419</v>
      </c>
      <c r="C66" s="14" t="s">
        <v>1235</v>
      </c>
      <c r="D66" s="15" t="s">
        <v>1236</v>
      </c>
      <c r="E66" s="16" t="s">
        <v>13009</v>
      </c>
      <c r="F66" s="12">
        <v>43284.362592592588</v>
      </c>
      <c r="G66" s="24" t="s">
        <v>13000</v>
      </c>
      <c r="H66" s="35" t="s">
        <v>687</v>
      </c>
      <c r="I66" s="18" t="s">
        <v>1237</v>
      </c>
    </row>
    <row r="67" spans="1:9" s="31" customFormat="1" ht="60">
      <c r="A67" s="12">
        <v>43578.376099537039</v>
      </c>
      <c r="B67" s="13" t="s">
        <v>13431</v>
      </c>
      <c r="C67" s="14" t="s">
        <v>905</v>
      </c>
      <c r="D67" s="15" t="s">
        <v>996</v>
      </c>
      <c r="E67" s="16" t="s">
        <v>13009</v>
      </c>
      <c r="F67" s="12">
        <v>43569.830243055556</v>
      </c>
      <c r="G67" s="24" t="s">
        <v>13000</v>
      </c>
      <c r="H67" s="35" t="s">
        <v>687</v>
      </c>
      <c r="I67" s="18" t="s">
        <v>906</v>
      </c>
    </row>
    <row r="68" spans="1:9" s="31" customFormat="1" ht="105">
      <c r="A68" s="12">
        <v>43577.574340277773</v>
      </c>
      <c r="B68" s="13" t="s">
        <v>13421</v>
      </c>
      <c r="C68" s="14" t="s">
        <v>1062</v>
      </c>
      <c r="D68" s="15" t="s">
        <v>1573</v>
      </c>
      <c r="E68" s="16" t="s">
        <v>13013</v>
      </c>
      <c r="F68" s="12">
        <v>40925.483842592592</v>
      </c>
      <c r="G68" s="24" t="s">
        <v>13000</v>
      </c>
      <c r="H68" s="35" t="s">
        <v>687</v>
      </c>
      <c r="I68" s="18" t="s">
        <v>1064</v>
      </c>
    </row>
    <row r="69" spans="1:9" s="31" customFormat="1" ht="105">
      <c r="A69" s="12">
        <v>43577.574178240742</v>
      </c>
      <c r="B69" s="13" t="s">
        <v>13421</v>
      </c>
      <c r="C69" s="14" t="s">
        <v>1062</v>
      </c>
      <c r="D69" s="15" t="s">
        <v>1574</v>
      </c>
      <c r="E69" s="16" t="s">
        <v>13013</v>
      </c>
      <c r="F69" s="12">
        <v>40925.483842592592</v>
      </c>
      <c r="G69" s="24" t="s">
        <v>13000</v>
      </c>
      <c r="H69" s="35" t="s">
        <v>687</v>
      </c>
      <c r="I69" s="18" t="s">
        <v>1064</v>
      </c>
    </row>
    <row r="70" spans="1:9" s="31" customFormat="1" ht="105">
      <c r="A70" s="12">
        <v>43577.56763888889</v>
      </c>
      <c r="B70" s="13" t="s">
        <v>13421</v>
      </c>
      <c r="C70" s="14" t="s">
        <v>1062</v>
      </c>
      <c r="D70" s="15" t="s">
        <v>1573</v>
      </c>
      <c r="E70" s="16" t="s">
        <v>13013</v>
      </c>
      <c r="F70" s="12">
        <v>40925.483842592592</v>
      </c>
      <c r="G70" s="24" t="s">
        <v>13000</v>
      </c>
      <c r="H70" s="35" t="s">
        <v>687</v>
      </c>
      <c r="I70" s="18" t="s">
        <v>1064</v>
      </c>
    </row>
    <row r="71" spans="1:9" s="31" customFormat="1" ht="105">
      <c r="A71" s="12">
        <v>43577.567500000005</v>
      </c>
      <c r="B71" s="13" t="s">
        <v>13421</v>
      </c>
      <c r="C71" s="14" t="s">
        <v>1062</v>
      </c>
      <c r="D71" s="15" t="s">
        <v>1578</v>
      </c>
      <c r="E71" s="16" t="s">
        <v>13013</v>
      </c>
      <c r="F71" s="12">
        <v>40925.483842592592</v>
      </c>
      <c r="G71" s="24" t="s">
        <v>13000</v>
      </c>
      <c r="H71" s="35" t="s">
        <v>687</v>
      </c>
      <c r="I71" s="18" t="s">
        <v>1064</v>
      </c>
    </row>
    <row r="72" spans="1:9" s="31" customFormat="1" ht="105">
      <c r="A72" s="12">
        <v>43577.484722222223</v>
      </c>
      <c r="B72" s="13" t="s">
        <v>13421</v>
      </c>
      <c r="C72" s="14" t="s">
        <v>1062</v>
      </c>
      <c r="D72" s="15" t="s">
        <v>1604</v>
      </c>
      <c r="E72" s="16" t="s">
        <v>13013</v>
      </c>
      <c r="F72" s="12">
        <v>40925.483842592592</v>
      </c>
      <c r="G72" s="24" t="s">
        <v>13000</v>
      </c>
      <c r="H72" s="35" t="s">
        <v>687</v>
      </c>
      <c r="I72" s="18" t="s">
        <v>1064</v>
      </c>
    </row>
    <row r="73" spans="1:9" s="31" customFormat="1" ht="60">
      <c r="A73" s="12">
        <v>43577.250775462962</v>
      </c>
      <c r="B73" s="13" t="s">
        <v>13425</v>
      </c>
      <c r="C73" s="14" t="s">
        <v>1691</v>
      </c>
      <c r="D73" s="15" t="s">
        <v>1692</v>
      </c>
      <c r="E73" s="16" t="s">
        <v>13011</v>
      </c>
      <c r="F73" s="12">
        <v>42611.378587962958</v>
      </c>
      <c r="G73" s="24" t="s">
        <v>13000</v>
      </c>
      <c r="H73" s="35" t="s">
        <v>687</v>
      </c>
      <c r="I73" s="18" t="s">
        <v>1693</v>
      </c>
    </row>
    <row r="74" spans="1:9" s="31" customFormat="1" ht="45">
      <c r="A74" s="12">
        <v>43576.435358796298</v>
      </c>
      <c r="B74" s="13" t="s">
        <v>13432</v>
      </c>
      <c r="C74" s="14" t="s">
        <v>1941</v>
      </c>
      <c r="D74" s="15" t="s">
        <v>1942</v>
      </c>
      <c r="E74" s="16" t="s">
        <v>13032</v>
      </c>
      <c r="F74" s="12">
        <v>39944.755636574075</v>
      </c>
      <c r="G74" s="24" t="s">
        <v>13000</v>
      </c>
      <c r="H74" s="35" t="s">
        <v>687</v>
      </c>
      <c r="I74" s="18" t="s">
        <v>1943</v>
      </c>
    </row>
    <row r="75" spans="1:9" s="31" customFormat="1" ht="45">
      <c r="A75" s="12">
        <v>43575.326516203699</v>
      </c>
      <c r="B75" s="13" t="s">
        <v>13430</v>
      </c>
      <c r="C75" s="14" t="s">
        <v>901</v>
      </c>
      <c r="D75" s="15" t="s">
        <v>2279</v>
      </c>
      <c r="E75" s="16" t="s">
        <v>13009</v>
      </c>
      <c r="F75" s="12">
        <v>43568.672777777778</v>
      </c>
      <c r="G75" s="24" t="s">
        <v>13000</v>
      </c>
      <c r="H75" s="35" t="s">
        <v>687</v>
      </c>
      <c r="I75" s="18" t="s">
        <v>902</v>
      </c>
    </row>
    <row r="76" spans="1:9" s="31" customFormat="1" ht="105">
      <c r="A76" s="12">
        <v>43572.738877314812</v>
      </c>
      <c r="B76" s="13" t="s">
        <v>13433</v>
      </c>
      <c r="C76" s="14" t="s">
        <v>3104</v>
      </c>
      <c r="D76" s="15" t="s">
        <v>3105</v>
      </c>
      <c r="E76" s="16" t="s">
        <v>13032</v>
      </c>
      <c r="F76" s="12">
        <v>41129.76390046296</v>
      </c>
      <c r="G76" s="24" t="s">
        <v>13000</v>
      </c>
      <c r="H76" s="35" t="s">
        <v>687</v>
      </c>
      <c r="I76" s="18" t="s">
        <v>3106</v>
      </c>
    </row>
    <row r="77" spans="1:9" s="31" customFormat="1" ht="105">
      <c r="A77" s="12">
        <v>43572.520138888889</v>
      </c>
      <c r="B77" s="13" t="s">
        <v>13434</v>
      </c>
      <c r="C77" s="14" t="s">
        <v>3189</v>
      </c>
      <c r="D77" s="15" t="s">
        <v>405</v>
      </c>
      <c r="E77" s="16" t="s">
        <v>13034</v>
      </c>
      <c r="F77" s="12">
        <v>41596.398877314816</v>
      </c>
      <c r="G77" s="24" t="s">
        <v>13000</v>
      </c>
      <c r="H77" s="35" t="s">
        <v>687</v>
      </c>
      <c r="I77" s="18" t="s">
        <v>3190</v>
      </c>
    </row>
    <row r="78" spans="1:9" s="31" customFormat="1" ht="90">
      <c r="A78" s="12">
        <v>43572.129467592589</v>
      </c>
      <c r="B78" s="13" t="s">
        <v>13435</v>
      </c>
      <c r="C78" s="14" t="s">
        <v>3413</v>
      </c>
      <c r="D78" s="15" t="s">
        <v>3414</v>
      </c>
      <c r="E78" s="16" t="s">
        <v>13009</v>
      </c>
      <c r="F78" s="12">
        <v>40137.374675925923</v>
      </c>
      <c r="G78" s="24" t="s">
        <v>13000</v>
      </c>
      <c r="H78" s="35" t="s">
        <v>687</v>
      </c>
      <c r="I78" s="18" t="s">
        <v>3415</v>
      </c>
    </row>
    <row r="79" spans="1:9" s="31" customFormat="1" ht="60">
      <c r="A79" s="12">
        <v>43570.835439814815</v>
      </c>
      <c r="B79" s="13" t="s">
        <v>13436</v>
      </c>
      <c r="C79" s="14" t="s">
        <v>3966</v>
      </c>
      <c r="D79" s="15" t="s">
        <v>3967</v>
      </c>
      <c r="E79" s="16" t="s">
        <v>13011</v>
      </c>
      <c r="F79" s="12">
        <v>39947.257094907407</v>
      </c>
      <c r="G79" s="24" t="s">
        <v>13000</v>
      </c>
      <c r="H79" s="35" t="s">
        <v>687</v>
      </c>
      <c r="I79" s="18" t="s">
        <v>3968</v>
      </c>
    </row>
    <row r="80" spans="1:9" s="31" customFormat="1" ht="60">
      <c r="A80" s="12">
        <v>43570.226273148146</v>
      </c>
      <c r="B80" s="13" t="s">
        <v>13415</v>
      </c>
      <c r="C80" s="14" t="s">
        <v>4294</v>
      </c>
      <c r="D80" s="15" t="s">
        <v>4295</v>
      </c>
      <c r="E80" s="16" t="s">
        <v>13032</v>
      </c>
      <c r="F80" s="12">
        <v>39830.894224537034</v>
      </c>
      <c r="G80" s="24" t="s">
        <v>13000</v>
      </c>
      <c r="H80" s="35" t="s">
        <v>687</v>
      </c>
      <c r="I80" s="18"/>
    </row>
    <row r="81" spans="1:9" s="31" customFormat="1" ht="60">
      <c r="A81" s="12">
        <v>43567.655659722222</v>
      </c>
      <c r="B81" s="13" t="s">
        <v>13425</v>
      </c>
      <c r="C81" s="14" t="s">
        <v>1691</v>
      </c>
      <c r="D81" s="15" t="s">
        <v>5018</v>
      </c>
      <c r="E81" s="16" t="s">
        <v>13011</v>
      </c>
      <c r="F81" s="12">
        <v>42611.378587962958</v>
      </c>
      <c r="G81" s="24" t="s">
        <v>13000</v>
      </c>
      <c r="H81" s="35" t="s">
        <v>687</v>
      </c>
      <c r="I81" s="18" t="s">
        <v>1693</v>
      </c>
    </row>
    <row r="82" spans="1:9" s="31" customFormat="1" ht="105">
      <c r="A82" s="12">
        <v>43567.6019212963</v>
      </c>
      <c r="B82" s="13" t="s">
        <v>13433</v>
      </c>
      <c r="C82" s="14" t="s">
        <v>3104</v>
      </c>
      <c r="D82" s="15" t="s">
        <v>5030</v>
      </c>
      <c r="E82" s="16" t="s">
        <v>13032</v>
      </c>
      <c r="F82" s="12">
        <v>41129.76390046296</v>
      </c>
      <c r="G82" s="24" t="s">
        <v>13000</v>
      </c>
      <c r="H82" s="35" t="s">
        <v>687</v>
      </c>
      <c r="I82" s="18" t="s">
        <v>3106</v>
      </c>
    </row>
    <row r="83" spans="1:9" s="31" customFormat="1" ht="60">
      <c r="A83" s="12">
        <v>43567.314004629632</v>
      </c>
      <c r="B83" s="13" t="s">
        <v>13415</v>
      </c>
      <c r="C83" s="14" t="s">
        <v>4294</v>
      </c>
      <c r="D83" s="15" t="s">
        <v>5169</v>
      </c>
      <c r="E83" s="16" t="s">
        <v>13032</v>
      </c>
      <c r="F83" s="12">
        <v>39830.894224537034</v>
      </c>
      <c r="G83" s="24" t="s">
        <v>13000</v>
      </c>
      <c r="H83" s="35" t="s">
        <v>687</v>
      </c>
      <c r="I83" s="18"/>
    </row>
    <row r="84" spans="1:9" s="31" customFormat="1" ht="60">
      <c r="A84" s="12">
        <v>43566.55976851852</v>
      </c>
      <c r="B84" s="13" t="s">
        <v>13415</v>
      </c>
      <c r="C84" s="14" t="s">
        <v>4294</v>
      </c>
      <c r="D84" s="15" t="s">
        <v>5445</v>
      </c>
      <c r="E84" s="16" t="s">
        <v>13032</v>
      </c>
      <c r="F84" s="12">
        <v>39830.894224537034</v>
      </c>
      <c r="G84" s="24" t="s">
        <v>13000</v>
      </c>
      <c r="H84" s="35" t="s">
        <v>687</v>
      </c>
      <c r="I84" s="18"/>
    </row>
    <row r="85" spans="1:9" s="31" customFormat="1" ht="60">
      <c r="A85" s="12">
        <v>43566.40053240741</v>
      </c>
      <c r="B85" s="13" t="s">
        <v>13415</v>
      </c>
      <c r="C85" s="14" t="s">
        <v>4294</v>
      </c>
      <c r="D85" s="15" t="s">
        <v>5563</v>
      </c>
      <c r="E85" s="16" t="s">
        <v>13032</v>
      </c>
      <c r="F85" s="12">
        <v>39830.894224537034</v>
      </c>
      <c r="G85" s="24" t="s">
        <v>13000</v>
      </c>
      <c r="H85" s="35" t="s">
        <v>687</v>
      </c>
      <c r="I85" s="18"/>
    </row>
    <row r="86" spans="1:9" s="31" customFormat="1" ht="60">
      <c r="A86" s="4">
        <v>43563.315694444449</v>
      </c>
      <c r="B86" s="5" t="s">
        <v>13437</v>
      </c>
      <c r="C86" s="6" t="s">
        <v>10381</v>
      </c>
      <c r="D86" s="7" t="s">
        <v>10382</v>
      </c>
      <c r="E86" s="8" t="s">
        <v>13032</v>
      </c>
      <c r="F86" s="4">
        <v>39959.456238425926</v>
      </c>
      <c r="G86" s="24" t="s">
        <v>13000</v>
      </c>
      <c r="H86" s="35" t="s">
        <v>10383</v>
      </c>
      <c r="I86" s="10" t="s">
        <v>10384</v>
      </c>
    </row>
    <row r="87" spans="1:9" s="31" customFormat="1" ht="90">
      <c r="A87" s="19">
        <v>43543.419756944444</v>
      </c>
      <c r="B87" s="20" t="s">
        <v>13438</v>
      </c>
      <c r="C87" s="21" t="s">
        <v>9816</v>
      </c>
      <c r="D87" s="22" t="s">
        <v>9817</v>
      </c>
      <c r="E87" s="23" t="s">
        <v>13015</v>
      </c>
      <c r="F87" s="19">
        <v>40941.571134259255</v>
      </c>
      <c r="G87" s="24" t="s">
        <v>13000</v>
      </c>
      <c r="H87" s="35" t="s">
        <v>9818</v>
      </c>
      <c r="I87" s="25" t="s">
        <v>9819</v>
      </c>
    </row>
    <row r="88" spans="1:9" s="31" customFormat="1" ht="120">
      <c r="A88" s="12">
        <v>43579.20512731481</v>
      </c>
      <c r="B88" s="13" t="s">
        <v>13439</v>
      </c>
      <c r="C88" s="14" t="s">
        <v>854</v>
      </c>
      <c r="D88" s="15" t="s">
        <v>855</v>
      </c>
      <c r="E88" s="16" t="s">
        <v>13440</v>
      </c>
      <c r="F88" s="12">
        <v>43176.646782407406</v>
      </c>
      <c r="G88" s="17" t="s">
        <v>13000</v>
      </c>
      <c r="H88" s="35" t="s">
        <v>856</v>
      </c>
      <c r="I88" s="18" t="s">
        <v>857</v>
      </c>
    </row>
    <row r="89" spans="1:9" s="31" customFormat="1" ht="60">
      <c r="A89" s="12">
        <v>43569.866423611107</v>
      </c>
      <c r="B89" s="13" t="s">
        <v>13441</v>
      </c>
      <c r="C89" s="14" t="s">
        <v>4384</v>
      </c>
      <c r="D89" s="15" t="s">
        <v>4385</v>
      </c>
      <c r="E89" s="16" t="s">
        <v>13011</v>
      </c>
      <c r="F89" s="12">
        <v>40856.221643518518</v>
      </c>
      <c r="G89" s="17" t="s">
        <v>13000</v>
      </c>
      <c r="H89" s="35" t="s">
        <v>4386</v>
      </c>
      <c r="I89" s="18" t="s">
        <v>4387</v>
      </c>
    </row>
    <row r="90" spans="1:9" s="31" customFormat="1" ht="60">
      <c r="A90" s="12">
        <v>43569.812662037039</v>
      </c>
      <c r="B90" s="13" t="s">
        <v>13441</v>
      </c>
      <c r="C90" s="14" t="s">
        <v>4384</v>
      </c>
      <c r="D90" s="15" t="s">
        <v>4398</v>
      </c>
      <c r="E90" s="16" t="s">
        <v>13011</v>
      </c>
      <c r="F90" s="12">
        <v>40856.221643518518</v>
      </c>
      <c r="G90" s="17" t="s">
        <v>13000</v>
      </c>
      <c r="H90" s="35" t="s">
        <v>4386</v>
      </c>
      <c r="I90" s="18" t="s">
        <v>4387</v>
      </c>
    </row>
    <row r="91" spans="1:9" s="31" customFormat="1" ht="90">
      <c r="A91" s="19">
        <v>43551.376157407409</v>
      </c>
      <c r="B91" s="20" t="s">
        <v>13442</v>
      </c>
      <c r="C91" s="21" t="s">
        <v>3724</v>
      </c>
      <c r="D91" s="22" t="s">
        <v>7264</v>
      </c>
      <c r="E91" s="23" t="s">
        <v>13443</v>
      </c>
      <c r="F91" s="19">
        <v>41425.357581018521</v>
      </c>
      <c r="G91" s="17" t="s">
        <v>13000</v>
      </c>
      <c r="H91" s="35" t="s">
        <v>1281</v>
      </c>
      <c r="I91" s="25" t="s">
        <v>3726</v>
      </c>
    </row>
    <row r="92" spans="1:9" s="31" customFormat="1" ht="90">
      <c r="A92" s="19">
        <v>43551.349722222221</v>
      </c>
      <c r="B92" s="20" t="s">
        <v>13442</v>
      </c>
      <c r="C92" s="21" t="s">
        <v>3724</v>
      </c>
      <c r="D92" s="22" t="s">
        <v>7289</v>
      </c>
      <c r="E92" s="23" t="s">
        <v>13443</v>
      </c>
      <c r="F92" s="19">
        <v>41425.357581018521</v>
      </c>
      <c r="G92" s="17" t="s">
        <v>13000</v>
      </c>
      <c r="H92" s="35" t="s">
        <v>1281</v>
      </c>
      <c r="I92" s="25" t="s">
        <v>3726</v>
      </c>
    </row>
    <row r="93" spans="1:9" s="31" customFormat="1" ht="90">
      <c r="A93" s="19">
        <v>43548.88994212963</v>
      </c>
      <c r="B93" s="20" t="s">
        <v>13444</v>
      </c>
      <c r="C93" s="21" t="s">
        <v>1279</v>
      </c>
      <c r="D93" s="22" t="s">
        <v>8204</v>
      </c>
      <c r="E93" s="23" t="s">
        <v>13011</v>
      </c>
      <c r="F93" s="19">
        <v>41374.319120370368</v>
      </c>
      <c r="G93" s="17" t="s">
        <v>13000</v>
      </c>
      <c r="H93" s="35" t="s">
        <v>1281</v>
      </c>
      <c r="I93" s="25" t="s">
        <v>1282</v>
      </c>
    </row>
    <row r="94" spans="1:9" s="31" customFormat="1" ht="75">
      <c r="A94" s="19">
        <v>43544.534166666665</v>
      </c>
      <c r="B94" s="20" t="s">
        <v>13442</v>
      </c>
      <c r="C94" s="21" t="s">
        <v>3724</v>
      </c>
      <c r="D94" s="22" t="s">
        <v>9425</v>
      </c>
      <c r="E94" s="23" t="s">
        <v>13443</v>
      </c>
      <c r="F94" s="19">
        <v>41425.357581018521</v>
      </c>
      <c r="G94" s="17" t="s">
        <v>13000</v>
      </c>
      <c r="H94" s="35" t="s">
        <v>1281</v>
      </c>
      <c r="I94" s="25" t="s">
        <v>3726</v>
      </c>
    </row>
    <row r="95" spans="1:9" s="31" customFormat="1" ht="90">
      <c r="A95" s="19">
        <v>43543.530671296292</v>
      </c>
      <c r="B95" s="20" t="s">
        <v>13444</v>
      </c>
      <c r="C95" s="21" t="s">
        <v>1279</v>
      </c>
      <c r="D95" s="22" t="s">
        <v>9774</v>
      </c>
      <c r="E95" s="23" t="s">
        <v>13011</v>
      </c>
      <c r="F95" s="19">
        <v>41374.319120370368</v>
      </c>
      <c r="G95" s="17" t="s">
        <v>13000</v>
      </c>
      <c r="H95" s="35" t="s">
        <v>1281</v>
      </c>
      <c r="I95" s="25" t="s">
        <v>1282</v>
      </c>
    </row>
    <row r="96" spans="1:9" s="31" customFormat="1" ht="90">
      <c r="A96" s="4">
        <v>43560.375798611116</v>
      </c>
      <c r="B96" s="5" t="s">
        <v>13442</v>
      </c>
      <c r="C96" s="6" t="s">
        <v>3724</v>
      </c>
      <c r="D96" s="7" t="s">
        <v>11411</v>
      </c>
      <c r="E96" s="8" t="s">
        <v>13443</v>
      </c>
      <c r="F96" s="4">
        <v>41425.357581018521</v>
      </c>
      <c r="G96" s="17" t="s">
        <v>13000</v>
      </c>
      <c r="H96" s="35" t="s">
        <v>1281</v>
      </c>
      <c r="I96" s="10" t="s">
        <v>3726</v>
      </c>
    </row>
    <row r="97" spans="1:9" s="31" customFormat="1" ht="90">
      <c r="A97" s="4">
        <v>43557.322696759264</v>
      </c>
      <c r="B97" s="5" t="s">
        <v>13442</v>
      </c>
      <c r="C97" s="6" t="s">
        <v>3724</v>
      </c>
      <c r="D97" s="7" t="s">
        <v>12556</v>
      </c>
      <c r="E97" s="8" t="s">
        <v>13443</v>
      </c>
      <c r="F97" s="4">
        <v>41425.357581018521</v>
      </c>
      <c r="G97" s="17" t="s">
        <v>13000</v>
      </c>
      <c r="H97" s="35" t="s">
        <v>1281</v>
      </c>
      <c r="I97" s="10" t="s">
        <v>3726</v>
      </c>
    </row>
    <row r="98" spans="1:9" s="31" customFormat="1" ht="90">
      <c r="A98" s="12">
        <v>43578.344444444447</v>
      </c>
      <c r="B98" s="13" t="s">
        <v>13444</v>
      </c>
      <c r="C98" s="14" t="s">
        <v>1279</v>
      </c>
      <c r="D98" s="15" t="s">
        <v>1280</v>
      </c>
      <c r="E98" s="16" t="s">
        <v>13011</v>
      </c>
      <c r="F98" s="12">
        <v>41374.319120370368</v>
      </c>
      <c r="G98" s="17" t="s">
        <v>13000</v>
      </c>
      <c r="H98" s="35" t="s">
        <v>1281</v>
      </c>
      <c r="I98" s="18" t="s">
        <v>1282</v>
      </c>
    </row>
    <row r="99" spans="1:9" s="31" customFormat="1" ht="120">
      <c r="A99" s="12">
        <v>43572.465277777781</v>
      </c>
      <c r="B99" s="13" t="s">
        <v>13445</v>
      </c>
      <c r="C99" s="14" t="s">
        <v>3227</v>
      </c>
      <c r="D99" s="15" t="s">
        <v>405</v>
      </c>
      <c r="E99" s="16" t="s">
        <v>13034</v>
      </c>
      <c r="F99" s="12">
        <v>41682.343715277777</v>
      </c>
      <c r="G99" s="17" t="s">
        <v>13000</v>
      </c>
      <c r="H99" s="35" t="s">
        <v>1281</v>
      </c>
      <c r="I99" s="18" t="s">
        <v>3228</v>
      </c>
    </row>
    <row r="100" spans="1:9" s="31" customFormat="1" ht="90">
      <c r="A100" s="12">
        <v>43571.520057870366</v>
      </c>
      <c r="B100" s="13" t="s">
        <v>13444</v>
      </c>
      <c r="C100" s="14" t="s">
        <v>1279</v>
      </c>
      <c r="D100" s="15" t="s">
        <v>3657</v>
      </c>
      <c r="E100" s="16" t="s">
        <v>13009</v>
      </c>
      <c r="F100" s="12">
        <v>41374.319120370368</v>
      </c>
      <c r="G100" s="17" t="s">
        <v>13000</v>
      </c>
      <c r="H100" s="35" t="s">
        <v>1281</v>
      </c>
      <c r="I100" s="18" t="s">
        <v>1282</v>
      </c>
    </row>
    <row r="101" spans="1:9" s="31" customFormat="1" ht="90">
      <c r="A101" s="12">
        <v>43571.338506944448</v>
      </c>
      <c r="B101" s="13" t="s">
        <v>13442</v>
      </c>
      <c r="C101" s="14" t="s">
        <v>3724</v>
      </c>
      <c r="D101" s="15" t="s">
        <v>3725</v>
      </c>
      <c r="E101" s="16" t="s">
        <v>13443</v>
      </c>
      <c r="F101" s="12">
        <v>41425.357581018521</v>
      </c>
      <c r="G101" s="17" t="s">
        <v>13000</v>
      </c>
      <c r="H101" s="35" t="s">
        <v>1281</v>
      </c>
      <c r="I101" s="18" t="s">
        <v>3726</v>
      </c>
    </row>
    <row r="102" spans="1:9" s="31" customFormat="1" ht="90">
      <c r="A102" s="12">
        <v>43570.252118055556</v>
      </c>
      <c r="B102" s="13" t="s">
        <v>13444</v>
      </c>
      <c r="C102" s="14" t="s">
        <v>1279</v>
      </c>
      <c r="D102" s="15" t="s">
        <v>4273</v>
      </c>
      <c r="E102" s="16" t="s">
        <v>13011</v>
      </c>
      <c r="F102" s="12">
        <v>41374.319120370368</v>
      </c>
      <c r="G102" s="17" t="s">
        <v>13000</v>
      </c>
      <c r="H102" s="35" t="s">
        <v>1281</v>
      </c>
      <c r="I102" s="18" t="s">
        <v>1282</v>
      </c>
    </row>
    <row r="103" spans="1:9" s="31" customFormat="1" ht="90">
      <c r="A103" s="12">
        <v>43580.849953703699</v>
      </c>
      <c r="B103" s="13" t="s">
        <v>13446</v>
      </c>
      <c r="C103" s="14" t="s">
        <v>12</v>
      </c>
      <c r="D103" s="15" t="s">
        <v>13</v>
      </c>
      <c r="E103" s="16" t="s">
        <v>13011</v>
      </c>
      <c r="F103" s="12">
        <v>40044.348067129627</v>
      </c>
      <c r="G103" s="17" t="s">
        <v>13000</v>
      </c>
      <c r="H103" s="35" t="s">
        <v>14</v>
      </c>
      <c r="I103" s="18" t="s">
        <v>15</v>
      </c>
    </row>
    <row r="104" spans="1:9" s="31" customFormat="1" ht="105">
      <c r="A104" s="19">
        <v>43549.525324074071</v>
      </c>
      <c r="B104" s="20" t="s">
        <v>13447</v>
      </c>
      <c r="C104" s="21" t="s">
        <v>1295</v>
      </c>
      <c r="D104" s="22" t="s">
        <v>7997</v>
      </c>
      <c r="E104" s="23" t="s">
        <v>13011</v>
      </c>
      <c r="F104" s="19">
        <v>39149.301898148144</v>
      </c>
      <c r="G104" s="17" t="s">
        <v>13000</v>
      </c>
      <c r="H104" s="35" t="s">
        <v>1145</v>
      </c>
      <c r="I104" s="25" t="s">
        <v>7998</v>
      </c>
    </row>
    <row r="105" spans="1:9" s="31" customFormat="1" ht="105">
      <c r="A105" s="19">
        <v>43547.541678240741</v>
      </c>
      <c r="B105" s="20" t="s">
        <v>13448</v>
      </c>
      <c r="C105" s="21" t="s">
        <v>8509</v>
      </c>
      <c r="D105" s="22" t="s">
        <v>8510</v>
      </c>
      <c r="E105" s="23" t="s">
        <v>13034</v>
      </c>
      <c r="F105" s="19">
        <v>39617.276435185187</v>
      </c>
      <c r="G105" s="17" t="s">
        <v>13000</v>
      </c>
      <c r="H105" s="35" t="s">
        <v>1145</v>
      </c>
      <c r="I105" s="25" t="s">
        <v>8511</v>
      </c>
    </row>
    <row r="106" spans="1:9" s="31" customFormat="1" ht="90">
      <c r="A106" s="19">
        <v>43544.434108796297</v>
      </c>
      <c r="B106" s="20" t="s">
        <v>13449</v>
      </c>
      <c r="C106" s="21" t="s">
        <v>9466</v>
      </c>
      <c r="D106" s="22" t="s">
        <v>9467</v>
      </c>
      <c r="E106" s="23" t="s">
        <v>13018</v>
      </c>
      <c r="F106" s="19">
        <v>43522.383043981477</v>
      </c>
      <c r="G106" s="17" t="s">
        <v>13000</v>
      </c>
      <c r="H106" s="35" t="s">
        <v>1145</v>
      </c>
      <c r="I106" s="25" t="s">
        <v>9468</v>
      </c>
    </row>
    <row r="107" spans="1:9" s="31" customFormat="1" ht="120">
      <c r="A107" s="4">
        <v>43561.700613425928</v>
      </c>
      <c r="B107" s="5" t="s">
        <v>13450</v>
      </c>
      <c r="C107" s="6" t="s">
        <v>10850</v>
      </c>
      <c r="D107" s="7" t="s">
        <v>10851</v>
      </c>
      <c r="E107" s="8" t="s">
        <v>13011</v>
      </c>
      <c r="F107" s="4">
        <v>40225.256724537037</v>
      </c>
      <c r="G107" s="17" t="s">
        <v>13000</v>
      </c>
      <c r="H107" s="35" t="s">
        <v>1145</v>
      </c>
      <c r="I107" s="10" t="s">
        <v>10852</v>
      </c>
    </row>
    <row r="108" spans="1:9" s="31" customFormat="1" ht="60">
      <c r="A108" s="4">
        <v>43560.635405092587</v>
      </c>
      <c r="B108" s="5" t="s">
        <v>13451</v>
      </c>
      <c r="C108" s="6" t="s">
        <v>11233</v>
      </c>
      <c r="D108" s="7" t="s">
        <v>11234</v>
      </c>
      <c r="E108" s="8" t="s">
        <v>13009</v>
      </c>
      <c r="F108" s="4">
        <v>40667.181562500002</v>
      </c>
      <c r="G108" s="17" t="s">
        <v>13000</v>
      </c>
      <c r="H108" s="35" t="s">
        <v>1145</v>
      </c>
      <c r="I108" s="10" t="s">
        <v>11235</v>
      </c>
    </row>
    <row r="109" spans="1:9" s="31" customFormat="1" ht="75">
      <c r="A109" s="12">
        <v>43578.583460648151</v>
      </c>
      <c r="B109" s="13" t="s">
        <v>13452</v>
      </c>
      <c r="C109" s="14" t="s">
        <v>1143</v>
      </c>
      <c r="D109" s="15" t="s">
        <v>1144</v>
      </c>
      <c r="E109" s="16" t="s">
        <v>13018</v>
      </c>
      <c r="F109" s="12">
        <v>43178.919178240743</v>
      </c>
      <c r="G109" s="17" t="s">
        <v>13000</v>
      </c>
      <c r="H109" s="35" t="s">
        <v>1145</v>
      </c>
      <c r="I109" s="18" t="s">
        <v>1146</v>
      </c>
    </row>
    <row r="110" spans="1:9" s="31" customFormat="1" ht="105">
      <c r="A110" s="12">
        <v>43578.322569444441</v>
      </c>
      <c r="B110" s="13" t="s">
        <v>13447</v>
      </c>
      <c r="C110" s="14" t="s">
        <v>1295</v>
      </c>
      <c r="D110" s="15" t="s">
        <v>1296</v>
      </c>
      <c r="E110" s="16" t="s">
        <v>13011</v>
      </c>
      <c r="F110" s="12">
        <v>39149.301898148144</v>
      </c>
      <c r="G110" s="17" t="s">
        <v>13000</v>
      </c>
      <c r="H110" s="35" t="s">
        <v>1145</v>
      </c>
      <c r="I110" s="18" t="s">
        <v>1297</v>
      </c>
    </row>
    <row r="111" spans="1:9" s="31" customFormat="1" ht="75">
      <c r="A111" s="12">
        <v>43577.461909722224</v>
      </c>
      <c r="B111" s="13" t="s">
        <v>13453</v>
      </c>
      <c r="C111" s="14" t="s">
        <v>1624</v>
      </c>
      <c r="D111" s="15" t="s">
        <v>1625</v>
      </c>
      <c r="E111" s="16" t="s">
        <v>13454</v>
      </c>
      <c r="F111" s="12">
        <v>43296.103645833333</v>
      </c>
      <c r="G111" s="17" t="s">
        <v>13000</v>
      </c>
      <c r="H111" s="35" t="s">
        <v>1145</v>
      </c>
      <c r="I111" s="18" t="s">
        <v>1626</v>
      </c>
    </row>
    <row r="112" spans="1:9" s="31" customFormat="1" ht="105">
      <c r="A112" s="12">
        <v>43576.844571759255</v>
      </c>
      <c r="B112" s="13" t="s">
        <v>13447</v>
      </c>
      <c r="C112" s="14" t="s">
        <v>1295</v>
      </c>
      <c r="D112" s="15" t="s">
        <v>1806</v>
      </c>
      <c r="E112" s="16" t="s">
        <v>13011</v>
      </c>
      <c r="F112" s="12">
        <v>39149.301898148144</v>
      </c>
      <c r="G112" s="17" t="s">
        <v>13000</v>
      </c>
      <c r="H112" s="35" t="s">
        <v>1145</v>
      </c>
      <c r="I112" s="18" t="s">
        <v>1297</v>
      </c>
    </row>
    <row r="113" spans="1:9" s="31" customFormat="1" ht="75">
      <c r="A113" s="12">
        <v>43575.500393518523</v>
      </c>
      <c r="B113" s="13" t="s">
        <v>13452</v>
      </c>
      <c r="C113" s="14" t="s">
        <v>1143</v>
      </c>
      <c r="D113" s="15" t="s">
        <v>2186</v>
      </c>
      <c r="E113" s="16" t="s">
        <v>13018</v>
      </c>
      <c r="F113" s="12">
        <v>43178.919178240743</v>
      </c>
      <c r="G113" s="17" t="s">
        <v>13000</v>
      </c>
      <c r="H113" s="35" t="s">
        <v>1145</v>
      </c>
      <c r="I113" s="18" t="s">
        <v>1146</v>
      </c>
    </row>
    <row r="114" spans="1:9" s="31" customFormat="1" ht="75">
      <c r="A114" s="12">
        <v>43574.375625000001</v>
      </c>
      <c r="B114" s="13" t="s">
        <v>13452</v>
      </c>
      <c r="C114" s="14" t="s">
        <v>1143</v>
      </c>
      <c r="D114" s="15" t="s">
        <v>2569</v>
      </c>
      <c r="E114" s="16" t="s">
        <v>13018</v>
      </c>
      <c r="F114" s="12">
        <v>43178.919178240743</v>
      </c>
      <c r="G114" s="17" t="s">
        <v>13000</v>
      </c>
      <c r="H114" s="35" t="s">
        <v>1145</v>
      </c>
      <c r="I114" s="18" t="s">
        <v>1146</v>
      </c>
    </row>
    <row r="115" spans="1:9" s="31" customFormat="1" ht="75">
      <c r="A115" s="12">
        <v>43571.319479166668</v>
      </c>
      <c r="B115" s="13" t="s">
        <v>13455</v>
      </c>
      <c r="C115" s="14" t="s">
        <v>3742</v>
      </c>
      <c r="D115" s="15" t="s">
        <v>405</v>
      </c>
      <c r="E115" s="16" t="s">
        <v>13034</v>
      </c>
      <c r="F115" s="12">
        <v>41291.442442129628</v>
      </c>
      <c r="G115" s="17" t="s">
        <v>13000</v>
      </c>
      <c r="H115" s="35" t="s">
        <v>1145</v>
      </c>
      <c r="I115" s="18" t="s">
        <v>3743</v>
      </c>
    </row>
    <row r="116" spans="1:9" s="31" customFormat="1" ht="60">
      <c r="A116" s="12">
        <v>43569.365289351852</v>
      </c>
      <c r="B116" s="13" t="s">
        <v>13456</v>
      </c>
      <c r="C116" s="14" t="s">
        <v>4535</v>
      </c>
      <c r="D116" s="15" t="s">
        <v>4536</v>
      </c>
      <c r="E116" s="16" t="s">
        <v>13011</v>
      </c>
      <c r="F116" s="12">
        <v>39993.492754629631</v>
      </c>
      <c r="G116" s="17" t="s">
        <v>13000</v>
      </c>
      <c r="H116" s="35" t="s">
        <v>1145</v>
      </c>
      <c r="I116" s="18"/>
    </row>
    <row r="117" spans="1:9" s="31" customFormat="1" ht="105">
      <c r="A117" s="12">
        <v>43567.682569444441</v>
      </c>
      <c r="B117" s="13" t="s">
        <v>13457</v>
      </c>
      <c r="C117" s="14" t="s">
        <v>5006</v>
      </c>
      <c r="D117" s="15" t="s">
        <v>5007</v>
      </c>
      <c r="E117" s="16" t="s">
        <v>13032</v>
      </c>
      <c r="F117" s="12">
        <v>40527.275833333333</v>
      </c>
      <c r="G117" s="17" t="s">
        <v>13000</v>
      </c>
      <c r="H117" s="35" t="s">
        <v>1145</v>
      </c>
      <c r="I117" s="18" t="s">
        <v>5008</v>
      </c>
    </row>
    <row r="118" spans="1:9" s="31" customFormat="1" ht="75">
      <c r="A118" s="12">
        <v>43571.838645833333</v>
      </c>
      <c r="B118" s="13" t="s">
        <v>13458</v>
      </c>
      <c r="C118" s="14" t="s">
        <v>3528</v>
      </c>
      <c r="D118" s="15" t="s">
        <v>3529</v>
      </c>
      <c r="E118" s="16" t="s">
        <v>13011</v>
      </c>
      <c r="F118" s="12">
        <v>39806.569386574076</v>
      </c>
      <c r="G118" s="17" t="s">
        <v>13000</v>
      </c>
      <c r="H118" s="35" t="s">
        <v>3530</v>
      </c>
      <c r="I118" s="18" t="s">
        <v>3531</v>
      </c>
    </row>
    <row r="119" spans="1:9" s="31" customFormat="1" ht="105">
      <c r="A119" s="4">
        <v>43565.691192129627</v>
      </c>
      <c r="B119" s="5" t="s">
        <v>13459</v>
      </c>
      <c r="C119" s="6" t="s">
        <v>5948</v>
      </c>
      <c r="D119" s="7" t="s">
        <v>5949</v>
      </c>
      <c r="E119" s="8" t="s">
        <v>13120</v>
      </c>
      <c r="F119" s="4">
        <v>41234.045590277776</v>
      </c>
      <c r="G119" s="9" t="s">
        <v>13000</v>
      </c>
      <c r="H119" s="35" t="s">
        <v>5950</v>
      </c>
      <c r="I119" s="10" t="s">
        <v>5951</v>
      </c>
    </row>
    <row r="120" spans="1:9" s="31" customFormat="1" ht="105">
      <c r="A120" s="4">
        <v>43558.583379629628</v>
      </c>
      <c r="B120" s="5" t="s">
        <v>13460</v>
      </c>
      <c r="C120" s="6" t="s">
        <v>12124</v>
      </c>
      <c r="D120" s="7" t="s">
        <v>12125</v>
      </c>
      <c r="E120" s="8" t="s">
        <v>13009</v>
      </c>
      <c r="F120" s="4">
        <v>42624.248715277776</v>
      </c>
      <c r="G120" s="9" t="s">
        <v>13000</v>
      </c>
      <c r="H120" s="35" t="s">
        <v>12126</v>
      </c>
      <c r="I120" s="10" t="s">
        <v>12127</v>
      </c>
    </row>
    <row r="121" spans="1:9" s="31" customFormat="1" ht="45">
      <c r="A121" s="4">
        <v>43564.321111111116</v>
      </c>
      <c r="B121" s="5" t="s">
        <v>13461</v>
      </c>
      <c r="C121" s="6" t="s">
        <v>1298</v>
      </c>
      <c r="D121" s="7" t="s">
        <v>6689</v>
      </c>
      <c r="E121" s="8" t="s">
        <v>13462</v>
      </c>
      <c r="F121" s="4">
        <v>39881.842314814814</v>
      </c>
      <c r="G121" s="9" t="s">
        <v>13000</v>
      </c>
      <c r="H121" s="35" t="s">
        <v>1300</v>
      </c>
      <c r="I121" s="10" t="s">
        <v>1301</v>
      </c>
    </row>
    <row r="122" spans="1:9" s="31" customFormat="1" ht="45">
      <c r="A122" s="12">
        <v>43578.32130787037</v>
      </c>
      <c r="B122" s="13" t="s">
        <v>13461</v>
      </c>
      <c r="C122" s="14" t="s">
        <v>1298</v>
      </c>
      <c r="D122" s="15" t="s">
        <v>1299</v>
      </c>
      <c r="E122" s="16" t="s">
        <v>13462</v>
      </c>
      <c r="F122" s="12">
        <v>39881.842314814814</v>
      </c>
      <c r="G122" s="9" t="s">
        <v>13000</v>
      </c>
      <c r="H122" s="35" t="s">
        <v>1300</v>
      </c>
      <c r="I122" s="18" t="s">
        <v>1301</v>
      </c>
    </row>
    <row r="123" spans="1:9" s="31" customFormat="1" ht="60">
      <c r="A123" s="12">
        <v>43571.3200462963</v>
      </c>
      <c r="B123" s="13" t="s">
        <v>13461</v>
      </c>
      <c r="C123" s="14" t="s">
        <v>1298</v>
      </c>
      <c r="D123" s="15" t="s">
        <v>3741</v>
      </c>
      <c r="E123" s="16" t="s">
        <v>13462</v>
      </c>
      <c r="F123" s="12">
        <v>39881.842314814814</v>
      </c>
      <c r="G123" s="9" t="s">
        <v>13000</v>
      </c>
      <c r="H123" s="35" t="s">
        <v>1300</v>
      </c>
      <c r="I123" s="18" t="s">
        <v>1301</v>
      </c>
    </row>
    <row r="124" spans="1:9" s="31" customFormat="1" ht="45">
      <c r="A124" s="12">
        <v>43567.320462962962</v>
      </c>
      <c r="B124" s="13" t="s">
        <v>13461</v>
      </c>
      <c r="C124" s="14" t="s">
        <v>1298</v>
      </c>
      <c r="D124" s="15" t="s">
        <v>5167</v>
      </c>
      <c r="E124" s="16" t="s">
        <v>13462</v>
      </c>
      <c r="F124" s="12">
        <v>39881.842314814814</v>
      </c>
      <c r="G124" s="9" t="s">
        <v>13000</v>
      </c>
      <c r="H124" s="35" t="s">
        <v>1300</v>
      </c>
      <c r="I124" s="18" t="s">
        <v>1301</v>
      </c>
    </row>
    <row r="125" spans="1:9" s="31" customFormat="1" ht="90">
      <c r="A125" s="4">
        <v>43564.56753472222</v>
      </c>
      <c r="B125" s="5" t="s">
        <v>13463</v>
      </c>
      <c r="C125" s="6" t="s">
        <v>6546</v>
      </c>
      <c r="D125" s="7" t="s">
        <v>6547</v>
      </c>
      <c r="E125" s="8" t="s">
        <v>13011</v>
      </c>
      <c r="F125" s="4">
        <v>39903.320706018516</v>
      </c>
      <c r="G125" s="9" t="s">
        <v>13000</v>
      </c>
      <c r="H125" s="35" t="s">
        <v>6548</v>
      </c>
      <c r="I125" s="10" t="s">
        <v>6549</v>
      </c>
    </row>
    <row r="126" spans="1:9" s="31" customFormat="1" ht="90">
      <c r="A126" s="19">
        <v>43548.515219907407</v>
      </c>
      <c r="B126" s="20" t="s">
        <v>13464</v>
      </c>
      <c r="C126" s="21" t="s">
        <v>8293</v>
      </c>
      <c r="D126" s="22" t="s">
        <v>8294</v>
      </c>
      <c r="E126" s="23" t="s">
        <v>13027</v>
      </c>
      <c r="F126" s="19">
        <v>40519.204305555555</v>
      </c>
      <c r="G126" s="24" t="s">
        <v>13000</v>
      </c>
      <c r="H126" s="35" t="s">
        <v>8295</v>
      </c>
      <c r="I126" s="25" t="s">
        <v>8296</v>
      </c>
    </row>
    <row r="127" spans="1:9" s="31" customFormat="1" ht="75">
      <c r="A127" s="19">
        <v>43548.515208333338</v>
      </c>
      <c r="B127" s="20" t="s">
        <v>13464</v>
      </c>
      <c r="C127" s="21" t="s">
        <v>8293</v>
      </c>
      <c r="D127" s="22" t="s">
        <v>8297</v>
      </c>
      <c r="E127" s="23" t="s">
        <v>13027</v>
      </c>
      <c r="F127" s="19">
        <v>40519.204305555555</v>
      </c>
      <c r="G127" s="24" t="s">
        <v>13000</v>
      </c>
      <c r="H127" s="35" t="s">
        <v>8295</v>
      </c>
      <c r="I127" s="25" t="s">
        <v>8296</v>
      </c>
    </row>
    <row r="128" spans="1:9" s="31" customFormat="1" ht="75">
      <c r="A128" s="19">
        <v>43548.098483796297</v>
      </c>
      <c r="B128" s="20" t="s">
        <v>13464</v>
      </c>
      <c r="C128" s="21" t="s">
        <v>8293</v>
      </c>
      <c r="D128" s="22" t="s">
        <v>8414</v>
      </c>
      <c r="E128" s="23" t="s">
        <v>13027</v>
      </c>
      <c r="F128" s="19">
        <v>40519.204305555555</v>
      </c>
      <c r="G128" s="24" t="s">
        <v>13000</v>
      </c>
      <c r="H128" s="35" t="s">
        <v>8295</v>
      </c>
      <c r="I128" s="25" t="s">
        <v>8296</v>
      </c>
    </row>
    <row r="129" spans="1:9" s="31" customFormat="1" ht="105">
      <c r="A129" s="4">
        <v>43560.874456018515</v>
      </c>
      <c r="B129" s="5" t="s">
        <v>13465</v>
      </c>
      <c r="C129" s="6" t="s">
        <v>11133</v>
      </c>
      <c r="D129" s="7" t="s">
        <v>11134</v>
      </c>
      <c r="E129" s="8" t="s">
        <v>13009</v>
      </c>
      <c r="F129" s="4">
        <v>40814.315868055557</v>
      </c>
      <c r="G129" s="9" t="s">
        <v>13000</v>
      </c>
      <c r="H129" s="35" t="s">
        <v>813</v>
      </c>
      <c r="I129" s="10"/>
    </row>
    <row r="130" spans="1:9" s="31" customFormat="1" ht="120">
      <c r="A130" s="12">
        <v>43579.267604166671</v>
      </c>
      <c r="B130" s="13" t="s">
        <v>13466</v>
      </c>
      <c r="C130" s="14" t="s">
        <v>811</v>
      </c>
      <c r="D130" s="15" t="s">
        <v>812</v>
      </c>
      <c r="E130" s="16" t="s">
        <v>13015</v>
      </c>
      <c r="F130" s="12">
        <v>39865.868530092594</v>
      </c>
      <c r="G130" s="9" t="s">
        <v>13000</v>
      </c>
      <c r="H130" s="35" t="s">
        <v>813</v>
      </c>
      <c r="I130" s="18" t="s">
        <v>814</v>
      </c>
    </row>
    <row r="131" spans="1:9" s="31" customFormat="1" ht="30">
      <c r="A131" s="12">
        <v>43577.53125</v>
      </c>
      <c r="B131" s="13" t="s">
        <v>13467</v>
      </c>
      <c r="C131" s="14" t="s">
        <v>1584</v>
      </c>
      <c r="D131" s="15" t="s">
        <v>1585</v>
      </c>
      <c r="E131" s="16" t="s">
        <v>13011</v>
      </c>
      <c r="F131" s="12">
        <v>41342.531736111108</v>
      </c>
      <c r="G131" s="9" t="s">
        <v>13000</v>
      </c>
      <c r="H131" s="35" t="s">
        <v>813</v>
      </c>
      <c r="I131" s="18" t="s">
        <v>1586</v>
      </c>
    </row>
    <row r="132" spans="1:9" s="31" customFormat="1" ht="105">
      <c r="A132" s="19">
        <v>43551.288078703699</v>
      </c>
      <c r="B132" s="20" t="s">
        <v>13468</v>
      </c>
      <c r="C132" s="21" t="s">
        <v>7348</v>
      </c>
      <c r="D132" s="22" t="s">
        <v>7349</v>
      </c>
      <c r="E132" s="23" t="s">
        <v>13009</v>
      </c>
      <c r="F132" s="19">
        <v>41598.89502314815</v>
      </c>
      <c r="G132" s="9" t="s">
        <v>13000</v>
      </c>
      <c r="H132" s="35" t="s">
        <v>4245</v>
      </c>
      <c r="I132" s="25" t="s">
        <v>7350</v>
      </c>
    </row>
    <row r="133" spans="1:9" s="31" customFormat="1" ht="45">
      <c r="A133" s="12">
        <v>43570.307222222225</v>
      </c>
      <c r="B133" s="13" t="s">
        <v>13469</v>
      </c>
      <c r="C133" s="14" t="s">
        <v>4243</v>
      </c>
      <c r="D133" s="15" t="s">
        <v>4244</v>
      </c>
      <c r="E133" s="16" t="s">
        <v>13009</v>
      </c>
      <c r="F133" s="12">
        <v>39896.604907407411</v>
      </c>
      <c r="G133" s="9" t="s">
        <v>13000</v>
      </c>
      <c r="H133" s="35" t="s">
        <v>4245</v>
      </c>
      <c r="I133" s="18" t="s">
        <v>4246</v>
      </c>
    </row>
    <row r="134" spans="1:9" s="31" customFormat="1" ht="120">
      <c r="A134" s="19">
        <v>43544.779270833329</v>
      </c>
      <c r="B134" s="20" t="s">
        <v>13470</v>
      </c>
      <c r="C134" s="21" t="s">
        <v>9341</v>
      </c>
      <c r="D134" s="22" t="s">
        <v>9342</v>
      </c>
      <c r="E134" s="23" t="s">
        <v>13013</v>
      </c>
      <c r="F134" s="19">
        <v>43144.263969907406</v>
      </c>
      <c r="G134" s="24" t="s">
        <v>13000</v>
      </c>
      <c r="H134" s="35" t="s">
        <v>9343</v>
      </c>
      <c r="I134" s="25" t="s">
        <v>9344</v>
      </c>
    </row>
    <row r="135" spans="1:9" s="31" customFormat="1" ht="105">
      <c r="A135" s="12">
        <v>43578.399293981478</v>
      </c>
      <c r="B135" s="13" t="s">
        <v>13471</v>
      </c>
      <c r="C135" s="14" t="s">
        <v>1226</v>
      </c>
      <c r="D135" s="15" t="s">
        <v>1227</v>
      </c>
      <c r="E135" s="16" t="s">
        <v>13411</v>
      </c>
      <c r="F135" s="12">
        <v>40696.845254629632</v>
      </c>
      <c r="G135" s="17" t="s">
        <v>13000</v>
      </c>
      <c r="H135" s="35" t="s">
        <v>1228</v>
      </c>
      <c r="I135" s="18" t="s">
        <v>1229</v>
      </c>
    </row>
    <row r="136" spans="1:9" s="31" customFormat="1" ht="90">
      <c r="A136" s="4">
        <v>43561.475312499999</v>
      </c>
      <c r="B136" s="5" t="s">
        <v>13472</v>
      </c>
      <c r="C136" s="6" t="s">
        <v>10961</v>
      </c>
      <c r="D136" s="7" t="s">
        <v>10962</v>
      </c>
      <c r="E136" s="8" t="s">
        <v>13009</v>
      </c>
      <c r="F136" s="4">
        <v>39928.464432870373</v>
      </c>
      <c r="G136" s="17" t="s">
        <v>13000</v>
      </c>
      <c r="H136" s="35" t="s">
        <v>10963</v>
      </c>
      <c r="I136" s="10" t="s">
        <v>10964</v>
      </c>
    </row>
    <row r="137" spans="1:9" s="31" customFormat="1" ht="105">
      <c r="A137" s="4">
        <v>43556.696932870371</v>
      </c>
      <c r="B137" s="5" t="s">
        <v>13473</v>
      </c>
      <c r="C137" s="6" t="s">
        <v>12771</v>
      </c>
      <c r="D137" s="7" t="s">
        <v>12772</v>
      </c>
      <c r="E137" s="8" t="s">
        <v>13015</v>
      </c>
      <c r="F137" s="4">
        <v>39881.930601851855</v>
      </c>
      <c r="G137" s="9" t="s">
        <v>13000</v>
      </c>
      <c r="H137" s="35" t="s">
        <v>12773</v>
      </c>
      <c r="I137" s="10" t="s">
        <v>12774</v>
      </c>
    </row>
    <row r="138" spans="1:9" s="31" customFormat="1" ht="105">
      <c r="A138" s="12">
        <v>43567.42359953704</v>
      </c>
      <c r="B138" s="13" t="s">
        <v>13474</v>
      </c>
      <c r="C138" s="14" t="s">
        <v>5108</v>
      </c>
      <c r="D138" s="15" t="s">
        <v>5109</v>
      </c>
      <c r="E138" s="16" t="s">
        <v>13120</v>
      </c>
      <c r="F138" s="12">
        <v>42389.258344907408</v>
      </c>
      <c r="G138" s="17" t="s">
        <v>13000</v>
      </c>
      <c r="H138" s="35" t="s">
        <v>5110</v>
      </c>
      <c r="I138" s="18" t="s">
        <v>5111</v>
      </c>
    </row>
    <row r="139" spans="1:9" s="31" customFormat="1" ht="30">
      <c r="A139" s="12">
        <v>43575.485034722224</v>
      </c>
      <c r="B139" s="13" t="s">
        <v>13475</v>
      </c>
      <c r="C139" s="14" t="s">
        <v>2195</v>
      </c>
      <c r="D139" s="15" t="s">
        <v>2196</v>
      </c>
      <c r="E139" s="16" t="s">
        <v>13011</v>
      </c>
      <c r="F139" s="12">
        <v>40541.389016203706</v>
      </c>
      <c r="G139" s="17" t="s">
        <v>13000</v>
      </c>
      <c r="H139" s="35" t="s">
        <v>2197</v>
      </c>
      <c r="I139" s="18" t="s">
        <v>2198</v>
      </c>
    </row>
    <row r="140" spans="1:9" s="31" customFormat="1" ht="105">
      <c r="A140" s="12">
        <v>43570.585486111115</v>
      </c>
      <c r="B140" s="13" t="s">
        <v>13476</v>
      </c>
      <c r="C140" s="14" t="s">
        <v>4042</v>
      </c>
      <c r="D140" s="15" t="s">
        <v>4043</v>
      </c>
      <c r="E140" s="16" t="s">
        <v>13477</v>
      </c>
      <c r="F140" s="12">
        <v>40666.456701388888</v>
      </c>
      <c r="G140" s="17" t="s">
        <v>13000</v>
      </c>
      <c r="H140" s="35" t="s">
        <v>4044</v>
      </c>
      <c r="I140" s="18" t="s">
        <v>4045</v>
      </c>
    </row>
    <row r="141" spans="1:9" s="31" customFormat="1" ht="105">
      <c r="A141" s="12">
        <v>43566.503541666665</v>
      </c>
      <c r="B141" s="13" t="s">
        <v>13476</v>
      </c>
      <c r="C141" s="14" t="s">
        <v>4042</v>
      </c>
      <c r="D141" s="15" t="s">
        <v>5474</v>
      </c>
      <c r="E141" s="16" t="s">
        <v>13477</v>
      </c>
      <c r="F141" s="12">
        <v>40666.456701388888</v>
      </c>
      <c r="G141" s="17" t="s">
        <v>13000</v>
      </c>
      <c r="H141" s="35" t="s">
        <v>4044</v>
      </c>
      <c r="I141" s="18" t="s">
        <v>4045</v>
      </c>
    </row>
    <row r="142" spans="1:9" s="31" customFormat="1" ht="45">
      <c r="A142" s="12">
        <v>43573.44599537037</v>
      </c>
      <c r="B142" s="13" t="s">
        <v>13478</v>
      </c>
      <c r="C142" s="14" t="s">
        <v>2858</v>
      </c>
      <c r="D142" s="15" t="s">
        <v>2859</v>
      </c>
      <c r="E142" s="16" t="s">
        <v>13479</v>
      </c>
      <c r="F142" s="12">
        <v>40888.658587962964</v>
      </c>
      <c r="G142" s="17" t="s">
        <v>13000</v>
      </c>
      <c r="H142" s="35" t="s">
        <v>2860</v>
      </c>
      <c r="I142" s="18" t="s">
        <v>1544</v>
      </c>
    </row>
    <row r="143" spans="1:9" s="31" customFormat="1" ht="105">
      <c r="A143" s="4">
        <v>43565.342372685191</v>
      </c>
      <c r="B143" s="5" t="s">
        <v>13480</v>
      </c>
      <c r="C143" s="6" t="s">
        <v>6152</v>
      </c>
      <c r="D143" s="7" t="s">
        <v>6153</v>
      </c>
      <c r="E143" s="8" t="s">
        <v>13411</v>
      </c>
      <c r="F143" s="4">
        <v>39850.49019675926</v>
      </c>
      <c r="G143" s="9" t="s">
        <v>13000</v>
      </c>
      <c r="H143" s="35" t="s">
        <v>6154</v>
      </c>
      <c r="I143" s="10" t="s">
        <v>6155</v>
      </c>
    </row>
    <row r="144" spans="1:9" s="31" customFormat="1" ht="105">
      <c r="A144" s="4">
        <v>43562.450717592597</v>
      </c>
      <c r="B144" s="5" t="s">
        <v>13480</v>
      </c>
      <c r="C144" s="6" t="s">
        <v>6152</v>
      </c>
      <c r="D144" s="7" t="s">
        <v>10677</v>
      </c>
      <c r="E144" s="8" t="s">
        <v>13411</v>
      </c>
      <c r="F144" s="4">
        <v>39850.49019675926</v>
      </c>
      <c r="G144" s="9" t="s">
        <v>13000</v>
      </c>
      <c r="H144" s="35" t="s">
        <v>6154</v>
      </c>
      <c r="I144" s="10" t="s">
        <v>6155</v>
      </c>
    </row>
    <row r="145" spans="1:9" s="31" customFormat="1" ht="60">
      <c r="A145" s="19">
        <v>43547.82476851852</v>
      </c>
      <c r="B145" s="20" t="s">
        <v>13481</v>
      </c>
      <c r="C145" s="21" t="s">
        <v>8468</v>
      </c>
      <c r="D145" s="22" t="s">
        <v>8469</v>
      </c>
      <c r="E145" s="23" t="s">
        <v>13032</v>
      </c>
      <c r="F145" s="19">
        <v>42352.552002314813</v>
      </c>
      <c r="G145" s="24" t="s">
        <v>13000</v>
      </c>
      <c r="H145" s="35" t="s">
        <v>2827</v>
      </c>
      <c r="I145" s="25"/>
    </row>
    <row r="146" spans="1:9" s="31" customFormat="1" ht="90">
      <c r="A146" s="19">
        <v>43545.54184027778</v>
      </c>
      <c r="B146" s="20" t="s">
        <v>13482</v>
      </c>
      <c r="C146" s="21" t="s">
        <v>2825</v>
      </c>
      <c r="D146" s="22" t="s">
        <v>9100</v>
      </c>
      <c r="E146" s="23" t="s">
        <v>13018</v>
      </c>
      <c r="F146" s="19">
        <v>41617.49417824074</v>
      </c>
      <c r="G146" s="24" t="s">
        <v>13000</v>
      </c>
      <c r="H146" s="35" t="s">
        <v>2827</v>
      </c>
      <c r="I146" s="25" t="s">
        <v>2828</v>
      </c>
    </row>
    <row r="147" spans="1:9" s="31" customFormat="1" ht="75">
      <c r="A147" s="12">
        <v>43573.541863425926</v>
      </c>
      <c r="B147" s="13" t="s">
        <v>13482</v>
      </c>
      <c r="C147" s="14" t="s">
        <v>2825</v>
      </c>
      <c r="D147" s="15" t="s">
        <v>2826</v>
      </c>
      <c r="E147" s="16" t="s">
        <v>13018</v>
      </c>
      <c r="F147" s="12">
        <v>41617.49417824074</v>
      </c>
      <c r="G147" s="24" t="s">
        <v>13000</v>
      </c>
      <c r="H147" s="35" t="s">
        <v>2827</v>
      </c>
      <c r="I147" s="18" t="s">
        <v>2828</v>
      </c>
    </row>
    <row r="148" spans="1:9" s="31" customFormat="1" ht="90">
      <c r="A148" s="19">
        <v>43550.669537037036</v>
      </c>
      <c r="B148" s="20" t="s">
        <v>13483</v>
      </c>
      <c r="C148" s="21" t="s">
        <v>7555</v>
      </c>
      <c r="D148" s="22" t="s">
        <v>7556</v>
      </c>
      <c r="E148" s="23" t="s">
        <v>13013</v>
      </c>
      <c r="F148" s="19">
        <v>43382.398333333331</v>
      </c>
      <c r="G148" s="24" t="s">
        <v>13000</v>
      </c>
      <c r="H148" s="35" t="s">
        <v>7557</v>
      </c>
      <c r="I148" s="25" t="s">
        <v>7558</v>
      </c>
    </row>
    <row r="149" spans="1:9" s="31" customFormat="1" ht="45">
      <c r="A149" s="4">
        <v>43565.638402777782</v>
      </c>
      <c r="B149" s="5" t="s">
        <v>13484</v>
      </c>
      <c r="C149" s="6" t="s">
        <v>5974</v>
      </c>
      <c r="D149" s="7" t="s">
        <v>5975</v>
      </c>
      <c r="E149" s="8" t="s">
        <v>13032</v>
      </c>
      <c r="F149" s="4">
        <v>42769.220891203702</v>
      </c>
      <c r="G149" s="9" t="s">
        <v>13000</v>
      </c>
      <c r="H149" s="35" t="s">
        <v>5976</v>
      </c>
      <c r="I149" s="10" t="s">
        <v>5977</v>
      </c>
    </row>
    <row r="150" spans="1:9" s="31" customFormat="1" ht="105">
      <c r="A150" s="19">
        <v>43551.355810185181</v>
      </c>
      <c r="B150" s="20" t="s">
        <v>13485</v>
      </c>
      <c r="C150" s="21" t="s">
        <v>3079</v>
      </c>
      <c r="D150" s="22" t="s">
        <v>7285</v>
      </c>
      <c r="E150" s="23" t="s">
        <v>13011</v>
      </c>
      <c r="F150" s="19">
        <v>42067.711678240739</v>
      </c>
      <c r="G150" s="17" t="s">
        <v>13000</v>
      </c>
      <c r="H150" s="35" t="s">
        <v>3081</v>
      </c>
      <c r="I150" s="25" t="s">
        <v>3082</v>
      </c>
    </row>
    <row r="151" spans="1:9" s="31" customFormat="1" ht="105">
      <c r="A151" s="19">
        <v>43550.320057870369</v>
      </c>
      <c r="B151" s="20" t="s">
        <v>13485</v>
      </c>
      <c r="C151" s="21" t="s">
        <v>3079</v>
      </c>
      <c r="D151" s="22" t="s">
        <v>7734</v>
      </c>
      <c r="E151" s="23" t="s">
        <v>13011</v>
      </c>
      <c r="F151" s="19">
        <v>42067.711678240739</v>
      </c>
      <c r="G151" s="17" t="s">
        <v>13000</v>
      </c>
      <c r="H151" s="35" t="s">
        <v>3081</v>
      </c>
      <c r="I151" s="25" t="s">
        <v>3082</v>
      </c>
    </row>
    <row r="152" spans="1:9" s="31" customFormat="1" ht="105">
      <c r="A152" s="19">
        <v>43548.755393518513</v>
      </c>
      <c r="B152" s="20" t="s">
        <v>13485</v>
      </c>
      <c r="C152" s="21" t="s">
        <v>3079</v>
      </c>
      <c r="D152" s="22" t="s">
        <v>8228</v>
      </c>
      <c r="E152" s="23" t="s">
        <v>13011</v>
      </c>
      <c r="F152" s="19">
        <v>42067.711678240739</v>
      </c>
      <c r="G152" s="17" t="s">
        <v>13000</v>
      </c>
      <c r="H152" s="35" t="s">
        <v>3081</v>
      </c>
      <c r="I152" s="25" t="s">
        <v>3082</v>
      </c>
    </row>
    <row r="153" spans="1:9" s="31" customFormat="1" ht="105">
      <c r="A153" s="19">
        <v>43542.812523148154</v>
      </c>
      <c r="B153" s="20" t="s">
        <v>13485</v>
      </c>
      <c r="C153" s="21" t="s">
        <v>3079</v>
      </c>
      <c r="D153" s="22" t="s">
        <v>10010</v>
      </c>
      <c r="E153" s="23" t="s">
        <v>13011</v>
      </c>
      <c r="F153" s="19">
        <v>42067.711678240739</v>
      </c>
      <c r="G153" s="17" t="s">
        <v>13000</v>
      </c>
      <c r="H153" s="35" t="s">
        <v>3081</v>
      </c>
      <c r="I153" s="25" t="s">
        <v>3082</v>
      </c>
    </row>
    <row r="154" spans="1:9" s="31" customFormat="1" ht="105">
      <c r="A154" s="12">
        <v>43572.829293981486</v>
      </c>
      <c r="B154" s="13" t="s">
        <v>13485</v>
      </c>
      <c r="C154" s="14" t="s">
        <v>3079</v>
      </c>
      <c r="D154" s="15" t="s">
        <v>3080</v>
      </c>
      <c r="E154" s="16" t="s">
        <v>13011</v>
      </c>
      <c r="F154" s="12">
        <v>42067.711678240739</v>
      </c>
      <c r="G154" s="17" t="s">
        <v>13000</v>
      </c>
      <c r="H154" s="35" t="s">
        <v>3081</v>
      </c>
      <c r="I154" s="18" t="s">
        <v>3082</v>
      </c>
    </row>
    <row r="155" spans="1:9" s="31" customFormat="1" ht="105">
      <c r="A155" s="4">
        <v>43565.125347222223</v>
      </c>
      <c r="B155" s="5" t="s">
        <v>13486</v>
      </c>
      <c r="C155" s="6" t="s">
        <v>6269</v>
      </c>
      <c r="D155" s="7" t="s">
        <v>6270</v>
      </c>
      <c r="E155" s="8" t="s">
        <v>13011</v>
      </c>
      <c r="F155" s="4">
        <v>40031.916562500002</v>
      </c>
      <c r="G155" s="17" t="s">
        <v>13000</v>
      </c>
      <c r="H155" s="35" t="s">
        <v>6271</v>
      </c>
      <c r="I155" s="10" t="s">
        <v>6272</v>
      </c>
    </row>
    <row r="156" spans="1:9" s="31" customFormat="1" ht="60">
      <c r="A156" s="12">
        <v>43572.756724537037</v>
      </c>
      <c r="B156" s="13" t="s">
        <v>13487</v>
      </c>
      <c r="C156" s="14" t="s">
        <v>3094</v>
      </c>
      <c r="D156" s="15" t="s">
        <v>3095</v>
      </c>
      <c r="E156" s="16" t="s">
        <v>13032</v>
      </c>
      <c r="F156" s="12">
        <v>42578.512256944443</v>
      </c>
      <c r="G156" s="17" t="s">
        <v>13000</v>
      </c>
      <c r="H156" s="35" t="s">
        <v>3096</v>
      </c>
      <c r="I156" s="18" t="s">
        <v>3097</v>
      </c>
    </row>
    <row r="157" spans="1:9" s="31" customFormat="1" ht="90">
      <c r="A157" s="12">
        <v>43566.474108796298</v>
      </c>
      <c r="B157" s="13" t="s">
        <v>13488</v>
      </c>
      <c r="C157" s="14" t="s">
        <v>5501</v>
      </c>
      <c r="D157" s="15" t="s">
        <v>5502</v>
      </c>
      <c r="E157" s="16" t="s">
        <v>13009</v>
      </c>
      <c r="F157" s="12">
        <v>41729.664444444446</v>
      </c>
      <c r="G157" s="17" t="s">
        <v>13000</v>
      </c>
      <c r="H157" s="35" t="s">
        <v>3096</v>
      </c>
      <c r="I157" s="18" t="s">
        <v>5503</v>
      </c>
    </row>
    <row r="158" spans="1:9" s="31" customFormat="1" ht="105">
      <c r="A158" s="19">
        <v>43546.416678240741</v>
      </c>
      <c r="B158" s="20" t="s">
        <v>13489</v>
      </c>
      <c r="C158" s="21" t="s">
        <v>8870</v>
      </c>
      <c r="D158" s="22" t="s">
        <v>8871</v>
      </c>
      <c r="E158" s="23" t="s">
        <v>13490</v>
      </c>
      <c r="F158" s="19">
        <v>40721.838159722218</v>
      </c>
      <c r="G158" s="17" t="s">
        <v>13000</v>
      </c>
      <c r="H158" s="35" t="s">
        <v>8872</v>
      </c>
      <c r="I158" s="25" t="s">
        <v>8873</v>
      </c>
    </row>
    <row r="159" spans="1:9" s="31" customFormat="1" ht="120">
      <c r="A159" s="12">
        <v>43566.351469907408</v>
      </c>
      <c r="B159" s="13" t="s">
        <v>13491</v>
      </c>
      <c r="C159" s="14" t="s">
        <v>5631</v>
      </c>
      <c r="D159" s="15" t="s">
        <v>5632</v>
      </c>
      <c r="E159" s="16" t="s">
        <v>13018</v>
      </c>
      <c r="F159" s="12">
        <v>39247.633414351854</v>
      </c>
      <c r="G159" s="17" t="s">
        <v>13000</v>
      </c>
      <c r="H159" s="35" t="s">
        <v>5633</v>
      </c>
      <c r="I159" s="18" t="s">
        <v>5634</v>
      </c>
    </row>
    <row r="160" spans="1:9" s="31" customFormat="1" ht="120">
      <c r="A160" s="12">
        <v>43572.095671296294</v>
      </c>
      <c r="B160" s="13" t="s">
        <v>13492</v>
      </c>
      <c r="C160" s="14" t="s">
        <v>3429</v>
      </c>
      <c r="D160" s="15" t="s">
        <v>3430</v>
      </c>
      <c r="E160" s="16" t="s">
        <v>13006</v>
      </c>
      <c r="F160" s="12">
        <v>39935.655543981484</v>
      </c>
      <c r="G160" s="17" t="s">
        <v>13000</v>
      </c>
      <c r="H160" s="35" t="s">
        <v>3431</v>
      </c>
      <c r="I160" s="18" t="s">
        <v>3432</v>
      </c>
    </row>
    <row r="161" spans="1:9" s="31" customFormat="1" ht="105">
      <c r="A161" s="12">
        <v>43578.995532407411</v>
      </c>
      <c r="B161" s="13" t="s">
        <v>13493</v>
      </c>
      <c r="C161" s="14" t="s">
        <v>976</v>
      </c>
      <c r="D161" s="15" t="s">
        <v>977</v>
      </c>
      <c r="E161" s="16" t="s">
        <v>13130</v>
      </c>
      <c r="F161" s="12">
        <v>43280.429270833338</v>
      </c>
      <c r="G161" s="17" t="s">
        <v>13000</v>
      </c>
      <c r="H161" s="35" t="s">
        <v>978</v>
      </c>
      <c r="I161" s="18" t="s">
        <v>979</v>
      </c>
    </row>
    <row r="162" spans="1:9" s="31" customFormat="1" ht="105">
      <c r="A162" s="12">
        <v>43577.933912037042</v>
      </c>
      <c r="B162" s="13" t="s">
        <v>13493</v>
      </c>
      <c r="C162" s="14" t="s">
        <v>976</v>
      </c>
      <c r="D162" s="15" t="s">
        <v>1454</v>
      </c>
      <c r="E162" s="16" t="s">
        <v>13130</v>
      </c>
      <c r="F162" s="12">
        <v>43280.429270833338</v>
      </c>
      <c r="G162" s="17" t="s">
        <v>13000</v>
      </c>
      <c r="H162" s="35" t="s">
        <v>978</v>
      </c>
      <c r="I162" s="18" t="s">
        <v>979</v>
      </c>
    </row>
    <row r="163" spans="1:9" s="31" customFormat="1" ht="105">
      <c r="A163" s="12">
        <v>43575.945243055554</v>
      </c>
      <c r="B163" s="13" t="s">
        <v>13493</v>
      </c>
      <c r="C163" s="14" t="s">
        <v>976</v>
      </c>
      <c r="D163" s="15" t="s">
        <v>2092</v>
      </c>
      <c r="E163" s="16" t="s">
        <v>13130</v>
      </c>
      <c r="F163" s="12">
        <v>43280.429270833338</v>
      </c>
      <c r="G163" s="17" t="s">
        <v>13000</v>
      </c>
      <c r="H163" s="35" t="s">
        <v>978</v>
      </c>
      <c r="I163" s="18" t="s">
        <v>979</v>
      </c>
    </row>
    <row r="164" spans="1:9" s="31" customFormat="1" ht="105">
      <c r="A164" s="12">
        <v>43574.953298611115</v>
      </c>
      <c r="B164" s="13" t="s">
        <v>13493</v>
      </c>
      <c r="C164" s="14" t="s">
        <v>976</v>
      </c>
      <c r="D164" s="15" t="s">
        <v>2398</v>
      </c>
      <c r="E164" s="16" t="s">
        <v>13130</v>
      </c>
      <c r="F164" s="12">
        <v>43280.429270833338</v>
      </c>
      <c r="G164" s="17" t="s">
        <v>13000</v>
      </c>
      <c r="H164" s="35" t="s">
        <v>978</v>
      </c>
      <c r="I164" s="18" t="s">
        <v>979</v>
      </c>
    </row>
    <row r="165" spans="1:9" s="31" customFormat="1" ht="105">
      <c r="A165" s="12">
        <v>43572.955740740741</v>
      </c>
      <c r="B165" s="13" t="s">
        <v>13493</v>
      </c>
      <c r="C165" s="14" t="s">
        <v>976</v>
      </c>
      <c r="D165" s="15" t="s">
        <v>3045</v>
      </c>
      <c r="E165" s="16" t="s">
        <v>13130</v>
      </c>
      <c r="F165" s="12">
        <v>43280.429270833338</v>
      </c>
      <c r="G165" s="17" t="s">
        <v>13000</v>
      </c>
      <c r="H165" s="35" t="s">
        <v>978</v>
      </c>
      <c r="I165" s="18" t="s">
        <v>979</v>
      </c>
    </row>
    <row r="166" spans="1:9" s="31" customFormat="1" ht="105">
      <c r="A166" s="12">
        <v>43569.040451388893</v>
      </c>
      <c r="B166" s="13" t="s">
        <v>13493</v>
      </c>
      <c r="C166" s="14" t="s">
        <v>976</v>
      </c>
      <c r="D166" s="15" t="s">
        <v>4606</v>
      </c>
      <c r="E166" s="16" t="s">
        <v>13130</v>
      </c>
      <c r="F166" s="12">
        <v>43280.429270833338</v>
      </c>
      <c r="G166" s="17" t="s">
        <v>13000</v>
      </c>
      <c r="H166" s="35" t="s">
        <v>978</v>
      </c>
      <c r="I166" s="18" t="s">
        <v>979</v>
      </c>
    </row>
    <row r="167" spans="1:9" s="31" customFormat="1" ht="105">
      <c r="A167" s="19">
        <v>43543.438969907409</v>
      </c>
      <c r="B167" s="20" t="s">
        <v>13494</v>
      </c>
      <c r="C167" s="21" t="s">
        <v>9797</v>
      </c>
      <c r="D167" s="22" t="s">
        <v>9798</v>
      </c>
      <c r="E167" s="23" t="s">
        <v>13013</v>
      </c>
      <c r="F167" s="19">
        <v>42893.603229166663</v>
      </c>
      <c r="G167" s="17" t="s">
        <v>13000</v>
      </c>
      <c r="H167" s="35" t="s">
        <v>9799</v>
      </c>
      <c r="I167" s="25" t="s">
        <v>9800</v>
      </c>
    </row>
    <row r="168" spans="1:9" s="31" customFormat="1" ht="75">
      <c r="A168" s="19">
        <v>43551.267187500001</v>
      </c>
      <c r="B168" s="20" t="s">
        <v>13495</v>
      </c>
      <c r="C168" s="21" t="s">
        <v>7365</v>
      </c>
      <c r="D168" s="22" t="s">
        <v>7366</v>
      </c>
      <c r="E168" s="23" t="s">
        <v>13009</v>
      </c>
      <c r="F168" s="19">
        <v>40784.500081018516</v>
      </c>
      <c r="G168" s="24" t="s">
        <v>13000</v>
      </c>
      <c r="H168" s="35" t="s">
        <v>7367</v>
      </c>
      <c r="I168" s="25" t="s">
        <v>7368</v>
      </c>
    </row>
    <row r="169" spans="1:9" s="31" customFormat="1" ht="75">
      <c r="A169" s="12">
        <v>43567.570439814815</v>
      </c>
      <c r="B169" s="13" t="s">
        <v>13496</v>
      </c>
      <c r="C169" s="14" t="s">
        <v>5039</v>
      </c>
      <c r="D169" s="15" t="s">
        <v>5040</v>
      </c>
      <c r="E169" s="16" t="s">
        <v>13013</v>
      </c>
      <c r="F169" s="12">
        <v>43294.489050925928</v>
      </c>
      <c r="G169" s="17" t="s">
        <v>13000</v>
      </c>
      <c r="H169" s="35" t="s">
        <v>5041</v>
      </c>
      <c r="I169" s="18" t="s">
        <v>5042</v>
      </c>
    </row>
    <row r="170" spans="1:9" s="31" customFormat="1" ht="90">
      <c r="A170" s="12">
        <v>43579.646226851852</v>
      </c>
      <c r="B170" s="13" t="s">
        <v>13497</v>
      </c>
      <c r="C170" s="14" t="s">
        <v>526</v>
      </c>
      <c r="D170" s="15" t="s">
        <v>527</v>
      </c>
      <c r="E170" s="16" t="s">
        <v>13009</v>
      </c>
      <c r="F170" s="12">
        <v>39966.48101851852</v>
      </c>
      <c r="G170" s="17" t="s">
        <v>13000</v>
      </c>
      <c r="H170" s="35" t="s">
        <v>528</v>
      </c>
      <c r="I170" s="18" t="s">
        <v>529</v>
      </c>
    </row>
    <row r="171" spans="1:9" s="31" customFormat="1" ht="105">
      <c r="A171" s="12">
        <v>43577.470150462963</v>
      </c>
      <c r="B171" s="13" t="s">
        <v>13498</v>
      </c>
      <c r="C171" s="14" t="s">
        <v>1613</v>
      </c>
      <c r="D171" s="15" t="s">
        <v>1614</v>
      </c>
      <c r="E171" s="16" t="s">
        <v>13120</v>
      </c>
      <c r="F171" s="12">
        <v>41054.272511574076</v>
      </c>
      <c r="G171" s="17" t="s">
        <v>13000</v>
      </c>
      <c r="H171" s="35" t="s">
        <v>528</v>
      </c>
      <c r="I171" s="18" t="s">
        <v>1615</v>
      </c>
    </row>
    <row r="172" spans="1:9" s="31" customFormat="1" ht="75">
      <c r="A172" s="12">
        <v>43577.224050925928</v>
      </c>
      <c r="B172" s="13" t="s">
        <v>13499</v>
      </c>
      <c r="C172" s="14" t="s">
        <v>1699</v>
      </c>
      <c r="D172" s="15" t="s">
        <v>1700</v>
      </c>
      <c r="E172" s="16" t="s">
        <v>13013</v>
      </c>
      <c r="F172" s="12">
        <v>39784.673715277779</v>
      </c>
      <c r="G172" s="17" t="s">
        <v>13000</v>
      </c>
      <c r="H172" s="35" t="s">
        <v>1701</v>
      </c>
      <c r="I172" s="18" t="s">
        <v>1702</v>
      </c>
    </row>
    <row r="173" spans="1:9" s="31" customFormat="1" ht="105">
      <c r="A173" s="19">
        <v>43551.784652777773</v>
      </c>
      <c r="B173" s="20" t="s">
        <v>13500</v>
      </c>
      <c r="C173" s="21" t="s">
        <v>505</v>
      </c>
      <c r="D173" s="22" t="s">
        <v>7001</v>
      </c>
      <c r="E173" s="23" t="s">
        <v>13011</v>
      </c>
      <c r="F173" s="19">
        <v>43457.842812499999</v>
      </c>
      <c r="G173" s="24" t="s">
        <v>13000</v>
      </c>
      <c r="H173" s="35" t="s">
        <v>507</v>
      </c>
      <c r="I173" s="25" t="s">
        <v>508</v>
      </c>
    </row>
    <row r="174" spans="1:9" s="31" customFormat="1" ht="105">
      <c r="A174" s="19">
        <v>43550.693611111114</v>
      </c>
      <c r="B174" s="20" t="s">
        <v>13500</v>
      </c>
      <c r="C174" s="21" t="s">
        <v>505</v>
      </c>
      <c r="D174" s="22" t="s">
        <v>7550</v>
      </c>
      <c r="E174" s="23" t="s">
        <v>13011</v>
      </c>
      <c r="F174" s="19">
        <v>43457.842812499999</v>
      </c>
      <c r="G174" s="24" t="s">
        <v>13000</v>
      </c>
      <c r="H174" s="35" t="s">
        <v>507</v>
      </c>
      <c r="I174" s="25" t="s">
        <v>508</v>
      </c>
    </row>
    <row r="175" spans="1:9" s="31" customFormat="1" ht="105">
      <c r="A175" s="19">
        <v>43548.72929398148</v>
      </c>
      <c r="B175" s="20" t="s">
        <v>13500</v>
      </c>
      <c r="C175" s="21" t="s">
        <v>505</v>
      </c>
      <c r="D175" s="22" t="s">
        <v>8232</v>
      </c>
      <c r="E175" s="23" t="s">
        <v>13011</v>
      </c>
      <c r="F175" s="19">
        <v>43457.842812499999</v>
      </c>
      <c r="G175" s="24" t="s">
        <v>13000</v>
      </c>
      <c r="H175" s="35" t="s">
        <v>507</v>
      </c>
      <c r="I175" s="25" t="s">
        <v>508</v>
      </c>
    </row>
    <row r="176" spans="1:9" s="31" customFormat="1" ht="105">
      <c r="A176" s="19">
        <v>43547.75886574074</v>
      </c>
      <c r="B176" s="20" t="s">
        <v>13500</v>
      </c>
      <c r="C176" s="21" t="s">
        <v>505</v>
      </c>
      <c r="D176" s="22" t="s">
        <v>8477</v>
      </c>
      <c r="E176" s="23" t="s">
        <v>13011</v>
      </c>
      <c r="F176" s="19">
        <v>43457.842812499999</v>
      </c>
      <c r="G176" s="24" t="s">
        <v>13000</v>
      </c>
      <c r="H176" s="35" t="s">
        <v>507</v>
      </c>
      <c r="I176" s="25" t="s">
        <v>508</v>
      </c>
    </row>
    <row r="177" spans="1:9" s="31" customFormat="1" ht="105">
      <c r="A177" s="19">
        <v>43546.73773148148</v>
      </c>
      <c r="B177" s="20" t="s">
        <v>13500</v>
      </c>
      <c r="C177" s="21" t="s">
        <v>505</v>
      </c>
      <c r="D177" s="22" t="s">
        <v>8743</v>
      </c>
      <c r="E177" s="23" t="s">
        <v>13011</v>
      </c>
      <c r="F177" s="19">
        <v>43457.842812499999</v>
      </c>
      <c r="G177" s="24" t="s">
        <v>13000</v>
      </c>
      <c r="H177" s="35" t="s">
        <v>507</v>
      </c>
      <c r="I177" s="25" t="s">
        <v>508</v>
      </c>
    </row>
    <row r="178" spans="1:9" s="31" customFormat="1" ht="105">
      <c r="A178" s="19">
        <v>43545.76563657407</v>
      </c>
      <c r="B178" s="20" t="s">
        <v>13500</v>
      </c>
      <c r="C178" s="21" t="s">
        <v>505</v>
      </c>
      <c r="D178" s="22" t="s">
        <v>9057</v>
      </c>
      <c r="E178" s="23" t="s">
        <v>13011</v>
      </c>
      <c r="F178" s="19">
        <v>43457.842812499999</v>
      </c>
      <c r="G178" s="24" t="s">
        <v>13000</v>
      </c>
      <c r="H178" s="35" t="s">
        <v>507</v>
      </c>
      <c r="I178" s="25" t="s">
        <v>508</v>
      </c>
    </row>
    <row r="179" spans="1:9" s="31" customFormat="1" ht="105">
      <c r="A179" s="19">
        <v>43544.706238425926</v>
      </c>
      <c r="B179" s="20" t="s">
        <v>13500</v>
      </c>
      <c r="C179" s="21" t="s">
        <v>505</v>
      </c>
      <c r="D179" s="22" t="s">
        <v>9372</v>
      </c>
      <c r="E179" s="23" t="s">
        <v>13011</v>
      </c>
      <c r="F179" s="19">
        <v>43457.842812499999</v>
      </c>
      <c r="G179" s="24" t="s">
        <v>13000</v>
      </c>
      <c r="H179" s="35" t="s">
        <v>507</v>
      </c>
      <c r="I179" s="25" t="s">
        <v>508</v>
      </c>
    </row>
    <row r="180" spans="1:9" s="31" customFormat="1" ht="105">
      <c r="A180" s="19">
        <v>43543.809201388889</v>
      </c>
      <c r="B180" s="20" t="s">
        <v>13500</v>
      </c>
      <c r="C180" s="21" t="s">
        <v>505</v>
      </c>
      <c r="D180" s="22" t="s">
        <v>9681</v>
      </c>
      <c r="E180" s="23" t="s">
        <v>13011</v>
      </c>
      <c r="F180" s="19">
        <v>43457.842812499999</v>
      </c>
      <c r="G180" s="24" t="s">
        <v>13000</v>
      </c>
      <c r="H180" s="35" t="s">
        <v>507</v>
      </c>
      <c r="I180" s="25" t="s">
        <v>508</v>
      </c>
    </row>
    <row r="181" spans="1:9" s="31" customFormat="1" ht="105">
      <c r="A181" s="4">
        <v>43564.833090277782</v>
      </c>
      <c r="B181" s="5" t="s">
        <v>13500</v>
      </c>
      <c r="C181" s="6" t="s">
        <v>505</v>
      </c>
      <c r="D181" s="7" t="s">
        <v>6401</v>
      </c>
      <c r="E181" s="8" t="s">
        <v>13011</v>
      </c>
      <c r="F181" s="4">
        <v>43457.842812499999</v>
      </c>
      <c r="G181" s="24" t="s">
        <v>13000</v>
      </c>
      <c r="H181" s="35" t="s">
        <v>507</v>
      </c>
      <c r="I181" s="10" t="s">
        <v>508</v>
      </c>
    </row>
    <row r="182" spans="1:9" s="31" customFormat="1" ht="105">
      <c r="A182" s="4">
        <v>43563.827673611115</v>
      </c>
      <c r="B182" s="5" t="s">
        <v>13500</v>
      </c>
      <c r="C182" s="6" t="s">
        <v>505</v>
      </c>
      <c r="D182" s="7" t="s">
        <v>6869</v>
      </c>
      <c r="E182" s="8" t="s">
        <v>13011</v>
      </c>
      <c r="F182" s="4">
        <v>43457.842812499999</v>
      </c>
      <c r="G182" s="24" t="s">
        <v>13000</v>
      </c>
      <c r="H182" s="35" t="s">
        <v>507</v>
      </c>
      <c r="I182" s="10" t="s">
        <v>508</v>
      </c>
    </row>
    <row r="183" spans="1:9" s="31" customFormat="1" ht="105">
      <c r="A183" s="4">
        <v>43562.838206018518</v>
      </c>
      <c r="B183" s="5" t="s">
        <v>13500</v>
      </c>
      <c r="C183" s="6" t="s">
        <v>505</v>
      </c>
      <c r="D183" s="7" t="s">
        <v>10567</v>
      </c>
      <c r="E183" s="8" t="s">
        <v>13011</v>
      </c>
      <c r="F183" s="4">
        <v>43457.842812499999</v>
      </c>
      <c r="G183" s="24" t="s">
        <v>13000</v>
      </c>
      <c r="H183" s="35" t="s">
        <v>507</v>
      </c>
      <c r="I183" s="10" t="s">
        <v>508</v>
      </c>
    </row>
    <row r="184" spans="1:9" s="31" customFormat="1" ht="105">
      <c r="A184" s="4">
        <v>43561.746932870374</v>
      </c>
      <c r="B184" s="5" t="s">
        <v>13500</v>
      </c>
      <c r="C184" s="6" t="s">
        <v>505</v>
      </c>
      <c r="D184" s="7" t="s">
        <v>10844</v>
      </c>
      <c r="E184" s="8" t="s">
        <v>13011</v>
      </c>
      <c r="F184" s="4">
        <v>43457.842812499999</v>
      </c>
      <c r="G184" s="24" t="s">
        <v>13000</v>
      </c>
      <c r="H184" s="35" t="s">
        <v>507</v>
      </c>
      <c r="I184" s="10" t="s">
        <v>508</v>
      </c>
    </row>
    <row r="185" spans="1:9" s="31" customFormat="1" ht="105">
      <c r="A185" s="4">
        <v>43560.593495370369</v>
      </c>
      <c r="B185" s="5" t="s">
        <v>13500</v>
      </c>
      <c r="C185" s="6" t="s">
        <v>505</v>
      </c>
      <c r="D185" s="7" t="s">
        <v>11269</v>
      </c>
      <c r="E185" s="8" t="s">
        <v>13011</v>
      </c>
      <c r="F185" s="4">
        <v>43457.842812499999</v>
      </c>
      <c r="G185" s="24" t="s">
        <v>13000</v>
      </c>
      <c r="H185" s="35" t="s">
        <v>507</v>
      </c>
      <c r="I185" s="10" t="s">
        <v>508</v>
      </c>
    </row>
    <row r="186" spans="1:9" s="31" customFormat="1" ht="105">
      <c r="A186" s="4">
        <v>43559.82430555555</v>
      </c>
      <c r="B186" s="5" t="s">
        <v>13500</v>
      </c>
      <c r="C186" s="6" t="s">
        <v>505</v>
      </c>
      <c r="D186" s="7" t="s">
        <v>11680</v>
      </c>
      <c r="E186" s="8" t="s">
        <v>13011</v>
      </c>
      <c r="F186" s="4">
        <v>43457.842812499999</v>
      </c>
      <c r="G186" s="24" t="s">
        <v>13000</v>
      </c>
      <c r="H186" s="35" t="s">
        <v>507</v>
      </c>
      <c r="I186" s="10" t="s">
        <v>508</v>
      </c>
    </row>
    <row r="187" spans="1:9" s="31" customFormat="1" ht="105">
      <c r="A187" s="4">
        <v>43558.837395833332</v>
      </c>
      <c r="B187" s="5" t="s">
        <v>13500</v>
      </c>
      <c r="C187" s="6" t="s">
        <v>505</v>
      </c>
      <c r="D187" s="7" t="s">
        <v>12026</v>
      </c>
      <c r="E187" s="8" t="s">
        <v>13011</v>
      </c>
      <c r="F187" s="4">
        <v>43457.842812499999</v>
      </c>
      <c r="G187" s="24" t="s">
        <v>13000</v>
      </c>
      <c r="H187" s="35" t="s">
        <v>507</v>
      </c>
      <c r="I187" s="10" t="s">
        <v>508</v>
      </c>
    </row>
    <row r="188" spans="1:9" s="31" customFormat="1" ht="105">
      <c r="A188" s="4">
        <v>43557.816921296297</v>
      </c>
      <c r="B188" s="5" t="s">
        <v>13500</v>
      </c>
      <c r="C188" s="6" t="s">
        <v>505</v>
      </c>
      <c r="D188" s="7" t="s">
        <v>12388</v>
      </c>
      <c r="E188" s="8" t="s">
        <v>13011</v>
      </c>
      <c r="F188" s="4">
        <v>43457.842812499999</v>
      </c>
      <c r="G188" s="24" t="s">
        <v>13000</v>
      </c>
      <c r="H188" s="35" t="s">
        <v>507</v>
      </c>
      <c r="I188" s="10" t="s">
        <v>508</v>
      </c>
    </row>
    <row r="189" spans="1:9" s="31" customFormat="1" ht="105">
      <c r="A189" s="4">
        <v>43556.85365740741</v>
      </c>
      <c r="B189" s="5" t="s">
        <v>13500</v>
      </c>
      <c r="C189" s="6" t="s">
        <v>505</v>
      </c>
      <c r="D189" s="7" t="s">
        <v>12722</v>
      </c>
      <c r="E189" s="8" t="s">
        <v>13011</v>
      </c>
      <c r="F189" s="4">
        <v>43457.842812499999</v>
      </c>
      <c r="G189" s="24" t="s">
        <v>13000</v>
      </c>
      <c r="H189" s="35" t="s">
        <v>507</v>
      </c>
      <c r="I189" s="10" t="s">
        <v>508</v>
      </c>
    </row>
    <row r="190" spans="1:9" s="31" customFormat="1" ht="105">
      <c r="A190" s="12">
        <v>43579.699756944443</v>
      </c>
      <c r="B190" s="13" t="s">
        <v>13500</v>
      </c>
      <c r="C190" s="14" t="s">
        <v>505</v>
      </c>
      <c r="D190" s="15" t="s">
        <v>506</v>
      </c>
      <c r="E190" s="16" t="s">
        <v>13011</v>
      </c>
      <c r="F190" s="12">
        <v>43457.842812499999</v>
      </c>
      <c r="G190" s="24" t="s">
        <v>13000</v>
      </c>
      <c r="H190" s="35" t="s">
        <v>507</v>
      </c>
      <c r="I190" s="18" t="s">
        <v>508</v>
      </c>
    </row>
    <row r="191" spans="1:9" s="31" customFormat="1" ht="105">
      <c r="A191" s="12">
        <v>43578.674409722225</v>
      </c>
      <c r="B191" s="13" t="s">
        <v>13500</v>
      </c>
      <c r="C191" s="14" t="s">
        <v>505</v>
      </c>
      <c r="D191" s="15" t="s">
        <v>1116</v>
      </c>
      <c r="E191" s="16" t="s">
        <v>13011</v>
      </c>
      <c r="F191" s="12">
        <v>43457.842812499999</v>
      </c>
      <c r="G191" s="24" t="s">
        <v>13000</v>
      </c>
      <c r="H191" s="35" t="s">
        <v>507</v>
      </c>
      <c r="I191" s="18" t="s">
        <v>508</v>
      </c>
    </row>
    <row r="192" spans="1:9" s="31" customFormat="1" ht="105">
      <c r="A192" s="12">
        <v>43576.71162037037</v>
      </c>
      <c r="B192" s="13" t="s">
        <v>13500</v>
      </c>
      <c r="C192" s="14" t="s">
        <v>505</v>
      </c>
      <c r="D192" s="15" t="s">
        <v>1861</v>
      </c>
      <c r="E192" s="16" t="s">
        <v>13011</v>
      </c>
      <c r="F192" s="12">
        <v>43457.842812499999</v>
      </c>
      <c r="G192" s="24" t="s">
        <v>13000</v>
      </c>
      <c r="H192" s="35" t="s">
        <v>507</v>
      </c>
      <c r="I192" s="18" t="s">
        <v>508</v>
      </c>
    </row>
    <row r="193" spans="1:9" s="31" customFormat="1" ht="105">
      <c r="A193" s="12">
        <v>43575.716944444444</v>
      </c>
      <c r="B193" s="13" t="s">
        <v>13500</v>
      </c>
      <c r="C193" s="14" t="s">
        <v>505</v>
      </c>
      <c r="D193" s="15" t="s">
        <v>2136</v>
      </c>
      <c r="E193" s="16" t="s">
        <v>13011</v>
      </c>
      <c r="F193" s="12">
        <v>43457.842812499999</v>
      </c>
      <c r="G193" s="24" t="s">
        <v>13000</v>
      </c>
      <c r="H193" s="35" t="s">
        <v>507</v>
      </c>
      <c r="I193" s="18" t="s">
        <v>508</v>
      </c>
    </row>
    <row r="194" spans="1:9" s="31" customFormat="1" ht="105">
      <c r="A194" s="12">
        <v>43574.680196759262</v>
      </c>
      <c r="B194" s="13" t="s">
        <v>13500</v>
      </c>
      <c r="C194" s="14" t="s">
        <v>505</v>
      </c>
      <c r="D194" s="15" t="s">
        <v>2482</v>
      </c>
      <c r="E194" s="16" t="s">
        <v>13011</v>
      </c>
      <c r="F194" s="12">
        <v>43457.842812499999</v>
      </c>
      <c r="G194" s="24" t="s">
        <v>13000</v>
      </c>
      <c r="H194" s="35" t="s">
        <v>507</v>
      </c>
      <c r="I194" s="18" t="s">
        <v>508</v>
      </c>
    </row>
    <row r="195" spans="1:9" s="31" customFormat="1" ht="105">
      <c r="A195" s="12">
        <v>43572.739016203705</v>
      </c>
      <c r="B195" s="13" t="s">
        <v>13500</v>
      </c>
      <c r="C195" s="14" t="s">
        <v>505</v>
      </c>
      <c r="D195" s="15" t="s">
        <v>3103</v>
      </c>
      <c r="E195" s="16" t="s">
        <v>13011</v>
      </c>
      <c r="F195" s="12">
        <v>43457.842812499999</v>
      </c>
      <c r="G195" s="24" t="s">
        <v>13000</v>
      </c>
      <c r="H195" s="35" t="s">
        <v>507</v>
      </c>
      <c r="I195" s="18" t="s">
        <v>508</v>
      </c>
    </row>
    <row r="196" spans="1:9" s="31" customFormat="1" ht="105">
      <c r="A196" s="12">
        <v>43571.74046296296</v>
      </c>
      <c r="B196" s="13" t="s">
        <v>13500</v>
      </c>
      <c r="C196" s="14" t="s">
        <v>505</v>
      </c>
      <c r="D196" s="15" t="s">
        <v>3566</v>
      </c>
      <c r="E196" s="16" t="s">
        <v>13011</v>
      </c>
      <c r="F196" s="12">
        <v>43457.842812499999</v>
      </c>
      <c r="G196" s="24" t="s">
        <v>13000</v>
      </c>
      <c r="H196" s="35" t="s">
        <v>507</v>
      </c>
      <c r="I196" s="18" t="s">
        <v>508</v>
      </c>
    </row>
    <row r="197" spans="1:9" s="31" customFormat="1" ht="105">
      <c r="A197" s="12">
        <v>43569.815532407403</v>
      </c>
      <c r="B197" s="13" t="s">
        <v>13500</v>
      </c>
      <c r="C197" s="14" t="s">
        <v>505</v>
      </c>
      <c r="D197" s="15" t="s">
        <v>4397</v>
      </c>
      <c r="E197" s="16" t="s">
        <v>13011</v>
      </c>
      <c r="F197" s="12">
        <v>43457.842812499999</v>
      </c>
      <c r="G197" s="24" t="s">
        <v>13000</v>
      </c>
      <c r="H197" s="35" t="s">
        <v>507</v>
      </c>
      <c r="I197" s="18" t="s">
        <v>508</v>
      </c>
    </row>
    <row r="198" spans="1:9" s="31" customFormat="1" ht="105">
      <c r="A198" s="12">
        <v>43568.771053240736</v>
      </c>
      <c r="B198" s="13" t="s">
        <v>13500</v>
      </c>
      <c r="C198" s="14" t="s">
        <v>505</v>
      </c>
      <c r="D198" s="15" t="s">
        <v>4661</v>
      </c>
      <c r="E198" s="16" t="s">
        <v>13011</v>
      </c>
      <c r="F198" s="12">
        <v>43457.842812499999</v>
      </c>
      <c r="G198" s="24" t="s">
        <v>13000</v>
      </c>
      <c r="H198" s="35" t="s">
        <v>507</v>
      </c>
      <c r="I198" s="18" t="s">
        <v>508</v>
      </c>
    </row>
    <row r="199" spans="1:9" s="31" customFormat="1" ht="105">
      <c r="A199" s="12">
        <v>43566.765949074077</v>
      </c>
      <c r="B199" s="13" t="s">
        <v>13500</v>
      </c>
      <c r="C199" s="14" t="s">
        <v>505</v>
      </c>
      <c r="D199" s="15" t="s">
        <v>5346</v>
      </c>
      <c r="E199" s="16" t="s">
        <v>13011</v>
      </c>
      <c r="F199" s="12">
        <v>43457.842812499999</v>
      </c>
      <c r="G199" s="24" t="s">
        <v>13000</v>
      </c>
      <c r="H199" s="35" t="s">
        <v>507</v>
      </c>
      <c r="I199" s="18" t="s">
        <v>508</v>
      </c>
    </row>
    <row r="200" spans="1:9" s="31" customFormat="1" ht="90">
      <c r="A200" s="4">
        <v>43563.627326388887</v>
      </c>
      <c r="B200" s="5" t="s">
        <v>13501</v>
      </c>
      <c r="C200" s="6" t="s">
        <v>6933</v>
      </c>
      <c r="D200" s="7" t="s">
        <v>6934</v>
      </c>
      <c r="E200" s="8" t="s">
        <v>13013</v>
      </c>
      <c r="F200" s="4">
        <v>42321.48274305556</v>
      </c>
      <c r="G200" s="9" t="s">
        <v>13000</v>
      </c>
      <c r="H200" s="35" t="s">
        <v>6935</v>
      </c>
      <c r="I200" s="10" t="s">
        <v>6936</v>
      </c>
    </row>
    <row r="201" spans="1:9" s="31" customFormat="1" ht="75">
      <c r="A201" s="4">
        <v>43561.283020833333</v>
      </c>
      <c r="B201" s="5" t="s">
        <v>13501</v>
      </c>
      <c r="C201" s="6" t="s">
        <v>6933</v>
      </c>
      <c r="D201" s="7" t="s">
        <v>11014</v>
      </c>
      <c r="E201" s="8" t="s">
        <v>13013</v>
      </c>
      <c r="F201" s="4">
        <v>42321.48274305556</v>
      </c>
      <c r="G201" s="9" t="s">
        <v>13000</v>
      </c>
      <c r="H201" s="35" t="s">
        <v>6935</v>
      </c>
      <c r="I201" s="10" t="s">
        <v>6936</v>
      </c>
    </row>
    <row r="202" spans="1:9" s="31" customFormat="1" ht="105">
      <c r="A202" s="4">
        <v>43557.283391203702</v>
      </c>
      <c r="B202" s="5" t="s">
        <v>13502</v>
      </c>
      <c r="C202" s="6" t="s">
        <v>12587</v>
      </c>
      <c r="D202" s="7" t="s">
        <v>12588</v>
      </c>
      <c r="E202" s="8" t="s">
        <v>13009</v>
      </c>
      <c r="F202" s="4">
        <v>42385.47729166667</v>
      </c>
      <c r="G202" s="9" t="s">
        <v>13000</v>
      </c>
      <c r="H202" s="35" t="s">
        <v>12589</v>
      </c>
      <c r="I202" s="10" t="s">
        <v>12590</v>
      </c>
    </row>
    <row r="203" spans="1:9" s="31" customFormat="1" ht="120">
      <c r="A203" s="19">
        <v>43547.192777777775</v>
      </c>
      <c r="B203" s="20" t="s">
        <v>13503</v>
      </c>
      <c r="C203" s="21" t="s">
        <v>1793</v>
      </c>
      <c r="D203" s="22" t="s">
        <v>8639</v>
      </c>
      <c r="E203" s="23" t="s">
        <v>13013</v>
      </c>
      <c r="F203" s="19">
        <v>42908.010370370372</v>
      </c>
      <c r="G203" s="24" t="s">
        <v>13000</v>
      </c>
      <c r="H203" s="35" t="s">
        <v>1795</v>
      </c>
      <c r="I203" s="25" t="s">
        <v>1796</v>
      </c>
    </row>
    <row r="204" spans="1:9" s="31" customFormat="1" ht="120">
      <c r="A204" s="12">
        <v>43576.951504629629</v>
      </c>
      <c r="B204" s="13" t="s">
        <v>13503</v>
      </c>
      <c r="C204" s="14" t="s">
        <v>1793</v>
      </c>
      <c r="D204" s="15" t="s">
        <v>1794</v>
      </c>
      <c r="E204" s="16" t="s">
        <v>13013</v>
      </c>
      <c r="F204" s="12">
        <v>42908.010370370372</v>
      </c>
      <c r="G204" s="24" t="s">
        <v>13000</v>
      </c>
      <c r="H204" s="35" t="s">
        <v>1795</v>
      </c>
      <c r="I204" s="18" t="s">
        <v>1796</v>
      </c>
    </row>
    <row r="205" spans="1:9" s="31" customFormat="1" ht="30">
      <c r="A205" s="12">
        <v>43576.269479166665</v>
      </c>
      <c r="B205" s="13" t="s">
        <v>13504</v>
      </c>
      <c r="C205" s="14" t="s">
        <v>2013</v>
      </c>
      <c r="D205" s="15" t="s">
        <v>2014</v>
      </c>
      <c r="E205" s="16" t="s">
        <v>13013</v>
      </c>
      <c r="F205" s="12">
        <v>39054.73878472222</v>
      </c>
      <c r="G205" s="24" t="s">
        <v>13000</v>
      </c>
      <c r="H205" s="35" t="s">
        <v>2015</v>
      </c>
      <c r="I205" s="18" t="s">
        <v>2016</v>
      </c>
    </row>
    <row r="206" spans="1:9" s="31" customFormat="1" ht="60">
      <c r="A206" s="12">
        <v>43567.849756944444</v>
      </c>
      <c r="B206" s="13" t="s">
        <v>13505</v>
      </c>
      <c r="C206" s="14" t="s">
        <v>4937</v>
      </c>
      <c r="D206" s="15" t="s">
        <v>4938</v>
      </c>
      <c r="E206" s="16" t="s">
        <v>13099</v>
      </c>
      <c r="F206" s="12">
        <v>40967.508113425924</v>
      </c>
      <c r="G206" s="24" t="s">
        <v>13000</v>
      </c>
      <c r="H206" s="35" t="s">
        <v>2015</v>
      </c>
      <c r="I206" s="18" t="s">
        <v>4939</v>
      </c>
    </row>
    <row r="207" spans="1:9" s="31" customFormat="1" ht="90">
      <c r="A207" s="12">
        <v>43573.416770833333</v>
      </c>
      <c r="B207" s="13" t="s">
        <v>13506</v>
      </c>
      <c r="C207" s="14" t="s">
        <v>2881</v>
      </c>
      <c r="D207" s="15" t="s">
        <v>2882</v>
      </c>
      <c r="E207" s="16" t="s">
        <v>13507</v>
      </c>
      <c r="F207" s="12">
        <v>41499.830358796295</v>
      </c>
      <c r="G207" s="24" t="s">
        <v>13000</v>
      </c>
      <c r="H207" s="35" t="s">
        <v>2883</v>
      </c>
      <c r="I207" s="18" t="s">
        <v>2884</v>
      </c>
    </row>
    <row r="208" spans="1:9" s="31" customFormat="1" ht="105">
      <c r="A208" s="4">
        <v>43557.473275462966</v>
      </c>
      <c r="B208" s="5" t="s">
        <v>13508</v>
      </c>
      <c r="C208" s="6" t="s">
        <v>12506</v>
      </c>
      <c r="D208" s="7" t="s">
        <v>12507</v>
      </c>
      <c r="E208" s="8" t="s">
        <v>13099</v>
      </c>
      <c r="F208" s="4">
        <v>39861.800821759258</v>
      </c>
      <c r="G208" s="24" t="s">
        <v>13000</v>
      </c>
      <c r="H208" s="35" t="s">
        <v>12508</v>
      </c>
      <c r="I208" s="10" t="s">
        <v>12509</v>
      </c>
    </row>
    <row r="209" spans="1:9" s="31" customFormat="1" ht="75">
      <c r="A209" s="19">
        <v>43550.749548611115</v>
      </c>
      <c r="B209" s="20" t="s">
        <v>13509</v>
      </c>
      <c r="C209" s="21" t="s">
        <v>3379</v>
      </c>
      <c r="D209" s="22" t="s">
        <v>7521</v>
      </c>
      <c r="E209" s="23" t="s">
        <v>13013</v>
      </c>
      <c r="F209" s="19">
        <v>42809.537291666667</v>
      </c>
      <c r="G209" s="24" t="s">
        <v>13000</v>
      </c>
      <c r="H209" s="35" t="s">
        <v>2051</v>
      </c>
      <c r="I209" s="25" t="s">
        <v>3381</v>
      </c>
    </row>
    <row r="210" spans="1:9" s="31" customFormat="1" ht="105">
      <c r="A210" s="19">
        <v>43550.385312500002</v>
      </c>
      <c r="B210" s="20" t="s">
        <v>13510</v>
      </c>
      <c r="C210" s="21" t="s">
        <v>7690</v>
      </c>
      <c r="D210" s="22" t="s">
        <v>7691</v>
      </c>
      <c r="E210" s="23" t="s">
        <v>13146</v>
      </c>
      <c r="F210" s="19">
        <v>40738.261759259258</v>
      </c>
      <c r="G210" s="24" t="s">
        <v>13000</v>
      </c>
      <c r="H210" s="35" t="s">
        <v>2051</v>
      </c>
      <c r="I210" s="25" t="s">
        <v>7692</v>
      </c>
    </row>
    <row r="211" spans="1:9" s="31" customFormat="1" ht="75">
      <c r="A211" s="19">
        <v>43550.334907407407</v>
      </c>
      <c r="B211" s="20" t="s">
        <v>13511</v>
      </c>
      <c r="C211" s="21" t="s">
        <v>7724</v>
      </c>
      <c r="D211" s="22" t="s">
        <v>7725</v>
      </c>
      <c r="E211" s="23" t="s">
        <v>13027</v>
      </c>
      <c r="F211" s="19">
        <v>40784.438703703701</v>
      </c>
      <c r="G211" s="24" t="s">
        <v>13000</v>
      </c>
      <c r="H211" s="35" t="s">
        <v>2051</v>
      </c>
      <c r="I211" s="25" t="s">
        <v>7726</v>
      </c>
    </row>
    <row r="212" spans="1:9" s="31" customFormat="1" ht="45">
      <c r="A212" s="19">
        <v>43550.291655092587</v>
      </c>
      <c r="B212" s="20" t="s">
        <v>13512</v>
      </c>
      <c r="C212" s="21" t="s">
        <v>2619</v>
      </c>
      <c r="D212" s="22" t="s">
        <v>7748</v>
      </c>
      <c r="E212" s="23" t="s">
        <v>13443</v>
      </c>
      <c r="F212" s="19">
        <v>42235.569247685184</v>
      </c>
      <c r="G212" s="24" t="s">
        <v>13000</v>
      </c>
      <c r="H212" s="35" t="s">
        <v>2051</v>
      </c>
      <c r="I212" s="25" t="s">
        <v>2621</v>
      </c>
    </row>
    <row r="213" spans="1:9" s="31" customFormat="1" ht="75">
      <c r="A213" s="19">
        <v>43549.396307870367</v>
      </c>
      <c r="B213" s="20" t="s">
        <v>13513</v>
      </c>
      <c r="C213" s="21" t="s">
        <v>8061</v>
      </c>
      <c r="D213" s="22" t="s">
        <v>8062</v>
      </c>
      <c r="E213" s="23" t="s">
        <v>13018</v>
      </c>
      <c r="F213" s="19">
        <v>39904.622847222221</v>
      </c>
      <c r="G213" s="24" t="s">
        <v>13000</v>
      </c>
      <c r="H213" s="35" t="s">
        <v>2051</v>
      </c>
      <c r="I213" s="25" t="s">
        <v>8063</v>
      </c>
    </row>
    <row r="214" spans="1:9" s="31" customFormat="1" ht="135">
      <c r="A214" s="19">
        <v>43547.697094907402</v>
      </c>
      <c r="B214" s="20" t="s">
        <v>13514</v>
      </c>
      <c r="C214" s="21" t="s">
        <v>8482</v>
      </c>
      <c r="D214" s="22" t="s">
        <v>8483</v>
      </c>
      <c r="E214" s="23" t="s">
        <v>13011</v>
      </c>
      <c r="F214" s="19">
        <v>39842.421261574076</v>
      </c>
      <c r="G214" s="24" t="s">
        <v>13000</v>
      </c>
      <c r="H214" s="35" t="s">
        <v>2051</v>
      </c>
      <c r="I214" s="25" t="s">
        <v>8484</v>
      </c>
    </row>
    <row r="215" spans="1:9" s="31" customFormat="1" ht="105">
      <c r="A215" s="19">
        <v>43545.43478009259</v>
      </c>
      <c r="B215" s="20" t="s">
        <v>13515</v>
      </c>
      <c r="C215" s="21" t="s">
        <v>9134</v>
      </c>
      <c r="D215" s="22" t="s">
        <v>9135</v>
      </c>
      <c r="E215" s="23" t="s">
        <v>13032</v>
      </c>
      <c r="F215" s="19">
        <v>40218.485937500001</v>
      </c>
      <c r="G215" s="24" t="s">
        <v>13000</v>
      </c>
      <c r="H215" s="35" t="s">
        <v>2051</v>
      </c>
      <c r="I215" s="25" t="s">
        <v>9136</v>
      </c>
    </row>
    <row r="216" spans="1:9" s="31" customFormat="1" ht="45">
      <c r="A216" s="4">
        <v>43565.24998842593</v>
      </c>
      <c r="B216" s="5" t="s">
        <v>13512</v>
      </c>
      <c r="C216" s="6" t="s">
        <v>2619</v>
      </c>
      <c r="D216" s="7" t="s">
        <v>6208</v>
      </c>
      <c r="E216" s="8" t="s">
        <v>13443</v>
      </c>
      <c r="F216" s="4">
        <v>42235.569247685184</v>
      </c>
      <c r="G216" s="24" t="s">
        <v>13000</v>
      </c>
      <c r="H216" s="35" t="s">
        <v>2051</v>
      </c>
      <c r="I216" s="10" t="s">
        <v>2621</v>
      </c>
    </row>
    <row r="217" spans="1:9" s="31" customFormat="1" ht="120">
      <c r="A217" s="4">
        <v>43564.67024305556</v>
      </c>
      <c r="B217" s="5" t="s">
        <v>13516</v>
      </c>
      <c r="C217" s="6" t="s">
        <v>6459</v>
      </c>
      <c r="D217" s="7" t="s">
        <v>6460</v>
      </c>
      <c r="E217" s="8" t="s">
        <v>13011</v>
      </c>
      <c r="F217" s="4">
        <v>41711.286678240736</v>
      </c>
      <c r="G217" s="24" t="s">
        <v>13000</v>
      </c>
      <c r="H217" s="35" t="s">
        <v>2051</v>
      </c>
      <c r="I217" s="10" t="s">
        <v>6461</v>
      </c>
    </row>
    <row r="218" spans="1:9" s="31" customFormat="1" ht="60">
      <c r="A218" s="4">
        <v>43563.250057870369</v>
      </c>
      <c r="B218" s="5" t="s">
        <v>13512</v>
      </c>
      <c r="C218" s="6" t="s">
        <v>2619</v>
      </c>
      <c r="D218" s="7" t="s">
        <v>10422</v>
      </c>
      <c r="E218" s="8" t="s">
        <v>13443</v>
      </c>
      <c r="F218" s="4">
        <v>42235.569247685184</v>
      </c>
      <c r="G218" s="24" t="s">
        <v>13000</v>
      </c>
      <c r="H218" s="35" t="s">
        <v>2051</v>
      </c>
      <c r="I218" s="10" t="s">
        <v>2621</v>
      </c>
    </row>
    <row r="219" spans="1:9" s="31" customFormat="1" ht="60">
      <c r="A219" s="4">
        <v>43560.335011574076</v>
      </c>
      <c r="B219" s="5" t="s">
        <v>13517</v>
      </c>
      <c r="C219" s="6" t="s">
        <v>11440</v>
      </c>
      <c r="D219" s="7" t="s">
        <v>11441</v>
      </c>
      <c r="E219" s="8" t="s">
        <v>13011</v>
      </c>
      <c r="F219" s="4">
        <v>40841.584780092591</v>
      </c>
      <c r="G219" s="24" t="s">
        <v>13000</v>
      </c>
      <c r="H219" s="35" t="s">
        <v>2051</v>
      </c>
      <c r="I219" s="10" t="s">
        <v>11442</v>
      </c>
    </row>
    <row r="220" spans="1:9" s="31" customFormat="1" ht="105">
      <c r="A220" s="4">
        <v>43560.216678240744</v>
      </c>
      <c r="B220" s="5" t="s">
        <v>13518</v>
      </c>
      <c r="C220" s="6" t="s">
        <v>11563</v>
      </c>
      <c r="D220" s="7" t="s">
        <v>11564</v>
      </c>
      <c r="E220" s="8" t="s">
        <v>13519</v>
      </c>
      <c r="F220" s="4">
        <v>39928.239768518521</v>
      </c>
      <c r="G220" s="24" t="s">
        <v>13000</v>
      </c>
      <c r="H220" s="35" t="s">
        <v>2051</v>
      </c>
      <c r="I220" s="10" t="s">
        <v>11565</v>
      </c>
    </row>
    <row r="221" spans="1:9" s="31" customFormat="1" ht="45">
      <c r="A221" s="4">
        <v>43557.291666666672</v>
      </c>
      <c r="B221" s="5" t="s">
        <v>13512</v>
      </c>
      <c r="C221" s="6" t="s">
        <v>2619</v>
      </c>
      <c r="D221" s="7" t="s">
        <v>12581</v>
      </c>
      <c r="E221" s="8" t="s">
        <v>13443</v>
      </c>
      <c r="F221" s="4">
        <v>42235.569247685184</v>
      </c>
      <c r="G221" s="24" t="s">
        <v>13000</v>
      </c>
      <c r="H221" s="35" t="s">
        <v>2051</v>
      </c>
      <c r="I221" s="10" t="s">
        <v>2621</v>
      </c>
    </row>
    <row r="222" spans="1:9" s="31" customFormat="1" ht="45">
      <c r="A222" s="12">
        <v>43576.093541666662</v>
      </c>
      <c r="B222" s="13" t="s">
        <v>13520</v>
      </c>
      <c r="C222" s="14" t="s">
        <v>2049</v>
      </c>
      <c r="D222" s="15" t="s">
        <v>2050</v>
      </c>
      <c r="E222" s="16" t="s">
        <v>13114</v>
      </c>
      <c r="F222" s="12">
        <v>39883.311944444446</v>
      </c>
      <c r="G222" s="24" t="s">
        <v>13000</v>
      </c>
      <c r="H222" s="35" t="s">
        <v>2051</v>
      </c>
      <c r="I222" s="18" t="s">
        <v>2052</v>
      </c>
    </row>
    <row r="223" spans="1:9" s="31" customFormat="1" ht="45">
      <c r="A223" s="12">
        <v>43574.874328703707</v>
      </c>
      <c r="B223" s="13" t="s">
        <v>13521</v>
      </c>
      <c r="C223" s="13" t="s">
        <v>2410</v>
      </c>
      <c r="D223" s="15" t="s">
        <v>2050</v>
      </c>
      <c r="E223" s="16" t="s">
        <v>13114</v>
      </c>
      <c r="F223" s="12">
        <v>39568.394675925927</v>
      </c>
      <c r="G223" s="24" t="s">
        <v>13000</v>
      </c>
      <c r="H223" s="35" t="s">
        <v>2051</v>
      </c>
      <c r="I223" s="18" t="s">
        <v>2411</v>
      </c>
    </row>
    <row r="224" spans="1:9" s="31" customFormat="1" ht="45">
      <c r="A224" s="12">
        <v>43574.555405092593</v>
      </c>
      <c r="B224" s="13" t="s">
        <v>13520</v>
      </c>
      <c r="C224" s="14" t="s">
        <v>2049</v>
      </c>
      <c r="D224" s="15" t="s">
        <v>2050</v>
      </c>
      <c r="E224" s="16" t="s">
        <v>13114</v>
      </c>
      <c r="F224" s="12">
        <v>39883.311944444446</v>
      </c>
      <c r="G224" s="24" t="s">
        <v>13000</v>
      </c>
      <c r="H224" s="35" t="s">
        <v>2051</v>
      </c>
      <c r="I224" s="18" t="s">
        <v>2052</v>
      </c>
    </row>
    <row r="225" spans="1:9" s="31" customFormat="1" ht="60">
      <c r="A225" s="12">
        <v>43574.291712962964</v>
      </c>
      <c r="B225" s="13" t="s">
        <v>13512</v>
      </c>
      <c r="C225" s="14" t="s">
        <v>2619</v>
      </c>
      <c r="D225" s="15" t="s">
        <v>2620</v>
      </c>
      <c r="E225" s="16" t="s">
        <v>13443</v>
      </c>
      <c r="F225" s="12">
        <v>42235.569247685184</v>
      </c>
      <c r="G225" s="24" t="s">
        <v>13000</v>
      </c>
      <c r="H225" s="35" t="s">
        <v>2051</v>
      </c>
      <c r="I225" s="18" t="s">
        <v>2621</v>
      </c>
    </row>
    <row r="226" spans="1:9" s="31" customFormat="1" ht="75">
      <c r="A226" s="12">
        <v>43572.195625</v>
      </c>
      <c r="B226" s="13" t="s">
        <v>13509</v>
      </c>
      <c r="C226" s="14" t="s">
        <v>3379</v>
      </c>
      <c r="D226" s="15" t="s">
        <v>3380</v>
      </c>
      <c r="E226" s="16" t="s">
        <v>13009</v>
      </c>
      <c r="F226" s="12">
        <v>42809.537291666667</v>
      </c>
      <c r="G226" s="24" t="s">
        <v>13000</v>
      </c>
      <c r="H226" s="35" t="s">
        <v>2051</v>
      </c>
      <c r="I226" s="18" t="s">
        <v>3381</v>
      </c>
    </row>
    <row r="227" spans="1:9" s="31" customFormat="1" ht="120">
      <c r="A227" s="12">
        <v>43569.311979166669</v>
      </c>
      <c r="B227" s="13" t="s">
        <v>13522</v>
      </c>
      <c r="C227" s="14" t="s">
        <v>4555</v>
      </c>
      <c r="D227" s="15" t="s">
        <v>4556</v>
      </c>
      <c r="E227" s="16" t="s">
        <v>13011</v>
      </c>
      <c r="F227" s="12">
        <v>39177.380775462967</v>
      </c>
      <c r="G227" s="24" t="s">
        <v>13000</v>
      </c>
      <c r="H227" s="35" t="s">
        <v>2051</v>
      </c>
      <c r="I227" s="18" t="s">
        <v>4557</v>
      </c>
    </row>
    <row r="228" spans="1:9" s="31" customFormat="1" ht="45">
      <c r="A228" s="12">
        <v>43568.191145833334</v>
      </c>
      <c r="B228" s="13" t="s">
        <v>13523</v>
      </c>
      <c r="C228" s="14" t="s">
        <v>4851</v>
      </c>
      <c r="D228" s="15" t="s">
        <v>4852</v>
      </c>
      <c r="E228" s="16" t="s">
        <v>13524</v>
      </c>
      <c r="F228" s="12">
        <v>41617.654085648144</v>
      </c>
      <c r="G228" s="24" t="s">
        <v>13000</v>
      </c>
      <c r="H228" s="35" t="s">
        <v>2051</v>
      </c>
      <c r="I228" s="18" t="s">
        <v>4853</v>
      </c>
    </row>
    <row r="229" spans="1:9" s="31" customFormat="1" ht="60">
      <c r="A229" s="12">
        <v>43567.402245370366</v>
      </c>
      <c r="B229" s="13" t="s">
        <v>13525</v>
      </c>
      <c r="C229" s="14" t="s">
        <v>5118</v>
      </c>
      <c r="D229" s="15" t="s">
        <v>5119</v>
      </c>
      <c r="E229" s="16" t="s">
        <v>13034</v>
      </c>
      <c r="F229" s="12">
        <v>43257.733506944445</v>
      </c>
      <c r="G229" s="24" t="s">
        <v>13000</v>
      </c>
      <c r="H229" s="35" t="s">
        <v>2051</v>
      </c>
      <c r="I229" s="18" t="s">
        <v>5120</v>
      </c>
    </row>
    <row r="230" spans="1:9" s="31" customFormat="1" ht="90">
      <c r="A230" s="19">
        <v>43543.166747685187</v>
      </c>
      <c r="B230" s="20" t="s">
        <v>13526</v>
      </c>
      <c r="C230" s="21" t="s">
        <v>9915</v>
      </c>
      <c r="D230" s="22" t="s">
        <v>9916</v>
      </c>
      <c r="E230" s="23" t="s">
        <v>13527</v>
      </c>
      <c r="F230" s="19">
        <v>39840.435173611113</v>
      </c>
      <c r="G230" s="24" t="s">
        <v>13000</v>
      </c>
      <c r="H230" s="35" t="s">
        <v>9917</v>
      </c>
      <c r="I230" s="25" t="s">
        <v>9918</v>
      </c>
    </row>
    <row r="231" spans="1:9" s="31" customFormat="1" ht="135">
      <c r="A231" s="12">
        <v>43569.630393518513</v>
      </c>
      <c r="B231" s="13" t="s">
        <v>13528</v>
      </c>
      <c r="C231" s="14" t="s">
        <v>4453</v>
      </c>
      <c r="D231" s="15" t="s">
        <v>4454</v>
      </c>
      <c r="E231" s="16" t="s">
        <v>13011</v>
      </c>
      <c r="F231" s="12">
        <v>42940.357916666668</v>
      </c>
      <c r="G231" s="24" t="s">
        <v>13000</v>
      </c>
      <c r="H231" s="35" t="s">
        <v>4455</v>
      </c>
      <c r="I231" s="18" t="s">
        <v>4456</v>
      </c>
    </row>
    <row r="232" spans="1:9" s="31" customFormat="1" ht="75">
      <c r="A232" s="19">
        <v>43547.215775462959</v>
      </c>
      <c r="B232" s="20" t="s">
        <v>13529</v>
      </c>
      <c r="C232" s="21" t="s">
        <v>8630</v>
      </c>
      <c r="D232" s="22" t="s">
        <v>8631</v>
      </c>
      <c r="E232" s="23" t="s">
        <v>13006</v>
      </c>
      <c r="F232" s="19">
        <v>40943.665648148148</v>
      </c>
      <c r="G232" s="24" t="s">
        <v>13000</v>
      </c>
      <c r="H232" s="35" t="s">
        <v>8632</v>
      </c>
      <c r="I232" s="25" t="s">
        <v>8633</v>
      </c>
    </row>
    <row r="233" spans="1:9" s="31" customFormat="1" ht="60">
      <c r="A233" s="4">
        <v>43565.621516203704</v>
      </c>
      <c r="B233" s="5" t="s">
        <v>13530</v>
      </c>
      <c r="C233" s="6" t="s">
        <v>5987</v>
      </c>
      <c r="D233" s="7" t="s">
        <v>5988</v>
      </c>
      <c r="E233" s="8" t="s">
        <v>13018</v>
      </c>
      <c r="F233" s="4">
        <v>41075.259027777778</v>
      </c>
      <c r="G233" s="24" t="s">
        <v>13000</v>
      </c>
      <c r="H233" s="35" t="s">
        <v>5989</v>
      </c>
      <c r="I233" s="10" t="s">
        <v>5990</v>
      </c>
    </row>
    <row r="234" spans="1:9" s="31" customFormat="1" ht="60">
      <c r="A234" s="4">
        <v>43560.559374999997</v>
      </c>
      <c r="B234" s="5" t="s">
        <v>13531</v>
      </c>
      <c r="C234" s="6" t="s">
        <v>11289</v>
      </c>
      <c r="D234" s="7" t="s">
        <v>11290</v>
      </c>
      <c r="E234" s="8" t="s">
        <v>13011</v>
      </c>
      <c r="F234" s="4">
        <v>39647.661203703705</v>
      </c>
      <c r="G234" s="24" t="s">
        <v>13000</v>
      </c>
      <c r="H234" s="35" t="s">
        <v>11291</v>
      </c>
      <c r="I234" s="10" t="s">
        <v>11292</v>
      </c>
    </row>
    <row r="235" spans="1:9" s="31" customFormat="1" ht="105">
      <c r="A235" s="19">
        <v>43548.762997685189</v>
      </c>
      <c r="B235" s="20" t="s">
        <v>13532</v>
      </c>
      <c r="C235" s="21" t="s">
        <v>8224</v>
      </c>
      <c r="D235" s="22" t="s">
        <v>8225</v>
      </c>
      <c r="E235" s="23" t="s">
        <v>13015</v>
      </c>
      <c r="F235" s="19">
        <v>41137.280057870368</v>
      </c>
      <c r="G235" s="24" t="s">
        <v>13000</v>
      </c>
      <c r="H235" s="35" t="s">
        <v>8226</v>
      </c>
      <c r="I235" s="25" t="s">
        <v>8227</v>
      </c>
    </row>
    <row r="236" spans="1:9" s="31" customFormat="1" ht="90">
      <c r="A236" s="4">
        <v>43557.521111111113</v>
      </c>
      <c r="B236" s="5" t="s">
        <v>13533</v>
      </c>
      <c r="C236" s="6" t="s">
        <v>12487</v>
      </c>
      <c r="D236" s="7" t="s">
        <v>10985</v>
      </c>
      <c r="E236" s="8" t="s">
        <v>13006</v>
      </c>
      <c r="F236" s="4">
        <v>43032.60092592593</v>
      </c>
      <c r="G236" s="9" t="s">
        <v>13000</v>
      </c>
      <c r="H236" s="35" t="s">
        <v>12488</v>
      </c>
      <c r="I236" s="10" t="s">
        <v>12489</v>
      </c>
    </row>
    <row r="237" spans="1:9" s="31" customFormat="1" ht="75">
      <c r="A237" s="4">
        <v>43564.700428240743</v>
      </c>
      <c r="B237" s="5" t="s">
        <v>13534</v>
      </c>
      <c r="C237" s="6" t="s">
        <v>10200</v>
      </c>
      <c r="D237" s="7" t="s">
        <v>10201</v>
      </c>
      <c r="E237" s="8" t="s">
        <v>13009</v>
      </c>
      <c r="F237" s="4">
        <v>43137.574988425928</v>
      </c>
      <c r="G237" s="9" t="s">
        <v>13000</v>
      </c>
      <c r="H237" s="35" t="s">
        <v>10202</v>
      </c>
      <c r="I237" s="10" t="s">
        <v>10203</v>
      </c>
    </row>
    <row r="238" spans="1:9" s="31" customFormat="1" ht="120">
      <c r="A238" s="4">
        <v>43559.841168981482</v>
      </c>
      <c r="B238" s="5" t="s">
        <v>13535</v>
      </c>
      <c r="C238" s="6" t="s">
        <v>11674</v>
      </c>
      <c r="D238" s="7" t="s">
        <v>11675</v>
      </c>
      <c r="E238" s="8" t="s">
        <v>13011</v>
      </c>
      <c r="F238" s="4">
        <v>39982.607361111113</v>
      </c>
      <c r="G238" s="9" t="s">
        <v>13000</v>
      </c>
      <c r="H238" s="35" t="s">
        <v>10202</v>
      </c>
      <c r="I238" s="10" t="s">
        <v>11676</v>
      </c>
    </row>
    <row r="239" spans="1:9" s="31" customFormat="1" ht="120">
      <c r="A239" s="19">
        <v>43550.219317129631</v>
      </c>
      <c r="B239" s="20" t="s">
        <v>13536</v>
      </c>
      <c r="C239" s="21" t="s">
        <v>7785</v>
      </c>
      <c r="D239" s="22" t="s">
        <v>7786</v>
      </c>
      <c r="E239" s="23" t="s">
        <v>13011</v>
      </c>
      <c r="F239" s="19">
        <v>40617.295405092591</v>
      </c>
      <c r="G239" s="9" t="s">
        <v>13000</v>
      </c>
      <c r="H239" s="35" t="s">
        <v>7787</v>
      </c>
      <c r="I239" s="25" t="s">
        <v>7788</v>
      </c>
    </row>
    <row r="240" spans="1:9" s="31" customFormat="1" ht="120">
      <c r="A240" s="4">
        <v>43563.591238425928</v>
      </c>
      <c r="B240" s="5" t="s">
        <v>13537</v>
      </c>
      <c r="C240" s="6" t="s">
        <v>6956</v>
      </c>
      <c r="D240" s="7" t="s">
        <v>6957</v>
      </c>
      <c r="E240" s="8" t="s">
        <v>13538</v>
      </c>
      <c r="F240" s="4">
        <v>41550.734456018516</v>
      </c>
      <c r="G240" s="9" t="s">
        <v>13000</v>
      </c>
      <c r="H240" s="35" t="s">
        <v>6958</v>
      </c>
      <c r="I240" s="10" t="s">
        <v>6959</v>
      </c>
    </row>
    <row r="241" spans="1:9" s="31" customFormat="1" ht="60">
      <c r="A241" s="12">
        <v>43568.589421296296</v>
      </c>
      <c r="B241" s="13" t="s">
        <v>13539</v>
      </c>
      <c r="C241" s="14" t="s">
        <v>4691</v>
      </c>
      <c r="D241" s="15" t="s">
        <v>4692</v>
      </c>
      <c r="E241" s="16" t="s">
        <v>13011</v>
      </c>
      <c r="F241" s="12">
        <v>40817.539606481485</v>
      </c>
      <c r="G241" s="9" t="s">
        <v>13000</v>
      </c>
      <c r="H241" s="35" t="s">
        <v>4693</v>
      </c>
      <c r="I241" s="18" t="s">
        <v>4694</v>
      </c>
    </row>
    <row r="242" spans="1:9" s="31" customFormat="1" ht="90">
      <c r="A242" s="4">
        <v>43560.26840277778</v>
      </c>
      <c r="B242" s="5" t="s">
        <v>13540</v>
      </c>
      <c r="C242" s="6" t="s">
        <v>11514</v>
      </c>
      <c r="D242" s="7" t="s">
        <v>11515</v>
      </c>
      <c r="E242" s="8" t="s">
        <v>13006</v>
      </c>
      <c r="F242" s="4">
        <v>40310.366041666668</v>
      </c>
      <c r="G242" s="9" t="s">
        <v>13000</v>
      </c>
      <c r="H242" s="35" t="s">
        <v>11516</v>
      </c>
      <c r="I242" s="10" t="s">
        <v>11517</v>
      </c>
    </row>
    <row r="243" spans="1:9" s="31" customFormat="1" ht="120">
      <c r="A243" s="12">
        <v>43570.458831018521</v>
      </c>
      <c r="B243" s="13" t="s">
        <v>13541</v>
      </c>
      <c r="C243" s="14" t="s">
        <v>4133</v>
      </c>
      <c r="D243" s="15" t="s">
        <v>4132</v>
      </c>
      <c r="E243" s="16" t="s">
        <v>13018</v>
      </c>
      <c r="F243" s="12">
        <v>41347.800057870372</v>
      </c>
      <c r="G243" s="17" t="s">
        <v>13000</v>
      </c>
      <c r="H243" s="35" t="s">
        <v>4134</v>
      </c>
      <c r="I243" s="18" t="s">
        <v>4135</v>
      </c>
    </row>
    <row r="244" spans="1:9" s="31" customFormat="1" ht="60">
      <c r="A244" s="12">
        <v>43579.145162037035</v>
      </c>
      <c r="B244" s="13" t="s">
        <v>13542</v>
      </c>
      <c r="C244" s="14" t="s">
        <v>911</v>
      </c>
      <c r="D244" s="15" t="s">
        <v>912</v>
      </c>
      <c r="E244" s="16" t="s">
        <v>13032</v>
      </c>
      <c r="F244" s="12">
        <v>40678.562615740739</v>
      </c>
      <c r="G244" s="17" t="s">
        <v>13000</v>
      </c>
      <c r="H244" s="35" t="s">
        <v>913</v>
      </c>
      <c r="I244" s="18" t="s">
        <v>914</v>
      </c>
    </row>
    <row r="245" spans="1:9" s="31" customFormat="1" ht="105">
      <c r="A245" s="19">
        <v>43550.833993055552</v>
      </c>
      <c r="B245" s="20" t="s">
        <v>13543</v>
      </c>
      <c r="C245" s="21" t="s">
        <v>7487</v>
      </c>
      <c r="D245" s="22" t="s">
        <v>7488</v>
      </c>
      <c r="E245" s="23" t="s">
        <v>13013</v>
      </c>
      <c r="F245" s="19">
        <v>40439.488263888888</v>
      </c>
      <c r="G245" s="17" t="s">
        <v>13000</v>
      </c>
      <c r="H245" s="35" t="s">
        <v>7489</v>
      </c>
      <c r="I245" s="25" t="s">
        <v>7490</v>
      </c>
    </row>
    <row r="246" spans="1:9" s="31" customFormat="1" ht="75">
      <c r="A246" s="4">
        <v>43562.270833333328</v>
      </c>
      <c r="B246" s="5" t="s">
        <v>13544</v>
      </c>
      <c r="C246" s="6" t="s">
        <v>10715</v>
      </c>
      <c r="D246" s="7" t="s">
        <v>10716</v>
      </c>
      <c r="E246" s="8" t="s">
        <v>13032</v>
      </c>
      <c r="F246" s="4">
        <v>39858.303506944445</v>
      </c>
      <c r="G246" s="17" t="s">
        <v>13000</v>
      </c>
      <c r="H246" s="35" t="s">
        <v>10717</v>
      </c>
      <c r="I246" s="10" t="s">
        <v>10718</v>
      </c>
    </row>
    <row r="247" spans="1:9" s="31" customFormat="1" ht="45">
      <c r="A247" s="4">
        <v>43565.793761574074</v>
      </c>
      <c r="B247" s="5" t="s">
        <v>13545</v>
      </c>
      <c r="C247" s="6" t="s">
        <v>5383</v>
      </c>
      <c r="D247" s="7" t="s">
        <v>5893</v>
      </c>
      <c r="E247" s="8" t="s">
        <v>13034</v>
      </c>
      <c r="F247" s="4">
        <v>43106.684189814812</v>
      </c>
      <c r="G247" s="17" t="s">
        <v>13000</v>
      </c>
      <c r="H247" s="35" t="s">
        <v>5385</v>
      </c>
      <c r="I247" s="10" t="s">
        <v>5386</v>
      </c>
    </row>
    <row r="248" spans="1:9" s="31" customFormat="1" ht="45">
      <c r="A248" s="4">
        <v>43565.622233796297</v>
      </c>
      <c r="B248" s="5" t="s">
        <v>13545</v>
      </c>
      <c r="C248" s="6" t="s">
        <v>5383</v>
      </c>
      <c r="D248" s="7" t="s">
        <v>5986</v>
      </c>
      <c r="E248" s="8" t="s">
        <v>13034</v>
      </c>
      <c r="F248" s="4">
        <v>43106.684189814812</v>
      </c>
      <c r="G248" s="17" t="s">
        <v>13000</v>
      </c>
      <c r="H248" s="35" t="s">
        <v>5385</v>
      </c>
      <c r="I248" s="10" t="s">
        <v>5386</v>
      </c>
    </row>
    <row r="249" spans="1:9" s="31" customFormat="1" ht="45">
      <c r="A249" s="12">
        <v>43566.635474537034</v>
      </c>
      <c r="B249" s="13" t="s">
        <v>13545</v>
      </c>
      <c r="C249" s="14" t="s">
        <v>5383</v>
      </c>
      <c r="D249" s="15" t="s">
        <v>5384</v>
      </c>
      <c r="E249" s="16" t="s">
        <v>13034</v>
      </c>
      <c r="F249" s="12">
        <v>43106.684189814812</v>
      </c>
      <c r="G249" s="17" t="s">
        <v>13000</v>
      </c>
      <c r="H249" s="35" t="s">
        <v>5385</v>
      </c>
      <c r="I249" s="18" t="s">
        <v>5386</v>
      </c>
    </row>
    <row r="250" spans="1:9" s="31" customFormat="1" ht="45">
      <c r="A250" s="12">
        <v>43566.420856481476</v>
      </c>
      <c r="B250" s="13" t="s">
        <v>13545</v>
      </c>
      <c r="C250" s="14" t="s">
        <v>5383</v>
      </c>
      <c r="D250" s="15" t="s">
        <v>5384</v>
      </c>
      <c r="E250" s="16" t="s">
        <v>13034</v>
      </c>
      <c r="F250" s="12">
        <v>43106.684189814812</v>
      </c>
      <c r="G250" s="17" t="s">
        <v>13000</v>
      </c>
      <c r="H250" s="35" t="s">
        <v>5385</v>
      </c>
      <c r="I250" s="18" t="s">
        <v>5386</v>
      </c>
    </row>
    <row r="251" spans="1:9" s="31" customFormat="1" ht="60">
      <c r="A251" s="19">
        <v>43551.686307870375</v>
      </c>
      <c r="B251" s="20" t="s">
        <v>13546</v>
      </c>
      <c r="C251" s="21" t="s">
        <v>913</v>
      </c>
      <c r="D251" s="22" t="s">
        <v>7051</v>
      </c>
      <c r="E251" s="23" t="s">
        <v>13011</v>
      </c>
      <c r="F251" s="19">
        <v>41223.150231481479</v>
      </c>
      <c r="G251" s="17" t="s">
        <v>13000</v>
      </c>
      <c r="H251" s="35" t="s">
        <v>1836</v>
      </c>
      <c r="I251" s="25" t="s">
        <v>7052</v>
      </c>
    </row>
    <row r="252" spans="1:9" s="31" customFormat="1" ht="105">
      <c r="A252" s="19">
        <v>43545.406111111108</v>
      </c>
      <c r="B252" s="20" t="s">
        <v>13547</v>
      </c>
      <c r="C252" s="21" t="s">
        <v>9152</v>
      </c>
      <c r="D252" s="22" t="s">
        <v>9153</v>
      </c>
      <c r="E252" s="23" t="s">
        <v>13032</v>
      </c>
      <c r="F252" s="19">
        <v>42767.80537037037</v>
      </c>
      <c r="G252" s="17" t="s">
        <v>13000</v>
      </c>
      <c r="H252" s="35" t="s">
        <v>1836</v>
      </c>
      <c r="I252" s="25" t="s">
        <v>9154</v>
      </c>
    </row>
    <row r="253" spans="1:9" s="31" customFormat="1" ht="105">
      <c r="A253" s="4">
        <v>43565.695821759262</v>
      </c>
      <c r="B253" s="5" t="s">
        <v>13548</v>
      </c>
      <c r="C253" s="6" t="s">
        <v>5939</v>
      </c>
      <c r="D253" s="7" t="s">
        <v>5940</v>
      </c>
      <c r="E253" s="8" t="s">
        <v>13006</v>
      </c>
      <c r="F253" s="4">
        <v>41157.525694444441</v>
      </c>
      <c r="G253" s="17" t="s">
        <v>13000</v>
      </c>
      <c r="H253" s="35" t="s">
        <v>1836</v>
      </c>
      <c r="I253" s="10" t="s">
        <v>5941</v>
      </c>
    </row>
    <row r="254" spans="1:9" s="31" customFormat="1" ht="90">
      <c r="A254" s="4">
        <v>43562.633761574078</v>
      </c>
      <c r="B254" s="5" t="s">
        <v>13549</v>
      </c>
      <c r="C254" s="6" t="s">
        <v>2261</v>
      </c>
      <c r="D254" s="7" t="s">
        <v>10634</v>
      </c>
      <c r="E254" s="8" t="s">
        <v>13013</v>
      </c>
      <c r="F254" s="4">
        <v>42025.497372685189</v>
      </c>
      <c r="G254" s="17" t="s">
        <v>13000</v>
      </c>
      <c r="H254" s="35" t="s">
        <v>1836</v>
      </c>
      <c r="I254" s="10" t="s">
        <v>2263</v>
      </c>
    </row>
    <row r="255" spans="1:9" s="31" customFormat="1" ht="60">
      <c r="A255" s="4">
        <v>43560.190925925926</v>
      </c>
      <c r="B255" s="5" t="s">
        <v>13550</v>
      </c>
      <c r="C255" s="6" t="s">
        <v>11576</v>
      </c>
      <c r="D255" s="7" t="s">
        <v>11577</v>
      </c>
      <c r="E255" s="8" t="s">
        <v>13013</v>
      </c>
      <c r="F255" s="4">
        <v>43158.365150462967</v>
      </c>
      <c r="G255" s="17" t="s">
        <v>13000</v>
      </c>
      <c r="H255" s="35" t="s">
        <v>1836</v>
      </c>
      <c r="I255" s="10" t="s">
        <v>11578</v>
      </c>
    </row>
    <row r="256" spans="1:9" s="31" customFormat="1" ht="120">
      <c r="A256" s="12">
        <v>43576.789953703701</v>
      </c>
      <c r="B256" s="13" t="s">
        <v>13551</v>
      </c>
      <c r="C256" s="14" t="s">
        <v>1834</v>
      </c>
      <c r="D256" s="15" t="s">
        <v>1835</v>
      </c>
      <c r="E256" s="16" t="s">
        <v>13006</v>
      </c>
      <c r="F256" s="12">
        <v>39920.679803240739</v>
      </c>
      <c r="G256" s="17" t="s">
        <v>13000</v>
      </c>
      <c r="H256" s="35" t="s">
        <v>1836</v>
      </c>
      <c r="I256" s="18" t="s">
        <v>1837</v>
      </c>
    </row>
    <row r="257" spans="1:9" s="31" customFormat="1" ht="90">
      <c r="A257" s="12">
        <v>43575.360798611116</v>
      </c>
      <c r="B257" s="13" t="s">
        <v>13549</v>
      </c>
      <c r="C257" s="14" t="s">
        <v>2261</v>
      </c>
      <c r="D257" s="15" t="s">
        <v>2262</v>
      </c>
      <c r="E257" s="16" t="s">
        <v>13013</v>
      </c>
      <c r="F257" s="12">
        <v>42025.497372685189</v>
      </c>
      <c r="G257" s="17" t="s">
        <v>13000</v>
      </c>
      <c r="H257" s="35" t="s">
        <v>1836</v>
      </c>
      <c r="I257" s="18" t="s">
        <v>2263</v>
      </c>
    </row>
    <row r="258" spans="1:9" s="31" customFormat="1" ht="75">
      <c r="A258" s="12">
        <v>43572.401354166665</v>
      </c>
      <c r="B258" s="13" t="s">
        <v>13552</v>
      </c>
      <c r="C258" s="14" t="s">
        <v>3264</v>
      </c>
      <c r="D258" s="15" t="s">
        <v>3265</v>
      </c>
      <c r="E258" s="16" t="s">
        <v>13011</v>
      </c>
      <c r="F258" s="12">
        <v>40667.527465277773</v>
      </c>
      <c r="G258" s="17" t="s">
        <v>13000</v>
      </c>
      <c r="H258" s="35" t="s">
        <v>3266</v>
      </c>
      <c r="I258" s="18" t="s">
        <v>3267</v>
      </c>
    </row>
    <row r="259" spans="1:9" s="31" customFormat="1" ht="60">
      <c r="A259" s="4">
        <v>43563.543310185181</v>
      </c>
      <c r="B259" s="5" t="s">
        <v>13553</v>
      </c>
      <c r="C259" s="6" t="s">
        <v>10236</v>
      </c>
      <c r="D259" s="7" t="s">
        <v>10237</v>
      </c>
      <c r="E259" s="8" t="s">
        <v>13479</v>
      </c>
      <c r="F259" s="4">
        <v>41781.314976851849</v>
      </c>
      <c r="G259" s="17" t="s">
        <v>13000</v>
      </c>
      <c r="H259" s="35" t="s">
        <v>10238</v>
      </c>
      <c r="I259" s="10" t="s">
        <v>10239</v>
      </c>
    </row>
    <row r="260" spans="1:9" s="31" customFormat="1" ht="30">
      <c r="A260" s="19">
        <v>43549.412916666668</v>
      </c>
      <c r="B260" s="20" t="s">
        <v>13554</v>
      </c>
      <c r="C260" s="21" t="s">
        <v>1877</v>
      </c>
      <c r="D260" s="22" t="s">
        <v>8043</v>
      </c>
      <c r="E260" s="23" t="s">
        <v>13011</v>
      </c>
      <c r="F260" s="19">
        <v>39903.765833333331</v>
      </c>
      <c r="G260" s="24" t="s">
        <v>13000</v>
      </c>
      <c r="H260" s="35" t="s">
        <v>1879</v>
      </c>
      <c r="I260" s="25" t="s">
        <v>1880</v>
      </c>
    </row>
    <row r="261" spans="1:9" s="31" customFormat="1" ht="60">
      <c r="A261" s="12">
        <v>43576.652881944443</v>
      </c>
      <c r="B261" s="13" t="s">
        <v>13554</v>
      </c>
      <c r="C261" s="14" t="s">
        <v>1877</v>
      </c>
      <c r="D261" s="15" t="s">
        <v>1878</v>
      </c>
      <c r="E261" s="16" t="s">
        <v>13032</v>
      </c>
      <c r="F261" s="12">
        <v>39903.765833333331</v>
      </c>
      <c r="G261" s="24" t="s">
        <v>13000</v>
      </c>
      <c r="H261" s="35" t="s">
        <v>1879</v>
      </c>
      <c r="I261" s="18" t="s">
        <v>1880</v>
      </c>
    </row>
    <row r="262" spans="1:9" s="31" customFormat="1" ht="120">
      <c r="A262" s="19">
        <v>43546.35465277778</v>
      </c>
      <c r="B262" s="20" t="s">
        <v>13555</v>
      </c>
      <c r="C262" s="21" t="s">
        <v>6647</v>
      </c>
      <c r="D262" s="22" t="s">
        <v>8893</v>
      </c>
      <c r="E262" s="23" t="s">
        <v>13462</v>
      </c>
      <c r="F262" s="19">
        <v>40521.557557870372</v>
      </c>
      <c r="G262" s="24" t="s">
        <v>13000</v>
      </c>
      <c r="H262" s="35" t="s">
        <v>6649</v>
      </c>
      <c r="I262" s="25" t="s">
        <v>6650</v>
      </c>
    </row>
    <row r="263" spans="1:9" s="31" customFormat="1" ht="120">
      <c r="A263" s="4">
        <v>43564.377141203702</v>
      </c>
      <c r="B263" s="5" t="s">
        <v>13555</v>
      </c>
      <c r="C263" s="6" t="s">
        <v>6647</v>
      </c>
      <c r="D263" s="7" t="s">
        <v>6648</v>
      </c>
      <c r="E263" s="8" t="s">
        <v>13462</v>
      </c>
      <c r="F263" s="4">
        <v>40521.557557870372</v>
      </c>
      <c r="G263" s="24" t="s">
        <v>13000</v>
      </c>
      <c r="H263" s="35" t="s">
        <v>6649</v>
      </c>
      <c r="I263" s="10" t="s">
        <v>6650</v>
      </c>
    </row>
    <row r="264" spans="1:9" s="31" customFormat="1" ht="90">
      <c r="A264" s="12">
        <v>43578.706793981481</v>
      </c>
      <c r="B264" s="13" t="s">
        <v>13556</v>
      </c>
      <c r="C264" s="13" t="s">
        <v>1086</v>
      </c>
      <c r="D264" s="15" t="s">
        <v>1087</v>
      </c>
      <c r="E264" s="16" t="s">
        <v>13015</v>
      </c>
      <c r="F264" s="12">
        <v>43379.473148148143</v>
      </c>
      <c r="G264" s="17" t="s">
        <v>13000</v>
      </c>
      <c r="H264" s="35" t="s">
        <v>1088</v>
      </c>
      <c r="I264" s="18" t="s">
        <v>1089</v>
      </c>
    </row>
    <row r="265" spans="1:9" s="31" customFormat="1" ht="75">
      <c r="A265" s="12">
        <v>43571.729108796295</v>
      </c>
      <c r="B265" s="13" t="s">
        <v>13557</v>
      </c>
      <c r="C265" s="13" t="s">
        <v>3574</v>
      </c>
      <c r="D265" s="15" t="s">
        <v>3575</v>
      </c>
      <c r="E265" s="16" t="s">
        <v>13558</v>
      </c>
      <c r="F265" s="12">
        <v>42920.755833333329</v>
      </c>
      <c r="G265" s="17" t="s">
        <v>13000</v>
      </c>
      <c r="H265" s="35" t="s">
        <v>1088</v>
      </c>
      <c r="I265" s="18"/>
    </row>
    <row r="266" spans="1:9" s="31" customFormat="1" ht="105">
      <c r="A266" s="12">
        <v>43571.67392361111</v>
      </c>
      <c r="B266" s="13" t="s">
        <v>13559</v>
      </c>
      <c r="C266" s="14" t="s">
        <v>3592</v>
      </c>
      <c r="D266" s="15" t="s">
        <v>3593</v>
      </c>
      <c r="E266" s="16" t="s">
        <v>13560</v>
      </c>
      <c r="F266" s="12">
        <v>41491.782118055555</v>
      </c>
      <c r="G266" s="17" t="s">
        <v>13000</v>
      </c>
      <c r="H266" s="35" t="s">
        <v>3594</v>
      </c>
      <c r="I266" s="18" t="s">
        <v>3595</v>
      </c>
    </row>
    <row r="267" spans="1:9" s="31" customFormat="1" ht="90">
      <c r="A267" s="4">
        <v>43565.320821759262</v>
      </c>
      <c r="B267" s="5" t="s">
        <v>13561</v>
      </c>
      <c r="C267" s="6" t="s">
        <v>5559</v>
      </c>
      <c r="D267" s="7" t="s">
        <v>6175</v>
      </c>
      <c r="E267" s="8" t="s">
        <v>13032</v>
      </c>
      <c r="F267" s="4">
        <v>43270.610127314816</v>
      </c>
      <c r="G267" s="17" t="s">
        <v>13000</v>
      </c>
      <c r="H267" s="35" t="s">
        <v>5561</v>
      </c>
      <c r="I267" s="10" t="s">
        <v>5562</v>
      </c>
    </row>
    <row r="268" spans="1:9" s="31" customFormat="1" ht="75">
      <c r="A268" s="4">
        <v>43560.748171296298</v>
      </c>
      <c r="B268" s="5" t="s">
        <v>13562</v>
      </c>
      <c r="C268" s="6" t="s">
        <v>11194</v>
      </c>
      <c r="D268" s="7" t="s">
        <v>11191</v>
      </c>
      <c r="E268" s="8" t="s">
        <v>13011</v>
      </c>
      <c r="F268" s="4">
        <v>40422.342604166668</v>
      </c>
      <c r="G268" s="17" t="s">
        <v>13000</v>
      </c>
      <c r="H268" s="35" t="s">
        <v>5561</v>
      </c>
      <c r="I268" s="10" t="s">
        <v>11195</v>
      </c>
    </row>
    <row r="269" spans="1:9" s="31" customFormat="1" ht="90">
      <c r="A269" s="12">
        <v>43566.403368055559</v>
      </c>
      <c r="B269" s="13" t="s">
        <v>13561</v>
      </c>
      <c r="C269" s="14" t="s">
        <v>5559</v>
      </c>
      <c r="D269" s="15" t="s">
        <v>5560</v>
      </c>
      <c r="E269" s="16" t="s">
        <v>13032</v>
      </c>
      <c r="F269" s="12">
        <v>43270.610127314816</v>
      </c>
      <c r="G269" s="17" t="s">
        <v>13000</v>
      </c>
      <c r="H269" s="35" t="s">
        <v>5561</v>
      </c>
      <c r="I269" s="18" t="s">
        <v>5562</v>
      </c>
    </row>
    <row r="270" spans="1:9" s="31" customFormat="1" ht="60">
      <c r="A270" s="19">
        <v>43551.297349537039</v>
      </c>
      <c r="B270" s="20" t="s">
        <v>13563</v>
      </c>
      <c r="C270" s="21" t="s">
        <v>7330</v>
      </c>
      <c r="D270" s="22" t="s">
        <v>7331</v>
      </c>
      <c r="E270" s="23" t="s">
        <v>13032</v>
      </c>
      <c r="F270" s="19">
        <v>41211.727731481486</v>
      </c>
      <c r="G270" s="24" t="s">
        <v>13000</v>
      </c>
      <c r="H270" s="35" t="s">
        <v>7332</v>
      </c>
      <c r="I270" s="25" t="s">
        <v>7333</v>
      </c>
    </row>
    <row r="271" spans="1:9" s="31" customFormat="1" ht="75">
      <c r="A271" s="19">
        <v>43548.692141203705</v>
      </c>
      <c r="B271" s="20" t="s">
        <v>13564</v>
      </c>
      <c r="C271" s="21" t="s">
        <v>8243</v>
      </c>
      <c r="D271" s="22" t="s">
        <v>8244</v>
      </c>
      <c r="E271" s="23" t="s">
        <v>13009</v>
      </c>
      <c r="F271" s="19">
        <v>41038.563321759255</v>
      </c>
      <c r="G271" s="24" t="s">
        <v>13000</v>
      </c>
      <c r="H271" s="35" t="s">
        <v>4787</v>
      </c>
      <c r="I271" s="25" t="s">
        <v>8245</v>
      </c>
    </row>
    <row r="272" spans="1:9" s="31" customFormat="1" ht="60">
      <c r="A272" s="19">
        <v>43548.688807870371</v>
      </c>
      <c r="B272" s="20" t="s">
        <v>13564</v>
      </c>
      <c r="C272" s="21" t="s">
        <v>8243</v>
      </c>
      <c r="D272" s="22" t="s">
        <v>8247</v>
      </c>
      <c r="E272" s="23" t="s">
        <v>13009</v>
      </c>
      <c r="F272" s="19">
        <v>41038.563321759255</v>
      </c>
      <c r="G272" s="24" t="s">
        <v>13000</v>
      </c>
      <c r="H272" s="35" t="s">
        <v>4787</v>
      </c>
      <c r="I272" s="25" t="s">
        <v>8245</v>
      </c>
    </row>
    <row r="273" spans="1:9" s="31" customFormat="1" ht="90">
      <c r="A273" s="4">
        <v>43563.280601851853</v>
      </c>
      <c r="B273" s="5" t="s">
        <v>13565</v>
      </c>
      <c r="C273" s="6" t="s">
        <v>4785</v>
      </c>
      <c r="D273" s="7" t="s">
        <v>10415</v>
      </c>
      <c r="E273" s="8" t="s">
        <v>13018</v>
      </c>
      <c r="F273" s="4">
        <v>40260.371759259258</v>
      </c>
      <c r="G273" s="24" t="s">
        <v>13000</v>
      </c>
      <c r="H273" s="35" t="s">
        <v>4787</v>
      </c>
      <c r="I273" s="10" t="s">
        <v>4788</v>
      </c>
    </row>
    <row r="274" spans="1:9" s="31" customFormat="1" ht="90">
      <c r="A274" s="12">
        <v>43568.417118055557</v>
      </c>
      <c r="B274" s="13" t="s">
        <v>13565</v>
      </c>
      <c r="C274" s="14" t="s">
        <v>4785</v>
      </c>
      <c r="D274" s="15" t="s">
        <v>4786</v>
      </c>
      <c r="E274" s="16" t="s">
        <v>13018</v>
      </c>
      <c r="F274" s="12">
        <v>40260.371759259258</v>
      </c>
      <c r="G274" s="24" t="s">
        <v>13000</v>
      </c>
      <c r="H274" s="35" t="s">
        <v>4787</v>
      </c>
      <c r="I274" s="18" t="s">
        <v>4788</v>
      </c>
    </row>
    <row r="275" spans="1:9" s="31" customFormat="1" ht="45">
      <c r="A275" s="4">
        <v>43565.316689814819</v>
      </c>
      <c r="B275" s="5" t="s">
        <v>13566</v>
      </c>
      <c r="C275" s="6" t="s">
        <v>6176</v>
      </c>
      <c r="D275" s="7" t="s">
        <v>6177</v>
      </c>
      <c r="E275" s="8" t="s">
        <v>13015</v>
      </c>
      <c r="F275" s="4">
        <v>43256.858854166669</v>
      </c>
      <c r="G275" s="24" t="s">
        <v>13000</v>
      </c>
      <c r="H275" s="35" t="s">
        <v>6178</v>
      </c>
      <c r="I275" s="10" t="s">
        <v>10180</v>
      </c>
    </row>
    <row r="276" spans="1:9" s="31" customFormat="1" ht="60">
      <c r="A276" s="12">
        <v>43565.316689814819</v>
      </c>
      <c r="B276" s="13" t="s">
        <v>13566</v>
      </c>
      <c r="C276" s="14" t="s">
        <v>6176</v>
      </c>
      <c r="D276" s="15" t="s">
        <v>6177</v>
      </c>
      <c r="E276" s="16" t="s">
        <v>13015</v>
      </c>
      <c r="F276" s="12">
        <v>43256.858854166669</v>
      </c>
      <c r="G276" s="24" t="s">
        <v>13000</v>
      </c>
      <c r="H276" s="35" t="s">
        <v>6178</v>
      </c>
      <c r="I276" s="18" t="s">
        <v>6179</v>
      </c>
    </row>
    <row r="277" spans="1:9" s="31" customFormat="1" ht="120">
      <c r="A277" s="19">
        <v>43547.430555555555</v>
      </c>
      <c r="B277" s="20" t="s">
        <v>13567</v>
      </c>
      <c r="C277" s="21" t="s">
        <v>8549</v>
      </c>
      <c r="D277" s="22" t="s">
        <v>8479</v>
      </c>
      <c r="E277" s="23" t="s">
        <v>13034</v>
      </c>
      <c r="F277" s="19">
        <v>43481.643935185188</v>
      </c>
      <c r="G277" s="24" t="s">
        <v>13000</v>
      </c>
      <c r="H277" s="35" t="s">
        <v>8550</v>
      </c>
      <c r="I277" s="25" t="s">
        <v>8551</v>
      </c>
    </row>
    <row r="278" spans="1:9" s="31" customFormat="1" ht="90">
      <c r="A278" s="4">
        <v>43560.427141203705</v>
      </c>
      <c r="B278" s="5" t="s">
        <v>13568</v>
      </c>
      <c r="C278" s="6" t="s">
        <v>11384</v>
      </c>
      <c r="D278" s="7" t="s">
        <v>11363</v>
      </c>
      <c r="E278" s="8" t="s">
        <v>13018</v>
      </c>
      <c r="F278" s="4">
        <v>42105.974965277783</v>
      </c>
      <c r="G278" s="24" t="s">
        <v>13000</v>
      </c>
      <c r="H278" s="35" t="s">
        <v>8550</v>
      </c>
      <c r="I278" s="10" t="s">
        <v>11385</v>
      </c>
    </row>
    <row r="279" spans="1:9" s="31" customFormat="1" ht="90">
      <c r="A279" s="12">
        <v>43579.192557870367</v>
      </c>
      <c r="B279" s="13" t="s">
        <v>13569</v>
      </c>
      <c r="C279" s="14" t="s">
        <v>860</v>
      </c>
      <c r="D279" s="15" t="s">
        <v>861</v>
      </c>
      <c r="E279" s="16" t="s">
        <v>13009</v>
      </c>
      <c r="F279" s="12">
        <v>43319.205196759256</v>
      </c>
      <c r="G279" s="24" t="s">
        <v>13000</v>
      </c>
      <c r="H279" s="35" t="s">
        <v>862</v>
      </c>
      <c r="I279" s="18" t="s">
        <v>863</v>
      </c>
    </row>
    <row r="280" spans="1:9" s="31" customFormat="1" ht="90">
      <c r="A280" s="19">
        <v>43551.852858796294</v>
      </c>
      <c r="B280" s="20" t="s">
        <v>13570</v>
      </c>
      <c r="C280" s="21" t="s">
        <v>6977</v>
      </c>
      <c r="D280" s="22" t="s">
        <v>6978</v>
      </c>
      <c r="E280" s="23" t="s">
        <v>13011</v>
      </c>
      <c r="F280" s="19">
        <v>39848.88344907407</v>
      </c>
      <c r="G280" s="24" t="s">
        <v>13000</v>
      </c>
      <c r="H280" s="35" t="s">
        <v>4074</v>
      </c>
      <c r="I280" s="25" t="s">
        <v>6979</v>
      </c>
    </row>
    <row r="281" spans="1:9" s="31" customFormat="1" ht="60">
      <c r="A281" s="19">
        <v>43544.408460648148</v>
      </c>
      <c r="B281" s="20" t="s">
        <v>13571</v>
      </c>
      <c r="C281" s="21" t="s">
        <v>9480</v>
      </c>
      <c r="D281" s="22" t="s">
        <v>9481</v>
      </c>
      <c r="E281" s="23" t="s">
        <v>13009</v>
      </c>
      <c r="F281" s="19">
        <v>39805.037638888891</v>
      </c>
      <c r="G281" s="24" t="s">
        <v>13000</v>
      </c>
      <c r="H281" s="35" t="s">
        <v>4074</v>
      </c>
      <c r="I281" s="25" t="s">
        <v>9482</v>
      </c>
    </row>
    <row r="282" spans="1:9" s="31" customFormat="1" ht="30">
      <c r="A282" s="4">
        <v>43557.774826388893</v>
      </c>
      <c r="B282" s="5" t="s">
        <v>13572</v>
      </c>
      <c r="C282" s="6" t="s">
        <v>12392</v>
      </c>
      <c r="D282" s="7" t="s">
        <v>12393</v>
      </c>
      <c r="E282" s="8" t="s">
        <v>13009</v>
      </c>
      <c r="F282" s="4">
        <v>39688.602638888886</v>
      </c>
      <c r="G282" s="24" t="s">
        <v>13000</v>
      </c>
      <c r="H282" s="35" t="s">
        <v>4074</v>
      </c>
      <c r="I282" s="10" t="s">
        <v>12394</v>
      </c>
    </row>
    <row r="283" spans="1:9" s="31" customFormat="1" ht="105">
      <c r="A283" s="12">
        <v>43570.564814814818</v>
      </c>
      <c r="B283" s="13" t="s">
        <v>13573</v>
      </c>
      <c r="C283" s="14" t="s">
        <v>4072</v>
      </c>
      <c r="D283" s="15" t="s">
        <v>4073</v>
      </c>
      <c r="E283" s="16" t="s">
        <v>13009</v>
      </c>
      <c r="F283" s="12">
        <v>40052.419398148151</v>
      </c>
      <c r="G283" s="24" t="s">
        <v>13000</v>
      </c>
      <c r="H283" s="35" t="s">
        <v>4074</v>
      </c>
      <c r="I283" s="18" t="s">
        <v>4075</v>
      </c>
    </row>
    <row r="284" spans="1:9" s="31" customFormat="1" ht="60">
      <c r="A284" s="12">
        <v>43568.847824074073</v>
      </c>
      <c r="B284" s="13" t="s">
        <v>13574</v>
      </c>
      <c r="C284" s="14" t="s">
        <v>4647</v>
      </c>
      <c r="D284" s="15" t="s">
        <v>4648</v>
      </c>
      <c r="E284" s="16" t="s">
        <v>13032</v>
      </c>
      <c r="F284" s="12">
        <v>40615.467673611114</v>
      </c>
      <c r="G284" s="24" t="s">
        <v>13000</v>
      </c>
      <c r="H284" s="35" t="s">
        <v>4074</v>
      </c>
      <c r="I284" s="18"/>
    </row>
    <row r="285" spans="1:9" s="31" customFormat="1" ht="90">
      <c r="A285" s="19">
        <v>43551.728460648148</v>
      </c>
      <c r="B285" s="20" t="s">
        <v>13575</v>
      </c>
      <c r="C285" s="21" t="s">
        <v>484</v>
      </c>
      <c r="D285" s="22" t="s">
        <v>7020</v>
      </c>
      <c r="E285" s="23" t="s">
        <v>13027</v>
      </c>
      <c r="F285" s="19">
        <v>42276.682337962964</v>
      </c>
      <c r="G285" s="24" t="s">
        <v>13000</v>
      </c>
      <c r="H285" s="35" t="s">
        <v>486</v>
      </c>
      <c r="I285" s="25" t="s">
        <v>487</v>
      </c>
    </row>
    <row r="286" spans="1:9" s="31" customFormat="1" ht="90">
      <c r="A286" s="19">
        <v>43550.478472222225</v>
      </c>
      <c r="B286" s="20" t="s">
        <v>13575</v>
      </c>
      <c r="C286" s="21" t="s">
        <v>484</v>
      </c>
      <c r="D286" s="22" t="s">
        <v>7653</v>
      </c>
      <c r="E286" s="23" t="s">
        <v>13027</v>
      </c>
      <c r="F286" s="19">
        <v>42276.682337962964</v>
      </c>
      <c r="G286" s="24" t="s">
        <v>13000</v>
      </c>
      <c r="H286" s="35" t="s">
        <v>486</v>
      </c>
      <c r="I286" s="25" t="s">
        <v>487</v>
      </c>
    </row>
    <row r="287" spans="1:9" s="31" customFormat="1" ht="90">
      <c r="A287" s="19">
        <v>43544.520034722227</v>
      </c>
      <c r="B287" s="20" t="s">
        <v>13575</v>
      </c>
      <c r="C287" s="21" t="s">
        <v>484</v>
      </c>
      <c r="D287" s="22" t="s">
        <v>9426</v>
      </c>
      <c r="E287" s="23" t="s">
        <v>13027</v>
      </c>
      <c r="F287" s="19">
        <v>42276.682337962964</v>
      </c>
      <c r="G287" s="24" t="s">
        <v>13000</v>
      </c>
      <c r="H287" s="35" t="s">
        <v>486</v>
      </c>
      <c r="I287" s="25" t="s">
        <v>487</v>
      </c>
    </row>
    <row r="288" spans="1:9" s="31" customFormat="1" ht="90">
      <c r="A288" s="4">
        <v>43563.43677083333</v>
      </c>
      <c r="B288" s="5" t="s">
        <v>13575</v>
      </c>
      <c r="C288" s="6" t="s">
        <v>484</v>
      </c>
      <c r="D288" s="7" t="s">
        <v>10291</v>
      </c>
      <c r="E288" s="8" t="s">
        <v>13027</v>
      </c>
      <c r="F288" s="4">
        <v>42276.682337962964</v>
      </c>
      <c r="G288" s="24" t="s">
        <v>13000</v>
      </c>
      <c r="H288" s="35" t="s">
        <v>486</v>
      </c>
      <c r="I288" s="10" t="s">
        <v>487</v>
      </c>
    </row>
    <row r="289" spans="1:9" s="31" customFormat="1" ht="90">
      <c r="A289" s="4">
        <v>43558.728356481486</v>
      </c>
      <c r="B289" s="5" t="s">
        <v>13575</v>
      </c>
      <c r="C289" s="6" t="s">
        <v>484</v>
      </c>
      <c r="D289" s="7" t="s">
        <v>12054</v>
      </c>
      <c r="E289" s="8" t="s">
        <v>13027</v>
      </c>
      <c r="F289" s="4">
        <v>42276.682337962964</v>
      </c>
      <c r="G289" s="24" t="s">
        <v>13000</v>
      </c>
      <c r="H289" s="35" t="s">
        <v>486</v>
      </c>
      <c r="I289" s="10" t="s">
        <v>487</v>
      </c>
    </row>
    <row r="290" spans="1:9" s="31" customFormat="1" ht="90">
      <c r="A290" s="4">
        <v>43557.478541666671</v>
      </c>
      <c r="B290" s="5" t="s">
        <v>13575</v>
      </c>
      <c r="C290" s="6" t="s">
        <v>484</v>
      </c>
      <c r="D290" s="7" t="s">
        <v>12503</v>
      </c>
      <c r="E290" s="8" t="s">
        <v>13027</v>
      </c>
      <c r="F290" s="4">
        <v>42276.682337962964</v>
      </c>
      <c r="G290" s="24" t="s">
        <v>13000</v>
      </c>
      <c r="H290" s="35" t="s">
        <v>486</v>
      </c>
      <c r="I290" s="10" t="s">
        <v>487</v>
      </c>
    </row>
    <row r="291" spans="1:9" s="31" customFormat="1" ht="90">
      <c r="A291" s="12">
        <v>43579.728321759263</v>
      </c>
      <c r="B291" s="13" t="s">
        <v>13575</v>
      </c>
      <c r="C291" s="14" t="s">
        <v>484</v>
      </c>
      <c r="D291" s="15" t="s">
        <v>485</v>
      </c>
      <c r="E291" s="16" t="s">
        <v>13027</v>
      </c>
      <c r="F291" s="12">
        <v>42276.682337962964</v>
      </c>
      <c r="G291" s="24" t="s">
        <v>13000</v>
      </c>
      <c r="H291" s="35" t="s">
        <v>486</v>
      </c>
      <c r="I291" s="18" t="s">
        <v>487</v>
      </c>
    </row>
    <row r="292" spans="1:9" s="31" customFormat="1" ht="90">
      <c r="A292" s="12">
        <v>43575.645104166666</v>
      </c>
      <c r="B292" s="13" t="s">
        <v>13575</v>
      </c>
      <c r="C292" s="14" t="s">
        <v>484</v>
      </c>
      <c r="D292" s="15" t="s">
        <v>2155</v>
      </c>
      <c r="E292" s="16" t="s">
        <v>13027</v>
      </c>
      <c r="F292" s="12">
        <v>42276.682337962964</v>
      </c>
      <c r="G292" s="24" t="s">
        <v>13000</v>
      </c>
      <c r="H292" s="35" t="s">
        <v>486</v>
      </c>
      <c r="I292" s="18" t="s">
        <v>487</v>
      </c>
    </row>
    <row r="293" spans="1:9" s="31" customFormat="1" ht="90">
      <c r="A293" s="12">
        <v>43570.478356481486</v>
      </c>
      <c r="B293" s="13" t="s">
        <v>13575</v>
      </c>
      <c r="C293" s="14" t="s">
        <v>484</v>
      </c>
      <c r="D293" s="15" t="s">
        <v>4119</v>
      </c>
      <c r="E293" s="16" t="s">
        <v>13027</v>
      </c>
      <c r="F293" s="12">
        <v>42276.682337962964</v>
      </c>
      <c r="G293" s="24" t="s">
        <v>13000</v>
      </c>
      <c r="H293" s="35" t="s">
        <v>486</v>
      </c>
      <c r="I293" s="18" t="s">
        <v>487</v>
      </c>
    </row>
    <row r="294" spans="1:9" s="31" customFormat="1" ht="105">
      <c r="A294" s="19">
        <v>43551.257372685184</v>
      </c>
      <c r="B294" s="20" t="s">
        <v>13576</v>
      </c>
      <c r="C294" s="21" t="s">
        <v>7373</v>
      </c>
      <c r="D294" s="22" t="s">
        <v>7374</v>
      </c>
      <c r="E294" s="23" t="s">
        <v>13011</v>
      </c>
      <c r="F294" s="19">
        <v>39921.47215277778</v>
      </c>
      <c r="G294" s="24" t="s">
        <v>13000</v>
      </c>
      <c r="H294" s="35" t="s">
        <v>7375</v>
      </c>
      <c r="I294" s="25" t="s">
        <v>7376</v>
      </c>
    </row>
    <row r="295" spans="1:9" s="31" customFormat="1" ht="90">
      <c r="A295" s="4">
        <v>43564.470775462964</v>
      </c>
      <c r="B295" s="5" t="s">
        <v>13577</v>
      </c>
      <c r="C295" s="6" t="s">
        <v>6588</v>
      </c>
      <c r="D295" s="7" t="s">
        <v>12789</v>
      </c>
      <c r="E295" s="8" t="s">
        <v>13011</v>
      </c>
      <c r="F295" s="4">
        <v>42650.674178240741</v>
      </c>
      <c r="G295" s="17" t="s">
        <v>13000</v>
      </c>
      <c r="H295" s="35" t="s">
        <v>4074</v>
      </c>
      <c r="I295" s="10" t="s">
        <v>6589</v>
      </c>
    </row>
    <row r="296" spans="1:9" s="31" customFormat="1" ht="105">
      <c r="A296" s="19">
        <v>43550.521539351852</v>
      </c>
      <c r="B296" s="20" t="s">
        <v>13578</v>
      </c>
      <c r="C296" s="21" t="s">
        <v>2527</v>
      </c>
      <c r="D296" s="22" t="s">
        <v>7629</v>
      </c>
      <c r="E296" s="23" t="s">
        <v>13034</v>
      </c>
      <c r="F296" s="19">
        <v>43249.426493055551</v>
      </c>
      <c r="G296" s="17" t="s">
        <v>13000</v>
      </c>
      <c r="H296" s="35" t="s">
        <v>449</v>
      </c>
      <c r="I296" s="25" t="s">
        <v>2529</v>
      </c>
    </row>
    <row r="297" spans="1:9" s="31" customFormat="1" ht="75">
      <c r="A297" s="4">
        <v>43565.570358796293</v>
      </c>
      <c r="B297" s="5" t="s">
        <v>13579</v>
      </c>
      <c r="C297" s="6" t="s">
        <v>447</v>
      </c>
      <c r="D297" s="7" t="s">
        <v>6018</v>
      </c>
      <c r="E297" s="8" t="s">
        <v>13032</v>
      </c>
      <c r="F297" s="4">
        <v>39804.503159722226</v>
      </c>
      <c r="G297" s="17" t="s">
        <v>13000</v>
      </c>
      <c r="H297" s="35" t="s">
        <v>449</v>
      </c>
      <c r="I297" s="10" t="s">
        <v>450</v>
      </c>
    </row>
    <row r="298" spans="1:9" s="31" customFormat="1" ht="105">
      <c r="A298" s="4">
        <v>43559.538900462961</v>
      </c>
      <c r="B298" s="5" t="s">
        <v>13578</v>
      </c>
      <c r="C298" s="6" t="s">
        <v>2527</v>
      </c>
      <c r="D298" s="7" t="s">
        <v>11774</v>
      </c>
      <c r="E298" s="8" t="s">
        <v>13034</v>
      </c>
      <c r="F298" s="4">
        <v>43249.426493055551</v>
      </c>
      <c r="G298" s="17" t="s">
        <v>13000</v>
      </c>
      <c r="H298" s="35" t="s">
        <v>449</v>
      </c>
      <c r="I298" s="10" t="s">
        <v>2529</v>
      </c>
    </row>
    <row r="299" spans="1:9" s="31" customFormat="1" ht="75">
      <c r="A299" s="12">
        <v>43579.779027777782</v>
      </c>
      <c r="B299" s="13" t="s">
        <v>13579</v>
      </c>
      <c r="C299" s="14" t="s">
        <v>447</v>
      </c>
      <c r="D299" s="15" t="s">
        <v>448</v>
      </c>
      <c r="E299" s="16" t="s">
        <v>13032</v>
      </c>
      <c r="F299" s="12">
        <v>39804.503159722226</v>
      </c>
      <c r="G299" s="17" t="s">
        <v>13000</v>
      </c>
      <c r="H299" s="35" t="s">
        <v>449</v>
      </c>
      <c r="I299" s="18" t="s">
        <v>450</v>
      </c>
    </row>
    <row r="300" spans="1:9" s="31" customFormat="1" ht="105">
      <c r="A300" s="12">
        <v>43574.500740740739</v>
      </c>
      <c r="B300" s="13" t="s">
        <v>13578</v>
      </c>
      <c r="C300" s="14" t="s">
        <v>2527</v>
      </c>
      <c r="D300" s="15" t="s">
        <v>2528</v>
      </c>
      <c r="E300" s="16" t="s">
        <v>13034</v>
      </c>
      <c r="F300" s="12">
        <v>43249.426493055551</v>
      </c>
      <c r="G300" s="17" t="s">
        <v>13000</v>
      </c>
      <c r="H300" s="35" t="s">
        <v>449</v>
      </c>
      <c r="I300" s="18" t="s">
        <v>2529</v>
      </c>
    </row>
    <row r="301" spans="1:9" s="31" customFormat="1" ht="90">
      <c r="A301" s="19">
        <v>43550.958807870367</v>
      </c>
      <c r="B301" s="20" t="s">
        <v>13580</v>
      </c>
      <c r="C301" s="21" t="s">
        <v>1167</v>
      </c>
      <c r="D301" s="22" t="s">
        <v>1168</v>
      </c>
      <c r="E301" s="23" t="s">
        <v>13018</v>
      </c>
      <c r="F301" s="19">
        <v>42519.85774305556</v>
      </c>
      <c r="G301" s="17" t="s">
        <v>13000</v>
      </c>
      <c r="H301" s="35" t="s">
        <v>1169</v>
      </c>
      <c r="I301" s="25" t="s">
        <v>1170</v>
      </c>
    </row>
    <row r="302" spans="1:9" s="31" customFormat="1" ht="135">
      <c r="A302" s="19">
        <v>43550.672766203701</v>
      </c>
      <c r="B302" s="20" t="s">
        <v>13581</v>
      </c>
      <c r="C302" s="21" t="s">
        <v>7552</v>
      </c>
      <c r="D302" s="22" t="s">
        <v>7553</v>
      </c>
      <c r="E302" s="23" t="s">
        <v>13011</v>
      </c>
      <c r="F302" s="19">
        <v>40591.049421296295</v>
      </c>
      <c r="G302" s="17" t="s">
        <v>13000</v>
      </c>
      <c r="H302" s="35" t="s">
        <v>1169</v>
      </c>
      <c r="I302" s="25" t="s">
        <v>7554</v>
      </c>
    </row>
    <row r="303" spans="1:9" s="31" customFormat="1" ht="90">
      <c r="A303" s="19">
        <v>43548.637974537036</v>
      </c>
      <c r="B303" s="20" t="s">
        <v>13582</v>
      </c>
      <c r="C303" s="21" t="s">
        <v>8263</v>
      </c>
      <c r="D303" s="22" t="s">
        <v>8264</v>
      </c>
      <c r="E303" s="23" t="s">
        <v>13013</v>
      </c>
      <c r="F303" s="19">
        <v>42298.879386574074</v>
      </c>
      <c r="G303" s="17" t="s">
        <v>13000</v>
      </c>
      <c r="H303" s="35" t="s">
        <v>1169</v>
      </c>
      <c r="I303" s="25" t="s">
        <v>8265</v>
      </c>
    </row>
    <row r="304" spans="1:9" s="31" customFormat="1" ht="75">
      <c r="A304" s="19">
        <v>43548.085509259261</v>
      </c>
      <c r="B304" s="20" t="s">
        <v>13583</v>
      </c>
      <c r="C304" s="21" t="s">
        <v>5351</v>
      </c>
      <c r="D304" s="22" t="s">
        <v>8416</v>
      </c>
      <c r="E304" s="23" t="s">
        <v>13027</v>
      </c>
      <c r="F304" s="19">
        <v>42460.681226851855</v>
      </c>
      <c r="G304" s="17" t="s">
        <v>13000</v>
      </c>
      <c r="H304" s="35" t="s">
        <v>1169</v>
      </c>
      <c r="I304" s="25" t="s">
        <v>5353</v>
      </c>
    </row>
    <row r="305" spans="1:9" s="31" customFormat="1" ht="90">
      <c r="A305" s="19">
        <v>43547.542326388888</v>
      </c>
      <c r="B305" s="20" t="s">
        <v>13580</v>
      </c>
      <c r="C305" s="21" t="s">
        <v>1167</v>
      </c>
      <c r="D305" s="22" t="s">
        <v>1168</v>
      </c>
      <c r="E305" s="23" t="s">
        <v>13018</v>
      </c>
      <c r="F305" s="19">
        <v>42519.85774305556</v>
      </c>
      <c r="G305" s="17" t="s">
        <v>13000</v>
      </c>
      <c r="H305" s="35" t="s">
        <v>1169</v>
      </c>
      <c r="I305" s="25" t="s">
        <v>1170</v>
      </c>
    </row>
    <row r="306" spans="1:9" s="31" customFormat="1" ht="45">
      <c r="A306" s="19">
        <v>43546.725162037037</v>
      </c>
      <c r="B306" s="20" t="s">
        <v>13584</v>
      </c>
      <c r="C306" s="21" t="s">
        <v>8748</v>
      </c>
      <c r="D306" s="22" t="s">
        <v>8749</v>
      </c>
      <c r="E306" s="23" t="s">
        <v>13009</v>
      </c>
      <c r="F306" s="19">
        <v>43535.79414351852</v>
      </c>
      <c r="G306" s="17" t="s">
        <v>13000</v>
      </c>
      <c r="H306" s="35" t="s">
        <v>1169</v>
      </c>
      <c r="I306" s="25" t="s">
        <v>8750</v>
      </c>
    </row>
    <row r="307" spans="1:9" s="31" customFormat="1" ht="120">
      <c r="A307" s="19">
        <v>43546.607395833329</v>
      </c>
      <c r="B307" s="20" t="s">
        <v>13585</v>
      </c>
      <c r="C307" s="21" t="s">
        <v>8789</v>
      </c>
      <c r="D307" s="22" t="s">
        <v>8790</v>
      </c>
      <c r="E307" s="23" t="s">
        <v>13027</v>
      </c>
      <c r="F307" s="19">
        <v>43080.728576388894</v>
      </c>
      <c r="G307" s="17" t="s">
        <v>13000</v>
      </c>
      <c r="H307" s="35" t="s">
        <v>1169</v>
      </c>
      <c r="I307" s="25" t="s">
        <v>8791</v>
      </c>
    </row>
    <row r="308" spans="1:9" s="31" customFormat="1" ht="90">
      <c r="A308" s="19">
        <v>43544.50163194444</v>
      </c>
      <c r="B308" s="20" t="s">
        <v>13580</v>
      </c>
      <c r="C308" s="21" t="s">
        <v>1167</v>
      </c>
      <c r="D308" s="22" t="s">
        <v>1168</v>
      </c>
      <c r="E308" s="23" t="s">
        <v>13018</v>
      </c>
      <c r="F308" s="19">
        <v>42519.85774305556</v>
      </c>
      <c r="G308" s="17" t="s">
        <v>13000</v>
      </c>
      <c r="H308" s="35" t="s">
        <v>1169</v>
      </c>
      <c r="I308" s="25" t="s">
        <v>1170</v>
      </c>
    </row>
    <row r="309" spans="1:9" s="31" customFormat="1" ht="45">
      <c r="A309" s="19">
        <v>43544.075879629629</v>
      </c>
      <c r="B309" s="20" t="s">
        <v>13586</v>
      </c>
      <c r="C309" s="21" t="s">
        <v>6148</v>
      </c>
      <c r="D309" s="22" t="s">
        <v>9625</v>
      </c>
      <c r="E309" s="23" t="s">
        <v>13009</v>
      </c>
      <c r="F309" s="19">
        <v>41577.779907407406</v>
      </c>
      <c r="G309" s="17" t="s">
        <v>13000</v>
      </c>
      <c r="H309" s="35" t="s">
        <v>1169</v>
      </c>
      <c r="I309" s="25" t="s">
        <v>6150</v>
      </c>
    </row>
    <row r="310" spans="1:9" s="31" customFormat="1" ht="90">
      <c r="A310" s="19">
        <v>43543.292719907404</v>
      </c>
      <c r="B310" s="20" t="s">
        <v>13580</v>
      </c>
      <c r="C310" s="21" t="s">
        <v>1167</v>
      </c>
      <c r="D310" s="22" t="s">
        <v>1168</v>
      </c>
      <c r="E310" s="23" t="s">
        <v>13018</v>
      </c>
      <c r="F310" s="19">
        <v>42519.85774305556</v>
      </c>
      <c r="G310" s="17" t="s">
        <v>13000</v>
      </c>
      <c r="H310" s="35" t="s">
        <v>1169</v>
      </c>
      <c r="I310" s="25" t="s">
        <v>1170</v>
      </c>
    </row>
    <row r="311" spans="1:9" s="31" customFormat="1" ht="105">
      <c r="A311" s="4">
        <v>43565.566157407404</v>
      </c>
      <c r="B311" s="5" t="s">
        <v>13587</v>
      </c>
      <c r="C311" s="6" t="s">
        <v>6022</v>
      </c>
      <c r="D311" s="7" t="s">
        <v>6023</v>
      </c>
      <c r="E311" s="8" t="s">
        <v>13013</v>
      </c>
      <c r="F311" s="4">
        <v>39870.465787037036</v>
      </c>
      <c r="G311" s="17" t="s">
        <v>13000</v>
      </c>
      <c r="H311" s="35" t="s">
        <v>1169</v>
      </c>
      <c r="I311" s="10" t="s">
        <v>6024</v>
      </c>
    </row>
    <row r="312" spans="1:9" s="31" customFormat="1" ht="105">
      <c r="A312" s="4">
        <v>43565.439363425925</v>
      </c>
      <c r="B312" s="5" t="s">
        <v>13588</v>
      </c>
      <c r="C312" s="6" t="s">
        <v>6088</v>
      </c>
      <c r="D312" s="7" t="s">
        <v>6089</v>
      </c>
      <c r="E312" s="8" t="s">
        <v>13034</v>
      </c>
      <c r="F312" s="4">
        <v>43012.498541666668</v>
      </c>
      <c r="G312" s="17" t="s">
        <v>13000</v>
      </c>
      <c r="H312" s="35" t="s">
        <v>1169</v>
      </c>
      <c r="I312" s="10" t="s">
        <v>6090</v>
      </c>
    </row>
    <row r="313" spans="1:9" s="31" customFormat="1" ht="105">
      <c r="A313" s="4">
        <v>43565.395416666666</v>
      </c>
      <c r="B313" s="5" t="s">
        <v>13589</v>
      </c>
      <c r="C313" s="6" t="s">
        <v>6119</v>
      </c>
      <c r="D313" s="7" t="s">
        <v>6120</v>
      </c>
      <c r="E313" s="8" t="s">
        <v>13013</v>
      </c>
      <c r="F313" s="4">
        <v>39984.594131944446</v>
      </c>
      <c r="G313" s="17" t="s">
        <v>13000</v>
      </c>
      <c r="H313" s="35" t="s">
        <v>1169</v>
      </c>
      <c r="I313" s="10"/>
    </row>
    <row r="314" spans="1:9" s="31" customFormat="1" ht="45">
      <c r="A314" s="4">
        <v>43565.348865740743</v>
      </c>
      <c r="B314" s="5" t="s">
        <v>13586</v>
      </c>
      <c r="C314" s="6" t="s">
        <v>6148</v>
      </c>
      <c r="D314" s="7" t="s">
        <v>6149</v>
      </c>
      <c r="E314" s="8" t="s">
        <v>13013</v>
      </c>
      <c r="F314" s="4">
        <v>41577.779907407406</v>
      </c>
      <c r="G314" s="17" t="s">
        <v>13000</v>
      </c>
      <c r="H314" s="35" t="s">
        <v>1169</v>
      </c>
      <c r="I314" s="10" t="s">
        <v>6150</v>
      </c>
    </row>
    <row r="315" spans="1:9" s="31" customFormat="1" ht="60">
      <c r="A315" s="4">
        <v>43564.582974537036</v>
      </c>
      <c r="B315" s="5" t="s">
        <v>13586</v>
      </c>
      <c r="C315" s="6" t="s">
        <v>6148</v>
      </c>
      <c r="D315" s="7" t="s">
        <v>6536</v>
      </c>
      <c r="E315" s="8" t="s">
        <v>13013</v>
      </c>
      <c r="F315" s="4">
        <v>41577.779907407406</v>
      </c>
      <c r="G315" s="17" t="s">
        <v>13000</v>
      </c>
      <c r="H315" s="35" t="s">
        <v>1169</v>
      </c>
      <c r="I315" s="10" t="s">
        <v>6150</v>
      </c>
    </row>
    <row r="316" spans="1:9" s="31" customFormat="1" ht="105">
      <c r="A316" s="4">
        <v>43562.676180555558</v>
      </c>
      <c r="B316" s="5" t="s">
        <v>13590</v>
      </c>
      <c r="C316" s="6" t="s">
        <v>10612</v>
      </c>
      <c r="D316" s="7" t="s">
        <v>10613</v>
      </c>
      <c r="E316" s="8" t="s">
        <v>13011</v>
      </c>
      <c r="F316" s="4">
        <v>39804.838773148149</v>
      </c>
      <c r="G316" s="17" t="s">
        <v>13000</v>
      </c>
      <c r="H316" s="35" t="s">
        <v>10614</v>
      </c>
      <c r="I316" s="10" t="s">
        <v>10615</v>
      </c>
    </row>
    <row r="317" spans="1:9" s="31" customFormat="1" ht="45">
      <c r="A317" s="4">
        <v>43562.642754629633</v>
      </c>
      <c r="B317" s="5" t="s">
        <v>13586</v>
      </c>
      <c r="C317" s="6" t="s">
        <v>6148</v>
      </c>
      <c r="D317" s="7" t="s">
        <v>10631</v>
      </c>
      <c r="E317" s="8" t="s">
        <v>13013</v>
      </c>
      <c r="F317" s="4">
        <v>41577.779907407406</v>
      </c>
      <c r="G317" s="17" t="s">
        <v>13000</v>
      </c>
      <c r="H317" s="35" t="s">
        <v>1169</v>
      </c>
      <c r="I317" s="10" t="s">
        <v>6150</v>
      </c>
    </row>
    <row r="318" spans="1:9" s="31" customFormat="1" ht="75">
      <c r="A318" s="4">
        <v>43562.572488425925</v>
      </c>
      <c r="B318" s="5" t="s">
        <v>13591</v>
      </c>
      <c r="C318" s="6" t="s">
        <v>10648</v>
      </c>
      <c r="D318" s="7" t="s">
        <v>10649</v>
      </c>
      <c r="E318" s="8" t="s">
        <v>13009</v>
      </c>
      <c r="F318" s="4">
        <v>43066.662465277783</v>
      </c>
      <c r="G318" s="17" t="s">
        <v>13000</v>
      </c>
      <c r="H318" s="35" t="s">
        <v>1169</v>
      </c>
      <c r="I318" s="10" t="s">
        <v>10650</v>
      </c>
    </row>
    <row r="319" spans="1:9" s="31" customFormat="1" ht="60">
      <c r="A319" s="4">
        <v>43561.584039351852</v>
      </c>
      <c r="B319" s="5" t="s">
        <v>13592</v>
      </c>
      <c r="C319" s="6" t="s">
        <v>10927</v>
      </c>
      <c r="D319" s="7" t="s">
        <v>502</v>
      </c>
      <c r="E319" s="8" t="s">
        <v>13034</v>
      </c>
      <c r="F319" s="4">
        <v>43504.595879629633</v>
      </c>
      <c r="G319" s="17" t="s">
        <v>13000</v>
      </c>
      <c r="H319" s="35" t="s">
        <v>1169</v>
      </c>
      <c r="I319" s="10" t="s">
        <v>10928</v>
      </c>
    </row>
    <row r="320" spans="1:9" s="31" customFormat="1" ht="90">
      <c r="A320" s="4">
        <v>43561.500810185185</v>
      </c>
      <c r="B320" s="5" t="s">
        <v>13580</v>
      </c>
      <c r="C320" s="6" t="s">
        <v>1167</v>
      </c>
      <c r="D320" s="7" t="s">
        <v>1168</v>
      </c>
      <c r="E320" s="8" t="s">
        <v>13018</v>
      </c>
      <c r="F320" s="4">
        <v>42519.85774305556</v>
      </c>
      <c r="G320" s="17" t="s">
        <v>13000</v>
      </c>
      <c r="H320" s="35" t="s">
        <v>1169</v>
      </c>
      <c r="I320" s="10" t="s">
        <v>1170</v>
      </c>
    </row>
    <row r="321" spans="1:9" s="31" customFormat="1" ht="60">
      <c r="A321" s="4">
        <v>43560.714224537034</v>
      </c>
      <c r="B321" s="5" t="s">
        <v>13586</v>
      </c>
      <c r="C321" s="6" t="s">
        <v>6148</v>
      </c>
      <c r="D321" s="7" t="s">
        <v>11215</v>
      </c>
      <c r="E321" s="8" t="s">
        <v>13013</v>
      </c>
      <c r="F321" s="4">
        <v>41577.779907407406</v>
      </c>
      <c r="G321" s="17" t="s">
        <v>13000</v>
      </c>
      <c r="H321" s="35" t="s">
        <v>1169</v>
      </c>
      <c r="I321" s="10" t="s">
        <v>6150</v>
      </c>
    </row>
    <row r="322" spans="1:9" s="31" customFormat="1" ht="45">
      <c r="A322" s="4">
        <v>43560.348113425927</v>
      </c>
      <c r="B322" s="5" t="s">
        <v>13593</v>
      </c>
      <c r="C322" s="6" t="s">
        <v>11436</v>
      </c>
      <c r="D322" s="7" t="s">
        <v>11437</v>
      </c>
      <c r="E322" s="8" t="s">
        <v>13011</v>
      </c>
      <c r="F322" s="4">
        <v>41556.967175925922</v>
      </c>
      <c r="G322" s="17" t="s">
        <v>13000</v>
      </c>
      <c r="H322" s="35" t="s">
        <v>1169</v>
      </c>
      <c r="I322" s="10" t="s">
        <v>11438</v>
      </c>
    </row>
    <row r="323" spans="1:9" s="31" customFormat="1" ht="90">
      <c r="A323" s="4">
        <v>43559.501319444447</v>
      </c>
      <c r="B323" s="5" t="s">
        <v>13580</v>
      </c>
      <c r="C323" s="6" t="s">
        <v>1167</v>
      </c>
      <c r="D323" s="7" t="s">
        <v>1168</v>
      </c>
      <c r="E323" s="8" t="s">
        <v>13018</v>
      </c>
      <c r="F323" s="4">
        <v>42519.85774305556</v>
      </c>
      <c r="G323" s="17" t="s">
        <v>13000</v>
      </c>
      <c r="H323" s="35" t="s">
        <v>1169</v>
      </c>
      <c r="I323" s="10" t="s">
        <v>1170</v>
      </c>
    </row>
    <row r="324" spans="1:9" s="31" customFormat="1" ht="60">
      <c r="A324" s="4">
        <v>43558.636793981481</v>
      </c>
      <c r="B324" s="5" t="s">
        <v>13586</v>
      </c>
      <c r="C324" s="6" t="s">
        <v>6148</v>
      </c>
      <c r="D324" s="7" t="s">
        <v>12095</v>
      </c>
      <c r="E324" s="8" t="s">
        <v>13013</v>
      </c>
      <c r="F324" s="4">
        <v>41577.779907407406</v>
      </c>
      <c r="G324" s="17" t="s">
        <v>13000</v>
      </c>
      <c r="H324" s="35" t="s">
        <v>1169</v>
      </c>
      <c r="I324" s="10" t="s">
        <v>6150</v>
      </c>
    </row>
    <row r="325" spans="1:9" s="31" customFormat="1" ht="75">
      <c r="A325" s="4">
        <v>43558.08494212963</v>
      </c>
      <c r="B325" s="5" t="s">
        <v>13583</v>
      </c>
      <c r="C325" s="6" t="s">
        <v>5351</v>
      </c>
      <c r="D325" s="7" t="s">
        <v>12330</v>
      </c>
      <c r="E325" s="8" t="s">
        <v>13027</v>
      </c>
      <c r="F325" s="4">
        <v>42460.681226851855</v>
      </c>
      <c r="G325" s="17" t="s">
        <v>13000</v>
      </c>
      <c r="H325" s="35" t="s">
        <v>1169</v>
      </c>
      <c r="I325" s="10" t="s">
        <v>5353</v>
      </c>
    </row>
    <row r="326" spans="1:9" s="31" customFormat="1" ht="45">
      <c r="A326" s="4">
        <v>43557.715810185182</v>
      </c>
      <c r="B326" s="5" t="s">
        <v>13594</v>
      </c>
      <c r="C326" s="6" t="s">
        <v>12406</v>
      </c>
      <c r="D326" s="7" t="s">
        <v>12407</v>
      </c>
      <c r="E326" s="8" t="s">
        <v>13009</v>
      </c>
      <c r="F326" s="4">
        <v>43470.450613425928</v>
      </c>
      <c r="G326" s="17" t="s">
        <v>13000</v>
      </c>
      <c r="H326" s="35" t="s">
        <v>1169</v>
      </c>
      <c r="I326" s="10" t="s">
        <v>12408</v>
      </c>
    </row>
    <row r="327" spans="1:9" s="31" customFormat="1" ht="90">
      <c r="A327" s="4">
        <v>43557.418368055558</v>
      </c>
      <c r="B327" s="5" t="s">
        <v>13580</v>
      </c>
      <c r="C327" s="6" t="s">
        <v>1167</v>
      </c>
      <c r="D327" s="7" t="s">
        <v>1168</v>
      </c>
      <c r="E327" s="8" t="s">
        <v>13018</v>
      </c>
      <c r="F327" s="4">
        <v>42519.85774305556</v>
      </c>
      <c r="G327" s="17" t="s">
        <v>13000</v>
      </c>
      <c r="H327" s="35" t="s">
        <v>1169</v>
      </c>
      <c r="I327" s="10" t="s">
        <v>1170</v>
      </c>
    </row>
    <row r="328" spans="1:9" s="31" customFormat="1" ht="90">
      <c r="A328" s="12">
        <v>43578.503657407404</v>
      </c>
      <c r="B328" s="13" t="s">
        <v>13580</v>
      </c>
      <c r="C328" s="14" t="s">
        <v>1167</v>
      </c>
      <c r="D328" s="15" t="s">
        <v>1168</v>
      </c>
      <c r="E328" s="16" t="s">
        <v>13018</v>
      </c>
      <c r="F328" s="12">
        <v>42519.85774305556</v>
      </c>
      <c r="G328" s="17" t="s">
        <v>13000</v>
      </c>
      <c r="H328" s="35" t="s">
        <v>1169</v>
      </c>
      <c r="I328" s="18" t="s">
        <v>1170</v>
      </c>
    </row>
    <row r="329" spans="1:9" s="31" customFormat="1" ht="90">
      <c r="A329" s="12">
        <v>43577.503657407404</v>
      </c>
      <c r="B329" s="13" t="s">
        <v>13580</v>
      </c>
      <c r="C329" s="14" t="s">
        <v>1167</v>
      </c>
      <c r="D329" s="15" t="s">
        <v>1168</v>
      </c>
      <c r="E329" s="16" t="s">
        <v>13018</v>
      </c>
      <c r="F329" s="12">
        <v>42519.85774305556</v>
      </c>
      <c r="G329" s="17" t="s">
        <v>13000</v>
      </c>
      <c r="H329" s="35" t="s">
        <v>1169</v>
      </c>
      <c r="I329" s="18" t="s">
        <v>1170</v>
      </c>
    </row>
    <row r="330" spans="1:9" s="31" customFormat="1" ht="90">
      <c r="A330" s="12">
        <v>43576.503564814819</v>
      </c>
      <c r="B330" s="13" t="s">
        <v>13580</v>
      </c>
      <c r="C330" s="14" t="s">
        <v>1167</v>
      </c>
      <c r="D330" s="15" t="s">
        <v>1168</v>
      </c>
      <c r="E330" s="16" t="s">
        <v>13018</v>
      </c>
      <c r="F330" s="12">
        <v>42519.85774305556</v>
      </c>
      <c r="G330" s="17" t="s">
        <v>13000</v>
      </c>
      <c r="H330" s="35" t="s">
        <v>1169</v>
      </c>
      <c r="I330" s="18" t="s">
        <v>1170</v>
      </c>
    </row>
    <row r="331" spans="1:9" s="31" customFormat="1" ht="90">
      <c r="A331" s="12">
        <v>43575.503599537042</v>
      </c>
      <c r="B331" s="13" t="s">
        <v>13580</v>
      </c>
      <c r="C331" s="14" t="s">
        <v>1167</v>
      </c>
      <c r="D331" s="15" t="s">
        <v>1168</v>
      </c>
      <c r="E331" s="16" t="s">
        <v>13018</v>
      </c>
      <c r="F331" s="12">
        <v>42519.85774305556</v>
      </c>
      <c r="G331" s="17" t="s">
        <v>13000</v>
      </c>
      <c r="H331" s="35" t="s">
        <v>1169</v>
      </c>
      <c r="I331" s="18" t="s">
        <v>1170</v>
      </c>
    </row>
    <row r="332" spans="1:9" s="31" customFormat="1" ht="90">
      <c r="A332" s="12">
        <v>43574.503657407404</v>
      </c>
      <c r="B332" s="13" t="s">
        <v>13580</v>
      </c>
      <c r="C332" s="14" t="s">
        <v>1167</v>
      </c>
      <c r="D332" s="15" t="s">
        <v>1168</v>
      </c>
      <c r="E332" s="16" t="s">
        <v>13018</v>
      </c>
      <c r="F332" s="12">
        <v>42519.85774305556</v>
      </c>
      <c r="G332" s="17" t="s">
        <v>13000</v>
      </c>
      <c r="H332" s="35" t="s">
        <v>1169</v>
      </c>
      <c r="I332" s="18" t="s">
        <v>1170</v>
      </c>
    </row>
    <row r="333" spans="1:9" s="31" customFormat="1" ht="90">
      <c r="A333" s="12">
        <v>43574.349733796298</v>
      </c>
      <c r="B333" s="13" t="s">
        <v>13595</v>
      </c>
      <c r="C333" s="14" t="s">
        <v>2583</v>
      </c>
      <c r="D333" s="15" t="s">
        <v>2584</v>
      </c>
      <c r="E333" s="16" t="s">
        <v>13032</v>
      </c>
      <c r="F333" s="12">
        <v>40790.771226851852</v>
      </c>
      <c r="G333" s="17" t="s">
        <v>13000</v>
      </c>
      <c r="H333" s="35" t="s">
        <v>1169</v>
      </c>
      <c r="I333" s="18" t="s">
        <v>2585</v>
      </c>
    </row>
    <row r="334" spans="1:9" s="31" customFormat="1" ht="90">
      <c r="A334" s="12">
        <v>43573.63381944444</v>
      </c>
      <c r="B334" s="13" t="s">
        <v>13596</v>
      </c>
      <c r="C334" s="14" t="s">
        <v>2798</v>
      </c>
      <c r="D334" s="15" t="s">
        <v>2799</v>
      </c>
      <c r="E334" s="16" t="s">
        <v>13013</v>
      </c>
      <c r="F334" s="12">
        <v>40035.758692129632</v>
      </c>
      <c r="G334" s="17" t="s">
        <v>13000</v>
      </c>
      <c r="H334" s="35" t="s">
        <v>1169</v>
      </c>
      <c r="I334" s="18" t="s">
        <v>2800</v>
      </c>
    </row>
    <row r="335" spans="1:9" s="31" customFormat="1" ht="90">
      <c r="A335" s="12">
        <v>43573.503703703704</v>
      </c>
      <c r="B335" s="13" t="s">
        <v>13580</v>
      </c>
      <c r="C335" s="14" t="s">
        <v>1167</v>
      </c>
      <c r="D335" s="15" t="s">
        <v>1168</v>
      </c>
      <c r="E335" s="16" t="s">
        <v>13018</v>
      </c>
      <c r="F335" s="12">
        <v>42519.85774305556</v>
      </c>
      <c r="G335" s="17" t="s">
        <v>13000</v>
      </c>
      <c r="H335" s="35" t="s">
        <v>1169</v>
      </c>
      <c r="I335" s="18" t="s">
        <v>1170</v>
      </c>
    </row>
    <row r="336" spans="1:9" s="31" customFormat="1" ht="90">
      <c r="A336" s="12">
        <v>43572.503668981481</v>
      </c>
      <c r="B336" s="13" t="s">
        <v>13580</v>
      </c>
      <c r="C336" s="14" t="s">
        <v>1167</v>
      </c>
      <c r="D336" s="15" t="s">
        <v>1168</v>
      </c>
      <c r="E336" s="16" t="s">
        <v>13018</v>
      </c>
      <c r="F336" s="12">
        <v>42519.85774305556</v>
      </c>
      <c r="G336" s="17" t="s">
        <v>13000</v>
      </c>
      <c r="H336" s="35" t="s">
        <v>1169</v>
      </c>
      <c r="I336" s="18" t="s">
        <v>1170</v>
      </c>
    </row>
    <row r="337" spans="1:9" s="31" customFormat="1" ht="90">
      <c r="A337" s="12">
        <v>43571.503680555557</v>
      </c>
      <c r="B337" s="13" t="s">
        <v>13580</v>
      </c>
      <c r="C337" s="14" t="s">
        <v>1167</v>
      </c>
      <c r="D337" s="15" t="s">
        <v>1168</v>
      </c>
      <c r="E337" s="16" t="s">
        <v>13018</v>
      </c>
      <c r="F337" s="12">
        <v>42519.85774305556</v>
      </c>
      <c r="G337" s="17" t="s">
        <v>13000</v>
      </c>
      <c r="H337" s="35" t="s">
        <v>1169</v>
      </c>
      <c r="I337" s="18" t="s">
        <v>1170</v>
      </c>
    </row>
    <row r="338" spans="1:9" s="31" customFormat="1" ht="105">
      <c r="A338" s="12">
        <v>43571.321504629625</v>
      </c>
      <c r="B338" s="13" t="s">
        <v>13597</v>
      </c>
      <c r="C338" s="14" t="s">
        <v>3735</v>
      </c>
      <c r="D338" s="15" t="s">
        <v>3736</v>
      </c>
      <c r="E338" s="16" t="s">
        <v>13011</v>
      </c>
      <c r="F338" s="12">
        <v>42883.278321759259</v>
      </c>
      <c r="G338" s="17" t="s">
        <v>13000</v>
      </c>
      <c r="H338" s="35" t="s">
        <v>1169</v>
      </c>
      <c r="I338" s="18" t="s">
        <v>3737</v>
      </c>
    </row>
    <row r="339" spans="1:9" s="31" customFormat="1" ht="90">
      <c r="A339" s="12">
        <v>43570.503657407404</v>
      </c>
      <c r="B339" s="13" t="s">
        <v>13580</v>
      </c>
      <c r="C339" s="14" t="s">
        <v>1167</v>
      </c>
      <c r="D339" s="15" t="s">
        <v>1168</v>
      </c>
      <c r="E339" s="16" t="s">
        <v>13018</v>
      </c>
      <c r="F339" s="12">
        <v>42519.85774305556</v>
      </c>
      <c r="G339" s="17" t="s">
        <v>13000</v>
      </c>
      <c r="H339" s="35" t="s">
        <v>1169</v>
      </c>
      <c r="I339" s="18" t="s">
        <v>1170</v>
      </c>
    </row>
    <row r="340" spans="1:9" s="31" customFormat="1" ht="90">
      <c r="A340" s="12">
        <v>43569.503564814819</v>
      </c>
      <c r="B340" s="13" t="s">
        <v>13580</v>
      </c>
      <c r="C340" s="14" t="s">
        <v>1167</v>
      </c>
      <c r="D340" s="15" t="s">
        <v>1168</v>
      </c>
      <c r="E340" s="16" t="s">
        <v>13018</v>
      </c>
      <c r="F340" s="12">
        <v>42519.85774305556</v>
      </c>
      <c r="G340" s="17" t="s">
        <v>13000</v>
      </c>
      <c r="H340" s="35" t="s">
        <v>1169</v>
      </c>
      <c r="I340" s="18" t="s">
        <v>1170</v>
      </c>
    </row>
    <row r="341" spans="1:9" s="31" customFormat="1" ht="90">
      <c r="A341" s="12">
        <v>43568.498055555552</v>
      </c>
      <c r="B341" s="13" t="s">
        <v>13580</v>
      </c>
      <c r="C341" s="14" t="s">
        <v>1167</v>
      </c>
      <c r="D341" s="15" t="s">
        <v>1168</v>
      </c>
      <c r="E341" s="16" t="s">
        <v>13018</v>
      </c>
      <c r="F341" s="12">
        <v>42519.85774305556</v>
      </c>
      <c r="G341" s="17" t="s">
        <v>13000</v>
      </c>
      <c r="H341" s="35" t="s">
        <v>1169</v>
      </c>
      <c r="I341" s="18" t="s">
        <v>1170</v>
      </c>
    </row>
    <row r="342" spans="1:9" s="31" customFormat="1" ht="75">
      <c r="A342" s="12">
        <v>43566.753101851849</v>
      </c>
      <c r="B342" s="13" t="s">
        <v>13583</v>
      </c>
      <c r="C342" s="14" t="s">
        <v>5351</v>
      </c>
      <c r="D342" s="15" t="s">
        <v>5352</v>
      </c>
      <c r="E342" s="16" t="s">
        <v>13027</v>
      </c>
      <c r="F342" s="12">
        <v>42460.681226851855</v>
      </c>
      <c r="G342" s="17" t="s">
        <v>13000</v>
      </c>
      <c r="H342" s="35" t="s">
        <v>1169</v>
      </c>
      <c r="I342" s="18" t="s">
        <v>5353</v>
      </c>
    </row>
    <row r="343" spans="1:9" s="31" customFormat="1" ht="75">
      <c r="A343" s="12">
        <v>43565.853969907403</v>
      </c>
      <c r="B343" s="13" t="s">
        <v>13598</v>
      </c>
      <c r="C343" s="14" t="s">
        <v>5873</v>
      </c>
      <c r="D343" s="15" t="s">
        <v>5874</v>
      </c>
      <c r="E343" s="16" t="s">
        <v>13013</v>
      </c>
      <c r="F343" s="12">
        <v>42234.584513888884</v>
      </c>
      <c r="G343" s="17" t="s">
        <v>13000</v>
      </c>
      <c r="H343" s="35" t="s">
        <v>1169</v>
      </c>
      <c r="I343" s="18" t="s">
        <v>5875</v>
      </c>
    </row>
    <row r="344" spans="1:9" s="31" customFormat="1" ht="75">
      <c r="A344" s="12">
        <v>43565.333240740743</v>
      </c>
      <c r="B344" s="13" t="s">
        <v>13599</v>
      </c>
      <c r="C344" s="14" t="s">
        <v>6165</v>
      </c>
      <c r="D344" s="15" t="s">
        <v>6166</v>
      </c>
      <c r="E344" s="16" t="s">
        <v>13099</v>
      </c>
      <c r="F344" s="12">
        <v>43447.472546296296</v>
      </c>
      <c r="G344" s="17" t="s">
        <v>13000</v>
      </c>
      <c r="H344" s="35" t="s">
        <v>1169</v>
      </c>
      <c r="I344" s="18" t="s">
        <v>6167</v>
      </c>
    </row>
    <row r="345" spans="1:9" s="31" customFormat="1" ht="75">
      <c r="A345" s="19">
        <v>43544.622129629628</v>
      </c>
      <c r="B345" s="20" t="s">
        <v>13600</v>
      </c>
      <c r="C345" s="21" t="s">
        <v>775</v>
      </c>
      <c r="D345" s="22" t="s">
        <v>9388</v>
      </c>
      <c r="E345" s="23" t="s">
        <v>13009</v>
      </c>
      <c r="F345" s="19">
        <v>43309.233981481477</v>
      </c>
      <c r="G345" s="24" t="s">
        <v>13000</v>
      </c>
      <c r="H345" s="35" t="s">
        <v>777</v>
      </c>
      <c r="I345" s="25" t="s">
        <v>778</v>
      </c>
    </row>
    <row r="346" spans="1:9" s="31" customFormat="1" ht="90">
      <c r="A346" s="12">
        <v>43579.314282407402</v>
      </c>
      <c r="B346" s="13" t="s">
        <v>13600</v>
      </c>
      <c r="C346" s="14" t="s">
        <v>775</v>
      </c>
      <c r="D346" s="15" t="s">
        <v>776</v>
      </c>
      <c r="E346" s="16" t="s">
        <v>13009</v>
      </c>
      <c r="F346" s="12">
        <v>43309.233981481477</v>
      </c>
      <c r="G346" s="24" t="s">
        <v>13000</v>
      </c>
      <c r="H346" s="35" t="s">
        <v>777</v>
      </c>
      <c r="I346" s="18" t="s">
        <v>778</v>
      </c>
    </row>
    <row r="347" spans="1:9" s="31" customFormat="1" ht="90">
      <c r="A347" s="12">
        <v>43578.325312500005</v>
      </c>
      <c r="B347" s="13" t="s">
        <v>13600</v>
      </c>
      <c r="C347" s="14" t="s">
        <v>775</v>
      </c>
      <c r="D347" s="15" t="s">
        <v>1287</v>
      </c>
      <c r="E347" s="16" t="s">
        <v>13009</v>
      </c>
      <c r="F347" s="12">
        <v>43309.233981481477</v>
      </c>
      <c r="G347" s="24" t="s">
        <v>13000</v>
      </c>
      <c r="H347" s="35" t="s">
        <v>777</v>
      </c>
      <c r="I347" s="18" t="s">
        <v>778</v>
      </c>
    </row>
    <row r="348" spans="1:9" s="31" customFormat="1" ht="90">
      <c r="A348" s="12">
        <v>43574.634398148148</v>
      </c>
      <c r="B348" s="13" t="s">
        <v>13600</v>
      </c>
      <c r="C348" s="14" t="s">
        <v>775</v>
      </c>
      <c r="D348" s="15" t="s">
        <v>2488</v>
      </c>
      <c r="E348" s="16" t="s">
        <v>13009</v>
      </c>
      <c r="F348" s="12">
        <v>43309.233981481477</v>
      </c>
      <c r="G348" s="24" t="s">
        <v>13000</v>
      </c>
      <c r="H348" s="35" t="s">
        <v>777</v>
      </c>
      <c r="I348" s="18" t="s">
        <v>778</v>
      </c>
    </row>
    <row r="349" spans="1:9" s="31" customFormat="1" ht="75">
      <c r="A349" s="12">
        <v>43567.566979166666</v>
      </c>
      <c r="B349" s="13" t="s">
        <v>13601</v>
      </c>
      <c r="C349" s="14" t="s">
        <v>5048</v>
      </c>
      <c r="D349" s="15" t="s">
        <v>5049</v>
      </c>
      <c r="E349" s="16" t="s">
        <v>13009</v>
      </c>
      <c r="F349" s="12">
        <v>40809.208368055552</v>
      </c>
      <c r="G349" s="24" t="s">
        <v>13000</v>
      </c>
      <c r="H349" s="35" t="s">
        <v>777</v>
      </c>
      <c r="I349" s="18" t="s">
        <v>5050</v>
      </c>
    </row>
    <row r="350" spans="1:9" s="31" customFormat="1" ht="75">
      <c r="A350" s="4">
        <v>43559.760451388887</v>
      </c>
      <c r="B350" s="5" t="s">
        <v>13602</v>
      </c>
      <c r="C350" s="6" t="s">
        <v>11700</v>
      </c>
      <c r="D350" s="7" t="s">
        <v>11701</v>
      </c>
      <c r="E350" s="8" t="s">
        <v>13034</v>
      </c>
      <c r="F350" s="4">
        <v>42321.10873842593</v>
      </c>
      <c r="G350" s="9" t="s">
        <v>13000</v>
      </c>
      <c r="H350" s="35" t="s">
        <v>11702</v>
      </c>
      <c r="I350" s="10" t="s">
        <v>11703</v>
      </c>
    </row>
    <row r="351" spans="1:9" s="31" customFormat="1" ht="45">
      <c r="A351" s="19">
        <v>43546.46811342593</v>
      </c>
      <c r="B351" s="20" t="s">
        <v>13603</v>
      </c>
      <c r="C351" s="21" t="s">
        <v>8835</v>
      </c>
      <c r="D351" s="22" t="s">
        <v>12921</v>
      </c>
      <c r="E351" s="23" t="s">
        <v>13120</v>
      </c>
      <c r="F351" s="19">
        <v>39912.625023148146</v>
      </c>
      <c r="G351" s="17" t="s">
        <v>13000</v>
      </c>
      <c r="H351" s="35" t="s">
        <v>8836</v>
      </c>
      <c r="I351" s="25" t="s">
        <v>8837</v>
      </c>
    </row>
    <row r="352" spans="1:9" s="31" customFormat="1" ht="90">
      <c r="A352" s="19">
        <v>43546.433472222227</v>
      </c>
      <c r="B352" s="20" t="s">
        <v>13603</v>
      </c>
      <c r="C352" s="21" t="s">
        <v>8835</v>
      </c>
      <c r="D352" s="22" t="s">
        <v>12922</v>
      </c>
      <c r="E352" s="23" t="s">
        <v>13120</v>
      </c>
      <c r="F352" s="19">
        <v>39912.625023148146</v>
      </c>
      <c r="G352" s="17" t="s">
        <v>13000</v>
      </c>
      <c r="H352" s="35" t="s">
        <v>8836</v>
      </c>
      <c r="I352" s="25" t="s">
        <v>8837</v>
      </c>
    </row>
    <row r="353" spans="1:9" s="31" customFormat="1" ht="90">
      <c r="A353" s="19">
        <v>43546.379143518519</v>
      </c>
      <c r="B353" s="20" t="s">
        <v>13603</v>
      </c>
      <c r="C353" s="21" t="s">
        <v>8835</v>
      </c>
      <c r="D353" s="22" t="s">
        <v>12923</v>
      </c>
      <c r="E353" s="23" t="s">
        <v>13120</v>
      </c>
      <c r="F353" s="19">
        <v>39912.625023148146</v>
      </c>
      <c r="G353" s="17" t="s">
        <v>13000</v>
      </c>
      <c r="H353" s="35" t="s">
        <v>8836</v>
      </c>
      <c r="I353" s="25" t="s">
        <v>8837</v>
      </c>
    </row>
    <row r="354" spans="1:9" s="31" customFormat="1" ht="105">
      <c r="A354" s="19">
        <v>43548.329166666663</v>
      </c>
      <c r="B354" s="20" t="s">
        <v>13604</v>
      </c>
      <c r="C354" s="21" t="s">
        <v>8350</v>
      </c>
      <c r="D354" s="22" t="s">
        <v>12814</v>
      </c>
      <c r="E354" s="23" t="s">
        <v>13013</v>
      </c>
      <c r="F354" s="19">
        <v>40016.99864583333</v>
      </c>
      <c r="G354" s="17" t="s">
        <v>13000</v>
      </c>
      <c r="H354" s="35" t="s">
        <v>8351</v>
      </c>
      <c r="I354" s="25" t="s">
        <v>12815</v>
      </c>
    </row>
    <row r="355" spans="1:9" s="31" customFormat="1" ht="30">
      <c r="A355" s="19">
        <v>43545.303194444445</v>
      </c>
      <c r="B355" s="20" t="s">
        <v>13605</v>
      </c>
      <c r="C355" s="21" t="s">
        <v>9208</v>
      </c>
      <c r="D355" s="22" t="s">
        <v>12822</v>
      </c>
      <c r="E355" s="23" t="s">
        <v>13011</v>
      </c>
      <c r="F355" s="19">
        <v>42359.543495370366</v>
      </c>
      <c r="G355" s="17" t="s">
        <v>13000</v>
      </c>
      <c r="H355" s="35" t="s">
        <v>9209</v>
      </c>
      <c r="I355" s="25" t="s">
        <v>9210</v>
      </c>
    </row>
    <row r="356" spans="1:9" s="31" customFormat="1" ht="75">
      <c r="A356" s="19">
        <v>43546.487592592588</v>
      </c>
      <c r="B356" s="20" t="s">
        <v>13606</v>
      </c>
      <c r="C356" s="21" t="s">
        <v>8824</v>
      </c>
      <c r="D356" s="22" t="s">
        <v>12855</v>
      </c>
      <c r="E356" s="23" t="s">
        <v>13009</v>
      </c>
      <c r="F356" s="19">
        <v>41324.435763888891</v>
      </c>
      <c r="G356" s="17" t="s">
        <v>13000</v>
      </c>
      <c r="H356" s="35" t="s">
        <v>8825</v>
      </c>
      <c r="I356" s="25" t="s">
        <v>8826</v>
      </c>
    </row>
    <row r="357" spans="1:9" s="31" customFormat="1" ht="60">
      <c r="A357" s="19">
        <v>43546.419050925921</v>
      </c>
      <c r="B357" s="20" t="s">
        <v>13606</v>
      </c>
      <c r="C357" s="21" t="s">
        <v>8824</v>
      </c>
      <c r="D357" s="22" t="s">
        <v>12856</v>
      </c>
      <c r="E357" s="23" t="s">
        <v>13411</v>
      </c>
      <c r="F357" s="19">
        <v>41324.435763888891</v>
      </c>
      <c r="G357" s="17" t="s">
        <v>13000</v>
      </c>
      <c r="H357" s="35" t="s">
        <v>8825</v>
      </c>
      <c r="I357" s="25" t="s">
        <v>8826</v>
      </c>
    </row>
    <row r="358" spans="1:9" s="31" customFormat="1" ht="75">
      <c r="A358" s="19">
        <v>43549.713333333333</v>
      </c>
      <c r="B358" s="20" t="s">
        <v>13607</v>
      </c>
      <c r="C358" s="21" t="s">
        <v>416</v>
      </c>
      <c r="D358" s="22" t="s">
        <v>7939</v>
      </c>
      <c r="E358" s="23" t="s">
        <v>13011</v>
      </c>
      <c r="F358" s="19">
        <v>42557.299502314811</v>
      </c>
      <c r="G358" s="17" t="s">
        <v>13000</v>
      </c>
      <c r="H358" s="35" t="s">
        <v>50</v>
      </c>
      <c r="I358" s="25" t="s">
        <v>418</v>
      </c>
    </row>
    <row r="359" spans="1:9" s="31" customFormat="1" ht="90">
      <c r="A359" s="19">
        <v>43545.906469907408</v>
      </c>
      <c r="B359" s="20" t="s">
        <v>13608</v>
      </c>
      <c r="C359" s="21" t="s">
        <v>9005</v>
      </c>
      <c r="D359" s="22" t="s">
        <v>9006</v>
      </c>
      <c r="E359" s="23" t="s">
        <v>13011</v>
      </c>
      <c r="F359" s="19">
        <v>40956.306377314817</v>
      </c>
      <c r="G359" s="17" t="s">
        <v>13000</v>
      </c>
      <c r="H359" s="35" t="s">
        <v>50</v>
      </c>
      <c r="I359" s="25" t="s">
        <v>9007</v>
      </c>
    </row>
    <row r="360" spans="1:9" s="31" customFormat="1" ht="75">
      <c r="A360" s="19">
        <v>43545.746655092589</v>
      </c>
      <c r="B360" s="20" t="s">
        <v>13607</v>
      </c>
      <c r="C360" s="21" t="s">
        <v>416</v>
      </c>
      <c r="D360" s="22" t="s">
        <v>9063</v>
      </c>
      <c r="E360" s="23" t="s">
        <v>13011</v>
      </c>
      <c r="F360" s="19">
        <v>42557.299502314811</v>
      </c>
      <c r="G360" s="17" t="s">
        <v>13000</v>
      </c>
      <c r="H360" s="35" t="s">
        <v>50</v>
      </c>
      <c r="I360" s="25" t="s">
        <v>418</v>
      </c>
    </row>
    <row r="361" spans="1:9" s="31" customFormat="1" ht="90">
      <c r="A361" s="19">
        <v>43545.704074074078</v>
      </c>
      <c r="B361" s="20" t="s">
        <v>13609</v>
      </c>
      <c r="C361" s="21" t="s">
        <v>9066</v>
      </c>
      <c r="D361" s="22" t="s">
        <v>9067</v>
      </c>
      <c r="E361" s="23" t="s">
        <v>13013</v>
      </c>
      <c r="F361" s="19">
        <v>40900.670127314814</v>
      </c>
      <c r="G361" s="17" t="s">
        <v>13000</v>
      </c>
      <c r="H361" s="35" t="s">
        <v>50</v>
      </c>
      <c r="I361" s="25" t="s">
        <v>9068</v>
      </c>
    </row>
    <row r="362" spans="1:9" s="31" customFormat="1" ht="105">
      <c r="A362" s="19">
        <v>43545.475960648153</v>
      </c>
      <c r="B362" s="20" t="s">
        <v>13610</v>
      </c>
      <c r="C362" s="21" t="s">
        <v>9121</v>
      </c>
      <c r="D362" s="22" t="s">
        <v>9122</v>
      </c>
      <c r="E362" s="23" t="s">
        <v>13009</v>
      </c>
      <c r="F362" s="19">
        <v>43473.614606481482</v>
      </c>
      <c r="G362" s="17" t="s">
        <v>13000</v>
      </c>
      <c r="H362" s="35" t="s">
        <v>50</v>
      </c>
      <c r="I362" s="25" t="s">
        <v>9123</v>
      </c>
    </row>
    <row r="363" spans="1:9" s="31" customFormat="1" ht="105">
      <c r="A363" s="19">
        <v>43545.274340277778</v>
      </c>
      <c r="B363" s="20" t="s">
        <v>13607</v>
      </c>
      <c r="C363" s="21" t="s">
        <v>416</v>
      </c>
      <c r="D363" s="22" t="s">
        <v>9217</v>
      </c>
      <c r="E363" s="23" t="s">
        <v>13011</v>
      </c>
      <c r="F363" s="19">
        <v>42557.299502314811</v>
      </c>
      <c r="G363" s="17" t="s">
        <v>13000</v>
      </c>
      <c r="H363" s="35" t="s">
        <v>50</v>
      </c>
      <c r="I363" s="25" t="s">
        <v>418</v>
      </c>
    </row>
    <row r="364" spans="1:9" s="31" customFormat="1" ht="105">
      <c r="A364" s="19">
        <v>43545.206597222219</v>
      </c>
      <c r="B364" s="20" t="s">
        <v>13611</v>
      </c>
      <c r="C364" s="21" t="s">
        <v>9252</v>
      </c>
      <c r="D364" s="22" t="s">
        <v>9253</v>
      </c>
      <c r="E364" s="23" t="s">
        <v>13009</v>
      </c>
      <c r="F364" s="19">
        <v>40828.234513888892</v>
      </c>
      <c r="G364" s="17" t="s">
        <v>13000</v>
      </c>
      <c r="H364" s="35" t="s">
        <v>50</v>
      </c>
      <c r="I364" s="25" t="s">
        <v>9254</v>
      </c>
    </row>
    <row r="365" spans="1:9" s="31" customFormat="1" ht="90">
      <c r="A365" s="19">
        <v>43543.244270833333</v>
      </c>
      <c r="B365" s="20" t="s">
        <v>13612</v>
      </c>
      <c r="C365" s="21" t="s">
        <v>9886</v>
      </c>
      <c r="D365" s="22" t="s">
        <v>9887</v>
      </c>
      <c r="E365" s="23" t="s">
        <v>13120</v>
      </c>
      <c r="F365" s="19">
        <v>43168.657708333332</v>
      </c>
      <c r="G365" s="17" t="s">
        <v>13000</v>
      </c>
      <c r="H365" s="35" t="s">
        <v>50</v>
      </c>
      <c r="I365" s="25" t="s">
        <v>9888</v>
      </c>
    </row>
    <row r="366" spans="1:9" s="31" customFormat="1" ht="60">
      <c r="A366" s="4">
        <v>43565.33865740741</v>
      </c>
      <c r="B366" s="5" t="s">
        <v>13613</v>
      </c>
      <c r="C366" s="6" t="s">
        <v>6159</v>
      </c>
      <c r="D366" s="7" t="s">
        <v>6160</v>
      </c>
      <c r="E366" s="8" t="s">
        <v>13009</v>
      </c>
      <c r="F366" s="4">
        <v>40091.584895833337</v>
      </c>
      <c r="G366" s="17" t="s">
        <v>13000</v>
      </c>
      <c r="H366" s="35" t="s">
        <v>50</v>
      </c>
      <c r="I366" s="10" t="s">
        <v>6161</v>
      </c>
    </row>
    <row r="367" spans="1:9" s="31" customFormat="1" ht="75">
      <c r="A367" s="4">
        <v>43565.30400462963</v>
      </c>
      <c r="B367" s="5" t="s">
        <v>13607</v>
      </c>
      <c r="C367" s="6" t="s">
        <v>416</v>
      </c>
      <c r="D367" s="7" t="s">
        <v>6188</v>
      </c>
      <c r="E367" s="8" t="s">
        <v>13011</v>
      </c>
      <c r="F367" s="4">
        <v>42557.299502314811</v>
      </c>
      <c r="G367" s="17" t="s">
        <v>13000</v>
      </c>
      <c r="H367" s="35" t="s">
        <v>50</v>
      </c>
      <c r="I367" s="10" t="s">
        <v>418</v>
      </c>
    </row>
    <row r="368" spans="1:9" s="31" customFormat="1" ht="75">
      <c r="A368" s="4">
        <v>43564.274409722224</v>
      </c>
      <c r="B368" s="5" t="s">
        <v>13607</v>
      </c>
      <c r="C368" s="6" t="s">
        <v>416</v>
      </c>
      <c r="D368" s="7" t="s">
        <v>6706</v>
      </c>
      <c r="E368" s="8" t="s">
        <v>13011</v>
      </c>
      <c r="F368" s="4">
        <v>42557.299502314811</v>
      </c>
      <c r="G368" s="17" t="s">
        <v>13000</v>
      </c>
      <c r="H368" s="35" t="s">
        <v>50</v>
      </c>
      <c r="I368" s="10" t="s">
        <v>418</v>
      </c>
    </row>
    <row r="369" spans="1:9" s="31" customFormat="1" ht="120">
      <c r="A369" s="4">
        <v>43563.73265046296</v>
      </c>
      <c r="B369" s="5" t="s">
        <v>13614</v>
      </c>
      <c r="C369" s="6" t="s">
        <v>6908</v>
      </c>
      <c r="D369" s="7" t="s">
        <v>6909</v>
      </c>
      <c r="E369" s="8" t="s">
        <v>13034</v>
      </c>
      <c r="F369" s="4">
        <v>42566.270300925928</v>
      </c>
      <c r="G369" s="17" t="s">
        <v>13000</v>
      </c>
      <c r="H369" s="35" t="s">
        <v>50</v>
      </c>
      <c r="I369" s="10" t="s">
        <v>6910</v>
      </c>
    </row>
    <row r="370" spans="1:9" s="31" customFormat="1" ht="105">
      <c r="A370" s="4">
        <v>43563.312754629631</v>
      </c>
      <c r="B370" s="5" t="s">
        <v>13607</v>
      </c>
      <c r="C370" s="6" t="s">
        <v>416</v>
      </c>
      <c r="D370" s="7" t="s">
        <v>10386</v>
      </c>
      <c r="E370" s="8" t="s">
        <v>13009</v>
      </c>
      <c r="F370" s="4">
        <v>42557.299502314811</v>
      </c>
      <c r="G370" s="17" t="s">
        <v>13000</v>
      </c>
      <c r="H370" s="35" t="s">
        <v>50</v>
      </c>
      <c r="I370" s="10" t="s">
        <v>418</v>
      </c>
    </row>
    <row r="371" spans="1:9" s="31" customFormat="1" ht="105">
      <c r="A371" s="4">
        <v>43562.317557870367</v>
      </c>
      <c r="B371" s="5" t="s">
        <v>13615</v>
      </c>
      <c r="C371" s="6" t="s">
        <v>10705</v>
      </c>
      <c r="D371" s="7" t="s">
        <v>10706</v>
      </c>
      <c r="E371" s="8" t="s">
        <v>13011</v>
      </c>
      <c r="F371" s="4">
        <v>40569.839004629626</v>
      </c>
      <c r="G371" s="17" t="s">
        <v>13000</v>
      </c>
      <c r="H371" s="35" t="s">
        <v>50</v>
      </c>
      <c r="I371" s="10" t="s">
        <v>10707</v>
      </c>
    </row>
    <row r="372" spans="1:9" s="31" customFormat="1" ht="75">
      <c r="A372" s="4">
        <v>43560.584490740745</v>
      </c>
      <c r="B372" s="5" t="s">
        <v>13616</v>
      </c>
      <c r="C372" s="6" t="s">
        <v>11273</v>
      </c>
      <c r="D372" s="7" t="s">
        <v>11274</v>
      </c>
      <c r="E372" s="8" t="s">
        <v>13018</v>
      </c>
      <c r="F372" s="4">
        <v>39925.858981481484</v>
      </c>
      <c r="G372" s="17" t="s">
        <v>13000</v>
      </c>
      <c r="H372" s="35" t="s">
        <v>50</v>
      </c>
      <c r="I372" s="10" t="s">
        <v>11275</v>
      </c>
    </row>
    <row r="373" spans="1:9" s="31" customFormat="1" ht="120">
      <c r="A373" s="4">
        <v>43560.542013888888</v>
      </c>
      <c r="B373" s="5" t="s">
        <v>13617</v>
      </c>
      <c r="C373" s="6" t="s">
        <v>11309</v>
      </c>
      <c r="D373" s="7" t="s">
        <v>11310</v>
      </c>
      <c r="E373" s="8" t="s">
        <v>13015</v>
      </c>
      <c r="F373" s="4">
        <v>42403.786956018521</v>
      </c>
      <c r="G373" s="17" t="s">
        <v>13000</v>
      </c>
      <c r="H373" s="35" t="s">
        <v>50</v>
      </c>
      <c r="I373" s="10" t="s">
        <v>11311</v>
      </c>
    </row>
    <row r="374" spans="1:9" s="31" customFormat="1" ht="90">
      <c r="A374" s="4">
        <v>43559.360486111109</v>
      </c>
      <c r="B374" s="5" t="s">
        <v>13618</v>
      </c>
      <c r="C374" s="6" t="s">
        <v>11874</v>
      </c>
      <c r="D374" s="7" t="s">
        <v>11875</v>
      </c>
      <c r="E374" s="8" t="s">
        <v>13411</v>
      </c>
      <c r="F374" s="4">
        <v>40144.609293981484</v>
      </c>
      <c r="G374" s="17" t="s">
        <v>13000</v>
      </c>
      <c r="H374" s="35" t="s">
        <v>50</v>
      </c>
      <c r="I374" s="10" t="s">
        <v>11876</v>
      </c>
    </row>
    <row r="375" spans="1:9" s="31" customFormat="1" ht="105">
      <c r="A375" s="4">
        <v>43558.299826388888</v>
      </c>
      <c r="B375" s="5" t="s">
        <v>13619</v>
      </c>
      <c r="C375" s="6" t="s">
        <v>12244</v>
      </c>
      <c r="D375" s="7" t="s">
        <v>12245</v>
      </c>
      <c r="E375" s="8" t="s">
        <v>13009</v>
      </c>
      <c r="F375" s="4">
        <v>40287.43818287037</v>
      </c>
      <c r="G375" s="17" t="s">
        <v>13000</v>
      </c>
      <c r="H375" s="35" t="s">
        <v>50</v>
      </c>
      <c r="I375" s="10" t="s">
        <v>12246</v>
      </c>
    </row>
    <row r="376" spans="1:9" s="31" customFormat="1" ht="75">
      <c r="A376" s="4">
        <v>43558.260277777779</v>
      </c>
      <c r="B376" s="5" t="s">
        <v>13607</v>
      </c>
      <c r="C376" s="6" t="s">
        <v>416</v>
      </c>
      <c r="D376" s="7" t="s">
        <v>12258</v>
      </c>
      <c r="E376" s="8" t="s">
        <v>13011</v>
      </c>
      <c r="F376" s="4">
        <v>42557.299502314811</v>
      </c>
      <c r="G376" s="17" t="s">
        <v>13000</v>
      </c>
      <c r="H376" s="35" t="s">
        <v>50</v>
      </c>
      <c r="I376" s="10" t="s">
        <v>418</v>
      </c>
    </row>
    <row r="377" spans="1:9" s="31" customFormat="1" ht="75">
      <c r="A377" s="4">
        <v>43558.011516203704</v>
      </c>
      <c r="B377" s="5" t="s">
        <v>13620</v>
      </c>
      <c r="C377" s="6" t="s">
        <v>12343</v>
      </c>
      <c r="D377" s="7" t="s">
        <v>12344</v>
      </c>
      <c r="E377" s="8" t="s">
        <v>13011</v>
      </c>
      <c r="F377" s="4">
        <v>42452.555844907409</v>
      </c>
      <c r="G377" s="17" t="s">
        <v>13000</v>
      </c>
      <c r="H377" s="35" t="s">
        <v>50</v>
      </c>
      <c r="I377" s="10" t="s">
        <v>12345</v>
      </c>
    </row>
    <row r="378" spans="1:9" s="31" customFormat="1" ht="30">
      <c r="A378" s="4">
        <v>43556.754398148143</v>
      </c>
      <c r="B378" s="5" t="s">
        <v>13621</v>
      </c>
      <c r="C378" s="6" t="s">
        <v>12753</v>
      </c>
      <c r="D378" s="7" t="s">
        <v>12754</v>
      </c>
      <c r="E378" s="8" t="s">
        <v>13440</v>
      </c>
      <c r="F378" s="4">
        <v>41821.754513888889</v>
      </c>
      <c r="G378" s="17" t="s">
        <v>13000</v>
      </c>
      <c r="H378" s="35" t="s">
        <v>50</v>
      </c>
      <c r="I378" s="10" t="s">
        <v>12755</v>
      </c>
    </row>
    <row r="379" spans="1:9" s="31" customFormat="1" ht="120">
      <c r="A379" s="12">
        <v>43580.823483796295</v>
      </c>
      <c r="B379" s="13" t="s">
        <v>13622</v>
      </c>
      <c r="C379" s="14" t="s">
        <v>48</v>
      </c>
      <c r="D379" s="15" t="s">
        <v>49</v>
      </c>
      <c r="E379" s="16" t="s">
        <v>13130</v>
      </c>
      <c r="F379" s="12">
        <v>41945.784629629634</v>
      </c>
      <c r="G379" s="17" t="s">
        <v>13000</v>
      </c>
      <c r="H379" s="35" t="s">
        <v>50</v>
      </c>
      <c r="I379" s="18" t="s">
        <v>51</v>
      </c>
    </row>
    <row r="380" spans="1:9" s="31" customFormat="1" ht="75">
      <c r="A380" s="12">
        <v>43579.880682870367</v>
      </c>
      <c r="B380" s="13" t="s">
        <v>13607</v>
      </c>
      <c r="C380" s="14" t="s">
        <v>416</v>
      </c>
      <c r="D380" s="15" t="s">
        <v>417</v>
      </c>
      <c r="E380" s="16" t="s">
        <v>13130</v>
      </c>
      <c r="F380" s="12">
        <v>42557.299502314811</v>
      </c>
      <c r="G380" s="17" t="s">
        <v>13000</v>
      </c>
      <c r="H380" s="35" t="s">
        <v>50</v>
      </c>
      <c r="I380" s="18" t="s">
        <v>418</v>
      </c>
    </row>
    <row r="381" spans="1:9" s="31" customFormat="1" ht="60">
      <c r="A381" s="12">
        <v>43579.511828703704</v>
      </c>
      <c r="B381" s="13" t="s">
        <v>13623</v>
      </c>
      <c r="C381" s="14" t="s">
        <v>613</v>
      </c>
      <c r="D381" s="15" t="s">
        <v>614</v>
      </c>
      <c r="E381" s="16" t="s">
        <v>13034</v>
      </c>
      <c r="F381" s="12">
        <v>39870.305902777778</v>
      </c>
      <c r="G381" s="17" t="s">
        <v>13000</v>
      </c>
      <c r="H381" s="35" t="s">
        <v>50</v>
      </c>
      <c r="I381" s="18" t="s">
        <v>615</v>
      </c>
    </row>
    <row r="382" spans="1:9" s="31" customFormat="1" ht="75">
      <c r="A382" s="12">
        <v>43578.339456018519</v>
      </c>
      <c r="B382" s="13" t="s">
        <v>13607</v>
      </c>
      <c r="C382" s="14" t="s">
        <v>416</v>
      </c>
      <c r="D382" s="15" t="s">
        <v>1286</v>
      </c>
      <c r="E382" s="16" t="s">
        <v>13011</v>
      </c>
      <c r="F382" s="12">
        <v>42557.299502314811</v>
      </c>
      <c r="G382" s="17" t="s">
        <v>13000</v>
      </c>
      <c r="H382" s="35" t="s">
        <v>50</v>
      </c>
      <c r="I382" s="18" t="s">
        <v>418</v>
      </c>
    </row>
    <row r="383" spans="1:9" s="31" customFormat="1" ht="75">
      <c r="A383" s="12">
        <v>43577.57298611111</v>
      </c>
      <c r="B383" s="13" t="s">
        <v>13624</v>
      </c>
      <c r="C383" s="14" t="s">
        <v>1575</v>
      </c>
      <c r="D383" s="15" t="s">
        <v>1576</v>
      </c>
      <c r="E383" s="16" t="s">
        <v>13013</v>
      </c>
      <c r="F383" s="12">
        <v>40111.42386574074</v>
      </c>
      <c r="G383" s="17" t="s">
        <v>13000</v>
      </c>
      <c r="H383" s="35" t="s">
        <v>50</v>
      </c>
      <c r="I383" s="18" t="s">
        <v>1577</v>
      </c>
    </row>
    <row r="384" spans="1:9" s="31" customFormat="1" ht="135">
      <c r="A384" s="12">
        <v>43575.917997685188</v>
      </c>
      <c r="B384" s="13" t="s">
        <v>13625</v>
      </c>
      <c r="C384" s="14" t="s">
        <v>2104</v>
      </c>
      <c r="D384" s="15" t="s">
        <v>2105</v>
      </c>
      <c r="E384" s="16" t="s">
        <v>13015</v>
      </c>
      <c r="F384" s="12">
        <v>39932.243946759263</v>
      </c>
      <c r="G384" s="17" t="s">
        <v>13000</v>
      </c>
      <c r="H384" s="35" t="s">
        <v>50</v>
      </c>
      <c r="I384" s="18" t="s">
        <v>2106</v>
      </c>
    </row>
    <row r="385" spans="1:9" s="31" customFormat="1" ht="75">
      <c r="A385" s="12">
        <v>43574.622986111106</v>
      </c>
      <c r="B385" s="13" t="s">
        <v>13626</v>
      </c>
      <c r="C385" s="14" t="s">
        <v>2494</v>
      </c>
      <c r="D385" s="15" t="s">
        <v>2495</v>
      </c>
      <c r="E385" s="16" t="s">
        <v>13032</v>
      </c>
      <c r="F385" s="12">
        <v>40053.420092592591</v>
      </c>
      <c r="G385" s="17" t="s">
        <v>13000</v>
      </c>
      <c r="H385" s="35" t="s">
        <v>50</v>
      </c>
      <c r="I385" s="18" t="s">
        <v>2496</v>
      </c>
    </row>
    <row r="386" spans="1:9" s="31" customFormat="1" ht="60">
      <c r="A386" s="12">
        <v>43573.386122685188</v>
      </c>
      <c r="B386" s="13" t="s">
        <v>13623</v>
      </c>
      <c r="C386" s="14" t="s">
        <v>613</v>
      </c>
      <c r="D386" s="15" t="s">
        <v>2905</v>
      </c>
      <c r="E386" s="16" t="s">
        <v>13034</v>
      </c>
      <c r="F386" s="12">
        <v>39870.305902777778</v>
      </c>
      <c r="G386" s="17" t="s">
        <v>13000</v>
      </c>
      <c r="H386" s="35" t="s">
        <v>50</v>
      </c>
      <c r="I386" s="18" t="s">
        <v>615</v>
      </c>
    </row>
    <row r="387" spans="1:9" s="31" customFormat="1" ht="135">
      <c r="A387" s="12">
        <v>43573.220902777779</v>
      </c>
      <c r="B387" s="13" t="s">
        <v>13627</v>
      </c>
      <c r="C387" s="14" t="s">
        <v>2968</v>
      </c>
      <c r="D387" s="15" t="s">
        <v>2969</v>
      </c>
      <c r="E387" s="16" t="s">
        <v>13015</v>
      </c>
      <c r="F387" s="12">
        <v>40695.596435185187</v>
      </c>
      <c r="G387" s="17" t="s">
        <v>13000</v>
      </c>
      <c r="H387" s="35" t="s">
        <v>50</v>
      </c>
      <c r="I387" s="18" t="s">
        <v>2970</v>
      </c>
    </row>
    <row r="388" spans="1:9" s="31" customFormat="1" ht="75">
      <c r="A388" s="12">
        <v>43570.326701388884</v>
      </c>
      <c r="B388" s="13" t="s">
        <v>13628</v>
      </c>
      <c r="C388" s="14" t="s">
        <v>4227</v>
      </c>
      <c r="D388" s="15" t="s">
        <v>4228</v>
      </c>
      <c r="E388" s="16" t="s">
        <v>13629</v>
      </c>
      <c r="F388" s="12">
        <v>42714.654490740737</v>
      </c>
      <c r="G388" s="17" t="s">
        <v>13000</v>
      </c>
      <c r="H388" s="35" t="s">
        <v>50</v>
      </c>
      <c r="I388" s="18" t="s">
        <v>4229</v>
      </c>
    </row>
    <row r="389" spans="1:9" s="31" customFormat="1" ht="75">
      <c r="A389" s="12">
        <v>43569.428599537037</v>
      </c>
      <c r="B389" s="13" t="s">
        <v>13607</v>
      </c>
      <c r="C389" s="14" t="s">
        <v>416</v>
      </c>
      <c r="D389" s="15" t="s">
        <v>4514</v>
      </c>
      <c r="E389" s="16" t="s">
        <v>13011</v>
      </c>
      <c r="F389" s="12">
        <v>42557.299502314811</v>
      </c>
      <c r="G389" s="17" t="s">
        <v>13000</v>
      </c>
      <c r="H389" s="35" t="s">
        <v>50</v>
      </c>
      <c r="I389" s="18" t="s">
        <v>418</v>
      </c>
    </row>
    <row r="390" spans="1:9" s="31" customFormat="1" ht="180">
      <c r="A390" s="12">
        <v>43568.436168981483</v>
      </c>
      <c r="B390" s="13" t="s">
        <v>13607</v>
      </c>
      <c r="C390" s="14" t="s">
        <v>416</v>
      </c>
      <c r="D390" s="15" t="s">
        <v>4774</v>
      </c>
      <c r="E390" s="16" t="s">
        <v>13011</v>
      </c>
      <c r="F390" s="12">
        <v>42557.299502314811</v>
      </c>
      <c r="G390" s="17" t="s">
        <v>13000</v>
      </c>
      <c r="H390" s="35" t="s">
        <v>50</v>
      </c>
      <c r="I390" s="18" t="s">
        <v>418</v>
      </c>
    </row>
    <row r="391" spans="1:9" s="31" customFormat="1" ht="90">
      <c r="A391" s="12">
        <v>43567.737280092595</v>
      </c>
      <c r="B391" s="13" t="s">
        <v>13607</v>
      </c>
      <c r="C391" s="14" t="s">
        <v>416</v>
      </c>
      <c r="D391" s="15" t="s">
        <v>4970</v>
      </c>
      <c r="E391" s="16" t="s">
        <v>13011</v>
      </c>
      <c r="F391" s="12">
        <v>42557.299502314811</v>
      </c>
      <c r="G391" s="17" t="s">
        <v>13000</v>
      </c>
      <c r="H391" s="35" t="s">
        <v>50</v>
      </c>
      <c r="I391" s="18" t="s">
        <v>418</v>
      </c>
    </row>
    <row r="392" spans="1:9" s="31" customFormat="1" ht="105">
      <c r="A392" s="12">
        <v>43567.687407407408</v>
      </c>
      <c r="B392" s="13" t="s">
        <v>13630</v>
      </c>
      <c r="C392" s="14" t="s">
        <v>5002</v>
      </c>
      <c r="D392" s="15" t="s">
        <v>5003</v>
      </c>
      <c r="E392" s="16" t="s">
        <v>13027</v>
      </c>
      <c r="F392" s="12">
        <v>40573.693807870368</v>
      </c>
      <c r="G392" s="17" t="s">
        <v>13000</v>
      </c>
      <c r="H392" s="35" t="s">
        <v>50</v>
      </c>
      <c r="I392" s="18" t="s">
        <v>5004</v>
      </c>
    </row>
    <row r="393" spans="1:9" s="31" customFormat="1" ht="105">
      <c r="A393" s="12">
        <v>43566.613067129627</v>
      </c>
      <c r="B393" s="13" t="s">
        <v>13631</v>
      </c>
      <c r="C393" s="14" t="s">
        <v>5404</v>
      </c>
      <c r="D393" s="15" t="s">
        <v>5405</v>
      </c>
      <c r="E393" s="16" t="s">
        <v>13013</v>
      </c>
      <c r="F393" s="12">
        <v>40995.388182870374</v>
      </c>
      <c r="G393" s="17" t="s">
        <v>13000</v>
      </c>
      <c r="H393" s="35" t="s">
        <v>50</v>
      </c>
      <c r="I393" s="18" t="s">
        <v>5406</v>
      </c>
    </row>
    <row r="394" spans="1:9" s="31" customFormat="1" ht="90">
      <c r="A394" s="12">
        <v>43566.570925925931</v>
      </c>
      <c r="B394" s="13" t="s">
        <v>13632</v>
      </c>
      <c r="C394" s="14" t="s">
        <v>5436</v>
      </c>
      <c r="D394" s="15" t="s">
        <v>5437</v>
      </c>
      <c r="E394" s="16" t="s">
        <v>13032</v>
      </c>
      <c r="F394" s="12">
        <v>40506.388518518521</v>
      </c>
      <c r="G394" s="17" t="s">
        <v>13000</v>
      </c>
      <c r="H394" s="35" t="s">
        <v>50</v>
      </c>
      <c r="I394" s="18" t="s">
        <v>5438</v>
      </c>
    </row>
    <row r="395" spans="1:9" s="31" customFormat="1" ht="75">
      <c r="A395" s="12">
        <v>43566.434201388889</v>
      </c>
      <c r="B395" s="13" t="s">
        <v>13607</v>
      </c>
      <c r="C395" s="14" t="s">
        <v>416</v>
      </c>
      <c r="D395" s="15" t="s">
        <v>5537</v>
      </c>
      <c r="E395" s="16" t="s">
        <v>13011</v>
      </c>
      <c r="F395" s="12">
        <v>42557.299502314811</v>
      </c>
      <c r="G395" s="17" t="s">
        <v>13000</v>
      </c>
      <c r="H395" s="35" t="s">
        <v>50</v>
      </c>
      <c r="I395" s="18" t="s">
        <v>418</v>
      </c>
    </row>
    <row r="396" spans="1:9" s="31" customFormat="1" ht="45">
      <c r="A396" s="12">
        <v>43566.023310185185</v>
      </c>
      <c r="B396" s="13" t="s">
        <v>13633</v>
      </c>
      <c r="C396" s="14" t="s">
        <v>5822</v>
      </c>
      <c r="D396" s="15" t="s">
        <v>5823</v>
      </c>
      <c r="E396" s="16" t="s">
        <v>13009</v>
      </c>
      <c r="F396" s="12">
        <v>43340.261296296296</v>
      </c>
      <c r="G396" s="17" t="s">
        <v>13000</v>
      </c>
      <c r="H396" s="35" t="s">
        <v>50</v>
      </c>
      <c r="I396" s="18" t="s">
        <v>5824</v>
      </c>
    </row>
    <row r="397" spans="1:9" s="31" customFormat="1" ht="90">
      <c r="A397" s="12">
        <v>43566.44667824074</v>
      </c>
      <c r="B397" s="13" t="s">
        <v>13634</v>
      </c>
      <c r="C397" s="14" t="s">
        <v>5524</v>
      </c>
      <c r="D397" s="15" t="s">
        <v>5525</v>
      </c>
      <c r="E397" s="16" t="s">
        <v>13635</v>
      </c>
      <c r="F397" s="12">
        <v>42864.899050925931</v>
      </c>
      <c r="G397" s="17" t="s">
        <v>13000</v>
      </c>
      <c r="H397" s="35" t="s">
        <v>5526</v>
      </c>
      <c r="I397" s="18" t="s">
        <v>5527</v>
      </c>
    </row>
    <row r="398" spans="1:9" s="31" customFormat="1" ht="90">
      <c r="A398" s="12">
        <v>43566.616342592592</v>
      </c>
      <c r="B398" s="13" t="s">
        <v>13636</v>
      </c>
      <c r="C398" s="14" t="s">
        <v>5400</v>
      </c>
      <c r="D398" s="15" t="s">
        <v>5401</v>
      </c>
      <c r="E398" s="16" t="s">
        <v>13009</v>
      </c>
      <c r="F398" s="12">
        <v>40931.810358796298</v>
      </c>
      <c r="G398" s="17" t="s">
        <v>13000</v>
      </c>
      <c r="H398" s="35" t="s">
        <v>5402</v>
      </c>
      <c r="I398" s="18" t="s">
        <v>5403</v>
      </c>
    </row>
    <row r="399" spans="1:9" s="31" customFormat="1" ht="105">
      <c r="A399" s="12">
        <v>43576.445</v>
      </c>
      <c r="B399" s="13" t="s">
        <v>13637</v>
      </c>
      <c r="C399" s="13" t="s">
        <v>1937</v>
      </c>
      <c r="D399" s="15" t="s">
        <v>1938</v>
      </c>
      <c r="E399" s="16" t="s">
        <v>13011</v>
      </c>
      <c r="F399" s="12">
        <v>40608.654374999998</v>
      </c>
      <c r="G399" s="17" t="s">
        <v>13000</v>
      </c>
      <c r="H399" s="35" t="s">
        <v>1939</v>
      </c>
      <c r="I399" s="18" t="s">
        <v>1940</v>
      </c>
    </row>
    <row r="400" spans="1:9" s="31" customFormat="1" ht="90">
      <c r="A400" s="4">
        <v>43563.646967592591</v>
      </c>
      <c r="B400" s="5" t="s">
        <v>13638</v>
      </c>
      <c r="C400" s="6" t="s">
        <v>1171</v>
      </c>
      <c r="D400" s="7" t="s">
        <v>6927</v>
      </c>
      <c r="E400" s="8" t="s">
        <v>13032</v>
      </c>
      <c r="F400" s="4">
        <v>40808.711145833331</v>
      </c>
      <c r="G400" s="9" t="s">
        <v>13000</v>
      </c>
      <c r="H400" s="35" t="s">
        <v>1173</v>
      </c>
      <c r="I400" s="10" t="s">
        <v>1174</v>
      </c>
    </row>
    <row r="401" spans="1:9" s="31" customFormat="1" ht="45">
      <c r="A401" s="4">
        <v>43563.279282407406</v>
      </c>
      <c r="B401" s="5" t="s">
        <v>13639</v>
      </c>
      <c r="C401" s="6" t="s">
        <v>10416</v>
      </c>
      <c r="D401" s="7" t="s">
        <v>10417</v>
      </c>
      <c r="E401" s="8" t="s">
        <v>13006</v>
      </c>
      <c r="F401" s="4">
        <v>43321.444872685184</v>
      </c>
      <c r="G401" s="9" t="s">
        <v>13000</v>
      </c>
      <c r="H401" s="35" t="s">
        <v>1173</v>
      </c>
      <c r="I401" s="10" t="s">
        <v>10418</v>
      </c>
    </row>
    <row r="402" spans="1:9" s="31" customFormat="1" ht="90">
      <c r="A402" s="12">
        <v>43578.501446759255</v>
      </c>
      <c r="B402" s="13" t="s">
        <v>13638</v>
      </c>
      <c r="C402" s="14" t="s">
        <v>1171</v>
      </c>
      <c r="D402" s="15" t="s">
        <v>1172</v>
      </c>
      <c r="E402" s="16" t="s">
        <v>13032</v>
      </c>
      <c r="F402" s="12">
        <v>40808.711145833331</v>
      </c>
      <c r="G402" s="9" t="s">
        <v>13000</v>
      </c>
      <c r="H402" s="35" t="s">
        <v>1173</v>
      </c>
      <c r="I402" s="18" t="s">
        <v>1174</v>
      </c>
    </row>
    <row r="403" spans="1:9" s="31" customFormat="1" ht="90">
      <c r="A403" s="12">
        <v>43572.732847222222</v>
      </c>
      <c r="B403" s="13" t="s">
        <v>13638</v>
      </c>
      <c r="C403" s="14" t="s">
        <v>1171</v>
      </c>
      <c r="D403" s="15" t="s">
        <v>3107</v>
      </c>
      <c r="E403" s="16" t="s">
        <v>13032</v>
      </c>
      <c r="F403" s="12">
        <v>40808.711145833331</v>
      </c>
      <c r="G403" s="9" t="s">
        <v>13000</v>
      </c>
      <c r="H403" s="35" t="s">
        <v>1173</v>
      </c>
      <c r="I403" s="18" t="s">
        <v>1174</v>
      </c>
    </row>
    <row r="404" spans="1:9" s="31" customFormat="1" ht="105">
      <c r="A404" s="19">
        <v>43549.617615740739</v>
      </c>
      <c r="B404" s="20" t="s">
        <v>13640</v>
      </c>
      <c r="C404" s="21" t="s">
        <v>7960</v>
      </c>
      <c r="D404" s="22" t="s">
        <v>7961</v>
      </c>
      <c r="E404" s="23" t="s">
        <v>13120</v>
      </c>
      <c r="F404" s="19">
        <v>40787.546574074076</v>
      </c>
      <c r="G404" s="9" t="s">
        <v>13000</v>
      </c>
      <c r="H404" s="35" t="s">
        <v>7962</v>
      </c>
      <c r="I404" s="25" t="s">
        <v>7963</v>
      </c>
    </row>
    <row r="405" spans="1:9" s="31" customFormat="1" ht="45">
      <c r="A405" s="12">
        <v>43578.293032407411</v>
      </c>
      <c r="B405" s="13" t="s">
        <v>13641</v>
      </c>
      <c r="C405" s="14" t="s">
        <v>1313</v>
      </c>
      <c r="D405" s="15" t="s">
        <v>1314</v>
      </c>
      <c r="E405" s="16" t="s">
        <v>13018</v>
      </c>
      <c r="F405" s="12">
        <v>41081.634618055556</v>
      </c>
      <c r="G405" s="17" t="s">
        <v>13000</v>
      </c>
      <c r="H405" s="35" t="s">
        <v>1315</v>
      </c>
      <c r="I405" s="18" t="s">
        <v>1316</v>
      </c>
    </row>
    <row r="406" spans="1:9" s="31" customFormat="1" ht="120">
      <c r="A406" s="4">
        <v>43560.56527777778</v>
      </c>
      <c r="B406" s="5" t="s">
        <v>13642</v>
      </c>
      <c r="C406" s="6" t="s">
        <v>11281</v>
      </c>
      <c r="D406" s="7" t="s">
        <v>11282</v>
      </c>
      <c r="E406" s="8" t="s">
        <v>13120</v>
      </c>
      <c r="F406" s="4">
        <v>40045.425937499997</v>
      </c>
      <c r="G406" s="17" t="s">
        <v>13000</v>
      </c>
      <c r="H406" s="35" t="s">
        <v>11283</v>
      </c>
      <c r="I406" s="10" t="s">
        <v>11284</v>
      </c>
    </row>
    <row r="407" spans="1:9" s="31" customFormat="1" ht="120">
      <c r="A407" s="4">
        <v>43559.56527777778</v>
      </c>
      <c r="B407" s="5" t="s">
        <v>13642</v>
      </c>
      <c r="C407" s="6" t="s">
        <v>11281</v>
      </c>
      <c r="D407" s="7" t="s">
        <v>11756</v>
      </c>
      <c r="E407" s="8" t="s">
        <v>13120</v>
      </c>
      <c r="F407" s="4">
        <v>40045.425937499997</v>
      </c>
      <c r="G407" s="17" t="s">
        <v>13000</v>
      </c>
      <c r="H407" s="35" t="s">
        <v>11283</v>
      </c>
      <c r="I407" s="10" t="s">
        <v>11284</v>
      </c>
    </row>
    <row r="408" spans="1:9" s="31" customFormat="1" ht="120">
      <c r="A408" s="12">
        <v>43570.588368055556</v>
      </c>
      <c r="B408" s="13" t="s">
        <v>13643</v>
      </c>
      <c r="C408" s="14" t="s">
        <v>4041</v>
      </c>
      <c r="D408" s="15" t="s">
        <v>12797</v>
      </c>
      <c r="E408" s="16" t="s">
        <v>13644</v>
      </c>
      <c r="F408" s="12">
        <v>40612.748854166668</v>
      </c>
      <c r="G408" s="17" t="s">
        <v>13000</v>
      </c>
      <c r="H408" s="35" t="s">
        <v>12798</v>
      </c>
      <c r="I408" s="18" t="s">
        <v>12799</v>
      </c>
    </row>
    <row r="409" spans="1:9" s="31" customFormat="1" ht="90">
      <c r="A409" s="4">
        <v>43563.753657407404</v>
      </c>
      <c r="B409" s="5" t="s">
        <v>13645</v>
      </c>
      <c r="C409" s="6" t="s">
        <v>5113</v>
      </c>
      <c r="D409" s="7" t="s">
        <v>10213</v>
      </c>
      <c r="E409" s="8" t="s">
        <v>13009</v>
      </c>
      <c r="F409" s="4">
        <v>40776.856921296298</v>
      </c>
      <c r="G409" s="9" t="s">
        <v>13000</v>
      </c>
      <c r="H409" s="35" t="s">
        <v>5115</v>
      </c>
      <c r="I409" s="10" t="s">
        <v>5116</v>
      </c>
    </row>
    <row r="410" spans="1:9" s="31" customFormat="1" ht="90">
      <c r="A410" s="12">
        <v>43567.414340277777</v>
      </c>
      <c r="B410" s="13" t="s">
        <v>13645</v>
      </c>
      <c r="C410" s="14" t="s">
        <v>5113</v>
      </c>
      <c r="D410" s="15" t="s">
        <v>5114</v>
      </c>
      <c r="E410" s="16" t="s">
        <v>13013</v>
      </c>
      <c r="F410" s="12">
        <v>40776.856921296298</v>
      </c>
      <c r="G410" s="9" t="s">
        <v>13000</v>
      </c>
      <c r="H410" s="35" t="s">
        <v>5115</v>
      </c>
      <c r="I410" s="18" t="s">
        <v>5116</v>
      </c>
    </row>
    <row r="411" spans="1:9" s="31" customFormat="1" ht="105">
      <c r="A411" s="4">
        <v>43558.334178240737</v>
      </c>
      <c r="B411" s="5" t="s">
        <v>13646</v>
      </c>
      <c r="C411" s="6" t="s">
        <v>4251</v>
      </c>
      <c r="D411" s="7" t="s">
        <v>12227</v>
      </c>
      <c r="E411" s="8" t="s">
        <v>13018</v>
      </c>
      <c r="F411" s="4">
        <v>40135.71261574074</v>
      </c>
      <c r="G411" s="9" t="s">
        <v>13000</v>
      </c>
      <c r="H411" s="35" t="s">
        <v>4253</v>
      </c>
      <c r="I411" s="10" t="s">
        <v>4254</v>
      </c>
    </row>
    <row r="412" spans="1:9" s="31" customFormat="1" ht="105">
      <c r="A412" s="12">
        <v>43570.292164351849</v>
      </c>
      <c r="B412" s="13" t="s">
        <v>13646</v>
      </c>
      <c r="C412" s="14" t="s">
        <v>4251</v>
      </c>
      <c r="D412" s="15" t="s">
        <v>4252</v>
      </c>
      <c r="E412" s="16" t="s">
        <v>13018</v>
      </c>
      <c r="F412" s="12">
        <v>40135.71261574074</v>
      </c>
      <c r="G412" s="9" t="s">
        <v>13000</v>
      </c>
      <c r="H412" s="35" t="s">
        <v>4253</v>
      </c>
      <c r="I412" s="18" t="s">
        <v>4254</v>
      </c>
    </row>
    <row r="413" spans="1:9" s="31" customFormat="1" ht="105">
      <c r="A413" s="12">
        <v>43566.292499999996</v>
      </c>
      <c r="B413" s="13" t="s">
        <v>13646</v>
      </c>
      <c r="C413" s="14" t="s">
        <v>4251</v>
      </c>
      <c r="D413" s="15" t="s">
        <v>5677</v>
      </c>
      <c r="E413" s="16" t="s">
        <v>13018</v>
      </c>
      <c r="F413" s="12">
        <v>40135.71261574074</v>
      </c>
      <c r="G413" s="9" t="s">
        <v>13000</v>
      </c>
      <c r="H413" s="35" t="s">
        <v>4253</v>
      </c>
      <c r="I413" s="18" t="s">
        <v>4254</v>
      </c>
    </row>
    <row r="414" spans="1:9" s="31" customFormat="1" ht="120">
      <c r="A414" s="4">
        <v>43565.203645833331</v>
      </c>
      <c r="B414" s="5" t="s">
        <v>13647</v>
      </c>
      <c r="C414" s="6" t="s">
        <v>6236</v>
      </c>
      <c r="D414" s="7" t="s">
        <v>6237</v>
      </c>
      <c r="E414" s="8" t="s">
        <v>13013</v>
      </c>
      <c r="F414" s="4">
        <v>40691.459282407406</v>
      </c>
      <c r="G414" s="9" t="s">
        <v>13000</v>
      </c>
      <c r="H414" s="35" t="s">
        <v>6238</v>
      </c>
      <c r="I414" s="10" t="s">
        <v>6239</v>
      </c>
    </row>
    <row r="415" spans="1:9" s="31" customFormat="1" ht="75">
      <c r="A415" s="19">
        <v>43544.347719907411</v>
      </c>
      <c r="B415" s="20" t="s">
        <v>13648</v>
      </c>
      <c r="C415" s="21" t="s">
        <v>9501</v>
      </c>
      <c r="D415" s="22" t="s">
        <v>9502</v>
      </c>
      <c r="E415" s="23" t="s">
        <v>13006</v>
      </c>
      <c r="F415" s="19">
        <v>41778.325590277775</v>
      </c>
      <c r="G415" s="24" t="s">
        <v>13000</v>
      </c>
      <c r="H415" s="35" t="s">
        <v>9503</v>
      </c>
      <c r="I415" s="25" t="s">
        <v>9504</v>
      </c>
    </row>
    <row r="416" spans="1:9" s="31" customFormat="1" ht="75">
      <c r="A416" s="4">
        <v>43559.755381944444</v>
      </c>
      <c r="B416" s="5" t="s">
        <v>13649</v>
      </c>
      <c r="C416" s="6" t="s">
        <v>11704</v>
      </c>
      <c r="D416" s="7" t="s">
        <v>11705</v>
      </c>
      <c r="E416" s="8" t="s">
        <v>13032</v>
      </c>
      <c r="F416" s="4">
        <v>39588.709351851852</v>
      </c>
      <c r="G416" s="24" t="s">
        <v>13000</v>
      </c>
      <c r="H416" s="35" t="s">
        <v>9503</v>
      </c>
      <c r="I416" s="10" t="s">
        <v>11706</v>
      </c>
    </row>
    <row r="417" spans="1:9" s="31" customFormat="1" ht="105">
      <c r="A417" s="19">
        <v>43550.658333333333</v>
      </c>
      <c r="B417" s="20" t="s">
        <v>13650</v>
      </c>
      <c r="C417" s="21" t="s">
        <v>2849</v>
      </c>
      <c r="D417" s="22" t="s">
        <v>7567</v>
      </c>
      <c r="E417" s="23" t="s">
        <v>13120</v>
      </c>
      <c r="F417" s="19">
        <v>42930.679305555561</v>
      </c>
      <c r="G417" s="24" t="s">
        <v>13000</v>
      </c>
      <c r="H417" s="35" t="s">
        <v>7568</v>
      </c>
      <c r="I417" s="25" t="s">
        <v>7569</v>
      </c>
    </row>
    <row r="418" spans="1:9" s="31" customFormat="1" ht="105">
      <c r="A418" s="19">
        <v>43550.606944444444</v>
      </c>
      <c r="B418" s="20" t="s">
        <v>13651</v>
      </c>
      <c r="C418" s="21" t="s">
        <v>2849</v>
      </c>
      <c r="D418" s="22" t="s">
        <v>7567</v>
      </c>
      <c r="E418" s="23" t="s">
        <v>13120</v>
      </c>
      <c r="F418" s="19">
        <v>43363.634791666671</v>
      </c>
      <c r="G418" s="24" t="s">
        <v>13000</v>
      </c>
      <c r="H418" s="35" t="s">
        <v>7568</v>
      </c>
      <c r="I418" s="25" t="s">
        <v>7589</v>
      </c>
    </row>
    <row r="419" spans="1:9" s="31" customFormat="1" ht="105">
      <c r="A419" s="19">
        <v>43550.589583333334</v>
      </c>
      <c r="B419" s="20" t="s">
        <v>13652</v>
      </c>
      <c r="C419" s="21" t="s">
        <v>2849</v>
      </c>
      <c r="D419" s="22" t="s">
        <v>7567</v>
      </c>
      <c r="E419" s="23" t="s">
        <v>13120</v>
      </c>
      <c r="F419" s="19">
        <v>40056.510497685187</v>
      </c>
      <c r="G419" s="24" t="s">
        <v>13000</v>
      </c>
      <c r="H419" s="35" t="s">
        <v>7602</v>
      </c>
      <c r="I419" s="25" t="s">
        <v>7603</v>
      </c>
    </row>
    <row r="420" spans="1:9" s="31" customFormat="1" ht="75">
      <c r="A420" s="12">
        <v>43569.331817129627</v>
      </c>
      <c r="B420" s="13" t="s">
        <v>13653</v>
      </c>
      <c r="C420" s="14" t="s">
        <v>4545</v>
      </c>
      <c r="D420" s="15" t="s">
        <v>4546</v>
      </c>
      <c r="E420" s="16" t="s">
        <v>13011</v>
      </c>
      <c r="F420" s="12">
        <v>40014.408854166664</v>
      </c>
      <c r="G420" s="24" t="s">
        <v>13000</v>
      </c>
      <c r="H420" s="35" t="s">
        <v>4547</v>
      </c>
      <c r="I420" s="18" t="s">
        <v>4548</v>
      </c>
    </row>
    <row r="421" spans="1:9" s="31" customFormat="1" ht="120">
      <c r="A421" s="4">
        <v>43562.629189814819</v>
      </c>
      <c r="B421" s="5" t="s">
        <v>13654</v>
      </c>
      <c r="C421" s="6" t="s">
        <v>10635</v>
      </c>
      <c r="D421" s="7" t="s">
        <v>10636</v>
      </c>
      <c r="E421" s="8" t="s">
        <v>13034</v>
      </c>
      <c r="F421" s="4">
        <v>40657.00072916667</v>
      </c>
      <c r="G421" s="24" t="s">
        <v>13000</v>
      </c>
      <c r="H421" s="35" t="s">
        <v>10637</v>
      </c>
      <c r="I421" s="10" t="s">
        <v>10638</v>
      </c>
    </row>
    <row r="422" spans="1:9" s="31" customFormat="1" ht="75">
      <c r="A422" s="19">
        <v>43551.33694444444</v>
      </c>
      <c r="B422" s="20" t="s">
        <v>13655</v>
      </c>
      <c r="C422" s="21" t="s">
        <v>7301</v>
      </c>
      <c r="D422" s="22" t="s">
        <v>7302</v>
      </c>
      <c r="E422" s="23" t="s">
        <v>13018</v>
      </c>
      <c r="F422" s="19">
        <v>42780.369513888887</v>
      </c>
      <c r="G422" s="24" t="s">
        <v>13000</v>
      </c>
      <c r="H422" s="35" t="s">
        <v>1332</v>
      </c>
      <c r="I422" s="25" t="s">
        <v>7303</v>
      </c>
    </row>
    <row r="423" spans="1:9" s="31" customFormat="1" ht="75">
      <c r="A423" s="19">
        <v>43544.305648148147</v>
      </c>
      <c r="B423" s="20" t="s">
        <v>13655</v>
      </c>
      <c r="C423" s="21" t="s">
        <v>7301</v>
      </c>
      <c r="D423" s="22" t="s">
        <v>9540</v>
      </c>
      <c r="E423" s="23" t="s">
        <v>13018</v>
      </c>
      <c r="F423" s="19">
        <v>42780.369513888887</v>
      </c>
      <c r="G423" s="24" t="s">
        <v>13000</v>
      </c>
      <c r="H423" s="35" t="s">
        <v>1332</v>
      </c>
      <c r="I423" s="25" t="s">
        <v>7303</v>
      </c>
    </row>
    <row r="424" spans="1:9" s="31" customFormat="1" ht="90">
      <c r="A424" s="4">
        <v>43559.270034722227</v>
      </c>
      <c r="B424" s="5" t="s">
        <v>13656</v>
      </c>
      <c r="C424" s="6" t="s">
        <v>4673</v>
      </c>
      <c r="D424" s="7" t="s">
        <v>11893</v>
      </c>
      <c r="E424" s="8" t="s">
        <v>13009</v>
      </c>
      <c r="F424" s="4">
        <v>39905.226944444446</v>
      </c>
      <c r="G424" s="24" t="s">
        <v>13000</v>
      </c>
      <c r="H424" s="35" t="s">
        <v>1332</v>
      </c>
      <c r="I424" s="10" t="s">
        <v>4675</v>
      </c>
    </row>
    <row r="425" spans="1:9" s="31" customFormat="1" ht="45">
      <c r="A425" s="12">
        <v>43578.271284722221</v>
      </c>
      <c r="B425" s="13" t="s">
        <v>13657</v>
      </c>
      <c r="C425" s="14" t="s">
        <v>1331</v>
      </c>
      <c r="D425" s="15" t="s">
        <v>1329</v>
      </c>
      <c r="E425" s="16" t="s">
        <v>13027</v>
      </c>
      <c r="F425" s="12">
        <v>40718.346296296295</v>
      </c>
      <c r="G425" s="24" t="s">
        <v>13000</v>
      </c>
      <c r="H425" s="35" t="s">
        <v>1332</v>
      </c>
      <c r="I425" s="18"/>
    </row>
    <row r="426" spans="1:9" s="31" customFormat="1" ht="30">
      <c r="A426" s="12">
        <v>43571.850243055553</v>
      </c>
      <c r="B426" s="13" t="s">
        <v>13657</v>
      </c>
      <c r="C426" s="14" t="s">
        <v>1331</v>
      </c>
      <c r="D426" s="15" t="s">
        <v>3516</v>
      </c>
      <c r="E426" s="16" t="s">
        <v>13027</v>
      </c>
      <c r="F426" s="12">
        <v>40718.346296296295</v>
      </c>
      <c r="G426" s="24" t="s">
        <v>13000</v>
      </c>
      <c r="H426" s="35" t="s">
        <v>1332</v>
      </c>
      <c r="I426" s="18"/>
    </row>
    <row r="427" spans="1:9" s="31" customFormat="1" ht="90">
      <c r="A427" s="12">
        <v>43568.653680555552</v>
      </c>
      <c r="B427" s="13" t="s">
        <v>13656</v>
      </c>
      <c r="C427" s="14" t="s">
        <v>4673</v>
      </c>
      <c r="D427" s="15" t="s">
        <v>4674</v>
      </c>
      <c r="E427" s="16" t="s">
        <v>13011</v>
      </c>
      <c r="F427" s="12">
        <v>39905.226944444446</v>
      </c>
      <c r="G427" s="24" t="s">
        <v>13000</v>
      </c>
      <c r="H427" s="35" t="s">
        <v>1332</v>
      </c>
      <c r="I427" s="18" t="s">
        <v>4675</v>
      </c>
    </row>
    <row r="428" spans="1:9" s="31" customFormat="1" ht="90">
      <c r="A428" s="19">
        <v>43543.531574074077</v>
      </c>
      <c r="B428" s="20" t="s">
        <v>13658</v>
      </c>
      <c r="C428" s="21" t="s">
        <v>9767</v>
      </c>
      <c r="D428" s="22" t="s">
        <v>9768</v>
      </c>
      <c r="E428" s="23" t="s">
        <v>13011</v>
      </c>
      <c r="F428" s="19">
        <v>40336.49628472222</v>
      </c>
      <c r="G428" s="24" t="s">
        <v>13000</v>
      </c>
      <c r="H428" s="35" t="s">
        <v>9769</v>
      </c>
      <c r="I428" s="25" t="s">
        <v>9770</v>
      </c>
    </row>
    <row r="429" spans="1:9" s="31" customFormat="1" ht="90">
      <c r="A429" s="19">
        <v>43549.339826388888</v>
      </c>
      <c r="B429" s="20" t="s">
        <v>13659</v>
      </c>
      <c r="C429" s="21" t="s">
        <v>8080</v>
      </c>
      <c r="D429" s="22" t="s">
        <v>8081</v>
      </c>
      <c r="E429" s="23" t="s">
        <v>13009</v>
      </c>
      <c r="F429" s="19">
        <v>42599.374201388884</v>
      </c>
      <c r="G429" s="17" t="s">
        <v>13000</v>
      </c>
      <c r="H429" s="35" t="s">
        <v>3603</v>
      </c>
      <c r="I429" s="25" t="s">
        <v>8082</v>
      </c>
    </row>
    <row r="430" spans="1:9" s="31" customFormat="1" ht="90">
      <c r="A430" s="19">
        <v>43542.654594907406</v>
      </c>
      <c r="B430" s="20" t="s">
        <v>13660</v>
      </c>
      <c r="C430" s="21" t="s">
        <v>4700</v>
      </c>
      <c r="D430" s="22" t="s">
        <v>10043</v>
      </c>
      <c r="E430" s="23" t="s">
        <v>13011</v>
      </c>
      <c r="F430" s="19">
        <v>39872.212500000001</v>
      </c>
      <c r="G430" s="17" t="s">
        <v>13000</v>
      </c>
      <c r="H430" s="35" t="s">
        <v>3603</v>
      </c>
      <c r="I430" s="25" t="s">
        <v>10044</v>
      </c>
    </row>
    <row r="431" spans="1:9" s="31" customFormat="1" ht="30">
      <c r="A431" s="12">
        <v>43571.644236111111</v>
      </c>
      <c r="B431" s="13" t="s">
        <v>13661</v>
      </c>
      <c r="C431" s="14" t="s">
        <v>3601</v>
      </c>
      <c r="D431" s="15" t="s">
        <v>3602</v>
      </c>
      <c r="E431" s="16" t="s">
        <v>13011</v>
      </c>
      <c r="F431" s="12">
        <v>42050.009456018517</v>
      </c>
      <c r="G431" s="17" t="s">
        <v>13000</v>
      </c>
      <c r="H431" s="35" t="s">
        <v>3603</v>
      </c>
      <c r="I431" s="18" t="s">
        <v>3604</v>
      </c>
    </row>
    <row r="432" spans="1:9" s="31" customFormat="1" ht="105">
      <c r="A432" s="19">
        <v>43546.429097222222</v>
      </c>
      <c r="B432" s="20" t="s">
        <v>13662</v>
      </c>
      <c r="C432" s="21" t="s">
        <v>8857</v>
      </c>
      <c r="D432" s="22" t="s">
        <v>8858</v>
      </c>
      <c r="E432" s="23" t="s">
        <v>13009</v>
      </c>
      <c r="F432" s="19">
        <v>43515.720231481479</v>
      </c>
      <c r="G432" s="17" t="s">
        <v>13000</v>
      </c>
      <c r="H432" s="35" t="s">
        <v>8859</v>
      </c>
      <c r="I432" s="25" t="s">
        <v>8860</v>
      </c>
    </row>
    <row r="433" spans="1:9" s="31" customFormat="1" ht="75">
      <c r="A433" s="12">
        <v>43575.47274305555</v>
      </c>
      <c r="B433" s="13" t="s">
        <v>13663</v>
      </c>
      <c r="C433" s="14" t="s">
        <v>2200</v>
      </c>
      <c r="D433" s="15" t="s">
        <v>2201</v>
      </c>
      <c r="E433" s="16" t="s">
        <v>13013</v>
      </c>
      <c r="F433" s="12">
        <v>39918.679224537038</v>
      </c>
      <c r="G433" s="17" t="s">
        <v>13000</v>
      </c>
      <c r="H433" s="35" t="s">
        <v>2202</v>
      </c>
      <c r="I433" s="18" t="s">
        <v>2203</v>
      </c>
    </row>
    <row r="434" spans="1:9" s="31" customFormat="1" ht="75">
      <c r="A434" s="12">
        <v>43574.581226851849</v>
      </c>
      <c r="B434" s="13" t="s">
        <v>13663</v>
      </c>
      <c r="C434" s="14" t="s">
        <v>2200</v>
      </c>
      <c r="D434" s="15" t="s">
        <v>2508</v>
      </c>
      <c r="E434" s="16" t="s">
        <v>13013</v>
      </c>
      <c r="F434" s="12">
        <v>39918.679224537038</v>
      </c>
      <c r="G434" s="17" t="s">
        <v>13000</v>
      </c>
      <c r="H434" s="35" t="s">
        <v>2202</v>
      </c>
      <c r="I434" s="18" t="s">
        <v>2203</v>
      </c>
    </row>
    <row r="435" spans="1:9" s="31" customFormat="1" ht="30">
      <c r="A435" s="19">
        <v>43543.563784722224</v>
      </c>
      <c r="B435" s="20" t="s">
        <v>13664</v>
      </c>
      <c r="C435" s="21" t="s">
        <v>9755</v>
      </c>
      <c r="D435" s="22" t="s">
        <v>9756</v>
      </c>
      <c r="E435" s="23" t="s">
        <v>13032</v>
      </c>
      <c r="F435" s="19">
        <v>41365.458877314813</v>
      </c>
      <c r="G435" s="24" t="s">
        <v>13000</v>
      </c>
      <c r="H435" s="35" t="s">
        <v>2130</v>
      </c>
      <c r="I435" s="25" t="s">
        <v>9757</v>
      </c>
    </row>
    <row r="436" spans="1:9" s="31" customFormat="1" ht="105">
      <c r="A436" s="12">
        <v>43575.754398148143</v>
      </c>
      <c r="B436" s="13" t="s">
        <v>13665</v>
      </c>
      <c r="C436" s="14" t="s">
        <v>2128</v>
      </c>
      <c r="D436" s="15" t="s">
        <v>2129</v>
      </c>
      <c r="E436" s="16" t="s">
        <v>13011</v>
      </c>
      <c r="F436" s="12">
        <v>39979.761770833335</v>
      </c>
      <c r="G436" s="24" t="s">
        <v>13000</v>
      </c>
      <c r="H436" s="35" t="s">
        <v>2130</v>
      </c>
      <c r="I436" s="18" t="s">
        <v>2131</v>
      </c>
    </row>
    <row r="437" spans="1:9" s="31" customFormat="1" ht="60">
      <c r="A437" s="4">
        <v>43558.703344907408</v>
      </c>
      <c r="B437" s="5" t="s">
        <v>13666</v>
      </c>
      <c r="C437" s="6" t="s">
        <v>12066</v>
      </c>
      <c r="D437" s="7" t="s">
        <v>12067</v>
      </c>
      <c r="E437" s="8" t="s">
        <v>13027</v>
      </c>
      <c r="F437" s="4">
        <v>42323.404305555552</v>
      </c>
      <c r="G437" s="24" t="s">
        <v>13000</v>
      </c>
      <c r="H437" s="35" t="s">
        <v>12068</v>
      </c>
      <c r="I437" s="10" t="s">
        <v>12069</v>
      </c>
    </row>
    <row r="438" spans="1:9" s="31" customFormat="1" ht="30">
      <c r="A438" s="19">
        <v>43551.665601851855</v>
      </c>
      <c r="B438" s="20" t="s">
        <v>13667</v>
      </c>
      <c r="C438" s="21" t="s">
        <v>7064</v>
      </c>
      <c r="D438" s="22" t="s">
        <v>7065</v>
      </c>
      <c r="E438" s="23" t="s">
        <v>13644</v>
      </c>
      <c r="F438" s="19">
        <v>40955.552835648152</v>
      </c>
      <c r="G438" s="24" t="s">
        <v>13000</v>
      </c>
      <c r="H438" s="35" t="s">
        <v>7066</v>
      </c>
      <c r="I438" s="25" t="s">
        <v>7067</v>
      </c>
    </row>
    <row r="439" spans="1:9" s="31" customFormat="1" ht="45">
      <c r="A439" s="4">
        <v>43565.692129629635</v>
      </c>
      <c r="B439" s="5" t="s">
        <v>13668</v>
      </c>
      <c r="C439" s="6" t="s">
        <v>5945</v>
      </c>
      <c r="D439" s="7" t="s">
        <v>5946</v>
      </c>
      <c r="E439" s="8" t="s">
        <v>13013</v>
      </c>
      <c r="F439" s="4">
        <v>40308.681539351848</v>
      </c>
      <c r="G439" s="17" t="s">
        <v>13000</v>
      </c>
      <c r="H439" s="35" t="s">
        <v>2932</v>
      </c>
      <c r="I439" s="10" t="s">
        <v>5947</v>
      </c>
    </row>
    <row r="440" spans="1:9" s="31" customFormat="1" ht="120">
      <c r="A440" s="4">
        <v>43564.581562499996</v>
      </c>
      <c r="B440" s="5" t="s">
        <v>13669</v>
      </c>
      <c r="C440" s="6" t="s">
        <v>6541</v>
      </c>
      <c r="D440" s="7" t="s">
        <v>6542</v>
      </c>
      <c r="E440" s="8" t="s">
        <v>13440</v>
      </c>
      <c r="F440" s="4">
        <v>40075.617418981477</v>
      </c>
      <c r="G440" s="17" t="s">
        <v>13000</v>
      </c>
      <c r="H440" s="35" t="s">
        <v>2932</v>
      </c>
      <c r="I440" s="10" t="s">
        <v>6543</v>
      </c>
    </row>
    <row r="441" spans="1:9" s="31" customFormat="1" ht="45">
      <c r="A441" s="4">
        <v>43560.795474537037</v>
      </c>
      <c r="B441" s="5" t="s">
        <v>13670</v>
      </c>
      <c r="C441" s="6" t="s">
        <v>11160</v>
      </c>
      <c r="D441" s="7" t="s">
        <v>11161</v>
      </c>
      <c r="E441" s="8" t="s">
        <v>13011</v>
      </c>
      <c r="F441" s="4">
        <v>39923.353668981479</v>
      </c>
      <c r="G441" s="17" t="s">
        <v>13000</v>
      </c>
      <c r="H441" s="35" t="s">
        <v>2932</v>
      </c>
      <c r="I441" s="10"/>
    </row>
    <row r="442" spans="1:9" s="31" customFormat="1" ht="105">
      <c r="A442" s="4">
        <v>43560.189444444448</v>
      </c>
      <c r="B442" s="5" t="s">
        <v>13671</v>
      </c>
      <c r="C442" s="6" t="s">
        <v>11579</v>
      </c>
      <c r="D442" s="7" t="s">
        <v>11580</v>
      </c>
      <c r="E442" s="8" t="s">
        <v>13011</v>
      </c>
      <c r="F442" s="4">
        <v>39923.894097222219</v>
      </c>
      <c r="G442" s="17" t="s">
        <v>13000</v>
      </c>
      <c r="H442" s="35" t="s">
        <v>2932</v>
      </c>
      <c r="I442" s="10" t="s">
        <v>11581</v>
      </c>
    </row>
    <row r="443" spans="1:9" s="31" customFormat="1" ht="90">
      <c r="A443" s="12">
        <v>43573.317384259259</v>
      </c>
      <c r="B443" s="13" t="s">
        <v>13672</v>
      </c>
      <c r="C443" s="14" t="s">
        <v>2930</v>
      </c>
      <c r="D443" s="15" t="s">
        <v>2931</v>
      </c>
      <c r="E443" s="16" t="s">
        <v>13011</v>
      </c>
      <c r="F443" s="12">
        <v>40655.710474537038</v>
      </c>
      <c r="G443" s="17" t="s">
        <v>13000</v>
      </c>
      <c r="H443" s="35" t="s">
        <v>2932</v>
      </c>
      <c r="I443" s="18" t="s">
        <v>2933</v>
      </c>
    </row>
    <row r="444" spans="1:9" s="31" customFormat="1" ht="60">
      <c r="A444" s="12">
        <v>43570.260960648149</v>
      </c>
      <c r="B444" s="13" t="s">
        <v>13673</v>
      </c>
      <c r="C444" s="14" t="s">
        <v>4270</v>
      </c>
      <c r="D444" s="15" t="s">
        <v>4271</v>
      </c>
      <c r="E444" s="16" t="s">
        <v>13009</v>
      </c>
      <c r="F444" s="12">
        <v>41462.774155092593</v>
      </c>
      <c r="G444" s="17" t="s">
        <v>13000</v>
      </c>
      <c r="H444" s="35" t="s">
        <v>2932</v>
      </c>
      <c r="I444" s="18" t="s">
        <v>4272</v>
      </c>
    </row>
    <row r="445" spans="1:9" s="31" customFormat="1" ht="105">
      <c r="A445" s="12">
        <v>43566.725717592592</v>
      </c>
      <c r="B445" s="13" t="s">
        <v>13674</v>
      </c>
      <c r="C445" s="14" t="s">
        <v>5368</v>
      </c>
      <c r="D445" s="15" t="s">
        <v>5369</v>
      </c>
      <c r="E445" s="16" t="s">
        <v>13034</v>
      </c>
      <c r="F445" s="12">
        <v>39924.84747685185</v>
      </c>
      <c r="G445" s="17" t="s">
        <v>13000</v>
      </c>
      <c r="H445" s="35" t="s">
        <v>2932</v>
      </c>
      <c r="I445" s="18" t="s">
        <v>5370</v>
      </c>
    </row>
    <row r="446" spans="1:9" s="31" customFormat="1" ht="60">
      <c r="A446" s="4">
        <v>43563.617754629631</v>
      </c>
      <c r="B446" s="5" t="s">
        <v>13675</v>
      </c>
      <c r="C446" s="6" t="s">
        <v>6938</v>
      </c>
      <c r="D446" s="7" t="s">
        <v>6939</v>
      </c>
      <c r="E446" s="8" t="s">
        <v>13009</v>
      </c>
      <c r="F446" s="4">
        <v>40619.520104166666</v>
      </c>
      <c r="G446" s="17" t="s">
        <v>13000</v>
      </c>
      <c r="H446" s="35" t="s">
        <v>6940</v>
      </c>
      <c r="I446" s="10" t="s">
        <v>6941</v>
      </c>
    </row>
    <row r="447" spans="1:9" s="31" customFormat="1" ht="90">
      <c r="A447" s="19">
        <v>43550.279421296298</v>
      </c>
      <c r="B447" s="20" t="s">
        <v>13676</v>
      </c>
      <c r="C447" s="21" t="s">
        <v>2938</v>
      </c>
      <c r="D447" s="22" t="s">
        <v>7751</v>
      </c>
      <c r="E447" s="23" t="s">
        <v>13009</v>
      </c>
      <c r="F447" s="19">
        <v>40112.582488425927</v>
      </c>
      <c r="G447" s="17" t="s">
        <v>13000</v>
      </c>
      <c r="H447" s="35" t="s">
        <v>2940</v>
      </c>
      <c r="I447" s="25" t="s">
        <v>2941</v>
      </c>
    </row>
    <row r="448" spans="1:9" s="31" customFormat="1" ht="90">
      <c r="A448" s="12">
        <v>43573.307916666672</v>
      </c>
      <c r="B448" s="13" t="s">
        <v>13676</v>
      </c>
      <c r="C448" s="14" t="s">
        <v>2938</v>
      </c>
      <c r="D448" s="15" t="s">
        <v>2939</v>
      </c>
      <c r="E448" s="16" t="s">
        <v>13009</v>
      </c>
      <c r="F448" s="12">
        <v>40112.582488425927</v>
      </c>
      <c r="G448" s="17" t="s">
        <v>13000</v>
      </c>
      <c r="H448" s="35" t="s">
        <v>2940</v>
      </c>
      <c r="I448" s="18" t="s">
        <v>2941</v>
      </c>
    </row>
    <row r="449" spans="1:9" s="31" customFormat="1" ht="120">
      <c r="A449" s="12">
        <v>43571.525648148148</v>
      </c>
      <c r="B449" s="13" t="s">
        <v>13677</v>
      </c>
      <c r="C449" s="14" t="s">
        <v>3652</v>
      </c>
      <c r="D449" s="15" t="s">
        <v>3653</v>
      </c>
      <c r="E449" s="16" t="s">
        <v>13130</v>
      </c>
      <c r="F449" s="12">
        <v>39973.657777777778</v>
      </c>
      <c r="G449" s="17" t="s">
        <v>13000</v>
      </c>
      <c r="H449" s="35" t="s">
        <v>3654</v>
      </c>
      <c r="I449" s="18" t="s">
        <v>3655</v>
      </c>
    </row>
    <row r="450" spans="1:9" s="31" customFormat="1" ht="105">
      <c r="A450" s="12">
        <v>43572.591307870374</v>
      </c>
      <c r="B450" s="13" t="s">
        <v>13678</v>
      </c>
      <c r="C450" s="14" t="s">
        <v>3139</v>
      </c>
      <c r="D450" s="15" t="s">
        <v>3140</v>
      </c>
      <c r="E450" s="16" t="s">
        <v>13009</v>
      </c>
      <c r="F450" s="12">
        <v>42966.602824074071</v>
      </c>
      <c r="G450" s="17" t="s">
        <v>13000</v>
      </c>
      <c r="H450" s="35" t="s">
        <v>3141</v>
      </c>
      <c r="I450" s="18" t="s">
        <v>3142</v>
      </c>
    </row>
    <row r="451" spans="1:9" s="31" customFormat="1" ht="60">
      <c r="A451" s="19">
        <v>43551.714351851857</v>
      </c>
      <c r="B451" s="20" t="s">
        <v>13679</v>
      </c>
      <c r="C451" s="21" t="s">
        <v>7027</v>
      </c>
      <c r="D451" s="22" t="s">
        <v>7028</v>
      </c>
      <c r="E451" s="23" t="s">
        <v>13032</v>
      </c>
      <c r="F451" s="19">
        <v>40199.588854166665</v>
      </c>
      <c r="G451" s="17" t="s">
        <v>13000</v>
      </c>
      <c r="H451" s="35" t="s">
        <v>660</v>
      </c>
      <c r="I451" s="25" t="s">
        <v>7029</v>
      </c>
    </row>
    <row r="452" spans="1:9" s="31" customFormat="1" ht="135">
      <c r="A452" s="19">
        <v>43551.62709490741</v>
      </c>
      <c r="B452" s="20" t="s">
        <v>13680</v>
      </c>
      <c r="C452" s="21" t="s">
        <v>7082</v>
      </c>
      <c r="D452" s="22" t="s">
        <v>7083</v>
      </c>
      <c r="E452" s="23" t="s">
        <v>13013</v>
      </c>
      <c r="F452" s="19">
        <v>40281.343252314815</v>
      </c>
      <c r="G452" s="17" t="s">
        <v>13000</v>
      </c>
      <c r="H452" s="35" t="s">
        <v>660</v>
      </c>
      <c r="I452" s="25" t="s">
        <v>7084</v>
      </c>
    </row>
    <row r="453" spans="1:9" s="31" customFormat="1" ht="90">
      <c r="A453" s="19">
        <v>43550.620648148149</v>
      </c>
      <c r="B453" s="20" t="s">
        <v>13681</v>
      </c>
      <c r="C453" s="21" t="s">
        <v>7583</v>
      </c>
      <c r="D453" s="22" t="s">
        <v>7584</v>
      </c>
      <c r="E453" s="23" t="s">
        <v>13027</v>
      </c>
      <c r="F453" s="19">
        <v>39592.304733796293</v>
      </c>
      <c r="G453" s="17" t="s">
        <v>13000</v>
      </c>
      <c r="H453" s="35" t="s">
        <v>660</v>
      </c>
      <c r="I453" s="25" t="s">
        <v>7585</v>
      </c>
    </row>
    <row r="454" spans="1:9" s="31" customFormat="1" ht="120">
      <c r="A454" s="19">
        <v>43550.21670138889</v>
      </c>
      <c r="B454" s="20" t="s">
        <v>13682</v>
      </c>
      <c r="C454" s="21" t="s">
        <v>7789</v>
      </c>
      <c r="D454" s="22" t="s">
        <v>7790</v>
      </c>
      <c r="E454" s="23" t="s">
        <v>13032</v>
      </c>
      <c r="F454" s="19">
        <v>43459.363310185188</v>
      </c>
      <c r="G454" s="17" t="s">
        <v>13000</v>
      </c>
      <c r="H454" s="35" t="s">
        <v>660</v>
      </c>
      <c r="I454" s="25" t="s">
        <v>7791</v>
      </c>
    </row>
    <row r="455" spans="1:9" s="31" customFormat="1" ht="90">
      <c r="A455" s="19">
        <v>43549.832824074074</v>
      </c>
      <c r="B455" s="20" t="s">
        <v>13683</v>
      </c>
      <c r="C455" s="21" t="s">
        <v>7910</v>
      </c>
      <c r="D455" s="22" t="s">
        <v>7911</v>
      </c>
      <c r="E455" s="23" t="s">
        <v>13009</v>
      </c>
      <c r="F455" s="19">
        <v>39832.860983796294</v>
      </c>
      <c r="G455" s="17" t="s">
        <v>13000</v>
      </c>
      <c r="H455" s="35" t="s">
        <v>660</v>
      </c>
      <c r="I455" s="25" t="s">
        <v>7912</v>
      </c>
    </row>
    <row r="456" spans="1:9" s="31" customFormat="1" ht="75">
      <c r="A456" s="19">
        <v>43549.458518518513</v>
      </c>
      <c r="B456" s="20" t="s">
        <v>13684</v>
      </c>
      <c r="C456" s="21" t="s">
        <v>8023</v>
      </c>
      <c r="D456" s="22" t="s">
        <v>8024</v>
      </c>
      <c r="E456" s="23" t="s">
        <v>13018</v>
      </c>
      <c r="F456" s="19">
        <v>39755.859664351854</v>
      </c>
      <c r="G456" s="17" t="s">
        <v>13000</v>
      </c>
      <c r="H456" s="35" t="s">
        <v>660</v>
      </c>
      <c r="I456" s="25" t="s">
        <v>8025</v>
      </c>
    </row>
    <row r="457" spans="1:9" s="31" customFormat="1" ht="120">
      <c r="A457" s="19">
        <v>43549.437407407408</v>
      </c>
      <c r="B457" s="20" t="s">
        <v>13682</v>
      </c>
      <c r="C457" s="21" t="s">
        <v>7789</v>
      </c>
      <c r="D457" s="22" t="s">
        <v>7790</v>
      </c>
      <c r="E457" s="23" t="s">
        <v>13032</v>
      </c>
      <c r="F457" s="19">
        <v>43459.363310185188</v>
      </c>
      <c r="G457" s="17" t="s">
        <v>13000</v>
      </c>
      <c r="H457" s="35" t="s">
        <v>660</v>
      </c>
      <c r="I457" s="25" t="s">
        <v>7791</v>
      </c>
    </row>
    <row r="458" spans="1:9" s="31" customFormat="1" ht="120">
      <c r="A458" s="19">
        <v>43546.552291666667</v>
      </c>
      <c r="B458" s="20" t="s">
        <v>13682</v>
      </c>
      <c r="C458" s="21" t="s">
        <v>7789</v>
      </c>
      <c r="D458" s="22" t="s">
        <v>7790</v>
      </c>
      <c r="E458" s="23" t="s">
        <v>13032</v>
      </c>
      <c r="F458" s="19">
        <v>43459.363310185188</v>
      </c>
      <c r="G458" s="17" t="s">
        <v>13000</v>
      </c>
      <c r="H458" s="35" t="s">
        <v>660</v>
      </c>
      <c r="I458" s="25" t="s">
        <v>7791</v>
      </c>
    </row>
    <row r="459" spans="1:9" s="31" customFormat="1" ht="105">
      <c r="A459" s="19">
        <v>43545.771620370375</v>
      </c>
      <c r="B459" s="20" t="s">
        <v>13685</v>
      </c>
      <c r="C459" s="21" t="s">
        <v>1065</v>
      </c>
      <c r="D459" s="22" t="s">
        <v>9055</v>
      </c>
      <c r="E459" s="23" t="s">
        <v>13015</v>
      </c>
      <c r="F459" s="19">
        <v>42913.52443287037</v>
      </c>
      <c r="G459" s="17" t="s">
        <v>13000</v>
      </c>
      <c r="H459" s="35" t="s">
        <v>660</v>
      </c>
      <c r="I459" s="25" t="s">
        <v>1067</v>
      </c>
    </row>
    <row r="460" spans="1:9" s="31" customFormat="1" ht="90">
      <c r="A460" s="19">
        <v>43542.671099537038</v>
      </c>
      <c r="B460" s="20" t="s">
        <v>13686</v>
      </c>
      <c r="C460" s="21" t="s">
        <v>10040</v>
      </c>
      <c r="D460" s="22" t="s">
        <v>10041</v>
      </c>
      <c r="E460" s="23" t="s">
        <v>13013</v>
      </c>
      <c r="F460" s="19">
        <v>41232.991180555553</v>
      </c>
      <c r="G460" s="17" t="s">
        <v>13000</v>
      </c>
      <c r="H460" s="35" t="s">
        <v>660</v>
      </c>
      <c r="I460" s="25" t="s">
        <v>10042</v>
      </c>
    </row>
    <row r="461" spans="1:9" s="31" customFormat="1" ht="120">
      <c r="A461" s="4">
        <v>43565.208414351851</v>
      </c>
      <c r="B461" s="5" t="s">
        <v>13682</v>
      </c>
      <c r="C461" s="6" t="s">
        <v>7789</v>
      </c>
      <c r="D461" s="7" t="s">
        <v>7790</v>
      </c>
      <c r="E461" s="8" t="s">
        <v>13032</v>
      </c>
      <c r="F461" s="4">
        <v>43459.363310185188</v>
      </c>
      <c r="G461" s="17" t="s">
        <v>13000</v>
      </c>
      <c r="H461" s="35" t="s">
        <v>660</v>
      </c>
      <c r="I461" s="10" t="s">
        <v>7791</v>
      </c>
    </row>
    <row r="462" spans="1:9" s="31" customFormat="1" ht="105">
      <c r="A462" s="4">
        <v>43564.688194444447</v>
      </c>
      <c r="B462" s="5" t="s">
        <v>13687</v>
      </c>
      <c r="C462" s="6" t="s">
        <v>6451</v>
      </c>
      <c r="D462" s="7" t="s">
        <v>6452</v>
      </c>
      <c r="E462" s="8" t="s">
        <v>13411</v>
      </c>
      <c r="F462" s="4">
        <v>41780.659710648149</v>
      </c>
      <c r="G462" s="17" t="s">
        <v>13000</v>
      </c>
      <c r="H462" s="35" t="s">
        <v>660</v>
      </c>
      <c r="I462" s="10" t="s">
        <v>6453</v>
      </c>
    </row>
    <row r="463" spans="1:9" s="31" customFormat="1" ht="105">
      <c r="A463" s="4">
        <v>43563.678032407406</v>
      </c>
      <c r="B463" s="5" t="s">
        <v>13685</v>
      </c>
      <c r="C463" s="6" t="s">
        <v>1065</v>
      </c>
      <c r="D463" s="7" t="s">
        <v>10214</v>
      </c>
      <c r="E463" s="8" t="s">
        <v>13013</v>
      </c>
      <c r="F463" s="4">
        <v>42913.52443287037</v>
      </c>
      <c r="G463" s="17" t="s">
        <v>13000</v>
      </c>
      <c r="H463" s="35" t="s">
        <v>660</v>
      </c>
      <c r="I463" s="10" t="s">
        <v>1067</v>
      </c>
    </row>
    <row r="464" spans="1:9" s="31" customFormat="1" ht="120">
      <c r="A464" s="4">
        <v>43563.387511574074</v>
      </c>
      <c r="B464" s="5" t="s">
        <v>13682</v>
      </c>
      <c r="C464" s="6" t="s">
        <v>7789</v>
      </c>
      <c r="D464" s="7" t="s">
        <v>7790</v>
      </c>
      <c r="E464" s="8" t="s">
        <v>13034</v>
      </c>
      <c r="F464" s="4">
        <v>43459.363310185188</v>
      </c>
      <c r="G464" s="17" t="s">
        <v>13000</v>
      </c>
      <c r="H464" s="35" t="s">
        <v>660</v>
      </c>
      <c r="I464" s="10" t="s">
        <v>7791</v>
      </c>
    </row>
    <row r="465" spans="1:9" s="31" customFormat="1" ht="120">
      <c r="A465" s="4">
        <v>43563.156469907408</v>
      </c>
      <c r="B465" s="5" t="s">
        <v>13682</v>
      </c>
      <c r="C465" s="6" t="s">
        <v>7789</v>
      </c>
      <c r="D465" s="7" t="s">
        <v>7790</v>
      </c>
      <c r="E465" s="8" t="s">
        <v>13032</v>
      </c>
      <c r="F465" s="4">
        <v>43459.363310185188</v>
      </c>
      <c r="G465" s="17" t="s">
        <v>13000</v>
      </c>
      <c r="H465" s="35" t="s">
        <v>660</v>
      </c>
      <c r="I465" s="10" t="s">
        <v>7791</v>
      </c>
    </row>
    <row r="466" spans="1:9" s="31" customFormat="1" ht="120">
      <c r="A466" s="4">
        <v>43561.256666666668</v>
      </c>
      <c r="B466" s="5" t="s">
        <v>13682</v>
      </c>
      <c r="C466" s="6" t="s">
        <v>7789</v>
      </c>
      <c r="D466" s="7" t="s">
        <v>7790</v>
      </c>
      <c r="E466" s="8" t="s">
        <v>13032</v>
      </c>
      <c r="F466" s="4">
        <v>43459.363310185188</v>
      </c>
      <c r="G466" s="17" t="s">
        <v>13000</v>
      </c>
      <c r="H466" s="35" t="s">
        <v>660</v>
      </c>
      <c r="I466" s="10" t="s">
        <v>7791</v>
      </c>
    </row>
    <row r="467" spans="1:9" s="31" customFormat="1" ht="75">
      <c r="A467" s="4">
        <v>43561.087233796294</v>
      </c>
      <c r="B467" s="5" t="s">
        <v>13688</v>
      </c>
      <c r="C467" s="6" t="s">
        <v>11074</v>
      </c>
      <c r="D467" s="7" t="s">
        <v>11075</v>
      </c>
      <c r="E467" s="8" t="s">
        <v>13032</v>
      </c>
      <c r="F467" s="4">
        <v>41180.835150462961</v>
      </c>
      <c r="G467" s="17" t="s">
        <v>13000</v>
      </c>
      <c r="H467" s="35" t="s">
        <v>660</v>
      </c>
      <c r="I467" s="10" t="s">
        <v>11076</v>
      </c>
    </row>
    <row r="468" spans="1:9" s="31" customFormat="1" ht="105">
      <c r="A468" s="4">
        <v>43556.654953703706</v>
      </c>
      <c r="B468" s="5" t="s">
        <v>13685</v>
      </c>
      <c r="C468" s="6" t="s">
        <v>1065</v>
      </c>
      <c r="D468" s="7" t="s">
        <v>12779</v>
      </c>
      <c r="E468" s="8" t="s">
        <v>13013</v>
      </c>
      <c r="F468" s="4">
        <v>42913.52443287037</v>
      </c>
      <c r="G468" s="17" t="s">
        <v>13000</v>
      </c>
      <c r="H468" s="35" t="s">
        <v>660</v>
      </c>
      <c r="I468" s="10" t="s">
        <v>1067</v>
      </c>
    </row>
    <row r="469" spans="1:9" s="31" customFormat="1" ht="45">
      <c r="A469" s="4">
        <v>43556.636759259258</v>
      </c>
      <c r="B469" s="5" t="s">
        <v>13689</v>
      </c>
      <c r="C469" s="6" t="s">
        <v>12780</v>
      </c>
      <c r="D469" s="7" t="s">
        <v>12781</v>
      </c>
      <c r="E469" s="8" t="s">
        <v>13009</v>
      </c>
      <c r="F469" s="4">
        <v>41850.376226851848</v>
      </c>
      <c r="G469" s="17" t="s">
        <v>13000</v>
      </c>
      <c r="H469" s="35" t="s">
        <v>660</v>
      </c>
      <c r="I469" s="10" t="s">
        <v>12782</v>
      </c>
    </row>
    <row r="470" spans="1:9" s="31" customFormat="1" ht="90">
      <c r="A470" s="12">
        <v>43579.455636574072</v>
      </c>
      <c r="B470" s="13" t="s">
        <v>13690</v>
      </c>
      <c r="C470" s="14" t="s">
        <v>658</v>
      </c>
      <c r="D470" s="15" t="s">
        <v>659</v>
      </c>
      <c r="E470" s="16" t="s">
        <v>13013</v>
      </c>
      <c r="F470" s="12">
        <v>40972.723344907405</v>
      </c>
      <c r="G470" s="17" t="s">
        <v>13000</v>
      </c>
      <c r="H470" s="35" t="s">
        <v>660</v>
      </c>
      <c r="I470" s="18" t="s">
        <v>661</v>
      </c>
    </row>
    <row r="471" spans="1:9" s="31" customFormat="1" ht="105">
      <c r="A471" s="12">
        <v>43578.725694444445</v>
      </c>
      <c r="B471" s="13" t="s">
        <v>13685</v>
      </c>
      <c r="C471" s="14" t="s">
        <v>1065</v>
      </c>
      <c r="D471" s="15" t="s">
        <v>1066</v>
      </c>
      <c r="E471" s="16" t="s">
        <v>13013</v>
      </c>
      <c r="F471" s="12">
        <v>42913.52443287037</v>
      </c>
      <c r="G471" s="17" t="s">
        <v>13000</v>
      </c>
      <c r="H471" s="35" t="s">
        <v>660</v>
      </c>
      <c r="I471" s="18" t="s">
        <v>1067</v>
      </c>
    </row>
    <row r="472" spans="1:9" s="31" customFormat="1" ht="60">
      <c r="A472" s="12">
        <v>43575.341944444444</v>
      </c>
      <c r="B472" s="13" t="s">
        <v>13691</v>
      </c>
      <c r="C472" s="14" t="s">
        <v>2272</v>
      </c>
      <c r="D472" s="15" t="s">
        <v>2273</v>
      </c>
      <c r="E472" s="16" t="s">
        <v>13032</v>
      </c>
      <c r="F472" s="12">
        <v>39891.281423611115</v>
      </c>
      <c r="G472" s="17" t="s">
        <v>13000</v>
      </c>
      <c r="H472" s="35" t="s">
        <v>660</v>
      </c>
      <c r="I472" s="18" t="s">
        <v>2274</v>
      </c>
    </row>
    <row r="473" spans="1:9" s="31" customFormat="1" ht="60">
      <c r="A473" s="12">
        <v>43574.437696759254</v>
      </c>
      <c r="B473" s="13" t="s">
        <v>13692</v>
      </c>
      <c r="C473" s="14" t="s">
        <v>2550</v>
      </c>
      <c r="D473" s="15" t="s">
        <v>2551</v>
      </c>
      <c r="E473" s="16" t="s">
        <v>13032</v>
      </c>
      <c r="F473" s="12">
        <v>40418.59375</v>
      </c>
      <c r="G473" s="17" t="s">
        <v>13000</v>
      </c>
      <c r="H473" s="35" t="s">
        <v>660</v>
      </c>
      <c r="I473" s="18" t="s">
        <v>2552</v>
      </c>
    </row>
    <row r="474" spans="1:9" s="31" customFormat="1" ht="90">
      <c r="A474" s="12">
        <v>43572.510555555556</v>
      </c>
      <c r="B474" s="13" t="s">
        <v>13693</v>
      </c>
      <c r="C474" s="14" t="s">
        <v>3203</v>
      </c>
      <c r="D474" s="15" t="s">
        <v>3204</v>
      </c>
      <c r="E474" s="16" t="s">
        <v>13018</v>
      </c>
      <c r="F474" s="12">
        <v>43391.530405092592</v>
      </c>
      <c r="G474" s="17" t="s">
        <v>13000</v>
      </c>
      <c r="H474" s="35" t="s">
        <v>660</v>
      </c>
      <c r="I474" s="18" t="s">
        <v>3205</v>
      </c>
    </row>
    <row r="475" spans="1:9" s="31" customFormat="1" ht="60">
      <c r="A475" s="12">
        <v>43571.514837962968</v>
      </c>
      <c r="B475" s="13" t="s">
        <v>13692</v>
      </c>
      <c r="C475" s="14" t="s">
        <v>2550</v>
      </c>
      <c r="D475" s="15" t="s">
        <v>3658</v>
      </c>
      <c r="E475" s="16" t="s">
        <v>13032</v>
      </c>
      <c r="F475" s="12">
        <v>40418.59375</v>
      </c>
      <c r="G475" s="17" t="s">
        <v>13000</v>
      </c>
      <c r="H475" s="35" t="s">
        <v>660</v>
      </c>
      <c r="I475" s="18" t="s">
        <v>2552</v>
      </c>
    </row>
    <row r="476" spans="1:9" s="31" customFormat="1" ht="135">
      <c r="A476" s="12">
        <v>43569.68614583333</v>
      </c>
      <c r="B476" s="13" t="s">
        <v>13694</v>
      </c>
      <c r="C476" s="14" t="s">
        <v>4433</v>
      </c>
      <c r="D476" s="15" t="s">
        <v>4434</v>
      </c>
      <c r="E476" s="16" t="s">
        <v>13009</v>
      </c>
      <c r="F476" s="12">
        <v>42414.882777777777</v>
      </c>
      <c r="G476" s="17" t="s">
        <v>13000</v>
      </c>
      <c r="H476" s="35" t="s">
        <v>660</v>
      </c>
      <c r="I476" s="18" t="s">
        <v>4435</v>
      </c>
    </row>
    <row r="477" spans="1:9" s="31" customFormat="1" ht="105">
      <c r="A477" s="12">
        <v>43566.409722222219</v>
      </c>
      <c r="B477" s="13" t="s">
        <v>13695</v>
      </c>
      <c r="C477" s="14" t="s">
        <v>5552</v>
      </c>
      <c r="D477" s="15" t="s">
        <v>405</v>
      </c>
      <c r="E477" s="16" t="s">
        <v>13034</v>
      </c>
      <c r="F477" s="12">
        <v>43397.950833333336</v>
      </c>
      <c r="G477" s="17" t="s">
        <v>13000</v>
      </c>
      <c r="H477" s="35" t="s">
        <v>660</v>
      </c>
      <c r="I477" s="18" t="s">
        <v>5553</v>
      </c>
    </row>
    <row r="478" spans="1:9" s="31" customFormat="1" ht="105">
      <c r="A478" s="12">
        <v>43566.334085648152</v>
      </c>
      <c r="B478" s="13" t="s">
        <v>13696</v>
      </c>
      <c r="C478" s="14" t="s">
        <v>5644</v>
      </c>
      <c r="D478" s="15" t="s">
        <v>5645</v>
      </c>
      <c r="E478" s="16" t="s">
        <v>13018</v>
      </c>
      <c r="F478" s="12">
        <v>41705.527245370373</v>
      </c>
      <c r="G478" s="17" t="s">
        <v>13000</v>
      </c>
      <c r="H478" s="35" t="s">
        <v>660</v>
      </c>
      <c r="I478" s="18" t="s">
        <v>5646</v>
      </c>
    </row>
    <row r="479" spans="1:9" s="31" customFormat="1" ht="60">
      <c r="A479" s="12">
        <v>43568.519143518519</v>
      </c>
      <c r="B479" s="13" t="s">
        <v>13697</v>
      </c>
      <c r="C479" s="14" t="s">
        <v>4720</v>
      </c>
      <c r="D479" s="15" t="s">
        <v>4721</v>
      </c>
      <c r="E479" s="16" t="s">
        <v>13032</v>
      </c>
      <c r="F479" s="12">
        <v>41371.793807870374</v>
      </c>
      <c r="G479" s="17" t="s">
        <v>13000</v>
      </c>
      <c r="H479" s="35" t="s">
        <v>4722</v>
      </c>
      <c r="I479" s="18" t="s">
        <v>4723</v>
      </c>
    </row>
    <row r="480" spans="1:9" s="31" customFormat="1" ht="60">
      <c r="A480" s="19">
        <v>43549.729398148149</v>
      </c>
      <c r="B480" s="20" t="s">
        <v>13698</v>
      </c>
      <c r="C480" s="21" t="s">
        <v>7934</v>
      </c>
      <c r="D480" s="22" t="s">
        <v>7935</v>
      </c>
      <c r="E480" s="23" t="s">
        <v>13032</v>
      </c>
      <c r="F480" s="19">
        <v>39412.822384259256</v>
      </c>
      <c r="G480" s="24" t="s">
        <v>13000</v>
      </c>
      <c r="H480" s="35" t="s">
        <v>5972</v>
      </c>
      <c r="I480" s="25" t="s">
        <v>7936</v>
      </c>
    </row>
    <row r="481" spans="1:9" s="31" customFormat="1" ht="30">
      <c r="A481" s="19">
        <v>43549.701273148152</v>
      </c>
      <c r="B481" s="20" t="s">
        <v>13698</v>
      </c>
      <c r="C481" s="21" t="s">
        <v>7934</v>
      </c>
      <c r="D481" s="22" t="s">
        <v>7940</v>
      </c>
      <c r="E481" s="23" t="s">
        <v>13032</v>
      </c>
      <c r="F481" s="19">
        <v>39412.822384259256</v>
      </c>
      <c r="G481" s="24" t="s">
        <v>13000</v>
      </c>
      <c r="H481" s="35" t="s">
        <v>5972</v>
      </c>
      <c r="I481" s="25" t="s">
        <v>7936</v>
      </c>
    </row>
    <row r="482" spans="1:9" s="31" customFormat="1" ht="75">
      <c r="A482" s="4">
        <v>43565.645844907413</v>
      </c>
      <c r="B482" s="5" t="s">
        <v>13699</v>
      </c>
      <c r="C482" s="6" t="s">
        <v>5970</v>
      </c>
      <c r="D482" s="7" t="s">
        <v>5971</v>
      </c>
      <c r="E482" s="8" t="s">
        <v>13120</v>
      </c>
      <c r="F482" s="4">
        <v>42022.613032407404</v>
      </c>
      <c r="G482" s="24" t="s">
        <v>13000</v>
      </c>
      <c r="H482" s="35" t="s">
        <v>5972</v>
      </c>
      <c r="I482" s="10" t="s">
        <v>5973</v>
      </c>
    </row>
    <row r="483" spans="1:9" s="31" customFormat="1" ht="75">
      <c r="A483" s="4">
        <v>43565.532222222224</v>
      </c>
      <c r="B483" s="5" t="s">
        <v>13699</v>
      </c>
      <c r="C483" s="6" t="s">
        <v>5970</v>
      </c>
      <c r="D483" s="7" t="s">
        <v>5971</v>
      </c>
      <c r="E483" s="8" t="s">
        <v>13120</v>
      </c>
      <c r="F483" s="4">
        <v>42022.613032407404</v>
      </c>
      <c r="G483" s="24" t="s">
        <v>13000</v>
      </c>
      <c r="H483" s="35" t="s">
        <v>5972</v>
      </c>
      <c r="I483" s="10" t="s">
        <v>5973</v>
      </c>
    </row>
    <row r="484" spans="1:9" s="31" customFormat="1" ht="105">
      <c r="A484" s="4">
        <v>43563.451585648145</v>
      </c>
      <c r="B484" s="5" t="s">
        <v>13700</v>
      </c>
      <c r="C484" s="6" t="s">
        <v>10284</v>
      </c>
      <c r="D484" s="7" t="s">
        <v>10285</v>
      </c>
      <c r="E484" s="8" t="s">
        <v>13015</v>
      </c>
      <c r="F484" s="4">
        <v>39875.339756944442</v>
      </c>
      <c r="G484" s="24" t="s">
        <v>13000</v>
      </c>
      <c r="H484" s="35" t="s">
        <v>5972</v>
      </c>
      <c r="I484" s="10" t="s">
        <v>10286</v>
      </c>
    </row>
    <row r="485" spans="1:9" s="31" customFormat="1" ht="105">
      <c r="A485" s="19">
        <v>43545.341354166667</v>
      </c>
      <c r="B485" s="20" t="s">
        <v>13701</v>
      </c>
      <c r="C485" s="21" t="s">
        <v>9191</v>
      </c>
      <c r="D485" s="22" t="s">
        <v>9192</v>
      </c>
      <c r="E485" s="23" t="s">
        <v>13011</v>
      </c>
      <c r="F485" s="19">
        <v>40274.708657407406</v>
      </c>
      <c r="G485" s="24" t="s">
        <v>13000</v>
      </c>
      <c r="H485" s="35" t="s">
        <v>9193</v>
      </c>
      <c r="I485" s="25" t="s">
        <v>9194</v>
      </c>
    </row>
    <row r="486" spans="1:9" s="31" customFormat="1" ht="30">
      <c r="A486" s="19">
        <v>43546.433576388888</v>
      </c>
      <c r="B486" s="20" t="s">
        <v>13702</v>
      </c>
      <c r="C486" s="21" t="s">
        <v>8849</v>
      </c>
      <c r="D486" s="22" t="s">
        <v>8850</v>
      </c>
      <c r="E486" s="23" t="s">
        <v>13479</v>
      </c>
      <c r="F486" s="19">
        <v>41403.459722222222</v>
      </c>
      <c r="G486" s="24" t="s">
        <v>13000</v>
      </c>
      <c r="H486" s="35" t="s">
        <v>8851</v>
      </c>
      <c r="I486" s="25"/>
    </row>
    <row r="487" spans="1:9" s="31" customFormat="1" ht="105">
      <c r="A487" s="19">
        <v>43550.990069444444</v>
      </c>
      <c r="B487" s="20" t="s">
        <v>13703</v>
      </c>
      <c r="C487" s="21" t="s">
        <v>7461</v>
      </c>
      <c r="D487" s="22" t="s">
        <v>7462</v>
      </c>
      <c r="E487" s="23" t="s">
        <v>13013</v>
      </c>
      <c r="F487" s="19">
        <v>43208.665034722224</v>
      </c>
      <c r="G487" s="24" t="s">
        <v>13000</v>
      </c>
      <c r="H487" s="35" t="s">
        <v>7463</v>
      </c>
      <c r="I487" s="25" t="s">
        <v>7464</v>
      </c>
    </row>
    <row r="488" spans="1:9" s="31" customFormat="1" ht="105">
      <c r="A488" s="4">
        <v>43561.630844907406</v>
      </c>
      <c r="B488" s="5" t="s">
        <v>13703</v>
      </c>
      <c r="C488" s="6" t="s">
        <v>7461</v>
      </c>
      <c r="D488" s="7" t="s">
        <v>10900</v>
      </c>
      <c r="E488" s="8" t="s">
        <v>13013</v>
      </c>
      <c r="F488" s="4">
        <v>43208.665034722224</v>
      </c>
      <c r="G488" s="24" t="s">
        <v>13000</v>
      </c>
      <c r="H488" s="35" t="s">
        <v>7463</v>
      </c>
      <c r="I488" s="10" t="s">
        <v>10901</v>
      </c>
    </row>
    <row r="489" spans="1:9" s="31" customFormat="1" ht="30">
      <c r="A489" s="12">
        <v>43580.83657407407</v>
      </c>
      <c r="B489" s="13" t="s">
        <v>13704</v>
      </c>
      <c r="C489" s="14" t="s">
        <v>29</v>
      </c>
      <c r="D489" s="15" t="s">
        <v>30</v>
      </c>
      <c r="E489" s="16" t="s">
        <v>13006</v>
      </c>
      <c r="F489" s="12">
        <v>41954.930659722224</v>
      </c>
      <c r="G489" s="24" t="s">
        <v>13000</v>
      </c>
      <c r="H489" s="35" t="s">
        <v>31</v>
      </c>
      <c r="I489" s="18"/>
    </row>
    <row r="490" spans="1:9" s="31" customFormat="1" ht="90">
      <c r="A490" s="12">
        <v>43579.702083333337</v>
      </c>
      <c r="B490" s="13" t="s">
        <v>13705</v>
      </c>
      <c r="C490" s="14" t="s">
        <v>501</v>
      </c>
      <c r="D490" s="15" t="s">
        <v>502</v>
      </c>
      <c r="E490" s="16" t="s">
        <v>13034</v>
      </c>
      <c r="F490" s="12">
        <v>39567.802488425928</v>
      </c>
      <c r="G490" s="24" t="s">
        <v>13000</v>
      </c>
      <c r="H490" s="35" t="s">
        <v>503</v>
      </c>
      <c r="I490" s="18" t="s">
        <v>504</v>
      </c>
    </row>
    <row r="491" spans="1:9" s="31" customFormat="1" ht="75">
      <c r="A491" s="12">
        <v>43571.081111111111</v>
      </c>
      <c r="B491" s="13" t="s">
        <v>13706</v>
      </c>
      <c r="C491" s="14" t="s">
        <v>3856</v>
      </c>
      <c r="D491" s="15" t="s">
        <v>3857</v>
      </c>
      <c r="E491" s="16" t="s">
        <v>13011</v>
      </c>
      <c r="F491" s="12">
        <v>42052.398090277777</v>
      </c>
      <c r="G491" s="24" t="s">
        <v>13000</v>
      </c>
      <c r="H491" s="35" t="s">
        <v>3858</v>
      </c>
      <c r="I491" s="18" t="s">
        <v>3859</v>
      </c>
    </row>
    <row r="492" spans="1:9" s="31" customFormat="1" ht="90">
      <c r="A492" s="19">
        <v>43551.89471064815</v>
      </c>
      <c r="B492" s="20" t="s">
        <v>13707</v>
      </c>
      <c r="C492" s="21" t="s">
        <v>6966</v>
      </c>
      <c r="D492" s="22" t="s">
        <v>6967</v>
      </c>
      <c r="E492" s="23" t="s">
        <v>13032</v>
      </c>
      <c r="F492" s="19">
        <v>39316.887060185181</v>
      </c>
      <c r="G492" s="24" t="s">
        <v>13000</v>
      </c>
      <c r="H492" s="35" t="s">
        <v>6968</v>
      </c>
      <c r="I492" s="25" t="s">
        <v>6969</v>
      </c>
    </row>
    <row r="493" spans="1:9" s="31" customFormat="1" ht="90">
      <c r="A493" s="19">
        <v>43550.824687500004</v>
      </c>
      <c r="B493" s="20" t="s">
        <v>13707</v>
      </c>
      <c r="C493" s="21" t="s">
        <v>6966</v>
      </c>
      <c r="D493" s="22" t="s">
        <v>7495</v>
      </c>
      <c r="E493" s="23" t="s">
        <v>13032</v>
      </c>
      <c r="F493" s="19">
        <v>39316.887060185181</v>
      </c>
      <c r="G493" s="24" t="s">
        <v>13000</v>
      </c>
      <c r="H493" s="35" t="s">
        <v>6968</v>
      </c>
      <c r="I493" s="25" t="s">
        <v>6969</v>
      </c>
    </row>
    <row r="494" spans="1:9" s="31" customFormat="1" ht="90">
      <c r="A494" s="19">
        <v>43549.856469907405</v>
      </c>
      <c r="B494" s="20" t="s">
        <v>13707</v>
      </c>
      <c r="C494" s="21" t="s">
        <v>6966</v>
      </c>
      <c r="D494" s="22" t="s">
        <v>7889</v>
      </c>
      <c r="E494" s="23" t="s">
        <v>13032</v>
      </c>
      <c r="F494" s="19">
        <v>39316.887060185181</v>
      </c>
      <c r="G494" s="24" t="s">
        <v>13000</v>
      </c>
      <c r="H494" s="35" t="s">
        <v>6968</v>
      </c>
      <c r="I494" s="25" t="s">
        <v>6969</v>
      </c>
    </row>
    <row r="495" spans="1:9" s="31" customFormat="1" ht="90">
      <c r="A495" s="4">
        <v>43562.775231481486</v>
      </c>
      <c r="B495" s="5" t="s">
        <v>13707</v>
      </c>
      <c r="C495" s="6" t="s">
        <v>6966</v>
      </c>
      <c r="D495" s="7" t="s">
        <v>10588</v>
      </c>
      <c r="E495" s="8" t="s">
        <v>13032</v>
      </c>
      <c r="F495" s="4">
        <v>39316.887060185181</v>
      </c>
      <c r="G495" s="24" t="s">
        <v>13000</v>
      </c>
      <c r="H495" s="35" t="s">
        <v>6968</v>
      </c>
      <c r="I495" s="10" t="s">
        <v>6969</v>
      </c>
    </row>
    <row r="496" spans="1:9" s="31" customFormat="1" ht="105">
      <c r="A496" s="4">
        <v>43565.540682870371</v>
      </c>
      <c r="B496" s="5" t="s">
        <v>13708</v>
      </c>
      <c r="C496" s="6" t="s">
        <v>6035</v>
      </c>
      <c r="D496" s="7" t="s">
        <v>6036</v>
      </c>
      <c r="E496" s="8" t="s">
        <v>13011</v>
      </c>
      <c r="F496" s="4">
        <v>43333.611932870372</v>
      </c>
      <c r="G496" s="24" t="s">
        <v>13000</v>
      </c>
      <c r="H496" s="35" t="s">
        <v>4523</v>
      </c>
      <c r="I496" s="10" t="s">
        <v>6037</v>
      </c>
    </row>
    <row r="497" spans="1:9" s="31" customFormat="1" ht="105">
      <c r="A497" s="12">
        <v>43569.398680555554</v>
      </c>
      <c r="B497" s="13" t="s">
        <v>13709</v>
      </c>
      <c r="C497" s="14" t="s">
        <v>4521</v>
      </c>
      <c r="D497" s="15" t="s">
        <v>4522</v>
      </c>
      <c r="E497" s="16" t="s">
        <v>13011</v>
      </c>
      <c r="F497" s="12">
        <v>43557.868333333332</v>
      </c>
      <c r="G497" s="24" t="s">
        <v>13000</v>
      </c>
      <c r="H497" s="35" t="s">
        <v>4523</v>
      </c>
      <c r="I497" s="18" t="s">
        <v>4524</v>
      </c>
    </row>
    <row r="498" spans="1:9" s="31" customFormat="1" ht="60">
      <c r="A498" s="4">
        <v>43564.496886574074</v>
      </c>
      <c r="B498" s="5" t="s">
        <v>13710</v>
      </c>
      <c r="C498" s="6" t="s">
        <v>6581</v>
      </c>
      <c r="D498" s="7" t="s">
        <v>6582</v>
      </c>
      <c r="E498" s="8" t="s">
        <v>13032</v>
      </c>
      <c r="F498" s="4">
        <v>42249.446493055555</v>
      </c>
      <c r="G498" s="24" t="s">
        <v>13000</v>
      </c>
      <c r="H498" s="35" t="s">
        <v>6583</v>
      </c>
      <c r="I498" s="10" t="s">
        <v>6584</v>
      </c>
    </row>
    <row r="499" spans="1:9" s="31" customFormat="1" ht="120">
      <c r="A499" s="4">
        <v>43561.607731481483</v>
      </c>
      <c r="B499" s="5" t="s">
        <v>13711</v>
      </c>
      <c r="C499" s="6" t="s">
        <v>10905</v>
      </c>
      <c r="D499" s="7" t="s">
        <v>10906</v>
      </c>
      <c r="E499" s="8" t="s">
        <v>13018</v>
      </c>
      <c r="F499" s="4">
        <v>42667.851377314815</v>
      </c>
      <c r="G499" s="24" t="s">
        <v>13000</v>
      </c>
      <c r="H499" s="35" t="s">
        <v>6583</v>
      </c>
      <c r="I499" s="10" t="s">
        <v>10907</v>
      </c>
    </row>
    <row r="500" spans="1:9" s="31" customFormat="1" ht="120">
      <c r="A500" s="12">
        <v>43578.625937500001</v>
      </c>
      <c r="B500" s="13" t="s">
        <v>13712</v>
      </c>
      <c r="C500" s="14" t="s">
        <v>1122</v>
      </c>
      <c r="D500" s="15" t="s">
        <v>1123</v>
      </c>
      <c r="E500" s="16" t="s">
        <v>13713</v>
      </c>
      <c r="F500" s="12">
        <v>40638.669363425928</v>
      </c>
      <c r="G500" s="24" t="s">
        <v>13000</v>
      </c>
      <c r="H500" s="35" t="s">
        <v>1124</v>
      </c>
      <c r="I500" s="18" t="s">
        <v>1125</v>
      </c>
    </row>
    <row r="501" spans="1:9" s="31" customFormat="1" ht="75">
      <c r="A501" s="4">
        <v>43560.613321759258</v>
      </c>
      <c r="B501" s="5" t="s">
        <v>13714</v>
      </c>
      <c r="C501" s="6" t="s">
        <v>11255</v>
      </c>
      <c r="D501" s="7" t="s">
        <v>11256</v>
      </c>
      <c r="E501" s="8" t="s">
        <v>13013</v>
      </c>
      <c r="F501" s="4">
        <v>40385.513877314814</v>
      </c>
      <c r="G501" s="24" t="s">
        <v>13000</v>
      </c>
      <c r="H501" s="35" t="s">
        <v>5011</v>
      </c>
      <c r="I501" s="10"/>
    </row>
    <row r="502" spans="1:9" s="31" customFormat="1" ht="105">
      <c r="A502" s="12">
        <v>43567.673043981486</v>
      </c>
      <c r="B502" s="13" t="s">
        <v>13715</v>
      </c>
      <c r="C502" s="14" t="s">
        <v>5009</v>
      </c>
      <c r="D502" s="15" t="s">
        <v>5010</v>
      </c>
      <c r="E502" s="16" t="s">
        <v>13032</v>
      </c>
      <c r="F502" s="12">
        <v>41953.697731481487</v>
      </c>
      <c r="G502" s="24" t="s">
        <v>13000</v>
      </c>
      <c r="H502" s="35" t="s">
        <v>5011</v>
      </c>
      <c r="I502" s="18" t="s">
        <v>5012</v>
      </c>
    </row>
    <row r="503" spans="1:9" s="31" customFormat="1" ht="75">
      <c r="A503" s="12">
        <v>43570.943229166667</v>
      </c>
      <c r="B503" s="13" t="s">
        <v>13716</v>
      </c>
      <c r="C503" s="14" t="s">
        <v>3924</v>
      </c>
      <c r="D503" s="15" t="s">
        <v>3925</v>
      </c>
      <c r="E503" s="16" t="s">
        <v>13006</v>
      </c>
      <c r="F503" s="12">
        <v>40238.362025462964</v>
      </c>
      <c r="G503" s="17" t="s">
        <v>13000</v>
      </c>
      <c r="H503" s="35" t="s">
        <v>3926</v>
      </c>
      <c r="I503" s="18" t="s">
        <v>3927</v>
      </c>
    </row>
    <row r="504" spans="1:9" s="31" customFormat="1" ht="60">
      <c r="A504" s="4">
        <v>43562.850081018521</v>
      </c>
      <c r="B504" s="5" t="s">
        <v>13717</v>
      </c>
      <c r="C504" s="6" t="s">
        <v>10563</v>
      </c>
      <c r="D504" s="7" t="s">
        <v>10564</v>
      </c>
      <c r="E504" s="8" t="s">
        <v>13032</v>
      </c>
      <c r="F504" s="4">
        <v>41518.765162037038</v>
      </c>
      <c r="G504" s="17" t="s">
        <v>13000</v>
      </c>
      <c r="H504" s="35" t="s">
        <v>4447</v>
      </c>
      <c r="I504" s="10" t="s">
        <v>10565</v>
      </c>
    </row>
    <row r="505" spans="1:9" s="31" customFormat="1" ht="30">
      <c r="A505" s="12">
        <v>43569.637511574074</v>
      </c>
      <c r="B505" s="13" t="s">
        <v>13718</v>
      </c>
      <c r="C505" s="14" t="s">
        <v>4445</v>
      </c>
      <c r="D505" s="15" t="s">
        <v>4446</v>
      </c>
      <c r="E505" s="16" t="s">
        <v>13034</v>
      </c>
      <c r="F505" s="12">
        <v>41687.416585648149</v>
      </c>
      <c r="G505" s="17" t="s">
        <v>13000</v>
      </c>
      <c r="H505" s="35" t="s">
        <v>4447</v>
      </c>
      <c r="I505" s="18" t="s">
        <v>4448</v>
      </c>
    </row>
    <row r="506" spans="1:9" s="31" customFormat="1" ht="105">
      <c r="A506" s="12">
        <v>43569.393761574072</v>
      </c>
      <c r="B506" s="13" t="s">
        <v>13719</v>
      </c>
      <c r="C506" s="14" t="s">
        <v>4525</v>
      </c>
      <c r="D506" s="15" t="s">
        <v>4446</v>
      </c>
      <c r="E506" s="16" t="s">
        <v>13034</v>
      </c>
      <c r="F506" s="12">
        <v>41298.905092592591</v>
      </c>
      <c r="G506" s="17" t="s">
        <v>13000</v>
      </c>
      <c r="H506" s="35" t="s">
        <v>4447</v>
      </c>
      <c r="I506" s="18" t="s">
        <v>4526</v>
      </c>
    </row>
    <row r="507" spans="1:9" s="31" customFormat="1" ht="105">
      <c r="A507" s="12">
        <v>43568.302106481482</v>
      </c>
      <c r="B507" s="13" t="s">
        <v>13720</v>
      </c>
      <c r="C507" s="14" t="s">
        <v>4525</v>
      </c>
      <c r="D507" s="15" t="s">
        <v>4446</v>
      </c>
      <c r="E507" s="16" t="s">
        <v>13034</v>
      </c>
      <c r="F507" s="12">
        <v>40451.863078703704</v>
      </c>
      <c r="G507" s="17" t="s">
        <v>13000</v>
      </c>
      <c r="H507" s="35" t="s">
        <v>4447</v>
      </c>
      <c r="I507" s="18" t="s">
        <v>4816</v>
      </c>
    </row>
    <row r="508" spans="1:9" s="31" customFormat="1" ht="120">
      <c r="A508" s="12">
        <v>43568.29305555555</v>
      </c>
      <c r="B508" s="13" t="s">
        <v>13721</v>
      </c>
      <c r="C508" s="14" t="s">
        <v>4525</v>
      </c>
      <c r="D508" s="15" t="s">
        <v>4446</v>
      </c>
      <c r="E508" s="16" t="s">
        <v>13034</v>
      </c>
      <c r="F508" s="12">
        <v>39563.295381944445</v>
      </c>
      <c r="G508" s="17" t="s">
        <v>13000</v>
      </c>
      <c r="H508" s="35" t="s">
        <v>4447</v>
      </c>
      <c r="I508" s="18" t="s">
        <v>4817</v>
      </c>
    </row>
    <row r="509" spans="1:9" s="31" customFormat="1" ht="75">
      <c r="A509" s="12">
        <v>43568.266782407409</v>
      </c>
      <c r="B509" s="13" t="s">
        <v>13722</v>
      </c>
      <c r="C509" s="14" t="s">
        <v>4825</v>
      </c>
      <c r="D509" s="15" t="s">
        <v>4826</v>
      </c>
      <c r="E509" s="16" t="s">
        <v>13009</v>
      </c>
      <c r="F509" s="12">
        <v>42837.457962962959</v>
      </c>
      <c r="G509" s="17" t="s">
        <v>13000</v>
      </c>
      <c r="H509" s="35" t="s">
        <v>4447</v>
      </c>
      <c r="I509" s="18" t="s">
        <v>4827</v>
      </c>
    </row>
    <row r="510" spans="1:9" s="31" customFormat="1" ht="120">
      <c r="A510" s="12">
        <v>43570.600740740745</v>
      </c>
      <c r="B510" s="13" t="s">
        <v>13723</v>
      </c>
      <c r="C510" s="14" t="s">
        <v>4023</v>
      </c>
      <c r="D510" s="15" t="s">
        <v>4024</v>
      </c>
      <c r="E510" s="16" t="s">
        <v>13018</v>
      </c>
      <c r="F510" s="12">
        <v>39963.30127314815</v>
      </c>
      <c r="G510" s="17" t="s">
        <v>13000</v>
      </c>
      <c r="H510" s="35" t="s">
        <v>4025</v>
      </c>
      <c r="I510" s="18" t="s">
        <v>4026</v>
      </c>
    </row>
    <row r="511" spans="1:9" s="31" customFormat="1" ht="75">
      <c r="A511" s="19">
        <v>43543.870358796295</v>
      </c>
      <c r="B511" s="20" t="s">
        <v>13724</v>
      </c>
      <c r="C511" s="21" t="s">
        <v>9663</v>
      </c>
      <c r="D511" s="22" t="s">
        <v>9664</v>
      </c>
      <c r="E511" s="23" t="s">
        <v>13032</v>
      </c>
      <c r="F511" s="19">
        <v>40169.960243055553</v>
      </c>
      <c r="G511" s="24" t="s">
        <v>13000</v>
      </c>
      <c r="H511" s="35" t="s">
        <v>9665</v>
      </c>
      <c r="I511" s="25" t="s">
        <v>9666</v>
      </c>
    </row>
    <row r="512" spans="1:9" s="31" customFormat="1" ht="75">
      <c r="A512" s="19">
        <v>43543.780775462961</v>
      </c>
      <c r="B512" s="20" t="s">
        <v>13724</v>
      </c>
      <c r="C512" s="21" t="s">
        <v>9663</v>
      </c>
      <c r="D512" s="22" t="s">
        <v>9664</v>
      </c>
      <c r="E512" s="23" t="s">
        <v>13032</v>
      </c>
      <c r="F512" s="19">
        <v>40169.960243055553</v>
      </c>
      <c r="G512" s="24" t="s">
        <v>13000</v>
      </c>
      <c r="H512" s="35" t="s">
        <v>9665</v>
      </c>
      <c r="I512" s="25" t="s">
        <v>9666</v>
      </c>
    </row>
    <row r="513" spans="1:9" s="31" customFormat="1" ht="90">
      <c r="A513" s="19">
        <v>43545.759502314817</v>
      </c>
      <c r="B513" s="20" t="s">
        <v>13725</v>
      </c>
      <c r="C513" s="21" t="s">
        <v>9058</v>
      </c>
      <c r="D513" s="22" t="s">
        <v>9059</v>
      </c>
      <c r="E513" s="23" t="s">
        <v>13032</v>
      </c>
      <c r="F513" s="19">
        <v>41846.585173611107</v>
      </c>
      <c r="G513" s="24" t="s">
        <v>13000</v>
      </c>
      <c r="H513" s="35" t="s">
        <v>9060</v>
      </c>
      <c r="I513" s="25" t="s">
        <v>9061</v>
      </c>
    </row>
    <row r="514" spans="1:9" s="31" customFormat="1" ht="90">
      <c r="A514" s="4">
        <v>43561.43787037037</v>
      </c>
      <c r="B514" s="5" t="s">
        <v>13726</v>
      </c>
      <c r="C514" s="6" t="s">
        <v>10973</v>
      </c>
      <c r="D514" s="7" t="s">
        <v>10974</v>
      </c>
      <c r="E514" s="8" t="s">
        <v>13006</v>
      </c>
      <c r="F514" s="4">
        <v>42964.5777662037</v>
      </c>
      <c r="G514" s="24" t="s">
        <v>13000</v>
      </c>
      <c r="H514" s="35" t="s">
        <v>10975</v>
      </c>
      <c r="I514" s="10" t="s">
        <v>10976</v>
      </c>
    </row>
    <row r="515" spans="1:9" s="31" customFormat="1" ht="90">
      <c r="A515" s="4">
        <v>43559.417013888888</v>
      </c>
      <c r="B515" s="5" t="s">
        <v>13726</v>
      </c>
      <c r="C515" s="6" t="s">
        <v>10973</v>
      </c>
      <c r="D515" s="7" t="s">
        <v>10985</v>
      </c>
      <c r="E515" s="8" t="s">
        <v>13006</v>
      </c>
      <c r="F515" s="4">
        <v>42964.5777662037</v>
      </c>
      <c r="G515" s="24" t="s">
        <v>13000</v>
      </c>
      <c r="H515" s="35" t="s">
        <v>10975</v>
      </c>
      <c r="I515" s="10" t="s">
        <v>10976</v>
      </c>
    </row>
    <row r="516" spans="1:9" s="31" customFormat="1" ht="75">
      <c r="A516" s="4">
        <v>43561.382326388892</v>
      </c>
      <c r="B516" s="5" t="s">
        <v>13727</v>
      </c>
      <c r="C516" s="6" t="s">
        <v>10993</v>
      </c>
      <c r="D516" s="7" t="s">
        <v>10994</v>
      </c>
      <c r="E516" s="8" t="s">
        <v>13011</v>
      </c>
      <c r="F516" s="4">
        <v>39961.589768518519</v>
      </c>
      <c r="G516" s="24" t="s">
        <v>13000</v>
      </c>
      <c r="H516" s="35" t="s">
        <v>10995</v>
      </c>
      <c r="I516" s="10" t="s">
        <v>10996</v>
      </c>
    </row>
    <row r="517" spans="1:9" s="31" customFormat="1" ht="90">
      <c r="A517" s="4">
        <v>43564.778275462959</v>
      </c>
      <c r="B517" s="5" t="s">
        <v>13728</v>
      </c>
      <c r="C517" s="6" t="s">
        <v>6413</v>
      </c>
      <c r="D517" s="7" t="s">
        <v>6414</v>
      </c>
      <c r="E517" s="8" t="s">
        <v>13013</v>
      </c>
      <c r="F517" s="4">
        <v>40422.311076388891</v>
      </c>
      <c r="G517" s="9" t="s">
        <v>13000</v>
      </c>
      <c r="H517" s="35" t="s">
        <v>6415</v>
      </c>
      <c r="I517" s="10" t="s">
        <v>6416</v>
      </c>
    </row>
    <row r="518" spans="1:9" s="31" customFormat="1" ht="105">
      <c r="A518" s="12">
        <v>43566.857083333336</v>
      </c>
      <c r="B518" s="13" t="s">
        <v>13729</v>
      </c>
      <c r="C518" s="14" t="s">
        <v>5321</v>
      </c>
      <c r="D518" s="15" t="s">
        <v>5322</v>
      </c>
      <c r="E518" s="16" t="s">
        <v>13011</v>
      </c>
      <c r="F518" s="12">
        <v>39880.474999999999</v>
      </c>
      <c r="G518" s="17" t="s">
        <v>13000</v>
      </c>
      <c r="H518" s="35" t="s">
        <v>5323</v>
      </c>
      <c r="I518" s="18" t="s">
        <v>5324</v>
      </c>
    </row>
    <row r="519" spans="1:9" s="31" customFormat="1" ht="105">
      <c r="A519" s="12">
        <v>43568.49391203704</v>
      </c>
      <c r="B519" s="13" t="s">
        <v>13730</v>
      </c>
      <c r="C519" s="14" t="s">
        <v>4728</v>
      </c>
      <c r="D519" s="15" t="s">
        <v>4729</v>
      </c>
      <c r="E519" s="16" t="s">
        <v>13009</v>
      </c>
      <c r="F519" s="12">
        <v>41003.4137037037</v>
      </c>
      <c r="G519" s="17" t="s">
        <v>13000</v>
      </c>
      <c r="H519" s="35" t="s">
        <v>4730</v>
      </c>
      <c r="I519" s="18" t="s">
        <v>4731</v>
      </c>
    </row>
    <row r="520" spans="1:9" s="31" customFormat="1" ht="120">
      <c r="A520" s="12">
        <v>43574.550856481481</v>
      </c>
      <c r="B520" s="13" t="s">
        <v>13731</v>
      </c>
      <c r="C520" s="14" t="s">
        <v>2522</v>
      </c>
      <c r="D520" s="15" t="s">
        <v>2523</v>
      </c>
      <c r="E520" s="16" t="s">
        <v>13032</v>
      </c>
      <c r="F520" s="12">
        <v>39878.62667824074</v>
      </c>
      <c r="G520" s="17" t="s">
        <v>13000</v>
      </c>
      <c r="H520" s="35" t="s">
        <v>2524</v>
      </c>
      <c r="I520" s="18" t="s">
        <v>2525</v>
      </c>
    </row>
    <row r="521" spans="1:9" s="31" customFormat="1" ht="105">
      <c r="A521" s="12">
        <v>43577.364479166667</v>
      </c>
      <c r="B521" s="13" t="s">
        <v>13732</v>
      </c>
      <c r="C521" s="14" t="s">
        <v>1654</v>
      </c>
      <c r="D521" s="15" t="s">
        <v>1655</v>
      </c>
      <c r="E521" s="16" t="s">
        <v>13009</v>
      </c>
      <c r="F521" s="12">
        <v>39852.442071759258</v>
      </c>
      <c r="G521" s="17" t="s">
        <v>13000</v>
      </c>
      <c r="H521" s="35" t="s">
        <v>1656</v>
      </c>
      <c r="I521" s="18" t="s">
        <v>1657</v>
      </c>
    </row>
    <row r="522" spans="1:9" s="31" customFormat="1" ht="45">
      <c r="A522" s="12">
        <v>43570.580439814818</v>
      </c>
      <c r="B522" s="13" t="s">
        <v>13733</v>
      </c>
      <c r="C522" s="14" t="s">
        <v>4054</v>
      </c>
      <c r="D522" s="15" t="s">
        <v>4055</v>
      </c>
      <c r="E522" s="16" t="s">
        <v>13009</v>
      </c>
      <c r="F522" s="12">
        <v>42925.780833333338</v>
      </c>
      <c r="G522" s="17" t="s">
        <v>13000</v>
      </c>
      <c r="H522" s="35" t="s">
        <v>1656</v>
      </c>
      <c r="I522" s="18" t="s">
        <v>4056</v>
      </c>
    </row>
    <row r="523" spans="1:9" s="31" customFormat="1" ht="45">
      <c r="A523" s="12">
        <v>43568.424189814818</v>
      </c>
      <c r="B523" s="13" t="s">
        <v>13733</v>
      </c>
      <c r="C523" s="14" t="s">
        <v>4054</v>
      </c>
      <c r="D523" s="15" t="s">
        <v>4779</v>
      </c>
      <c r="E523" s="16" t="s">
        <v>13009</v>
      </c>
      <c r="F523" s="12">
        <v>42925.780833333338</v>
      </c>
      <c r="G523" s="17" t="s">
        <v>13000</v>
      </c>
      <c r="H523" s="35" t="s">
        <v>1656</v>
      </c>
      <c r="I523" s="18" t="s">
        <v>4056</v>
      </c>
    </row>
    <row r="524" spans="1:9" s="31" customFormat="1" ht="45">
      <c r="A524" s="12">
        <v>43567.755578703705</v>
      </c>
      <c r="B524" s="13" t="s">
        <v>13733</v>
      </c>
      <c r="C524" s="14" t="s">
        <v>4054</v>
      </c>
      <c r="D524" s="15" t="s">
        <v>4961</v>
      </c>
      <c r="E524" s="16" t="s">
        <v>13009</v>
      </c>
      <c r="F524" s="12">
        <v>42925.780833333338</v>
      </c>
      <c r="G524" s="17" t="s">
        <v>13000</v>
      </c>
      <c r="H524" s="35" t="s">
        <v>1656</v>
      </c>
      <c r="I524" s="18" t="s">
        <v>4056</v>
      </c>
    </row>
    <row r="525" spans="1:9" s="31" customFormat="1" ht="120">
      <c r="A525" s="19">
        <v>43550.016932870371</v>
      </c>
      <c r="B525" s="20" t="s">
        <v>13734</v>
      </c>
      <c r="C525" s="21" t="s">
        <v>7859</v>
      </c>
      <c r="D525" s="22" t="s">
        <v>7860</v>
      </c>
      <c r="E525" s="23" t="s">
        <v>13130</v>
      </c>
      <c r="F525" s="19">
        <v>42823.290648148148</v>
      </c>
      <c r="G525" s="24" t="s">
        <v>13000</v>
      </c>
      <c r="H525" s="35" t="s">
        <v>7861</v>
      </c>
      <c r="I525" s="25" t="s">
        <v>7862</v>
      </c>
    </row>
    <row r="526" spans="1:9" s="31" customFormat="1" ht="105">
      <c r="A526" s="19">
        <v>43548.375173611115</v>
      </c>
      <c r="B526" s="20" t="s">
        <v>13735</v>
      </c>
      <c r="C526" s="21" t="s">
        <v>4504</v>
      </c>
      <c r="D526" s="22" t="s">
        <v>8338</v>
      </c>
      <c r="E526" s="23" t="s">
        <v>13290</v>
      </c>
      <c r="F526" s="19">
        <v>42757.333981481483</v>
      </c>
      <c r="G526" s="17" t="s">
        <v>13000</v>
      </c>
      <c r="H526" s="35" t="s">
        <v>4506</v>
      </c>
      <c r="I526" s="25" t="s">
        <v>4507</v>
      </c>
    </row>
    <row r="527" spans="1:9" s="31" customFormat="1" ht="105">
      <c r="A527" s="19">
        <v>43547.375196759254</v>
      </c>
      <c r="B527" s="20" t="s">
        <v>13735</v>
      </c>
      <c r="C527" s="21" t="s">
        <v>4504</v>
      </c>
      <c r="D527" s="22" t="s">
        <v>8576</v>
      </c>
      <c r="E527" s="23" t="s">
        <v>13290</v>
      </c>
      <c r="F527" s="19">
        <v>42757.333981481483</v>
      </c>
      <c r="G527" s="17" t="s">
        <v>13000</v>
      </c>
      <c r="H527" s="35" t="s">
        <v>4506</v>
      </c>
      <c r="I527" s="25" t="s">
        <v>4507</v>
      </c>
    </row>
    <row r="528" spans="1:9" s="31" customFormat="1" ht="105">
      <c r="A528" s="19">
        <v>43545.375231481477</v>
      </c>
      <c r="B528" s="20" t="s">
        <v>13735</v>
      </c>
      <c r="C528" s="21" t="s">
        <v>4504</v>
      </c>
      <c r="D528" s="22" t="s">
        <v>9164</v>
      </c>
      <c r="E528" s="23" t="s">
        <v>13290</v>
      </c>
      <c r="F528" s="19">
        <v>42757.333981481483</v>
      </c>
      <c r="G528" s="17" t="s">
        <v>13000</v>
      </c>
      <c r="H528" s="35" t="s">
        <v>4506</v>
      </c>
      <c r="I528" s="25" t="s">
        <v>4507</v>
      </c>
    </row>
    <row r="529" spans="1:9" s="31" customFormat="1" ht="90">
      <c r="A529" s="4">
        <v>43565.410694444443</v>
      </c>
      <c r="B529" s="5" t="s">
        <v>13736</v>
      </c>
      <c r="C529" s="6" t="s">
        <v>6104</v>
      </c>
      <c r="D529" s="7" t="s">
        <v>6105</v>
      </c>
      <c r="E529" s="8" t="s">
        <v>13015</v>
      </c>
      <c r="F529" s="4">
        <v>43057.446539351848</v>
      </c>
      <c r="G529" s="17" t="s">
        <v>13000</v>
      </c>
      <c r="H529" s="35" t="s">
        <v>4506</v>
      </c>
      <c r="I529" s="10" t="s">
        <v>6106</v>
      </c>
    </row>
    <row r="530" spans="1:9" s="31" customFormat="1" ht="90">
      <c r="A530" s="4">
        <v>43560.274328703701</v>
      </c>
      <c r="B530" s="5" t="s">
        <v>13736</v>
      </c>
      <c r="C530" s="6" t="s">
        <v>6104</v>
      </c>
      <c r="D530" s="7" t="s">
        <v>11513</v>
      </c>
      <c r="E530" s="8" t="s">
        <v>13015</v>
      </c>
      <c r="F530" s="4">
        <v>43057.446539351848</v>
      </c>
      <c r="G530" s="17" t="s">
        <v>13000</v>
      </c>
      <c r="H530" s="35" t="s">
        <v>4506</v>
      </c>
      <c r="I530" s="10" t="s">
        <v>6106</v>
      </c>
    </row>
    <row r="531" spans="1:9" s="31" customFormat="1" ht="105">
      <c r="A531" s="12">
        <v>43569.496574074074</v>
      </c>
      <c r="B531" s="13" t="s">
        <v>13735</v>
      </c>
      <c r="C531" s="14" t="s">
        <v>4504</v>
      </c>
      <c r="D531" s="15" t="s">
        <v>4505</v>
      </c>
      <c r="E531" s="16" t="s">
        <v>13290</v>
      </c>
      <c r="F531" s="12">
        <v>42757.333981481483</v>
      </c>
      <c r="G531" s="17" t="s">
        <v>13000</v>
      </c>
      <c r="H531" s="35" t="s">
        <v>4506</v>
      </c>
      <c r="I531" s="18" t="s">
        <v>4507</v>
      </c>
    </row>
    <row r="532" spans="1:9" s="31" customFormat="1" ht="105">
      <c r="A532" s="12">
        <v>43567.569467592592</v>
      </c>
      <c r="B532" s="13" t="s">
        <v>13735</v>
      </c>
      <c r="C532" s="14" t="s">
        <v>4504</v>
      </c>
      <c r="D532" s="15" t="s">
        <v>5047</v>
      </c>
      <c r="E532" s="16" t="s">
        <v>13290</v>
      </c>
      <c r="F532" s="12">
        <v>42757.333981481483</v>
      </c>
      <c r="G532" s="17" t="s">
        <v>13000</v>
      </c>
      <c r="H532" s="35" t="s">
        <v>4506</v>
      </c>
      <c r="I532" s="18" t="s">
        <v>4507</v>
      </c>
    </row>
    <row r="533" spans="1:9" s="31" customFormat="1" ht="120">
      <c r="A533" s="12">
        <v>43567.253634259258</v>
      </c>
      <c r="B533" s="13" t="s">
        <v>13737</v>
      </c>
      <c r="C533" s="14" t="s">
        <v>5192</v>
      </c>
      <c r="D533" s="15" t="s">
        <v>5193</v>
      </c>
      <c r="E533" s="16" t="s">
        <v>13099</v>
      </c>
      <c r="F533" s="12">
        <v>42956.837719907402</v>
      </c>
      <c r="G533" s="17" t="s">
        <v>13000</v>
      </c>
      <c r="H533" s="35" t="s">
        <v>4506</v>
      </c>
      <c r="I533" s="18" t="s">
        <v>5194</v>
      </c>
    </row>
    <row r="534" spans="1:9" s="31" customFormat="1" ht="90">
      <c r="A534" s="19">
        <v>43543.579456018517</v>
      </c>
      <c r="B534" s="20" t="s">
        <v>13738</v>
      </c>
      <c r="C534" s="21" t="s">
        <v>1076</v>
      </c>
      <c r="D534" s="22" t="s">
        <v>9753</v>
      </c>
      <c r="E534" s="23" t="s">
        <v>13013</v>
      </c>
      <c r="F534" s="19">
        <v>43424.442465277782</v>
      </c>
      <c r="G534" s="24" t="s">
        <v>13000</v>
      </c>
      <c r="H534" s="35" t="s">
        <v>1078</v>
      </c>
      <c r="I534" s="25" t="s">
        <v>1079</v>
      </c>
    </row>
    <row r="535" spans="1:9" s="31" customFormat="1" ht="90">
      <c r="A535" s="19">
        <v>43543.466712962967</v>
      </c>
      <c r="B535" s="20" t="s">
        <v>13738</v>
      </c>
      <c r="C535" s="21" t="s">
        <v>1076</v>
      </c>
      <c r="D535" s="22" t="s">
        <v>9787</v>
      </c>
      <c r="E535" s="23" t="s">
        <v>13013</v>
      </c>
      <c r="F535" s="19">
        <v>43424.442465277782</v>
      </c>
      <c r="G535" s="24" t="s">
        <v>13000</v>
      </c>
      <c r="H535" s="35" t="s">
        <v>1078</v>
      </c>
      <c r="I535" s="25" t="s">
        <v>1079</v>
      </c>
    </row>
    <row r="536" spans="1:9" s="31" customFormat="1" ht="90">
      <c r="A536" s="12">
        <v>43578.714699074073</v>
      </c>
      <c r="B536" s="13" t="s">
        <v>13738</v>
      </c>
      <c r="C536" s="14" t="s">
        <v>1076</v>
      </c>
      <c r="D536" s="15" t="s">
        <v>1077</v>
      </c>
      <c r="E536" s="16" t="s">
        <v>13013</v>
      </c>
      <c r="F536" s="12">
        <v>43424.442465277782</v>
      </c>
      <c r="G536" s="24" t="s">
        <v>13000</v>
      </c>
      <c r="H536" s="35" t="s">
        <v>1078</v>
      </c>
      <c r="I536" s="18" t="s">
        <v>1079</v>
      </c>
    </row>
    <row r="537" spans="1:9" s="31" customFormat="1" ht="90">
      <c r="A537" s="19">
        <v>43549.402824074074</v>
      </c>
      <c r="B537" s="20" t="s">
        <v>13739</v>
      </c>
      <c r="C537" s="21" t="s">
        <v>8055</v>
      </c>
      <c r="D537" s="22" t="s">
        <v>8056</v>
      </c>
      <c r="E537" s="23" t="s">
        <v>13034</v>
      </c>
      <c r="F537" s="19">
        <v>39378.822569444441</v>
      </c>
      <c r="G537" s="24" t="s">
        <v>13000</v>
      </c>
      <c r="H537" s="35" t="s">
        <v>8057</v>
      </c>
      <c r="I537" s="25" t="s">
        <v>8058</v>
      </c>
    </row>
    <row r="538" spans="1:9" s="31" customFormat="1" ht="90">
      <c r="A538" s="4">
        <v>43565.686122685191</v>
      </c>
      <c r="B538" s="5" t="s">
        <v>13740</v>
      </c>
      <c r="C538" s="6" t="s">
        <v>1520</v>
      </c>
      <c r="D538" s="7" t="s">
        <v>1521</v>
      </c>
      <c r="E538" s="8" t="s">
        <v>13034</v>
      </c>
      <c r="F538" s="4">
        <v>41585.494745370372</v>
      </c>
      <c r="G538" s="17" t="s">
        <v>13000</v>
      </c>
      <c r="H538" s="35" t="s">
        <v>1522</v>
      </c>
      <c r="I538" s="10" t="s">
        <v>1523</v>
      </c>
    </row>
    <row r="539" spans="1:9" s="31" customFormat="1" ht="90">
      <c r="A539" s="4">
        <v>43563.729872685188</v>
      </c>
      <c r="B539" s="5" t="s">
        <v>13740</v>
      </c>
      <c r="C539" s="6" t="s">
        <v>1520</v>
      </c>
      <c r="D539" s="7" t="s">
        <v>1521</v>
      </c>
      <c r="E539" s="8" t="s">
        <v>13034</v>
      </c>
      <c r="F539" s="4">
        <v>41585.494745370372</v>
      </c>
      <c r="G539" s="17" t="s">
        <v>13000</v>
      </c>
      <c r="H539" s="35" t="s">
        <v>1522</v>
      </c>
      <c r="I539" s="10" t="s">
        <v>1523</v>
      </c>
    </row>
    <row r="540" spans="1:9" s="31" customFormat="1" ht="90">
      <c r="A540" s="4">
        <v>43559.686122685191</v>
      </c>
      <c r="B540" s="5" t="s">
        <v>13740</v>
      </c>
      <c r="C540" s="6" t="s">
        <v>1520</v>
      </c>
      <c r="D540" s="7" t="s">
        <v>1521</v>
      </c>
      <c r="E540" s="8" t="s">
        <v>13034</v>
      </c>
      <c r="F540" s="4">
        <v>41585.494745370372</v>
      </c>
      <c r="G540" s="17" t="s">
        <v>13000</v>
      </c>
      <c r="H540" s="35" t="s">
        <v>1522</v>
      </c>
      <c r="I540" s="10" t="s">
        <v>1523</v>
      </c>
    </row>
    <row r="541" spans="1:9" s="31" customFormat="1" ht="90">
      <c r="A541" s="12">
        <v>43577.686122685191</v>
      </c>
      <c r="B541" s="13" t="s">
        <v>13740</v>
      </c>
      <c r="C541" s="14" t="s">
        <v>1520</v>
      </c>
      <c r="D541" s="15" t="s">
        <v>1521</v>
      </c>
      <c r="E541" s="16" t="s">
        <v>13034</v>
      </c>
      <c r="F541" s="12">
        <v>41585.494745370372</v>
      </c>
      <c r="G541" s="17" t="s">
        <v>13000</v>
      </c>
      <c r="H541" s="35" t="s">
        <v>1522</v>
      </c>
      <c r="I541" s="18" t="s">
        <v>1523</v>
      </c>
    </row>
    <row r="542" spans="1:9" s="31" customFormat="1" ht="90">
      <c r="A542" s="12">
        <v>43572.559050925927</v>
      </c>
      <c r="B542" s="13" t="s">
        <v>13740</v>
      </c>
      <c r="C542" s="14" t="s">
        <v>1520</v>
      </c>
      <c r="D542" s="15" t="s">
        <v>1521</v>
      </c>
      <c r="E542" s="16" t="s">
        <v>13034</v>
      </c>
      <c r="F542" s="12">
        <v>41585.494745370372</v>
      </c>
      <c r="G542" s="17" t="s">
        <v>13000</v>
      </c>
      <c r="H542" s="35" t="s">
        <v>1522</v>
      </c>
      <c r="I542" s="18" t="s">
        <v>1523</v>
      </c>
    </row>
    <row r="543" spans="1:9" s="31" customFormat="1" ht="90">
      <c r="A543" s="19">
        <v>43551.891365740739</v>
      </c>
      <c r="B543" s="20" t="s">
        <v>13741</v>
      </c>
      <c r="C543" s="21" t="s">
        <v>6971</v>
      </c>
      <c r="D543" s="22" t="s">
        <v>6972</v>
      </c>
      <c r="E543" s="23" t="s">
        <v>13011</v>
      </c>
      <c r="F543" s="19">
        <v>42939.763865740737</v>
      </c>
      <c r="G543" s="17" t="s">
        <v>13000</v>
      </c>
      <c r="H543" s="35" t="s">
        <v>6973</v>
      </c>
      <c r="I543" s="25" t="s">
        <v>6974</v>
      </c>
    </row>
    <row r="544" spans="1:9" s="31" customFormat="1" ht="75">
      <c r="A544" s="19">
        <v>43551.50037037037</v>
      </c>
      <c r="B544" s="20" t="s">
        <v>13742</v>
      </c>
      <c r="C544" s="21" t="s">
        <v>4803</v>
      </c>
      <c r="D544" s="22" t="s">
        <v>7152</v>
      </c>
      <c r="E544" s="23" t="s">
        <v>13743</v>
      </c>
      <c r="F544" s="19">
        <v>42413.337777777779</v>
      </c>
      <c r="G544" s="17" t="s">
        <v>13000</v>
      </c>
      <c r="H544" s="35" t="s">
        <v>1025</v>
      </c>
      <c r="I544" s="25" t="s">
        <v>4805</v>
      </c>
    </row>
    <row r="545" spans="1:9" s="31" customFormat="1" ht="45">
      <c r="A545" s="19">
        <v>43550.70548611111</v>
      </c>
      <c r="B545" s="20" t="s">
        <v>13744</v>
      </c>
      <c r="C545" s="21" t="s">
        <v>7536</v>
      </c>
      <c r="D545" s="22" t="s">
        <v>7537</v>
      </c>
      <c r="E545" s="23" t="s">
        <v>13013</v>
      </c>
      <c r="F545" s="19">
        <v>41786.407233796301</v>
      </c>
      <c r="G545" s="17" t="s">
        <v>13000</v>
      </c>
      <c r="H545" s="35" t="s">
        <v>1025</v>
      </c>
      <c r="I545" s="25" t="s">
        <v>7538</v>
      </c>
    </row>
    <row r="546" spans="1:9" s="31" customFormat="1" ht="60">
      <c r="A546" s="19">
        <v>43550.568692129629</v>
      </c>
      <c r="B546" s="20" t="s">
        <v>13745</v>
      </c>
      <c r="C546" s="21" t="s">
        <v>7611</v>
      </c>
      <c r="D546" s="22" t="s">
        <v>7612</v>
      </c>
      <c r="E546" s="23" t="s">
        <v>13032</v>
      </c>
      <c r="F546" s="19">
        <v>43535.632997685185</v>
      </c>
      <c r="G546" s="17" t="s">
        <v>13000</v>
      </c>
      <c r="H546" s="35" t="s">
        <v>1025</v>
      </c>
      <c r="I546" s="25" t="s">
        <v>7613</v>
      </c>
    </row>
    <row r="547" spans="1:9" s="31" customFormat="1" ht="90">
      <c r="A547" s="19">
        <v>43549.318368055552</v>
      </c>
      <c r="B547" s="20" t="s">
        <v>13746</v>
      </c>
      <c r="C547" s="21" t="s">
        <v>8098</v>
      </c>
      <c r="D547" s="22" t="s">
        <v>8099</v>
      </c>
      <c r="E547" s="23" t="s">
        <v>13009</v>
      </c>
      <c r="F547" s="19">
        <v>39989.770624999997</v>
      </c>
      <c r="G547" s="17" t="s">
        <v>13000</v>
      </c>
      <c r="H547" s="35" t="s">
        <v>1025</v>
      </c>
      <c r="I547" s="25" t="s">
        <v>8100</v>
      </c>
    </row>
    <row r="548" spans="1:9" s="31" customFormat="1" ht="75">
      <c r="A548" s="19">
        <v>43546.542986111112</v>
      </c>
      <c r="B548" s="20" t="s">
        <v>13742</v>
      </c>
      <c r="C548" s="21" t="s">
        <v>4803</v>
      </c>
      <c r="D548" s="22" t="s">
        <v>8814</v>
      </c>
      <c r="E548" s="23" t="s">
        <v>13015</v>
      </c>
      <c r="F548" s="19">
        <v>42413.337777777779</v>
      </c>
      <c r="G548" s="17" t="s">
        <v>13000</v>
      </c>
      <c r="H548" s="35" t="s">
        <v>1025</v>
      </c>
      <c r="I548" s="25" t="s">
        <v>4805</v>
      </c>
    </row>
    <row r="549" spans="1:9" s="31" customFormat="1" ht="90">
      <c r="A549" s="19">
        <v>43543.477511574078</v>
      </c>
      <c r="B549" s="20" t="s">
        <v>13747</v>
      </c>
      <c r="C549" s="21" t="s">
        <v>9784</v>
      </c>
      <c r="D549" s="22" t="s">
        <v>9785</v>
      </c>
      <c r="E549" s="23" t="s">
        <v>13011</v>
      </c>
      <c r="F549" s="19">
        <v>42100.368750000001</v>
      </c>
      <c r="G549" s="17" t="s">
        <v>13000</v>
      </c>
      <c r="H549" s="35" t="s">
        <v>1025</v>
      </c>
      <c r="I549" s="25" t="s">
        <v>9786</v>
      </c>
    </row>
    <row r="550" spans="1:9" s="31" customFormat="1" ht="45">
      <c r="A550" s="4">
        <v>43558.371944444443</v>
      </c>
      <c r="B550" s="5" t="s">
        <v>13748</v>
      </c>
      <c r="C550" s="6" t="s">
        <v>12221</v>
      </c>
      <c r="D550" s="7" t="s">
        <v>12222</v>
      </c>
      <c r="E550" s="8" t="s">
        <v>13018</v>
      </c>
      <c r="F550" s="4">
        <v>42353.441469907411</v>
      </c>
      <c r="G550" s="17" t="s">
        <v>13000</v>
      </c>
      <c r="H550" s="35" t="s">
        <v>1025</v>
      </c>
      <c r="I550" s="10" t="s">
        <v>12223</v>
      </c>
    </row>
    <row r="551" spans="1:9" s="31" customFormat="1" ht="90">
      <c r="A551" s="12">
        <v>43578.831793981481</v>
      </c>
      <c r="B551" s="13" t="s">
        <v>13749</v>
      </c>
      <c r="C551" s="14" t="s">
        <v>1023</v>
      </c>
      <c r="D551" s="15" t="s">
        <v>1024</v>
      </c>
      <c r="E551" s="16" t="s">
        <v>13011</v>
      </c>
      <c r="F551" s="12">
        <v>42333.606481481482</v>
      </c>
      <c r="G551" s="17" t="s">
        <v>13000</v>
      </c>
      <c r="H551" s="35" t="s">
        <v>1025</v>
      </c>
      <c r="I551" s="18" t="s">
        <v>1026</v>
      </c>
    </row>
    <row r="552" spans="1:9" s="31" customFormat="1" ht="105">
      <c r="A552" s="12">
        <v>43576.356192129635</v>
      </c>
      <c r="B552" s="13" t="s">
        <v>13750</v>
      </c>
      <c r="C552" s="14" t="s">
        <v>1978</v>
      </c>
      <c r="D552" s="15" t="s">
        <v>1979</v>
      </c>
      <c r="E552" s="16" t="s">
        <v>13009</v>
      </c>
      <c r="F552" s="12">
        <v>39892.210648148146</v>
      </c>
      <c r="G552" s="17" t="s">
        <v>13000</v>
      </c>
      <c r="H552" s="35" t="s">
        <v>1025</v>
      </c>
      <c r="I552" s="18" t="s">
        <v>1980</v>
      </c>
    </row>
    <row r="553" spans="1:9" s="31" customFormat="1" ht="75">
      <c r="A553" s="12">
        <v>43568.333981481483</v>
      </c>
      <c r="B553" s="13" t="s">
        <v>13742</v>
      </c>
      <c r="C553" s="14" t="s">
        <v>4803</v>
      </c>
      <c r="D553" s="15" t="s">
        <v>4804</v>
      </c>
      <c r="E553" s="16" t="s">
        <v>13743</v>
      </c>
      <c r="F553" s="12">
        <v>42413.337777777779</v>
      </c>
      <c r="G553" s="17" t="s">
        <v>13000</v>
      </c>
      <c r="H553" s="35" t="s">
        <v>1025</v>
      </c>
      <c r="I553" s="18" t="s">
        <v>4805</v>
      </c>
    </row>
    <row r="554" spans="1:9" s="31" customFormat="1" ht="90">
      <c r="A554" s="12">
        <v>43566.630474537036</v>
      </c>
      <c r="B554" s="13" t="s">
        <v>13751</v>
      </c>
      <c r="C554" s="14" t="s">
        <v>5391</v>
      </c>
      <c r="D554" s="15" t="s">
        <v>5392</v>
      </c>
      <c r="E554" s="16" t="s">
        <v>13013</v>
      </c>
      <c r="F554" s="12">
        <v>43517.729675925926</v>
      </c>
      <c r="G554" s="17" t="s">
        <v>13000</v>
      </c>
      <c r="H554" s="35" t="s">
        <v>1025</v>
      </c>
      <c r="I554" s="18" t="s">
        <v>5393</v>
      </c>
    </row>
    <row r="555" spans="1:9" s="31" customFormat="1" ht="75">
      <c r="A555" s="4">
        <v>43564.319432870368</v>
      </c>
      <c r="B555" s="5" t="s">
        <v>13752</v>
      </c>
      <c r="C555" s="6" t="s">
        <v>3278</v>
      </c>
      <c r="D555" s="7" t="s">
        <v>6693</v>
      </c>
      <c r="E555" s="8" t="s">
        <v>13032</v>
      </c>
      <c r="F555" s="4">
        <v>43013.567881944444</v>
      </c>
      <c r="G555" s="9" t="s">
        <v>13000</v>
      </c>
      <c r="H555" s="35" t="s">
        <v>3280</v>
      </c>
      <c r="I555" s="10" t="s">
        <v>3281</v>
      </c>
    </row>
    <row r="556" spans="1:9" s="31" customFormat="1" ht="75">
      <c r="A556" s="12">
        <v>43572.379942129628</v>
      </c>
      <c r="B556" s="13" t="s">
        <v>13752</v>
      </c>
      <c r="C556" s="14" t="s">
        <v>3278</v>
      </c>
      <c r="D556" s="15" t="s">
        <v>3279</v>
      </c>
      <c r="E556" s="16" t="s">
        <v>13006</v>
      </c>
      <c r="F556" s="12">
        <v>43013.567881944444</v>
      </c>
      <c r="G556" s="9" t="s">
        <v>13000</v>
      </c>
      <c r="H556" s="35" t="s">
        <v>3280</v>
      </c>
      <c r="I556" s="18" t="s">
        <v>3281</v>
      </c>
    </row>
    <row r="557" spans="1:9" s="31" customFormat="1" ht="75">
      <c r="A557" s="12">
        <v>43572.379780092597</v>
      </c>
      <c r="B557" s="13" t="s">
        <v>13752</v>
      </c>
      <c r="C557" s="14" t="s">
        <v>3278</v>
      </c>
      <c r="D557" s="15" t="s">
        <v>3282</v>
      </c>
      <c r="E557" s="16" t="s">
        <v>13032</v>
      </c>
      <c r="F557" s="12">
        <v>43013.567881944444</v>
      </c>
      <c r="G557" s="9" t="s">
        <v>13000</v>
      </c>
      <c r="H557" s="35" t="s">
        <v>3280</v>
      </c>
      <c r="I557" s="18" t="s">
        <v>3281</v>
      </c>
    </row>
    <row r="558" spans="1:9" s="31" customFormat="1" ht="30">
      <c r="A558" s="19">
        <v>43550.774641203709</v>
      </c>
      <c r="B558" s="20" t="s">
        <v>13753</v>
      </c>
      <c r="C558" s="21" t="s">
        <v>7508</v>
      </c>
      <c r="D558" s="22" t="s">
        <v>7509</v>
      </c>
      <c r="E558" s="23" t="s">
        <v>13011</v>
      </c>
      <c r="F558" s="19">
        <v>41037.805636574078</v>
      </c>
      <c r="G558" s="9" t="s">
        <v>13000</v>
      </c>
      <c r="H558" s="35" t="s">
        <v>7510</v>
      </c>
      <c r="I558" s="25" t="s">
        <v>7511</v>
      </c>
    </row>
    <row r="559" spans="1:9" s="31" customFormat="1" ht="45">
      <c r="A559" s="19">
        <v>43542.627824074079</v>
      </c>
      <c r="B559" s="20" t="s">
        <v>13753</v>
      </c>
      <c r="C559" s="21" t="s">
        <v>7508</v>
      </c>
      <c r="D559" s="22" t="s">
        <v>10060</v>
      </c>
      <c r="E559" s="23" t="s">
        <v>13011</v>
      </c>
      <c r="F559" s="19">
        <v>41037.805636574078</v>
      </c>
      <c r="G559" s="9" t="s">
        <v>13000</v>
      </c>
      <c r="H559" s="35" t="s">
        <v>7510</v>
      </c>
      <c r="I559" s="25" t="s">
        <v>7511</v>
      </c>
    </row>
    <row r="560" spans="1:9" s="31" customFormat="1" ht="30">
      <c r="A560" s="12">
        <v>43577.611388888894</v>
      </c>
      <c r="B560" s="13" t="s">
        <v>13754</v>
      </c>
      <c r="C560" s="14" t="s">
        <v>1541</v>
      </c>
      <c r="D560" s="15" t="s">
        <v>1542</v>
      </c>
      <c r="E560" s="16" t="s">
        <v>13479</v>
      </c>
      <c r="F560" s="12">
        <v>42807.564282407402</v>
      </c>
      <c r="G560" s="9" t="s">
        <v>13000</v>
      </c>
      <c r="H560" s="35" t="s">
        <v>1543</v>
      </c>
      <c r="I560" s="18" t="s">
        <v>1544</v>
      </c>
    </row>
    <row r="561" spans="1:9" s="31" customFormat="1" ht="105">
      <c r="A561" s="19">
        <v>43547.250069444446</v>
      </c>
      <c r="B561" s="20" t="s">
        <v>13755</v>
      </c>
      <c r="C561" s="21" t="s">
        <v>4470</v>
      </c>
      <c r="D561" s="22" t="s">
        <v>8615</v>
      </c>
      <c r="E561" s="23" t="s">
        <v>13756</v>
      </c>
      <c r="F561" s="19">
        <v>43101.759687500002</v>
      </c>
      <c r="G561" s="17" t="s">
        <v>13000</v>
      </c>
      <c r="H561" s="35" t="s">
        <v>4472</v>
      </c>
      <c r="I561" s="25" t="s">
        <v>4473</v>
      </c>
    </row>
    <row r="562" spans="1:9" s="31" customFormat="1" ht="105">
      <c r="A562" s="19">
        <v>43545.376782407402</v>
      </c>
      <c r="B562" s="20" t="s">
        <v>13755</v>
      </c>
      <c r="C562" s="21" t="s">
        <v>4470</v>
      </c>
      <c r="D562" s="22" t="s">
        <v>9163</v>
      </c>
      <c r="E562" s="23" t="s">
        <v>13756</v>
      </c>
      <c r="F562" s="19">
        <v>43101.759687500002</v>
      </c>
      <c r="G562" s="17" t="s">
        <v>13000</v>
      </c>
      <c r="H562" s="35" t="s">
        <v>4472</v>
      </c>
      <c r="I562" s="25" t="s">
        <v>4473</v>
      </c>
    </row>
    <row r="563" spans="1:9" s="31" customFormat="1" ht="105">
      <c r="A563" s="4">
        <v>43562.877465277779</v>
      </c>
      <c r="B563" s="5" t="s">
        <v>13755</v>
      </c>
      <c r="C563" s="6" t="s">
        <v>4470</v>
      </c>
      <c r="D563" s="7" t="s">
        <v>10556</v>
      </c>
      <c r="E563" s="8" t="s">
        <v>13756</v>
      </c>
      <c r="F563" s="4">
        <v>43101.759687500002</v>
      </c>
      <c r="G563" s="17" t="s">
        <v>13000</v>
      </c>
      <c r="H563" s="35" t="s">
        <v>4472</v>
      </c>
      <c r="I563" s="10" t="s">
        <v>4473</v>
      </c>
    </row>
    <row r="564" spans="1:9" s="31" customFormat="1" ht="105">
      <c r="A564" s="4">
        <v>43561.29310185185</v>
      </c>
      <c r="B564" s="5" t="s">
        <v>13755</v>
      </c>
      <c r="C564" s="6" t="s">
        <v>4470</v>
      </c>
      <c r="D564" s="7" t="s">
        <v>11013</v>
      </c>
      <c r="E564" s="8" t="s">
        <v>13756</v>
      </c>
      <c r="F564" s="4">
        <v>43101.759687500002</v>
      </c>
      <c r="G564" s="17" t="s">
        <v>13000</v>
      </c>
      <c r="H564" s="35" t="s">
        <v>4472</v>
      </c>
      <c r="I564" s="10" t="s">
        <v>4473</v>
      </c>
    </row>
    <row r="565" spans="1:9" s="31" customFormat="1" ht="105">
      <c r="A565" s="12">
        <v>43569.575011574074</v>
      </c>
      <c r="B565" s="13" t="s">
        <v>13755</v>
      </c>
      <c r="C565" s="14" t="s">
        <v>4470</v>
      </c>
      <c r="D565" s="15" t="s">
        <v>4471</v>
      </c>
      <c r="E565" s="16" t="s">
        <v>13034</v>
      </c>
      <c r="F565" s="12">
        <v>43101.759687500002</v>
      </c>
      <c r="G565" s="17" t="s">
        <v>13000</v>
      </c>
      <c r="H565" s="35" t="s">
        <v>4472</v>
      </c>
      <c r="I565" s="18" t="s">
        <v>4473</v>
      </c>
    </row>
    <row r="566" spans="1:9" s="31" customFormat="1" ht="105">
      <c r="A566" s="12">
        <v>43566.334432870368</v>
      </c>
      <c r="B566" s="13" t="s">
        <v>13755</v>
      </c>
      <c r="C566" s="14" t="s">
        <v>4470</v>
      </c>
      <c r="D566" s="15" t="s">
        <v>5642</v>
      </c>
      <c r="E566" s="16" t="s">
        <v>13756</v>
      </c>
      <c r="F566" s="12">
        <v>43101.759687500002</v>
      </c>
      <c r="G566" s="17" t="s">
        <v>13000</v>
      </c>
      <c r="H566" s="35" t="s">
        <v>4472</v>
      </c>
      <c r="I566" s="18" t="s">
        <v>4473</v>
      </c>
    </row>
    <row r="567" spans="1:9" s="31" customFormat="1" ht="90">
      <c r="A567" s="4">
        <v>43557.646851851852</v>
      </c>
      <c r="B567" s="5" t="s">
        <v>13757</v>
      </c>
      <c r="C567" s="6" t="s">
        <v>12421</v>
      </c>
      <c r="D567" s="7" t="s">
        <v>12422</v>
      </c>
      <c r="E567" s="8" t="s">
        <v>13130</v>
      </c>
      <c r="F567" s="4">
        <v>43028.617604166662</v>
      </c>
      <c r="G567" s="17" t="s">
        <v>13000</v>
      </c>
      <c r="H567" s="35" t="s">
        <v>12423</v>
      </c>
      <c r="I567" s="10"/>
    </row>
    <row r="568" spans="1:9" s="31" customFormat="1" ht="90">
      <c r="A568" s="12">
        <v>43580.8049537037</v>
      </c>
      <c r="B568" s="13" t="s">
        <v>13758</v>
      </c>
      <c r="C568" s="14" t="s">
        <v>57</v>
      </c>
      <c r="D568" s="15" t="s">
        <v>58</v>
      </c>
      <c r="E568" s="16" t="s">
        <v>13011</v>
      </c>
      <c r="F568" s="12">
        <v>43084.255000000005</v>
      </c>
      <c r="G568" s="17" t="s">
        <v>13000</v>
      </c>
      <c r="H568" s="35" t="s">
        <v>59</v>
      </c>
      <c r="I568" s="18" t="s">
        <v>60</v>
      </c>
    </row>
    <row r="569" spans="1:9" s="31" customFormat="1" ht="90">
      <c r="A569" s="19">
        <v>43550.505335648151</v>
      </c>
      <c r="B569" s="20" t="s">
        <v>13759</v>
      </c>
      <c r="C569" s="21" t="s">
        <v>7634</v>
      </c>
      <c r="D569" s="22" t="s">
        <v>7635</v>
      </c>
      <c r="E569" s="23" t="s">
        <v>13032</v>
      </c>
      <c r="F569" s="19">
        <v>40164.513773148152</v>
      </c>
      <c r="G569" s="17" t="s">
        <v>13000</v>
      </c>
      <c r="H569" s="35" t="s">
        <v>4569</v>
      </c>
      <c r="I569" s="25" t="s">
        <v>7636</v>
      </c>
    </row>
    <row r="570" spans="1:9" s="31" customFormat="1" ht="105">
      <c r="A570" s="4">
        <v>43564.291770833333</v>
      </c>
      <c r="B570" s="5" t="s">
        <v>13760</v>
      </c>
      <c r="C570" s="6" t="s">
        <v>6702</v>
      </c>
      <c r="D570" s="7" t="s">
        <v>6703</v>
      </c>
      <c r="E570" s="8" t="s">
        <v>13479</v>
      </c>
      <c r="F570" s="4">
        <v>40406.601111111115</v>
      </c>
      <c r="G570" s="17" t="s">
        <v>13000</v>
      </c>
      <c r="H570" s="35" t="s">
        <v>4569</v>
      </c>
      <c r="I570" s="10" t="s">
        <v>6704</v>
      </c>
    </row>
    <row r="571" spans="1:9" s="31" customFormat="1" ht="75">
      <c r="A571" s="12">
        <v>43569.253310185188</v>
      </c>
      <c r="B571" s="13" t="s">
        <v>13761</v>
      </c>
      <c r="C571" s="14" t="s">
        <v>4567</v>
      </c>
      <c r="D571" s="15" t="s">
        <v>4568</v>
      </c>
      <c r="E571" s="16" t="s">
        <v>13032</v>
      </c>
      <c r="F571" s="12">
        <v>39125.36990740741</v>
      </c>
      <c r="G571" s="17" t="s">
        <v>13000</v>
      </c>
      <c r="H571" s="35" t="s">
        <v>4569</v>
      </c>
      <c r="I571" s="18" t="s">
        <v>4570</v>
      </c>
    </row>
    <row r="572" spans="1:9" s="31" customFormat="1" ht="75">
      <c r="A572" s="12">
        <v>43566.638333333336</v>
      </c>
      <c r="B572" s="13" t="s">
        <v>13761</v>
      </c>
      <c r="C572" s="14" t="s">
        <v>4567</v>
      </c>
      <c r="D572" s="15" t="s">
        <v>5382</v>
      </c>
      <c r="E572" s="16" t="s">
        <v>13032</v>
      </c>
      <c r="F572" s="12">
        <v>39125.36990740741</v>
      </c>
      <c r="G572" s="17" t="s">
        <v>13000</v>
      </c>
      <c r="H572" s="35" t="s">
        <v>4569</v>
      </c>
      <c r="I572" s="18" t="s">
        <v>4570</v>
      </c>
    </row>
    <row r="573" spans="1:9" s="31" customFormat="1" ht="60">
      <c r="A573" s="19">
        <v>43545.582800925928</v>
      </c>
      <c r="B573" s="20" t="s">
        <v>13762</v>
      </c>
      <c r="C573" s="21" t="s">
        <v>9088</v>
      </c>
      <c r="D573" s="22" t="s">
        <v>9089</v>
      </c>
      <c r="E573" s="23" t="s">
        <v>13099</v>
      </c>
      <c r="F573" s="19">
        <v>42024.708356481482</v>
      </c>
      <c r="G573" s="17" t="s">
        <v>13000</v>
      </c>
      <c r="H573" s="35" t="s">
        <v>9090</v>
      </c>
      <c r="I573" s="25" t="s">
        <v>9091</v>
      </c>
    </row>
    <row r="574" spans="1:9" s="31" customFormat="1" ht="75">
      <c r="A574" s="19">
        <v>43543.352754629625</v>
      </c>
      <c r="B574" s="20" t="s">
        <v>13763</v>
      </c>
      <c r="C574" s="21" t="s">
        <v>9857</v>
      </c>
      <c r="D574" s="22" t="s">
        <v>9858</v>
      </c>
      <c r="E574" s="23" t="s">
        <v>13006</v>
      </c>
      <c r="F574" s="19">
        <v>40510.518969907411</v>
      </c>
      <c r="G574" s="17" t="s">
        <v>13000</v>
      </c>
      <c r="H574" s="35" t="s">
        <v>9859</v>
      </c>
      <c r="I574" s="25" t="s">
        <v>9860</v>
      </c>
    </row>
    <row r="575" spans="1:9" s="31" customFormat="1" ht="75">
      <c r="A575" s="19">
        <v>43547.34475694444</v>
      </c>
      <c r="B575" s="20" t="s">
        <v>13764</v>
      </c>
      <c r="C575" s="21" t="s">
        <v>8581</v>
      </c>
      <c r="D575" s="22" t="s">
        <v>8582</v>
      </c>
      <c r="E575" s="23" t="s">
        <v>13479</v>
      </c>
      <c r="F575" s="19">
        <v>39794.556504629625</v>
      </c>
      <c r="G575" s="17" t="s">
        <v>13000</v>
      </c>
      <c r="H575" s="35" t="s">
        <v>8583</v>
      </c>
      <c r="I575" s="25" t="s">
        <v>8584</v>
      </c>
    </row>
    <row r="576" spans="1:9" s="31" customFormat="1" ht="105">
      <c r="A576" s="19">
        <v>43551.404953703706</v>
      </c>
      <c r="B576" s="20" t="s">
        <v>13765</v>
      </c>
      <c r="C576" s="21" t="s">
        <v>281</v>
      </c>
      <c r="D576" s="22" t="s">
        <v>7227</v>
      </c>
      <c r="E576" s="23" t="s">
        <v>13009</v>
      </c>
      <c r="F576" s="19">
        <v>41964.482731481483</v>
      </c>
      <c r="G576" s="17" t="s">
        <v>13000</v>
      </c>
      <c r="H576" s="35" t="s">
        <v>283</v>
      </c>
      <c r="I576" s="25" t="s">
        <v>7228</v>
      </c>
    </row>
    <row r="577" spans="1:9" s="31" customFormat="1" ht="105">
      <c r="A577" s="19">
        <v>43551.159814814819</v>
      </c>
      <c r="B577" s="20" t="s">
        <v>13766</v>
      </c>
      <c r="C577" s="21" t="s">
        <v>7412</v>
      </c>
      <c r="D577" s="22" t="s">
        <v>7413</v>
      </c>
      <c r="E577" s="23" t="s">
        <v>13440</v>
      </c>
      <c r="F577" s="19">
        <v>42569.905648148153</v>
      </c>
      <c r="G577" s="17" t="s">
        <v>13000</v>
      </c>
      <c r="H577" s="35" t="s">
        <v>283</v>
      </c>
      <c r="I577" s="25" t="s">
        <v>7414</v>
      </c>
    </row>
    <row r="578" spans="1:9" s="31" customFormat="1" ht="105">
      <c r="A578" s="19">
        <v>43550.34274305556</v>
      </c>
      <c r="B578" s="20" t="s">
        <v>13765</v>
      </c>
      <c r="C578" s="21" t="s">
        <v>281</v>
      </c>
      <c r="D578" s="22" t="s">
        <v>7714</v>
      </c>
      <c r="E578" s="23" t="s">
        <v>13009</v>
      </c>
      <c r="F578" s="19">
        <v>41964.482731481483</v>
      </c>
      <c r="G578" s="17" t="s">
        <v>13000</v>
      </c>
      <c r="H578" s="35" t="s">
        <v>283</v>
      </c>
      <c r="I578" s="25" t="s">
        <v>7228</v>
      </c>
    </row>
    <row r="579" spans="1:9" s="31" customFormat="1" ht="105">
      <c r="A579" s="19">
        <v>43547.437256944446</v>
      </c>
      <c r="B579" s="20" t="s">
        <v>13767</v>
      </c>
      <c r="C579" s="21" t="s">
        <v>5936</v>
      </c>
      <c r="D579" s="22" t="s">
        <v>8548</v>
      </c>
      <c r="E579" s="23" t="s">
        <v>13018</v>
      </c>
      <c r="F579" s="19">
        <v>40952.388414351852</v>
      </c>
      <c r="G579" s="17" t="s">
        <v>13000</v>
      </c>
      <c r="H579" s="35" t="s">
        <v>283</v>
      </c>
      <c r="I579" s="25" t="s">
        <v>5938</v>
      </c>
    </row>
    <row r="580" spans="1:9" s="31" customFormat="1" ht="105">
      <c r="A580" s="19">
        <v>43545.159803240742</v>
      </c>
      <c r="B580" s="20" t="s">
        <v>13766</v>
      </c>
      <c r="C580" s="21" t="s">
        <v>7412</v>
      </c>
      <c r="D580" s="22" t="s">
        <v>9272</v>
      </c>
      <c r="E580" s="23" t="s">
        <v>13440</v>
      </c>
      <c r="F580" s="19">
        <v>42569.905648148153</v>
      </c>
      <c r="G580" s="17" t="s">
        <v>13000</v>
      </c>
      <c r="H580" s="35" t="s">
        <v>283</v>
      </c>
      <c r="I580" s="25" t="s">
        <v>7414</v>
      </c>
    </row>
    <row r="581" spans="1:9" s="31" customFormat="1" ht="105">
      <c r="A581" s="19">
        <v>43544.346226851849</v>
      </c>
      <c r="B581" s="20" t="s">
        <v>13765</v>
      </c>
      <c r="C581" s="21" t="s">
        <v>281</v>
      </c>
      <c r="D581" s="22" t="s">
        <v>9506</v>
      </c>
      <c r="E581" s="23" t="s">
        <v>13009</v>
      </c>
      <c r="F581" s="19">
        <v>41964.482731481483</v>
      </c>
      <c r="G581" s="17" t="s">
        <v>13000</v>
      </c>
      <c r="H581" s="35" t="s">
        <v>283</v>
      </c>
      <c r="I581" s="25" t="s">
        <v>7228</v>
      </c>
    </row>
    <row r="582" spans="1:9" s="31" customFormat="1" ht="105">
      <c r="A582" s="19">
        <v>43544.344861111109</v>
      </c>
      <c r="B582" s="20" t="s">
        <v>13767</v>
      </c>
      <c r="C582" s="21" t="s">
        <v>5936</v>
      </c>
      <c r="D582" s="22" t="s">
        <v>9511</v>
      </c>
      <c r="E582" s="23" t="s">
        <v>13018</v>
      </c>
      <c r="F582" s="19">
        <v>40952.388414351852</v>
      </c>
      <c r="G582" s="17" t="s">
        <v>13000</v>
      </c>
      <c r="H582" s="35" t="s">
        <v>283</v>
      </c>
      <c r="I582" s="25" t="s">
        <v>5938</v>
      </c>
    </row>
    <row r="583" spans="1:9" s="31" customFormat="1" ht="105">
      <c r="A583" s="19">
        <v>43543.627280092594</v>
      </c>
      <c r="B583" s="20" t="s">
        <v>13765</v>
      </c>
      <c r="C583" s="21" t="s">
        <v>281</v>
      </c>
      <c r="D583" s="22" t="s">
        <v>9728</v>
      </c>
      <c r="E583" s="23" t="s">
        <v>13009</v>
      </c>
      <c r="F583" s="19">
        <v>41964.482731481483</v>
      </c>
      <c r="G583" s="17" t="s">
        <v>13000</v>
      </c>
      <c r="H583" s="35" t="s">
        <v>283</v>
      </c>
      <c r="I583" s="25" t="s">
        <v>7228</v>
      </c>
    </row>
    <row r="584" spans="1:9" s="31" customFormat="1" ht="60">
      <c r="A584" s="19">
        <v>43543.398194444446</v>
      </c>
      <c r="B584" s="20" t="s">
        <v>13768</v>
      </c>
      <c r="C584" s="21" t="s">
        <v>9826</v>
      </c>
      <c r="D584" s="22" t="s">
        <v>9827</v>
      </c>
      <c r="E584" s="23" t="s">
        <v>13009</v>
      </c>
      <c r="F584" s="19">
        <v>39862.696053240739</v>
      </c>
      <c r="G584" s="17" t="s">
        <v>13000</v>
      </c>
      <c r="H584" s="35" t="s">
        <v>283</v>
      </c>
      <c r="I584" s="25" t="s">
        <v>9828</v>
      </c>
    </row>
    <row r="585" spans="1:9" s="31" customFormat="1" ht="105">
      <c r="A585" s="19">
        <v>43543.34039351852</v>
      </c>
      <c r="B585" s="20" t="s">
        <v>13767</v>
      </c>
      <c r="C585" s="21" t="s">
        <v>5936</v>
      </c>
      <c r="D585" s="22" t="s">
        <v>9861</v>
      </c>
      <c r="E585" s="23" t="s">
        <v>13018</v>
      </c>
      <c r="F585" s="19">
        <v>40952.388414351852</v>
      </c>
      <c r="G585" s="17" t="s">
        <v>13000</v>
      </c>
      <c r="H585" s="35" t="s">
        <v>283</v>
      </c>
      <c r="I585" s="25" t="s">
        <v>5938</v>
      </c>
    </row>
    <row r="586" spans="1:9" s="31" customFormat="1" ht="105">
      <c r="A586" s="4">
        <v>43565.711562500001</v>
      </c>
      <c r="B586" s="5" t="s">
        <v>13767</v>
      </c>
      <c r="C586" s="6" t="s">
        <v>5936</v>
      </c>
      <c r="D586" s="7" t="s">
        <v>5937</v>
      </c>
      <c r="E586" s="8" t="s">
        <v>13018</v>
      </c>
      <c r="F586" s="4">
        <v>40952.388414351852</v>
      </c>
      <c r="G586" s="17" t="s">
        <v>13000</v>
      </c>
      <c r="H586" s="35" t="s">
        <v>283</v>
      </c>
      <c r="I586" s="10" t="s">
        <v>5938</v>
      </c>
    </row>
    <row r="587" spans="1:9" s="31" customFormat="1" ht="135">
      <c r="A587" s="4">
        <v>43563.531944444447</v>
      </c>
      <c r="B587" s="5" t="s">
        <v>13769</v>
      </c>
      <c r="C587" s="6" t="s">
        <v>10246</v>
      </c>
      <c r="D587" s="7" t="s">
        <v>10247</v>
      </c>
      <c r="E587" s="8" t="s">
        <v>13032</v>
      </c>
      <c r="F587" s="4">
        <v>40091.457083333335</v>
      </c>
      <c r="G587" s="17" t="s">
        <v>13000</v>
      </c>
      <c r="H587" s="35" t="s">
        <v>283</v>
      </c>
      <c r="I587" s="10" t="s">
        <v>10248</v>
      </c>
    </row>
    <row r="588" spans="1:9" s="31" customFormat="1" ht="105">
      <c r="A588" s="4">
        <v>43563.403020833328</v>
      </c>
      <c r="B588" s="5" t="s">
        <v>13765</v>
      </c>
      <c r="C588" s="6" t="s">
        <v>281</v>
      </c>
      <c r="D588" s="7" t="s">
        <v>10312</v>
      </c>
      <c r="E588" s="8" t="s">
        <v>13009</v>
      </c>
      <c r="F588" s="4">
        <v>41964.482731481483</v>
      </c>
      <c r="G588" s="17" t="s">
        <v>13000</v>
      </c>
      <c r="H588" s="35" t="s">
        <v>283</v>
      </c>
      <c r="I588" s="10" t="s">
        <v>7228</v>
      </c>
    </row>
    <row r="589" spans="1:9" s="31" customFormat="1" ht="105">
      <c r="A589" s="4">
        <v>43563.29587962963</v>
      </c>
      <c r="B589" s="5" t="s">
        <v>13770</v>
      </c>
      <c r="C589" s="6" t="s">
        <v>10390</v>
      </c>
      <c r="D589" s="7" t="s">
        <v>10391</v>
      </c>
      <c r="E589" s="8" t="s">
        <v>13009</v>
      </c>
      <c r="F589" s="4">
        <v>41919.309930555552</v>
      </c>
      <c r="G589" s="17" t="s">
        <v>13000</v>
      </c>
      <c r="H589" s="35" t="s">
        <v>10392</v>
      </c>
      <c r="I589" s="10" t="s">
        <v>10393</v>
      </c>
    </row>
    <row r="590" spans="1:9" s="31" customFormat="1" ht="60">
      <c r="A590" s="4">
        <v>43561.808101851857</v>
      </c>
      <c r="B590" s="5" t="s">
        <v>13771</v>
      </c>
      <c r="C590" s="6" t="s">
        <v>10827</v>
      </c>
      <c r="D590" s="7" t="s">
        <v>10828</v>
      </c>
      <c r="E590" s="8" t="s">
        <v>13009</v>
      </c>
      <c r="F590" s="4">
        <v>39959.679930555554</v>
      </c>
      <c r="G590" s="17" t="s">
        <v>13000</v>
      </c>
      <c r="H590" s="35" t="s">
        <v>283</v>
      </c>
      <c r="I590" s="10" t="s">
        <v>10829</v>
      </c>
    </row>
    <row r="591" spans="1:9" s="31" customFormat="1" ht="105">
      <c r="A591" s="4">
        <v>43560.426712962959</v>
      </c>
      <c r="B591" s="5" t="s">
        <v>13767</v>
      </c>
      <c r="C591" s="6" t="s">
        <v>5936</v>
      </c>
      <c r="D591" s="7" t="s">
        <v>11389</v>
      </c>
      <c r="E591" s="8" t="s">
        <v>13018</v>
      </c>
      <c r="F591" s="4">
        <v>40952.388414351852</v>
      </c>
      <c r="G591" s="17" t="s">
        <v>13000</v>
      </c>
      <c r="H591" s="35" t="s">
        <v>283</v>
      </c>
      <c r="I591" s="10" t="s">
        <v>5938</v>
      </c>
    </row>
    <row r="592" spans="1:9" s="31" customFormat="1" ht="60">
      <c r="A592" s="4">
        <v>43558.638472222221</v>
      </c>
      <c r="B592" s="5" t="s">
        <v>13772</v>
      </c>
      <c r="C592" s="6" t="s">
        <v>12092</v>
      </c>
      <c r="D592" s="7" t="s">
        <v>12093</v>
      </c>
      <c r="E592" s="8" t="s">
        <v>13479</v>
      </c>
      <c r="F592" s="4">
        <v>41597.43891203704</v>
      </c>
      <c r="G592" s="17" t="s">
        <v>13000</v>
      </c>
      <c r="H592" s="35" t="s">
        <v>283</v>
      </c>
      <c r="I592" s="10" t="s">
        <v>12094</v>
      </c>
    </row>
    <row r="593" spans="1:9" s="31" customFormat="1" ht="105">
      <c r="A593" s="4">
        <v>43558.625243055554</v>
      </c>
      <c r="B593" s="5" t="s">
        <v>13765</v>
      </c>
      <c r="C593" s="6" t="s">
        <v>281</v>
      </c>
      <c r="D593" s="7" t="s">
        <v>12100</v>
      </c>
      <c r="E593" s="8" t="s">
        <v>13009</v>
      </c>
      <c r="F593" s="4">
        <v>41964.482731481483</v>
      </c>
      <c r="G593" s="17" t="s">
        <v>13000</v>
      </c>
      <c r="H593" s="35" t="s">
        <v>283</v>
      </c>
      <c r="I593" s="10" t="s">
        <v>7228</v>
      </c>
    </row>
    <row r="594" spans="1:9" s="31" customFormat="1" ht="105">
      <c r="A594" s="4">
        <v>43558.496458333335</v>
      </c>
      <c r="B594" s="5" t="s">
        <v>13767</v>
      </c>
      <c r="C594" s="6" t="s">
        <v>5936</v>
      </c>
      <c r="D594" s="7" t="s">
        <v>12160</v>
      </c>
      <c r="E594" s="8" t="s">
        <v>13018</v>
      </c>
      <c r="F594" s="4">
        <v>40952.388414351852</v>
      </c>
      <c r="G594" s="17" t="s">
        <v>13000</v>
      </c>
      <c r="H594" s="35" t="s">
        <v>283</v>
      </c>
      <c r="I594" s="10" t="s">
        <v>5938</v>
      </c>
    </row>
    <row r="595" spans="1:9" s="31" customFormat="1" ht="90">
      <c r="A595" s="12">
        <v>43580.093703703707</v>
      </c>
      <c r="B595" s="13" t="s">
        <v>13773</v>
      </c>
      <c r="C595" s="14" t="s">
        <v>281</v>
      </c>
      <c r="D595" s="15" t="s">
        <v>282</v>
      </c>
      <c r="E595" s="16" t="s">
        <v>13009</v>
      </c>
      <c r="F595" s="12">
        <v>41964.482731481483</v>
      </c>
      <c r="G595" s="17" t="s">
        <v>13000</v>
      </c>
      <c r="H595" s="35" t="s">
        <v>283</v>
      </c>
      <c r="I595" s="18" t="s">
        <v>284</v>
      </c>
    </row>
    <row r="596" spans="1:9" s="31" customFormat="1" ht="60">
      <c r="A596" s="12">
        <v>43573.762233796297</v>
      </c>
      <c r="B596" s="13" t="s">
        <v>13774</v>
      </c>
      <c r="C596" s="14" t="s">
        <v>2743</v>
      </c>
      <c r="D596" s="15" t="s">
        <v>2744</v>
      </c>
      <c r="E596" s="16" t="s">
        <v>13009</v>
      </c>
      <c r="F596" s="12">
        <v>43325.822592592594</v>
      </c>
      <c r="G596" s="17" t="s">
        <v>13000</v>
      </c>
      <c r="H596" s="35" t="s">
        <v>283</v>
      </c>
      <c r="I596" s="18" t="s">
        <v>2745</v>
      </c>
    </row>
    <row r="597" spans="1:9" s="31" customFormat="1" ht="90">
      <c r="A597" s="12">
        <v>43573.358923611115</v>
      </c>
      <c r="B597" s="13" t="s">
        <v>13773</v>
      </c>
      <c r="C597" s="14" t="s">
        <v>281</v>
      </c>
      <c r="D597" s="15" t="s">
        <v>2921</v>
      </c>
      <c r="E597" s="16" t="s">
        <v>13009</v>
      </c>
      <c r="F597" s="12">
        <v>41964.482731481483</v>
      </c>
      <c r="G597" s="17" t="s">
        <v>13000</v>
      </c>
      <c r="H597" s="35" t="s">
        <v>283</v>
      </c>
      <c r="I597" s="18" t="s">
        <v>284</v>
      </c>
    </row>
    <row r="598" spans="1:9" s="31" customFormat="1" ht="90">
      <c r="A598" s="12">
        <v>43572.400474537033</v>
      </c>
      <c r="B598" s="13" t="s">
        <v>13773</v>
      </c>
      <c r="C598" s="14" t="s">
        <v>281</v>
      </c>
      <c r="D598" s="15" t="s">
        <v>3268</v>
      </c>
      <c r="E598" s="16" t="s">
        <v>13009</v>
      </c>
      <c r="F598" s="12">
        <v>41964.482731481483</v>
      </c>
      <c r="G598" s="17" t="s">
        <v>13000</v>
      </c>
      <c r="H598" s="35" t="s">
        <v>283</v>
      </c>
      <c r="I598" s="18" t="s">
        <v>284</v>
      </c>
    </row>
    <row r="599" spans="1:9" s="31" customFormat="1" ht="90">
      <c r="A599" s="12">
        <v>43570.366388888884</v>
      </c>
      <c r="B599" s="13" t="s">
        <v>13773</v>
      </c>
      <c r="C599" s="14" t="s">
        <v>281</v>
      </c>
      <c r="D599" s="15" t="s">
        <v>4206</v>
      </c>
      <c r="E599" s="16" t="s">
        <v>13009</v>
      </c>
      <c r="F599" s="12">
        <v>41964.482731481483</v>
      </c>
      <c r="G599" s="17" t="s">
        <v>13000</v>
      </c>
      <c r="H599" s="35" t="s">
        <v>283</v>
      </c>
      <c r="I599" s="18" t="s">
        <v>284</v>
      </c>
    </row>
    <row r="600" spans="1:9" s="31" customFormat="1" ht="105">
      <c r="A600" s="19">
        <v>43550.704907407402</v>
      </c>
      <c r="B600" s="20" t="s">
        <v>13775</v>
      </c>
      <c r="C600" s="21" t="s">
        <v>7539</v>
      </c>
      <c r="D600" s="22" t="s">
        <v>7540</v>
      </c>
      <c r="E600" s="23" t="s">
        <v>13018</v>
      </c>
      <c r="F600" s="19">
        <v>41039.402557870373</v>
      </c>
      <c r="G600" s="17" t="s">
        <v>13000</v>
      </c>
      <c r="H600" s="35" t="s">
        <v>7541</v>
      </c>
      <c r="I600" s="25" t="s">
        <v>7542</v>
      </c>
    </row>
    <row r="601" spans="1:9" s="31" customFormat="1" ht="105">
      <c r="A601" s="4">
        <v>43563.482800925922</v>
      </c>
      <c r="B601" s="5" t="s">
        <v>13775</v>
      </c>
      <c r="C601" s="6" t="s">
        <v>7539</v>
      </c>
      <c r="D601" s="7" t="s">
        <v>10268</v>
      </c>
      <c r="E601" s="8" t="s">
        <v>13018</v>
      </c>
      <c r="F601" s="4">
        <v>41039.402557870373</v>
      </c>
      <c r="G601" s="17" t="s">
        <v>13000</v>
      </c>
      <c r="H601" s="35" t="s">
        <v>7541</v>
      </c>
      <c r="I601" s="10" t="s">
        <v>7542</v>
      </c>
    </row>
    <row r="602" spans="1:9" s="31" customFormat="1" ht="45">
      <c r="A602" s="12">
        <v>43570.534097222218</v>
      </c>
      <c r="B602" s="13" t="s">
        <v>13776</v>
      </c>
      <c r="C602" s="14" t="s">
        <v>4082</v>
      </c>
      <c r="D602" s="15" t="s">
        <v>4083</v>
      </c>
      <c r="E602" s="16" t="s">
        <v>13011</v>
      </c>
      <c r="F602" s="12">
        <v>40131.842430555553</v>
      </c>
      <c r="G602" s="17" t="s">
        <v>13000</v>
      </c>
      <c r="H602" s="35" t="s">
        <v>4084</v>
      </c>
      <c r="I602" s="18" t="s">
        <v>4085</v>
      </c>
    </row>
    <row r="603" spans="1:9" s="31" customFormat="1" ht="105">
      <c r="A603" s="12">
        <v>43575.364780092597</v>
      </c>
      <c r="B603" s="13" t="s">
        <v>13777</v>
      </c>
      <c r="C603" s="14" t="s">
        <v>2252</v>
      </c>
      <c r="D603" s="15" t="s">
        <v>2253</v>
      </c>
      <c r="E603" s="16" t="s">
        <v>13006</v>
      </c>
      <c r="F603" s="12">
        <v>41838.687037037038</v>
      </c>
      <c r="G603" s="17" t="s">
        <v>13000</v>
      </c>
      <c r="H603" s="35" t="s">
        <v>2254</v>
      </c>
      <c r="I603" s="18" t="s">
        <v>2255</v>
      </c>
    </row>
    <row r="604" spans="1:9" s="31" customFormat="1" ht="60">
      <c r="A604" s="19">
        <v>43542.676875000005</v>
      </c>
      <c r="B604" s="20" t="s">
        <v>13778</v>
      </c>
      <c r="C604" s="21" t="s">
        <v>10036</v>
      </c>
      <c r="D604" s="22" t="s">
        <v>10037</v>
      </c>
      <c r="E604" s="23" t="s">
        <v>13032</v>
      </c>
      <c r="F604" s="19">
        <v>41758.734351851854</v>
      </c>
      <c r="G604" s="9" t="s">
        <v>13000</v>
      </c>
      <c r="H604" s="35" t="s">
        <v>10038</v>
      </c>
      <c r="I604" s="25" t="s">
        <v>10039</v>
      </c>
    </row>
    <row r="605" spans="1:9" s="31" customFormat="1" ht="45">
      <c r="A605" s="4">
        <v>43558.333333333328</v>
      </c>
      <c r="B605" s="5" t="s">
        <v>13779</v>
      </c>
      <c r="C605" s="6" t="s">
        <v>12228</v>
      </c>
      <c r="D605" s="7" t="s">
        <v>12229</v>
      </c>
      <c r="E605" s="8" t="s">
        <v>13011</v>
      </c>
      <c r="F605" s="4">
        <v>42784.88081018519</v>
      </c>
      <c r="G605" s="9" t="s">
        <v>13000</v>
      </c>
      <c r="H605" s="35" t="s">
        <v>12230</v>
      </c>
      <c r="I605" s="10" t="s">
        <v>12231</v>
      </c>
    </row>
    <row r="606" spans="1:9" s="31" customFormat="1" ht="180">
      <c r="A606" s="19">
        <v>43551.646562499998</v>
      </c>
      <c r="B606" s="20" t="s">
        <v>13780</v>
      </c>
      <c r="C606" s="21" t="s">
        <v>1205</v>
      </c>
      <c r="D606" s="22" t="s">
        <v>7076</v>
      </c>
      <c r="E606" s="23" t="s">
        <v>13009</v>
      </c>
      <c r="F606" s="19">
        <v>43413.790162037039</v>
      </c>
      <c r="G606" s="17" t="s">
        <v>13000</v>
      </c>
      <c r="H606" s="35" t="s">
        <v>1207</v>
      </c>
      <c r="I606" s="25" t="s">
        <v>1208</v>
      </c>
    </row>
    <row r="607" spans="1:9" s="31" customFormat="1" ht="195">
      <c r="A607" s="19">
        <v>43551.644733796296</v>
      </c>
      <c r="B607" s="20" t="s">
        <v>13780</v>
      </c>
      <c r="C607" s="21" t="s">
        <v>1205</v>
      </c>
      <c r="D607" s="28" t="s">
        <v>7077</v>
      </c>
      <c r="E607" s="23" t="s">
        <v>13009</v>
      </c>
      <c r="F607" s="19">
        <v>43413.790162037039</v>
      </c>
      <c r="G607" s="17" t="s">
        <v>13000</v>
      </c>
      <c r="H607" s="35" t="s">
        <v>1207</v>
      </c>
      <c r="I607" s="25" t="s">
        <v>1208</v>
      </c>
    </row>
    <row r="608" spans="1:9" s="31" customFormat="1" ht="120">
      <c r="A608" s="19">
        <v>43551.428078703699</v>
      </c>
      <c r="B608" s="20" t="s">
        <v>13780</v>
      </c>
      <c r="C608" s="21" t="s">
        <v>1205</v>
      </c>
      <c r="D608" s="22" t="s">
        <v>7203</v>
      </c>
      <c r="E608" s="23" t="s">
        <v>13009</v>
      </c>
      <c r="F608" s="19">
        <v>43413.790162037039</v>
      </c>
      <c r="G608" s="17" t="s">
        <v>13000</v>
      </c>
      <c r="H608" s="35" t="s">
        <v>1207</v>
      </c>
      <c r="I608" s="25" t="s">
        <v>1208</v>
      </c>
    </row>
    <row r="609" spans="1:9" s="31" customFormat="1" ht="180">
      <c r="A609" s="19">
        <v>43550.428344907406</v>
      </c>
      <c r="B609" s="20" t="s">
        <v>13780</v>
      </c>
      <c r="C609" s="21" t="s">
        <v>1205</v>
      </c>
      <c r="D609" s="28" t="s">
        <v>7669</v>
      </c>
      <c r="E609" s="23" t="s">
        <v>13009</v>
      </c>
      <c r="F609" s="19">
        <v>43413.790162037039</v>
      </c>
      <c r="G609" s="17" t="s">
        <v>13000</v>
      </c>
      <c r="H609" s="35" t="s">
        <v>1207</v>
      </c>
      <c r="I609" s="25" t="s">
        <v>1208</v>
      </c>
    </row>
    <row r="610" spans="1:9" s="31" customFormat="1" ht="150">
      <c r="A610" s="19">
        <v>43550.298379629632</v>
      </c>
      <c r="B610" s="20" t="s">
        <v>13780</v>
      </c>
      <c r="C610" s="21" t="s">
        <v>1205</v>
      </c>
      <c r="D610" s="22" t="s">
        <v>7739</v>
      </c>
      <c r="E610" s="23" t="s">
        <v>13009</v>
      </c>
      <c r="F610" s="19">
        <v>43413.790162037039</v>
      </c>
      <c r="G610" s="17" t="s">
        <v>13000</v>
      </c>
      <c r="H610" s="35" t="s">
        <v>1207</v>
      </c>
      <c r="I610" s="25" t="s">
        <v>1208</v>
      </c>
    </row>
    <row r="611" spans="1:9" s="31" customFormat="1" ht="120">
      <c r="A611" s="19">
        <v>43550.289131944446</v>
      </c>
      <c r="B611" s="20" t="s">
        <v>13780</v>
      </c>
      <c r="C611" s="21" t="s">
        <v>1205</v>
      </c>
      <c r="D611" s="22" t="s">
        <v>7749</v>
      </c>
      <c r="E611" s="23" t="s">
        <v>13009</v>
      </c>
      <c r="F611" s="19">
        <v>43413.790162037039</v>
      </c>
      <c r="G611" s="17" t="s">
        <v>13000</v>
      </c>
      <c r="H611" s="35" t="s">
        <v>1207</v>
      </c>
      <c r="I611" s="25" t="s">
        <v>1208</v>
      </c>
    </row>
    <row r="612" spans="1:9" s="31" customFormat="1" ht="120">
      <c r="A612" s="19">
        <v>43550.275868055556</v>
      </c>
      <c r="B612" s="20" t="s">
        <v>13780</v>
      </c>
      <c r="C612" s="21" t="s">
        <v>1205</v>
      </c>
      <c r="D612" s="22" t="s">
        <v>7752</v>
      </c>
      <c r="E612" s="23" t="s">
        <v>13009</v>
      </c>
      <c r="F612" s="19">
        <v>43413.790162037039</v>
      </c>
      <c r="G612" s="17" t="s">
        <v>13000</v>
      </c>
      <c r="H612" s="35" t="s">
        <v>1207</v>
      </c>
      <c r="I612" s="25" t="s">
        <v>1208</v>
      </c>
    </row>
    <row r="613" spans="1:9" s="31" customFormat="1" ht="195">
      <c r="A613" s="19">
        <v>43550.270937499998</v>
      </c>
      <c r="B613" s="20" t="s">
        <v>13780</v>
      </c>
      <c r="C613" s="21" t="s">
        <v>1205</v>
      </c>
      <c r="D613" s="22" t="s">
        <v>7753</v>
      </c>
      <c r="E613" s="23" t="s">
        <v>13009</v>
      </c>
      <c r="F613" s="19">
        <v>43413.790162037039</v>
      </c>
      <c r="G613" s="17" t="s">
        <v>13000</v>
      </c>
      <c r="H613" s="35" t="s">
        <v>1207</v>
      </c>
      <c r="I613" s="25" t="s">
        <v>1208</v>
      </c>
    </row>
    <row r="614" spans="1:9" s="31" customFormat="1" ht="135">
      <c r="A614" s="19">
        <v>43550.250127314815</v>
      </c>
      <c r="B614" s="20" t="s">
        <v>13780</v>
      </c>
      <c r="C614" s="21" t="s">
        <v>1205</v>
      </c>
      <c r="D614" s="28" t="s">
        <v>7763</v>
      </c>
      <c r="E614" s="23" t="s">
        <v>13009</v>
      </c>
      <c r="F614" s="19">
        <v>43413.790162037039</v>
      </c>
      <c r="G614" s="17" t="s">
        <v>13000</v>
      </c>
      <c r="H614" s="35" t="s">
        <v>1207</v>
      </c>
      <c r="I614" s="25" t="s">
        <v>1208</v>
      </c>
    </row>
    <row r="615" spans="1:9" s="31" customFormat="1" ht="165">
      <c r="A615" s="19">
        <v>43549.354490740741</v>
      </c>
      <c r="B615" s="20" t="s">
        <v>13780</v>
      </c>
      <c r="C615" s="21" t="s">
        <v>1205</v>
      </c>
      <c r="D615" s="22" t="s">
        <v>8079</v>
      </c>
      <c r="E615" s="23" t="s">
        <v>13009</v>
      </c>
      <c r="F615" s="19">
        <v>43413.790162037039</v>
      </c>
      <c r="G615" s="17" t="s">
        <v>13000</v>
      </c>
      <c r="H615" s="35" t="s">
        <v>1207</v>
      </c>
      <c r="I615" s="25" t="s">
        <v>1208</v>
      </c>
    </row>
    <row r="616" spans="1:9" s="31" customFormat="1" ht="135">
      <c r="A616" s="19">
        <v>43549.256874999999</v>
      </c>
      <c r="B616" s="20" t="s">
        <v>13780</v>
      </c>
      <c r="C616" s="21" t="s">
        <v>1205</v>
      </c>
      <c r="D616" s="28" t="s">
        <v>8115</v>
      </c>
      <c r="E616" s="23" t="s">
        <v>13009</v>
      </c>
      <c r="F616" s="19">
        <v>43413.790162037039</v>
      </c>
      <c r="G616" s="17" t="s">
        <v>13000</v>
      </c>
      <c r="H616" s="35" t="s">
        <v>1207</v>
      </c>
      <c r="I616" s="25" t="s">
        <v>1208</v>
      </c>
    </row>
    <row r="617" spans="1:9" s="31" customFormat="1" ht="180">
      <c r="A617" s="19">
        <v>43548.413969907408</v>
      </c>
      <c r="B617" s="20" t="s">
        <v>13780</v>
      </c>
      <c r="C617" s="21" t="s">
        <v>1205</v>
      </c>
      <c r="D617" s="22" t="s">
        <v>8331</v>
      </c>
      <c r="E617" s="23" t="s">
        <v>13009</v>
      </c>
      <c r="F617" s="19">
        <v>43413.790162037039</v>
      </c>
      <c r="G617" s="17" t="s">
        <v>13000</v>
      </c>
      <c r="H617" s="35" t="s">
        <v>1207</v>
      </c>
      <c r="I617" s="25" t="s">
        <v>1208</v>
      </c>
    </row>
    <row r="618" spans="1:9" s="31" customFormat="1" ht="195">
      <c r="A618" s="19">
        <v>43548.402986111112</v>
      </c>
      <c r="B618" s="20" t="s">
        <v>13780</v>
      </c>
      <c r="C618" s="21" t="s">
        <v>1205</v>
      </c>
      <c r="D618" s="22" t="s">
        <v>8332</v>
      </c>
      <c r="E618" s="23" t="s">
        <v>13009</v>
      </c>
      <c r="F618" s="19">
        <v>43413.790162037039</v>
      </c>
      <c r="G618" s="17" t="s">
        <v>13000</v>
      </c>
      <c r="H618" s="35" t="s">
        <v>1207</v>
      </c>
      <c r="I618" s="25" t="s">
        <v>1208</v>
      </c>
    </row>
    <row r="619" spans="1:9" s="31" customFormat="1" ht="120">
      <c r="A619" s="19">
        <v>43548.359201388885</v>
      </c>
      <c r="B619" s="20" t="s">
        <v>13780</v>
      </c>
      <c r="C619" s="21" t="s">
        <v>1205</v>
      </c>
      <c r="D619" s="22" t="s">
        <v>8345</v>
      </c>
      <c r="E619" s="23" t="s">
        <v>13009</v>
      </c>
      <c r="F619" s="19">
        <v>43413.790162037039</v>
      </c>
      <c r="G619" s="17" t="s">
        <v>13000</v>
      </c>
      <c r="H619" s="35" t="s">
        <v>1207</v>
      </c>
      <c r="I619" s="25" t="s">
        <v>1208</v>
      </c>
    </row>
    <row r="620" spans="1:9" s="31" customFormat="1" ht="120">
      <c r="A620" s="19">
        <v>43548.314606481479</v>
      </c>
      <c r="B620" s="20" t="s">
        <v>13780</v>
      </c>
      <c r="C620" s="21" t="s">
        <v>1205</v>
      </c>
      <c r="D620" s="22" t="s">
        <v>8352</v>
      </c>
      <c r="E620" s="23" t="s">
        <v>13009</v>
      </c>
      <c r="F620" s="19">
        <v>43413.790162037039</v>
      </c>
      <c r="G620" s="17" t="s">
        <v>13000</v>
      </c>
      <c r="H620" s="35" t="s">
        <v>1207</v>
      </c>
      <c r="I620" s="25" t="s">
        <v>1208</v>
      </c>
    </row>
    <row r="621" spans="1:9" s="31" customFormat="1" ht="375">
      <c r="A621" s="19">
        <v>43547.822662037041</v>
      </c>
      <c r="B621" s="20" t="s">
        <v>13780</v>
      </c>
      <c r="C621" s="21" t="s">
        <v>1205</v>
      </c>
      <c r="D621" s="22" t="s">
        <v>8470</v>
      </c>
      <c r="E621" s="23" t="s">
        <v>13009</v>
      </c>
      <c r="F621" s="19">
        <v>43413.790162037039</v>
      </c>
      <c r="G621" s="17" t="s">
        <v>13000</v>
      </c>
      <c r="H621" s="35" t="s">
        <v>1207</v>
      </c>
      <c r="I621" s="25" t="s">
        <v>1208</v>
      </c>
    </row>
    <row r="622" spans="1:9" s="31" customFormat="1" ht="180">
      <c r="A622" s="19">
        <v>43546.762986111113</v>
      </c>
      <c r="B622" s="20" t="s">
        <v>13780</v>
      </c>
      <c r="C622" s="21" t="s">
        <v>1205</v>
      </c>
      <c r="D622" s="22" t="s">
        <v>8737</v>
      </c>
      <c r="E622" s="23" t="s">
        <v>13009</v>
      </c>
      <c r="F622" s="19">
        <v>43413.790162037039</v>
      </c>
      <c r="G622" s="17" t="s">
        <v>13000</v>
      </c>
      <c r="H622" s="35" t="s">
        <v>1207</v>
      </c>
      <c r="I622" s="25" t="s">
        <v>1208</v>
      </c>
    </row>
    <row r="623" spans="1:9" s="31" customFormat="1" ht="180">
      <c r="A623" s="12">
        <v>43578.439201388886</v>
      </c>
      <c r="B623" s="13" t="s">
        <v>13780</v>
      </c>
      <c r="C623" s="14" t="s">
        <v>1205</v>
      </c>
      <c r="D623" s="15" t="s">
        <v>1206</v>
      </c>
      <c r="E623" s="16" t="s">
        <v>13009</v>
      </c>
      <c r="F623" s="12">
        <v>43413.790162037039</v>
      </c>
      <c r="G623" s="17" t="s">
        <v>13000</v>
      </c>
      <c r="H623" s="35" t="s">
        <v>1207</v>
      </c>
      <c r="I623" s="18" t="s">
        <v>1208</v>
      </c>
    </row>
    <row r="624" spans="1:9" s="31" customFormat="1" ht="120">
      <c r="A624" s="12">
        <v>43575.260335648149</v>
      </c>
      <c r="B624" s="13" t="s">
        <v>13780</v>
      </c>
      <c r="C624" s="14" t="s">
        <v>1205</v>
      </c>
      <c r="D624" s="15" t="s">
        <v>2323</v>
      </c>
      <c r="E624" s="16" t="s">
        <v>13009</v>
      </c>
      <c r="F624" s="12">
        <v>43413.790162037039</v>
      </c>
      <c r="G624" s="17" t="s">
        <v>13000</v>
      </c>
      <c r="H624" s="35" t="s">
        <v>1207</v>
      </c>
      <c r="I624" s="18" t="s">
        <v>1208</v>
      </c>
    </row>
    <row r="625" spans="1:9" s="31" customFormat="1" ht="150">
      <c r="A625" s="12">
        <v>43574.285775462966</v>
      </c>
      <c r="B625" s="13" t="s">
        <v>13780</v>
      </c>
      <c r="C625" s="14" t="s">
        <v>1205</v>
      </c>
      <c r="D625" s="15" t="s">
        <v>2622</v>
      </c>
      <c r="E625" s="16" t="s">
        <v>13009</v>
      </c>
      <c r="F625" s="12">
        <v>43413.790162037039</v>
      </c>
      <c r="G625" s="17" t="s">
        <v>13000</v>
      </c>
      <c r="H625" s="35" t="s">
        <v>1207</v>
      </c>
      <c r="I625" s="18" t="s">
        <v>1208</v>
      </c>
    </row>
    <row r="626" spans="1:9" s="31" customFormat="1" ht="120">
      <c r="A626" s="12">
        <v>43571.296030092592</v>
      </c>
      <c r="B626" s="13" t="s">
        <v>13780</v>
      </c>
      <c r="C626" s="14" t="s">
        <v>1205</v>
      </c>
      <c r="D626" s="15" t="s">
        <v>3749</v>
      </c>
      <c r="E626" s="16" t="s">
        <v>13009</v>
      </c>
      <c r="F626" s="12">
        <v>43413.790162037039</v>
      </c>
      <c r="G626" s="17" t="s">
        <v>13000</v>
      </c>
      <c r="H626" s="35" t="s">
        <v>1207</v>
      </c>
      <c r="I626" s="18" t="s">
        <v>1208</v>
      </c>
    </row>
    <row r="627" spans="1:9" s="31" customFormat="1" ht="165">
      <c r="A627" s="12">
        <v>43565.620995370366</v>
      </c>
      <c r="B627" s="13" t="s">
        <v>13780</v>
      </c>
      <c r="C627" s="14" t="s">
        <v>1205</v>
      </c>
      <c r="D627" s="15" t="s">
        <v>5991</v>
      </c>
      <c r="E627" s="16" t="s">
        <v>13009</v>
      </c>
      <c r="F627" s="12">
        <v>43413.790162037039</v>
      </c>
      <c r="G627" s="17" t="s">
        <v>13000</v>
      </c>
      <c r="H627" s="35" t="s">
        <v>1207</v>
      </c>
      <c r="I627" s="18" t="s">
        <v>1208</v>
      </c>
    </row>
    <row r="628" spans="1:9" s="31" customFormat="1" ht="150">
      <c r="A628" s="12">
        <v>43565.26761574074</v>
      </c>
      <c r="B628" s="13" t="s">
        <v>13780</v>
      </c>
      <c r="C628" s="14" t="s">
        <v>1205</v>
      </c>
      <c r="D628" s="15" t="s">
        <v>6203</v>
      </c>
      <c r="E628" s="16" t="s">
        <v>13009</v>
      </c>
      <c r="F628" s="12">
        <v>43413.790162037039</v>
      </c>
      <c r="G628" s="17" t="s">
        <v>13000</v>
      </c>
      <c r="H628" s="35" t="s">
        <v>1207</v>
      </c>
      <c r="I628" s="18" t="s">
        <v>1208</v>
      </c>
    </row>
    <row r="629" spans="1:9" s="31" customFormat="1" ht="150">
      <c r="A629" s="12">
        <v>43564.725057870368</v>
      </c>
      <c r="B629" s="13" t="s">
        <v>13780</v>
      </c>
      <c r="C629" s="14" t="s">
        <v>1205</v>
      </c>
      <c r="D629" s="15" t="s">
        <v>6446</v>
      </c>
      <c r="E629" s="16" t="s">
        <v>13009</v>
      </c>
      <c r="F629" s="12">
        <v>43413.790162037039</v>
      </c>
      <c r="G629" s="17" t="s">
        <v>13000</v>
      </c>
      <c r="H629" s="35" t="s">
        <v>1207</v>
      </c>
      <c r="I629" s="18" t="s">
        <v>1208</v>
      </c>
    </row>
    <row r="630" spans="1:9" s="31" customFormat="1" ht="120">
      <c r="A630" s="12">
        <v>43564.510509259257</v>
      </c>
      <c r="B630" s="13" t="s">
        <v>13780</v>
      </c>
      <c r="C630" s="14" t="s">
        <v>1205</v>
      </c>
      <c r="D630" s="15" t="s">
        <v>6567</v>
      </c>
      <c r="E630" s="16" t="s">
        <v>13009</v>
      </c>
      <c r="F630" s="12">
        <v>43413.790162037039</v>
      </c>
      <c r="G630" s="17" t="s">
        <v>13000</v>
      </c>
      <c r="H630" s="35" t="s">
        <v>1207</v>
      </c>
      <c r="I630" s="18" t="s">
        <v>1208</v>
      </c>
    </row>
    <row r="631" spans="1:9" s="31" customFormat="1" ht="120">
      <c r="A631" s="12">
        <v>43564.421053240745</v>
      </c>
      <c r="B631" s="13" t="s">
        <v>13780</v>
      </c>
      <c r="C631" s="14" t="s">
        <v>1205</v>
      </c>
      <c r="D631" s="15" t="s">
        <v>6618</v>
      </c>
      <c r="E631" s="16" t="s">
        <v>13009</v>
      </c>
      <c r="F631" s="12">
        <v>43413.790162037039</v>
      </c>
      <c r="G631" s="17" t="s">
        <v>13000</v>
      </c>
      <c r="H631" s="35" t="s">
        <v>1207</v>
      </c>
      <c r="I631" s="18" t="s">
        <v>1208</v>
      </c>
    </row>
    <row r="632" spans="1:9" s="31" customFormat="1" ht="90">
      <c r="A632" s="12">
        <v>43577.842766203699</v>
      </c>
      <c r="B632" s="13" t="s">
        <v>13781</v>
      </c>
      <c r="C632" s="14" t="s">
        <v>1481</v>
      </c>
      <c r="D632" s="15" t="s">
        <v>1482</v>
      </c>
      <c r="E632" s="16" t="s">
        <v>13011</v>
      </c>
      <c r="F632" s="12">
        <v>40253.717245370368</v>
      </c>
      <c r="G632" s="17" t="s">
        <v>13000</v>
      </c>
      <c r="H632" s="35" t="s">
        <v>1483</v>
      </c>
      <c r="I632" s="18" t="s">
        <v>1484</v>
      </c>
    </row>
    <row r="633" spans="1:9" s="31" customFormat="1" ht="105">
      <c r="A633" s="4">
        <v>43560.368101851855</v>
      </c>
      <c r="B633" s="5" t="s">
        <v>13782</v>
      </c>
      <c r="C633" s="6" t="s">
        <v>11416</v>
      </c>
      <c r="D633" s="7" t="s">
        <v>11417</v>
      </c>
      <c r="E633" s="8" t="s">
        <v>13018</v>
      </c>
      <c r="F633" s="4">
        <v>40672.342719907407</v>
      </c>
      <c r="G633" s="9" t="s">
        <v>13000</v>
      </c>
      <c r="H633" s="35" t="s">
        <v>11418</v>
      </c>
      <c r="I633" s="10" t="s">
        <v>11419</v>
      </c>
    </row>
    <row r="634" spans="1:9" s="31" customFormat="1" ht="90">
      <c r="A634" s="4">
        <v>43561.886296296296</v>
      </c>
      <c r="B634" s="5" t="s">
        <v>13783</v>
      </c>
      <c r="C634" s="6" t="s">
        <v>10806</v>
      </c>
      <c r="D634" s="7" t="s">
        <v>10807</v>
      </c>
      <c r="E634" s="8" t="s">
        <v>13013</v>
      </c>
      <c r="F634" s="4">
        <v>43425.911979166667</v>
      </c>
      <c r="G634" s="9" t="s">
        <v>13000</v>
      </c>
      <c r="H634" s="35" t="s">
        <v>10808</v>
      </c>
      <c r="I634" s="10" t="s">
        <v>10809</v>
      </c>
    </row>
    <row r="635" spans="1:9" s="31" customFormat="1" ht="90">
      <c r="A635" s="12">
        <v>43573.799768518518</v>
      </c>
      <c r="B635" s="13" t="s">
        <v>13784</v>
      </c>
      <c r="C635" s="14" t="s">
        <v>2734</v>
      </c>
      <c r="D635" s="15" t="s">
        <v>2735</v>
      </c>
      <c r="E635" s="16" t="s">
        <v>13011</v>
      </c>
      <c r="F635" s="12">
        <v>40154.680925925924</v>
      </c>
      <c r="G635" s="17" t="s">
        <v>13000</v>
      </c>
      <c r="H635" s="35" t="s">
        <v>2736</v>
      </c>
      <c r="I635" s="18" t="s">
        <v>2737</v>
      </c>
    </row>
    <row r="636" spans="1:9" s="31" customFormat="1" ht="105">
      <c r="A636" s="19">
        <v>43550.879664351851</v>
      </c>
      <c r="B636" s="20" t="s">
        <v>13785</v>
      </c>
      <c r="C636" s="21" t="s">
        <v>7474</v>
      </c>
      <c r="D636" s="22" t="s">
        <v>7475</v>
      </c>
      <c r="E636" s="23" t="s">
        <v>13013</v>
      </c>
      <c r="F636" s="19">
        <v>39895.418287037035</v>
      </c>
      <c r="G636" s="24" t="s">
        <v>13000</v>
      </c>
      <c r="H636" s="35" t="s">
        <v>7476</v>
      </c>
      <c r="I636" s="25" t="s">
        <v>7477</v>
      </c>
    </row>
    <row r="637" spans="1:9" s="31" customFormat="1" ht="120">
      <c r="A637" s="4">
        <v>43564.410659722227</v>
      </c>
      <c r="B637" s="5" t="s">
        <v>13786</v>
      </c>
      <c r="C637" s="6" t="s">
        <v>6623</v>
      </c>
      <c r="D637" s="7" t="s">
        <v>6624</v>
      </c>
      <c r="E637" s="8" t="s">
        <v>13009</v>
      </c>
      <c r="F637" s="4">
        <v>40556.249699074076</v>
      </c>
      <c r="G637" s="9" t="s">
        <v>13000</v>
      </c>
      <c r="H637" s="35" t="s">
        <v>6625</v>
      </c>
      <c r="I637" s="10" t="s">
        <v>6626</v>
      </c>
    </row>
    <row r="638" spans="1:9" s="31" customFormat="1" ht="105">
      <c r="A638" s="4">
        <v>43557.372499999998</v>
      </c>
      <c r="B638" s="5" t="s">
        <v>13787</v>
      </c>
      <c r="C638" s="6" t="s">
        <v>12537</v>
      </c>
      <c r="D638" s="7" t="s">
        <v>12538</v>
      </c>
      <c r="E638" s="8" t="s">
        <v>13011</v>
      </c>
      <c r="F638" s="4">
        <v>40786.289039351854</v>
      </c>
      <c r="G638" s="9" t="s">
        <v>13000</v>
      </c>
      <c r="H638" s="35" t="s">
        <v>12539</v>
      </c>
      <c r="I638" s="10" t="s">
        <v>12540</v>
      </c>
    </row>
    <row r="639" spans="1:9" s="31" customFormat="1" ht="75">
      <c r="A639" s="4">
        <v>43557.334479166668</v>
      </c>
      <c r="B639" s="5" t="s">
        <v>13788</v>
      </c>
      <c r="C639" s="6" t="s">
        <v>12552</v>
      </c>
      <c r="D639" s="7" t="s">
        <v>12553</v>
      </c>
      <c r="E639" s="8" t="s">
        <v>13018</v>
      </c>
      <c r="F639" s="4">
        <v>39917.451574074075</v>
      </c>
      <c r="G639" s="9" t="s">
        <v>13000</v>
      </c>
      <c r="H639" s="35" t="s">
        <v>12554</v>
      </c>
      <c r="I639" s="10" t="s">
        <v>12555</v>
      </c>
    </row>
    <row r="640" spans="1:9" s="31" customFormat="1" ht="105">
      <c r="A640" s="12">
        <v>43569.368391203709</v>
      </c>
      <c r="B640" s="13" t="s">
        <v>13789</v>
      </c>
      <c r="C640" s="14" t="s">
        <v>4528</v>
      </c>
      <c r="D640" s="15" t="s">
        <v>4529</v>
      </c>
      <c r="E640" s="16" t="s">
        <v>13032</v>
      </c>
      <c r="F640" s="12">
        <v>39586.851689814815</v>
      </c>
      <c r="G640" s="17" t="s">
        <v>13000</v>
      </c>
      <c r="H640" s="35" t="s">
        <v>4530</v>
      </c>
      <c r="I640" s="18" t="s">
        <v>4531</v>
      </c>
    </row>
    <row r="641" spans="1:9" s="31" customFormat="1" ht="105">
      <c r="A641" s="19">
        <v>43548.642268518517</v>
      </c>
      <c r="B641" s="20" t="s">
        <v>13790</v>
      </c>
      <c r="C641" s="21" t="s">
        <v>8256</v>
      </c>
      <c r="D641" s="22" t="s">
        <v>8257</v>
      </c>
      <c r="E641" s="23" t="s">
        <v>13032</v>
      </c>
      <c r="F641" s="19">
        <v>40083.590185185181</v>
      </c>
      <c r="G641" s="24" t="s">
        <v>13000</v>
      </c>
      <c r="H641" s="35" t="s">
        <v>8258</v>
      </c>
      <c r="I641" s="25" t="s">
        <v>8259</v>
      </c>
    </row>
    <row r="642" spans="1:9" s="31" customFormat="1" ht="120">
      <c r="A642" s="12">
        <v>43568.333773148144</v>
      </c>
      <c r="B642" s="13" t="s">
        <v>13791</v>
      </c>
      <c r="C642" s="14" t="s">
        <v>4806</v>
      </c>
      <c r="D642" s="15" t="s">
        <v>4807</v>
      </c>
      <c r="E642" s="16" t="s">
        <v>13099</v>
      </c>
      <c r="F642" s="12">
        <v>40115.370266203703</v>
      </c>
      <c r="G642" s="24" t="s">
        <v>13000</v>
      </c>
      <c r="H642" s="35" t="s">
        <v>4808</v>
      </c>
      <c r="I642" s="18" t="s">
        <v>4809</v>
      </c>
    </row>
    <row r="643" spans="1:9" s="31" customFormat="1" ht="90">
      <c r="A643" s="19">
        <v>43546.548761574071</v>
      </c>
      <c r="B643" s="20" t="s">
        <v>13792</v>
      </c>
      <c r="C643" s="21" t="s">
        <v>8810</v>
      </c>
      <c r="D643" s="22" t="s">
        <v>8811</v>
      </c>
      <c r="E643" s="23" t="s">
        <v>13009</v>
      </c>
      <c r="F643" s="19">
        <v>41769.361655092594</v>
      </c>
      <c r="G643" s="24" t="s">
        <v>13000</v>
      </c>
      <c r="H643" s="35" t="s">
        <v>773</v>
      </c>
      <c r="I643" s="25" t="s">
        <v>8812</v>
      </c>
    </row>
    <row r="644" spans="1:9" s="31" customFormat="1" ht="45">
      <c r="A644" s="12">
        <v>43579.323159722218</v>
      </c>
      <c r="B644" s="13" t="s">
        <v>13793</v>
      </c>
      <c r="C644" s="14" t="s">
        <v>771</v>
      </c>
      <c r="D644" s="15" t="s">
        <v>772</v>
      </c>
      <c r="E644" s="16" t="s">
        <v>13400</v>
      </c>
      <c r="F644" s="12">
        <v>43559.612685185188</v>
      </c>
      <c r="G644" s="24" t="s">
        <v>13000</v>
      </c>
      <c r="H644" s="35" t="s">
        <v>773</v>
      </c>
      <c r="I644" s="18" t="s">
        <v>774</v>
      </c>
    </row>
    <row r="645" spans="1:9" s="31" customFormat="1" ht="105">
      <c r="A645" s="12">
        <v>43571.781041666662</v>
      </c>
      <c r="B645" s="13" t="s">
        <v>13794</v>
      </c>
      <c r="C645" s="14" t="s">
        <v>3553</v>
      </c>
      <c r="D645" s="15" t="s">
        <v>3554</v>
      </c>
      <c r="E645" s="16" t="s">
        <v>13032</v>
      </c>
      <c r="F645" s="12">
        <v>40057.816469907411</v>
      </c>
      <c r="G645" s="17" t="s">
        <v>13000</v>
      </c>
      <c r="H645" s="35" t="s">
        <v>3555</v>
      </c>
      <c r="I645" s="18" t="s">
        <v>3556</v>
      </c>
    </row>
    <row r="646" spans="1:9" s="31" customFormat="1" ht="30">
      <c r="A646" s="12">
        <v>43572.709317129629</v>
      </c>
      <c r="B646" s="13" t="s">
        <v>13795</v>
      </c>
      <c r="C646" s="14" t="s">
        <v>3110</v>
      </c>
      <c r="D646" s="15" t="s">
        <v>3111</v>
      </c>
      <c r="E646" s="16" t="s">
        <v>13011</v>
      </c>
      <c r="F646" s="12">
        <v>41520.421481481484</v>
      </c>
      <c r="G646" s="17" t="s">
        <v>13000</v>
      </c>
      <c r="H646" s="35" t="s">
        <v>3112</v>
      </c>
      <c r="I646" s="18" t="s">
        <v>3113</v>
      </c>
    </row>
    <row r="647" spans="1:9" s="31" customFormat="1" ht="90">
      <c r="A647" s="12">
        <v>43578.874189814815</v>
      </c>
      <c r="B647" s="13" t="s">
        <v>13796</v>
      </c>
      <c r="C647" s="14" t="s">
        <v>1002</v>
      </c>
      <c r="D647" s="15" t="s">
        <v>1003</v>
      </c>
      <c r="E647" s="16" t="s">
        <v>13797</v>
      </c>
      <c r="F647" s="12">
        <v>42155.918310185181</v>
      </c>
      <c r="G647" s="17" t="s">
        <v>13000</v>
      </c>
      <c r="H647" s="35" t="s">
        <v>1004</v>
      </c>
      <c r="I647" s="18" t="s">
        <v>1005</v>
      </c>
    </row>
    <row r="648" spans="1:9" s="31" customFormat="1" ht="75">
      <c r="A648" s="12">
        <v>43579.544479166667</v>
      </c>
      <c r="B648" s="13" t="s">
        <v>13798</v>
      </c>
      <c r="C648" s="14" t="s">
        <v>582</v>
      </c>
      <c r="D648" s="15" t="s">
        <v>583</v>
      </c>
      <c r="E648" s="16" t="s">
        <v>13034</v>
      </c>
      <c r="F648" s="12">
        <v>40963.745381944442</v>
      </c>
      <c r="G648" s="17" t="s">
        <v>13000</v>
      </c>
      <c r="H648" s="35" t="s">
        <v>584</v>
      </c>
      <c r="I648" s="18" t="s">
        <v>585</v>
      </c>
    </row>
    <row r="649" spans="1:9" s="31" customFormat="1" ht="90">
      <c r="A649" s="19">
        <v>43548.083055555559</v>
      </c>
      <c r="B649" s="20" t="s">
        <v>13799</v>
      </c>
      <c r="C649" s="21" t="s">
        <v>8417</v>
      </c>
      <c r="D649" s="22" t="s">
        <v>8418</v>
      </c>
      <c r="E649" s="23" t="s">
        <v>13011</v>
      </c>
      <c r="F649" s="19">
        <v>42620.610833333332</v>
      </c>
      <c r="G649" s="17" t="s">
        <v>13000</v>
      </c>
      <c r="H649" s="35" t="s">
        <v>8419</v>
      </c>
      <c r="I649" s="25"/>
    </row>
    <row r="650" spans="1:9" s="31" customFormat="1" ht="60">
      <c r="A650" s="4">
        <v>43558.510243055556</v>
      </c>
      <c r="B650" s="5" t="s">
        <v>13800</v>
      </c>
      <c r="C650" s="6" t="s">
        <v>12150</v>
      </c>
      <c r="D650" s="7" t="s">
        <v>12151</v>
      </c>
      <c r="E650" s="8" t="s">
        <v>13011</v>
      </c>
      <c r="F650" s="4">
        <v>39798.636435185181</v>
      </c>
      <c r="G650" s="17" t="s">
        <v>13000</v>
      </c>
      <c r="H650" s="35" t="s">
        <v>12152</v>
      </c>
      <c r="I650" s="10" t="s">
        <v>12153</v>
      </c>
    </row>
    <row r="651" spans="1:9" s="31" customFormat="1" ht="120">
      <c r="A651" s="19">
        <v>43549.50712962963</v>
      </c>
      <c r="B651" s="20" t="s">
        <v>13801</v>
      </c>
      <c r="C651" s="21" t="s">
        <v>8007</v>
      </c>
      <c r="D651" s="22" t="s">
        <v>8008</v>
      </c>
      <c r="E651" s="23" t="s">
        <v>13018</v>
      </c>
      <c r="F651" s="19">
        <v>41767.573680555557</v>
      </c>
      <c r="G651" s="17" t="s">
        <v>13000</v>
      </c>
      <c r="H651" s="35" t="s">
        <v>8009</v>
      </c>
      <c r="I651" s="25" t="s">
        <v>8010</v>
      </c>
    </row>
    <row r="652" spans="1:9" s="31" customFormat="1" ht="105">
      <c r="A652" s="19">
        <v>43550.296331018515</v>
      </c>
      <c r="B652" s="20" t="s">
        <v>13802</v>
      </c>
      <c r="C652" s="21" t="s">
        <v>3058</v>
      </c>
      <c r="D652" s="22" t="s">
        <v>7740</v>
      </c>
      <c r="E652" s="23" t="s">
        <v>13009</v>
      </c>
      <c r="F652" s="19">
        <v>41446.630358796298</v>
      </c>
      <c r="G652" s="17" t="s">
        <v>13000</v>
      </c>
      <c r="H652" s="35" t="s">
        <v>3060</v>
      </c>
      <c r="I652" s="25" t="s">
        <v>3061</v>
      </c>
    </row>
    <row r="653" spans="1:9" s="31" customFormat="1" ht="105">
      <c r="A653" s="12">
        <v>43572.917893518519</v>
      </c>
      <c r="B653" s="13" t="s">
        <v>13802</v>
      </c>
      <c r="C653" s="14" t="s">
        <v>3058</v>
      </c>
      <c r="D653" s="15" t="s">
        <v>3059</v>
      </c>
      <c r="E653" s="16" t="s">
        <v>13009</v>
      </c>
      <c r="F653" s="12">
        <v>41446.630358796298</v>
      </c>
      <c r="G653" s="17" t="s">
        <v>13000</v>
      </c>
      <c r="H653" s="35" t="s">
        <v>3060</v>
      </c>
      <c r="I653" s="18" t="s">
        <v>3061</v>
      </c>
    </row>
    <row r="654" spans="1:9" s="31" customFormat="1" ht="90">
      <c r="A654" s="19">
        <v>43550.482800925922</v>
      </c>
      <c r="B654" s="20" t="s">
        <v>13803</v>
      </c>
      <c r="C654" s="21" t="s">
        <v>5992</v>
      </c>
      <c r="D654" s="22" t="s">
        <v>7652</v>
      </c>
      <c r="E654" s="23" t="s">
        <v>13009</v>
      </c>
      <c r="F654" s="19">
        <v>43291.402881944443</v>
      </c>
      <c r="G654" s="17" t="s">
        <v>13000</v>
      </c>
      <c r="H654" s="35" t="s">
        <v>5994</v>
      </c>
      <c r="I654" s="25" t="s">
        <v>5995</v>
      </c>
    </row>
    <row r="655" spans="1:9" s="31" customFormat="1" ht="90">
      <c r="A655" s="4">
        <v>43565.612974537042</v>
      </c>
      <c r="B655" s="5" t="s">
        <v>13803</v>
      </c>
      <c r="C655" s="6" t="s">
        <v>5992</v>
      </c>
      <c r="D655" s="7" t="s">
        <v>5993</v>
      </c>
      <c r="E655" s="8" t="s">
        <v>13011</v>
      </c>
      <c r="F655" s="4">
        <v>43291.402881944443</v>
      </c>
      <c r="G655" s="17" t="s">
        <v>13000</v>
      </c>
      <c r="H655" s="35" t="s">
        <v>5994</v>
      </c>
      <c r="I655" s="10" t="s">
        <v>5995</v>
      </c>
    </row>
    <row r="656" spans="1:9" s="31" customFormat="1" ht="90">
      <c r="A656" s="4">
        <v>43565.612233796295</v>
      </c>
      <c r="B656" s="5" t="s">
        <v>13803</v>
      </c>
      <c r="C656" s="6" t="s">
        <v>5992</v>
      </c>
      <c r="D656" s="7" t="s">
        <v>5996</v>
      </c>
      <c r="E656" s="8" t="s">
        <v>13011</v>
      </c>
      <c r="F656" s="4">
        <v>43291.402881944443</v>
      </c>
      <c r="G656" s="17" t="s">
        <v>13000</v>
      </c>
      <c r="H656" s="35" t="s">
        <v>5994</v>
      </c>
      <c r="I656" s="10" t="s">
        <v>5995</v>
      </c>
    </row>
    <row r="657" spans="1:9" s="31" customFormat="1" ht="90">
      <c r="A657" s="4">
        <v>43565.608634259261</v>
      </c>
      <c r="B657" s="5" t="s">
        <v>13803</v>
      </c>
      <c r="C657" s="6" t="s">
        <v>5992</v>
      </c>
      <c r="D657" s="7" t="s">
        <v>5997</v>
      </c>
      <c r="E657" s="8" t="s">
        <v>13011</v>
      </c>
      <c r="F657" s="4">
        <v>43291.402881944443</v>
      </c>
      <c r="G657" s="17" t="s">
        <v>13000</v>
      </c>
      <c r="H657" s="35" t="s">
        <v>5994</v>
      </c>
      <c r="I657" s="10" t="s">
        <v>5995</v>
      </c>
    </row>
    <row r="658" spans="1:9" s="31" customFormat="1" ht="90">
      <c r="A658" s="4">
        <v>43565.606874999998</v>
      </c>
      <c r="B658" s="5" t="s">
        <v>13803</v>
      </c>
      <c r="C658" s="6" t="s">
        <v>5992</v>
      </c>
      <c r="D658" s="7" t="s">
        <v>5998</v>
      </c>
      <c r="E658" s="8" t="s">
        <v>13011</v>
      </c>
      <c r="F658" s="4">
        <v>43291.402881944443</v>
      </c>
      <c r="G658" s="17" t="s">
        <v>13000</v>
      </c>
      <c r="H658" s="35" t="s">
        <v>5994</v>
      </c>
      <c r="I658" s="10" t="s">
        <v>5995</v>
      </c>
    </row>
    <row r="659" spans="1:9" s="31" customFormat="1" ht="90">
      <c r="A659" s="4">
        <v>43565.605671296296</v>
      </c>
      <c r="B659" s="5" t="s">
        <v>13803</v>
      </c>
      <c r="C659" s="6" t="s">
        <v>5992</v>
      </c>
      <c r="D659" s="7" t="s">
        <v>5999</v>
      </c>
      <c r="E659" s="8" t="s">
        <v>13011</v>
      </c>
      <c r="F659" s="4">
        <v>43291.402881944443</v>
      </c>
      <c r="G659" s="17" t="s">
        <v>13000</v>
      </c>
      <c r="H659" s="35" t="s">
        <v>5994</v>
      </c>
      <c r="I659" s="10" t="s">
        <v>5995</v>
      </c>
    </row>
    <row r="660" spans="1:9" s="31" customFormat="1" ht="90">
      <c r="A660" s="4">
        <v>43565.60423611111</v>
      </c>
      <c r="B660" s="5" t="s">
        <v>13803</v>
      </c>
      <c r="C660" s="6" t="s">
        <v>5992</v>
      </c>
      <c r="D660" s="7" t="s">
        <v>6001</v>
      </c>
      <c r="E660" s="8" t="s">
        <v>13011</v>
      </c>
      <c r="F660" s="4">
        <v>43291.402881944443</v>
      </c>
      <c r="G660" s="17" t="s">
        <v>13000</v>
      </c>
      <c r="H660" s="35" t="s">
        <v>5994</v>
      </c>
      <c r="I660" s="10" t="s">
        <v>5995</v>
      </c>
    </row>
    <row r="661" spans="1:9" s="31" customFormat="1" ht="90">
      <c r="A661" s="4">
        <v>43565.602777777778</v>
      </c>
      <c r="B661" s="5" t="s">
        <v>13803</v>
      </c>
      <c r="C661" s="6" t="s">
        <v>5992</v>
      </c>
      <c r="D661" s="7" t="s">
        <v>6005</v>
      </c>
      <c r="E661" s="8" t="s">
        <v>13011</v>
      </c>
      <c r="F661" s="4">
        <v>43291.402881944443</v>
      </c>
      <c r="G661" s="17" t="s">
        <v>13000</v>
      </c>
      <c r="H661" s="35" t="s">
        <v>5994</v>
      </c>
      <c r="I661" s="10" t="s">
        <v>5995</v>
      </c>
    </row>
    <row r="662" spans="1:9" s="31" customFormat="1" ht="90">
      <c r="A662" s="4">
        <v>43565.601493055554</v>
      </c>
      <c r="B662" s="5" t="s">
        <v>13803</v>
      </c>
      <c r="C662" s="6" t="s">
        <v>5992</v>
      </c>
      <c r="D662" s="7" t="s">
        <v>6006</v>
      </c>
      <c r="E662" s="8" t="s">
        <v>13011</v>
      </c>
      <c r="F662" s="4">
        <v>43291.402881944443</v>
      </c>
      <c r="G662" s="17" t="s">
        <v>13000</v>
      </c>
      <c r="H662" s="35" t="s">
        <v>5994</v>
      </c>
      <c r="I662" s="10" t="s">
        <v>5995</v>
      </c>
    </row>
    <row r="663" spans="1:9" s="31" customFormat="1" ht="90">
      <c r="A663" s="4">
        <v>43565.598275462966</v>
      </c>
      <c r="B663" s="5" t="s">
        <v>13803</v>
      </c>
      <c r="C663" s="6" t="s">
        <v>5992</v>
      </c>
      <c r="D663" s="7" t="s">
        <v>6008</v>
      </c>
      <c r="E663" s="8" t="s">
        <v>13011</v>
      </c>
      <c r="F663" s="4">
        <v>43291.402881944443</v>
      </c>
      <c r="G663" s="17" t="s">
        <v>13000</v>
      </c>
      <c r="H663" s="35" t="s">
        <v>5994</v>
      </c>
      <c r="I663" s="10" t="s">
        <v>5995</v>
      </c>
    </row>
    <row r="664" spans="1:9" s="31" customFormat="1" ht="90">
      <c r="A664" s="4">
        <v>43565.59646990741</v>
      </c>
      <c r="B664" s="5" t="s">
        <v>13803</v>
      </c>
      <c r="C664" s="6" t="s">
        <v>5992</v>
      </c>
      <c r="D664" s="7" t="s">
        <v>6009</v>
      </c>
      <c r="E664" s="8" t="s">
        <v>13011</v>
      </c>
      <c r="F664" s="4">
        <v>43291.402881944443</v>
      </c>
      <c r="G664" s="17" t="s">
        <v>13000</v>
      </c>
      <c r="H664" s="35" t="s">
        <v>5994</v>
      </c>
      <c r="I664" s="10" t="s">
        <v>5995</v>
      </c>
    </row>
    <row r="665" spans="1:9" s="31" customFormat="1" ht="90">
      <c r="A665" s="4">
        <v>43565.592835648145</v>
      </c>
      <c r="B665" s="5" t="s">
        <v>13803</v>
      </c>
      <c r="C665" s="6" t="s">
        <v>5992</v>
      </c>
      <c r="D665" s="7" t="s">
        <v>6011</v>
      </c>
      <c r="E665" s="8" t="s">
        <v>13011</v>
      </c>
      <c r="F665" s="4">
        <v>43291.402881944443</v>
      </c>
      <c r="G665" s="17" t="s">
        <v>13000</v>
      </c>
      <c r="H665" s="35" t="s">
        <v>5994</v>
      </c>
      <c r="I665" s="10" t="s">
        <v>5995</v>
      </c>
    </row>
    <row r="666" spans="1:9" s="31" customFormat="1" ht="90">
      <c r="A666" s="4">
        <v>43565.591898148152</v>
      </c>
      <c r="B666" s="5" t="s">
        <v>13803</v>
      </c>
      <c r="C666" s="6" t="s">
        <v>5992</v>
      </c>
      <c r="D666" s="7" t="s">
        <v>6012</v>
      </c>
      <c r="E666" s="8" t="s">
        <v>13011</v>
      </c>
      <c r="F666" s="4">
        <v>43291.402881944443</v>
      </c>
      <c r="G666" s="17" t="s">
        <v>13000</v>
      </c>
      <c r="H666" s="35" t="s">
        <v>5994</v>
      </c>
      <c r="I666" s="10" t="s">
        <v>5995</v>
      </c>
    </row>
    <row r="667" spans="1:9" s="31" customFormat="1" ht="90">
      <c r="A667" s="12">
        <v>43570.424907407403</v>
      </c>
      <c r="B667" s="13" t="s">
        <v>13804</v>
      </c>
      <c r="C667" s="14" t="s">
        <v>4162</v>
      </c>
      <c r="D667" s="15" t="s">
        <v>4163</v>
      </c>
      <c r="E667" s="16" t="s">
        <v>13009</v>
      </c>
      <c r="F667" s="12">
        <v>42842.632951388892</v>
      </c>
      <c r="G667" s="17" t="s">
        <v>13000</v>
      </c>
      <c r="H667" s="35" t="s">
        <v>4164</v>
      </c>
      <c r="I667" s="18" t="s">
        <v>4165</v>
      </c>
    </row>
    <row r="668" spans="1:9" s="31" customFormat="1" ht="75">
      <c r="A668" s="12">
        <v>43570.442511574074</v>
      </c>
      <c r="B668" s="13" t="s">
        <v>13805</v>
      </c>
      <c r="C668" s="14" t="s">
        <v>4147</v>
      </c>
      <c r="D668" s="15" t="s">
        <v>4148</v>
      </c>
      <c r="E668" s="16" t="s">
        <v>13011</v>
      </c>
      <c r="F668" s="12">
        <v>41935.388877314814</v>
      </c>
      <c r="G668" s="17" t="s">
        <v>13000</v>
      </c>
      <c r="H668" s="35" t="s">
        <v>4149</v>
      </c>
      <c r="I668" s="18" t="s">
        <v>4150</v>
      </c>
    </row>
    <row r="669" spans="1:9" s="31" customFormat="1" ht="75">
      <c r="A669" s="19">
        <v>43548.359375</v>
      </c>
      <c r="B669" s="20" t="s">
        <v>13806</v>
      </c>
      <c r="C669" s="21" t="s">
        <v>8341</v>
      </c>
      <c r="D669" s="22" t="s">
        <v>8342</v>
      </c>
      <c r="E669" s="23" t="s">
        <v>13006</v>
      </c>
      <c r="F669" s="19">
        <v>39940.200497685189</v>
      </c>
      <c r="G669" s="24" t="s">
        <v>13000</v>
      </c>
      <c r="H669" s="35" t="s">
        <v>8343</v>
      </c>
      <c r="I669" s="25" t="s">
        <v>8344</v>
      </c>
    </row>
    <row r="670" spans="1:9" s="31" customFormat="1" ht="105">
      <c r="A670" s="4">
        <v>43557.587835648148</v>
      </c>
      <c r="B670" s="5" t="s">
        <v>13807</v>
      </c>
      <c r="C670" s="6" t="s">
        <v>12450</v>
      </c>
      <c r="D670" s="7" t="s">
        <v>12451</v>
      </c>
      <c r="E670" s="8" t="s">
        <v>13011</v>
      </c>
      <c r="F670" s="4">
        <v>40386.549375000002</v>
      </c>
      <c r="G670" s="24" t="s">
        <v>13000</v>
      </c>
      <c r="H670" s="35" t="s">
        <v>12452</v>
      </c>
      <c r="I670" s="10" t="s">
        <v>12453</v>
      </c>
    </row>
    <row r="671" spans="1:9" s="31" customFormat="1" ht="120">
      <c r="A671" s="19">
        <v>43550.766747685186</v>
      </c>
      <c r="B671" s="20" t="s">
        <v>13808</v>
      </c>
      <c r="C671" s="21" t="s">
        <v>7513</v>
      </c>
      <c r="D671" s="22" t="s">
        <v>7514</v>
      </c>
      <c r="E671" s="23" t="s">
        <v>13015</v>
      </c>
      <c r="F671" s="19">
        <v>43522.206446759257</v>
      </c>
      <c r="G671" s="17" t="s">
        <v>13000</v>
      </c>
      <c r="H671" s="35" t="s">
        <v>7515</v>
      </c>
      <c r="I671" s="25" t="s">
        <v>7516</v>
      </c>
    </row>
    <row r="672" spans="1:9" s="31" customFormat="1" ht="120">
      <c r="A672" s="4">
        <v>43561.139085648145</v>
      </c>
      <c r="B672" s="5" t="s">
        <v>13809</v>
      </c>
      <c r="C672" s="6" t="s">
        <v>11054</v>
      </c>
      <c r="D672" s="7" t="s">
        <v>11055</v>
      </c>
      <c r="E672" s="8" t="s">
        <v>13013</v>
      </c>
      <c r="F672" s="4">
        <v>39704.423611111109</v>
      </c>
      <c r="G672" s="17" t="s">
        <v>13000</v>
      </c>
      <c r="H672" s="35" t="s">
        <v>7515</v>
      </c>
      <c r="I672" s="10" t="s">
        <v>11056</v>
      </c>
    </row>
    <row r="673" spans="1:9" s="31" customFormat="1" ht="60">
      <c r="A673" s="4">
        <v>43560.401388888888</v>
      </c>
      <c r="B673" s="5" t="s">
        <v>13810</v>
      </c>
      <c r="C673" s="6" t="s">
        <v>11406</v>
      </c>
      <c r="D673" s="7" t="s">
        <v>11407</v>
      </c>
      <c r="E673" s="8" t="s">
        <v>13032</v>
      </c>
      <c r="F673" s="4">
        <v>41055.373564814814</v>
      </c>
      <c r="G673" s="17" t="s">
        <v>13000</v>
      </c>
      <c r="H673" s="35" t="s">
        <v>7515</v>
      </c>
      <c r="I673" s="10" t="s">
        <v>11408</v>
      </c>
    </row>
    <row r="674" spans="1:9" s="31" customFormat="1" ht="105">
      <c r="A674" s="19">
        <v>43546.649618055555</v>
      </c>
      <c r="B674" s="20" t="s">
        <v>13811</v>
      </c>
      <c r="C674" s="21" t="s">
        <v>2666</v>
      </c>
      <c r="D674" s="22" t="s">
        <v>2667</v>
      </c>
      <c r="E674" s="23" t="s">
        <v>13812</v>
      </c>
      <c r="F674" s="19">
        <v>39902.430555555555</v>
      </c>
      <c r="G674" s="17" t="s">
        <v>13000</v>
      </c>
      <c r="H674" s="35" t="s">
        <v>1598</v>
      </c>
      <c r="I674" s="25" t="s">
        <v>2668</v>
      </c>
    </row>
    <row r="675" spans="1:9" s="31" customFormat="1" ht="120">
      <c r="A675" s="19">
        <v>43546.37501157407</v>
      </c>
      <c r="B675" s="20" t="s">
        <v>13813</v>
      </c>
      <c r="C675" s="21" t="s">
        <v>1596</v>
      </c>
      <c r="D675" s="22" t="s">
        <v>8881</v>
      </c>
      <c r="E675" s="23" t="s">
        <v>13120</v>
      </c>
      <c r="F675" s="19">
        <v>42696.3441087963</v>
      </c>
      <c r="G675" s="17" t="s">
        <v>13000</v>
      </c>
      <c r="H675" s="35" t="s">
        <v>1598</v>
      </c>
      <c r="I675" s="25" t="s">
        <v>1599</v>
      </c>
    </row>
    <row r="676" spans="1:9" s="31" customFormat="1" ht="120">
      <c r="A676" s="19">
        <v>43545.25</v>
      </c>
      <c r="B676" s="20" t="s">
        <v>13813</v>
      </c>
      <c r="C676" s="21" t="s">
        <v>1596</v>
      </c>
      <c r="D676" s="22" t="s">
        <v>9239</v>
      </c>
      <c r="E676" s="23" t="s">
        <v>13120</v>
      </c>
      <c r="F676" s="19">
        <v>42696.3441087963</v>
      </c>
      <c r="G676" s="17" t="s">
        <v>13000</v>
      </c>
      <c r="H676" s="35" t="s">
        <v>1598</v>
      </c>
      <c r="I676" s="25" t="s">
        <v>1599</v>
      </c>
    </row>
    <row r="677" spans="1:9" s="31" customFormat="1" ht="105">
      <c r="A677" s="19">
        <v>43544.346932870365</v>
      </c>
      <c r="B677" s="20" t="s">
        <v>13814</v>
      </c>
      <c r="C677" s="21" t="s">
        <v>3306</v>
      </c>
      <c r="D677" s="22" t="s">
        <v>9505</v>
      </c>
      <c r="E677" s="23" t="s">
        <v>13013</v>
      </c>
      <c r="F677" s="19">
        <v>42715.351365740746</v>
      </c>
      <c r="G677" s="17" t="s">
        <v>13000</v>
      </c>
      <c r="H677" s="35" t="s">
        <v>1598</v>
      </c>
      <c r="I677" s="25" t="s">
        <v>3308</v>
      </c>
    </row>
    <row r="678" spans="1:9" s="31" customFormat="1" ht="135">
      <c r="A678" s="19">
        <v>43544.322442129633</v>
      </c>
      <c r="B678" s="20" t="s">
        <v>13815</v>
      </c>
      <c r="C678" s="21" t="s">
        <v>9525</v>
      </c>
      <c r="D678" s="22" t="s">
        <v>9526</v>
      </c>
      <c r="E678" s="23" t="s">
        <v>13479</v>
      </c>
      <c r="F678" s="19">
        <v>41652.639594907407</v>
      </c>
      <c r="G678" s="17" t="s">
        <v>13000</v>
      </c>
      <c r="H678" s="35" t="s">
        <v>1598</v>
      </c>
      <c r="I678" s="25" t="s">
        <v>9527</v>
      </c>
    </row>
    <row r="679" spans="1:9" s="31" customFormat="1" ht="105">
      <c r="A679" s="19">
        <v>43543.524664351848</v>
      </c>
      <c r="B679" s="20" t="s">
        <v>13811</v>
      </c>
      <c r="C679" s="21" t="s">
        <v>2666</v>
      </c>
      <c r="D679" s="22" t="s">
        <v>3892</v>
      </c>
      <c r="E679" s="23" t="s">
        <v>13812</v>
      </c>
      <c r="F679" s="19">
        <v>39902.430555555555</v>
      </c>
      <c r="G679" s="17" t="s">
        <v>13000</v>
      </c>
      <c r="H679" s="35" t="s">
        <v>1598</v>
      </c>
      <c r="I679" s="25" t="s">
        <v>2668</v>
      </c>
    </row>
    <row r="680" spans="1:9" s="31" customFormat="1" ht="105">
      <c r="A680" s="4">
        <v>43560.399606481486</v>
      </c>
      <c r="B680" s="5" t="s">
        <v>13811</v>
      </c>
      <c r="C680" s="6" t="s">
        <v>2666</v>
      </c>
      <c r="D680" s="7" t="s">
        <v>2667</v>
      </c>
      <c r="E680" s="8" t="s">
        <v>13812</v>
      </c>
      <c r="F680" s="4">
        <v>39902.430555555555</v>
      </c>
      <c r="G680" s="17" t="s">
        <v>13000</v>
      </c>
      <c r="H680" s="35" t="s">
        <v>1598</v>
      </c>
      <c r="I680" s="10" t="s">
        <v>2668</v>
      </c>
    </row>
    <row r="681" spans="1:9" s="31" customFormat="1" ht="105">
      <c r="A681" s="4">
        <v>43557.439780092594</v>
      </c>
      <c r="B681" s="5" t="s">
        <v>13814</v>
      </c>
      <c r="C681" s="6" t="s">
        <v>3306</v>
      </c>
      <c r="D681" s="7" t="s">
        <v>12512</v>
      </c>
      <c r="E681" s="8" t="s">
        <v>13013</v>
      </c>
      <c r="F681" s="4">
        <v>42715.351365740746</v>
      </c>
      <c r="G681" s="17" t="s">
        <v>13000</v>
      </c>
      <c r="H681" s="35" t="s">
        <v>1598</v>
      </c>
      <c r="I681" s="10" t="s">
        <v>3308</v>
      </c>
    </row>
    <row r="682" spans="1:9" s="31" customFormat="1" ht="105">
      <c r="A682" s="4">
        <v>43557.274351851855</v>
      </c>
      <c r="B682" s="5" t="s">
        <v>13811</v>
      </c>
      <c r="C682" s="6" t="s">
        <v>2666</v>
      </c>
      <c r="D682" s="7" t="s">
        <v>3892</v>
      </c>
      <c r="E682" s="8" t="s">
        <v>13812</v>
      </c>
      <c r="F682" s="4">
        <v>39902.430555555555</v>
      </c>
      <c r="G682" s="17" t="s">
        <v>13000</v>
      </c>
      <c r="H682" s="35" t="s">
        <v>1598</v>
      </c>
      <c r="I682" s="10" t="s">
        <v>2668</v>
      </c>
    </row>
    <row r="683" spans="1:9" s="31" customFormat="1" ht="120">
      <c r="A683" s="12">
        <v>43577.5</v>
      </c>
      <c r="B683" s="13" t="s">
        <v>13813</v>
      </c>
      <c r="C683" s="14" t="s">
        <v>1596</v>
      </c>
      <c r="D683" s="15" t="s">
        <v>1597</v>
      </c>
      <c r="E683" s="16" t="s">
        <v>13120</v>
      </c>
      <c r="F683" s="12">
        <v>42696.3441087963</v>
      </c>
      <c r="G683" s="17" t="s">
        <v>13000</v>
      </c>
      <c r="H683" s="35" t="s">
        <v>1598</v>
      </c>
      <c r="I683" s="18" t="s">
        <v>1599</v>
      </c>
    </row>
    <row r="684" spans="1:9" s="31" customFormat="1" ht="60">
      <c r="A684" s="12">
        <v>43576.674432870372</v>
      </c>
      <c r="B684" s="13" t="s">
        <v>13816</v>
      </c>
      <c r="C684" s="14" t="s">
        <v>1869</v>
      </c>
      <c r="D684" s="15" t="s">
        <v>1870</v>
      </c>
      <c r="E684" s="16" t="s">
        <v>13032</v>
      </c>
      <c r="F684" s="12">
        <v>43376.38998842593</v>
      </c>
      <c r="G684" s="17" t="s">
        <v>13000</v>
      </c>
      <c r="H684" s="35" t="s">
        <v>1598</v>
      </c>
      <c r="I684" s="18" t="s">
        <v>1871</v>
      </c>
    </row>
    <row r="685" spans="1:9" s="31" customFormat="1" ht="105">
      <c r="A685" s="12">
        <v>43574.149710648147</v>
      </c>
      <c r="B685" s="13" t="s">
        <v>13811</v>
      </c>
      <c r="C685" s="14" t="s">
        <v>2666</v>
      </c>
      <c r="D685" s="15" t="s">
        <v>2667</v>
      </c>
      <c r="E685" s="16" t="s">
        <v>13812</v>
      </c>
      <c r="F685" s="12">
        <v>39902.430555555555</v>
      </c>
      <c r="G685" s="17" t="s">
        <v>13000</v>
      </c>
      <c r="H685" s="35" t="s">
        <v>1598</v>
      </c>
      <c r="I685" s="18" t="s">
        <v>2668</v>
      </c>
    </row>
    <row r="686" spans="1:9" s="31" customFormat="1" ht="105">
      <c r="A686" s="12">
        <v>43572.347951388889</v>
      </c>
      <c r="B686" s="13" t="s">
        <v>13814</v>
      </c>
      <c r="C686" s="14" t="s">
        <v>3306</v>
      </c>
      <c r="D686" s="15" t="s">
        <v>3307</v>
      </c>
      <c r="E686" s="16" t="s">
        <v>13013</v>
      </c>
      <c r="F686" s="12">
        <v>42715.351365740746</v>
      </c>
      <c r="G686" s="17" t="s">
        <v>13000</v>
      </c>
      <c r="H686" s="35" t="s">
        <v>1598</v>
      </c>
      <c r="I686" s="18" t="s">
        <v>3308</v>
      </c>
    </row>
    <row r="687" spans="1:9" s="31" customFormat="1" ht="90">
      <c r="A687" s="12">
        <v>43571.598726851851</v>
      </c>
      <c r="B687" s="13" t="s">
        <v>13817</v>
      </c>
      <c r="C687" s="14" t="s">
        <v>3625</v>
      </c>
      <c r="D687" s="15" t="s">
        <v>3626</v>
      </c>
      <c r="E687" s="16" t="s">
        <v>13009</v>
      </c>
      <c r="F687" s="12">
        <v>40985.421377314815</v>
      </c>
      <c r="G687" s="17" t="s">
        <v>13000</v>
      </c>
      <c r="H687" s="35" t="s">
        <v>1598</v>
      </c>
      <c r="I687" s="18" t="s">
        <v>3627</v>
      </c>
    </row>
    <row r="688" spans="1:9" s="31" customFormat="1" ht="105">
      <c r="A688" s="12">
        <v>43571.024328703701</v>
      </c>
      <c r="B688" s="13" t="s">
        <v>13811</v>
      </c>
      <c r="C688" s="14" t="s">
        <v>2666</v>
      </c>
      <c r="D688" s="15" t="s">
        <v>3892</v>
      </c>
      <c r="E688" s="16" t="s">
        <v>13812</v>
      </c>
      <c r="F688" s="12">
        <v>39902.430555555555</v>
      </c>
      <c r="G688" s="17" t="s">
        <v>13000</v>
      </c>
      <c r="H688" s="35" t="s">
        <v>1598</v>
      </c>
      <c r="I688" s="18" t="s">
        <v>2668</v>
      </c>
    </row>
    <row r="689" spans="1:9" s="31" customFormat="1" ht="45">
      <c r="A689" s="12">
        <v>43570.973356481481</v>
      </c>
      <c r="B689" s="13" t="s">
        <v>13818</v>
      </c>
      <c r="C689" s="14" t="s">
        <v>3912</v>
      </c>
      <c r="D689" s="15" t="s">
        <v>3913</v>
      </c>
      <c r="E689" s="16" t="s">
        <v>13011</v>
      </c>
      <c r="F689" s="12">
        <v>41077.532696759255</v>
      </c>
      <c r="G689" s="17" t="s">
        <v>13000</v>
      </c>
      <c r="H689" s="35" t="s">
        <v>1598</v>
      </c>
      <c r="I689" s="18" t="s">
        <v>3914</v>
      </c>
    </row>
    <row r="690" spans="1:9" s="31" customFormat="1" ht="45">
      <c r="A690" s="12">
        <v>43569.367627314816</v>
      </c>
      <c r="B690" s="13" t="s">
        <v>13819</v>
      </c>
      <c r="C690" s="14" t="s">
        <v>4532</v>
      </c>
      <c r="D690" s="15" t="s">
        <v>4533</v>
      </c>
      <c r="E690" s="16" t="s">
        <v>13009</v>
      </c>
      <c r="F690" s="12">
        <v>39917.034837962965</v>
      </c>
      <c r="G690" s="17" t="s">
        <v>13000</v>
      </c>
      <c r="H690" s="35" t="s">
        <v>1598</v>
      </c>
      <c r="I690" s="18" t="s">
        <v>4534</v>
      </c>
    </row>
    <row r="691" spans="1:9" s="31" customFormat="1" ht="120">
      <c r="A691" s="12">
        <v>43567.541678240741</v>
      </c>
      <c r="B691" s="13" t="s">
        <v>13813</v>
      </c>
      <c r="C691" s="14" t="s">
        <v>1596</v>
      </c>
      <c r="D691" s="15" t="s">
        <v>5062</v>
      </c>
      <c r="E691" s="16" t="s">
        <v>13120</v>
      </c>
      <c r="F691" s="12">
        <v>42696.3441087963</v>
      </c>
      <c r="G691" s="17" t="s">
        <v>13000</v>
      </c>
      <c r="H691" s="35" t="s">
        <v>1598</v>
      </c>
      <c r="I691" s="18" t="s">
        <v>1599</v>
      </c>
    </row>
    <row r="692" spans="1:9" s="31" customFormat="1" ht="105">
      <c r="A692" s="4">
        <v>43565.786643518513</v>
      </c>
      <c r="B692" s="5" t="s">
        <v>13820</v>
      </c>
      <c r="C692" s="6" t="s">
        <v>5899</v>
      </c>
      <c r="D692" s="7" t="s">
        <v>5900</v>
      </c>
      <c r="E692" s="8" t="s">
        <v>13011</v>
      </c>
      <c r="F692" s="4">
        <v>42838.225856481484</v>
      </c>
      <c r="G692" s="24" t="s">
        <v>13000</v>
      </c>
      <c r="H692" s="35" t="s">
        <v>5901</v>
      </c>
      <c r="I692" s="10" t="s">
        <v>5902</v>
      </c>
    </row>
    <row r="693" spans="1:9" s="31" customFormat="1" ht="45">
      <c r="A693" s="4">
        <v>43562.59175925926</v>
      </c>
      <c r="B693" s="5" t="s">
        <v>13821</v>
      </c>
      <c r="C693" s="6" t="s">
        <v>10642</v>
      </c>
      <c r="D693" s="7" t="s">
        <v>10643</v>
      </c>
      <c r="E693" s="8" t="s">
        <v>13032</v>
      </c>
      <c r="F693" s="4">
        <v>41242.757256944446</v>
      </c>
      <c r="G693" s="24" t="s">
        <v>13000</v>
      </c>
      <c r="H693" s="35" t="s">
        <v>10644</v>
      </c>
      <c r="I693" s="10"/>
    </row>
    <row r="694" spans="1:9" s="31" customFormat="1" ht="90">
      <c r="A694" s="12">
        <v>43570.35527777778</v>
      </c>
      <c r="B694" s="13" t="s">
        <v>13822</v>
      </c>
      <c r="C694" s="14" t="s">
        <v>4207</v>
      </c>
      <c r="D694" s="15" t="s">
        <v>4208</v>
      </c>
      <c r="E694" s="16" t="s">
        <v>13009</v>
      </c>
      <c r="F694" s="12">
        <v>42368.337500000001</v>
      </c>
      <c r="G694" s="24" t="s">
        <v>13000</v>
      </c>
      <c r="H694" s="35" t="s">
        <v>4209</v>
      </c>
      <c r="I694" s="18" t="s">
        <v>4210</v>
      </c>
    </row>
    <row r="695" spans="1:9" s="31" customFormat="1" ht="105">
      <c r="A695" s="4">
        <v>43560.444189814814</v>
      </c>
      <c r="B695" s="5" t="s">
        <v>13823</v>
      </c>
      <c r="C695" s="6" t="s">
        <v>11365</v>
      </c>
      <c r="D695" s="7" t="s">
        <v>11366</v>
      </c>
      <c r="E695" s="8" t="s">
        <v>13009</v>
      </c>
      <c r="F695" s="4">
        <v>42068.795775462961</v>
      </c>
      <c r="G695" s="24" t="s">
        <v>13000</v>
      </c>
      <c r="H695" s="35" t="s">
        <v>11367</v>
      </c>
      <c r="I695" s="10" t="s">
        <v>11368</v>
      </c>
    </row>
    <row r="696" spans="1:9" s="31" customFormat="1" ht="105">
      <c r="A696" s="12">
        <v>43575.287407407406</v>
      </c>
      <c r="B696" s="13" t="s">
        <v>13824</v>
      </c>
      <c r="C696" s="14" t="s">
        <v>2309</v>
      </c>
      <c r="D696" s="15" t="s">
        <v>2310</v>
      </c>
      <c r="E696" s="16" t="s">
        <v>13099</v>
      </c>
      <c r="F696" s="12">
        <v>41427.660821759258</v>
      </c>
      <c r="G696" s="24" t="s">
        <v>13000</v>
      </c>
      <c r="H696" s="35" t="s">
        <v>2311</v>
      </c>
      <c r="I696" s="18" t="s">
        <v>2312</v>
      </c>
    </row>
    <row r="697" spans="1:9" s="31" customFormat="1" ht="75">
      <c r="A697" s="12">
        <v>43566.500532407408</v>
      </c>
      <c r="B697" s="13" t="s">
        <v>13825</v>
      </c>
      <c r="C697" s="14" t="s">
        <v>5475</v>
      </c>
      <c r="D697" s="15" t="s">
        <v>5476</v>
      </c>
      <c r="E697" s="16" t="s">
        <v>13826</v>
      </c>
      <c r="F697" s="12">
        <v>41448.774247685185</v>
      </c>
      <c r="G697" s="24" t="s">
        <v>13000</v>
      </c>
      <c r="H697" s="35" t="s">
        <v>5477</v>
      </c>
      <c r="I697" s="18" t="s">
        <v>5478</v>
      </c>
    </row>
    <row r="698" spans="1:9" s="31" customFormat="1" ht="105">
      <c r="A698" s="12">
        <v>43570.41805555555</v>
      </c>
      <c r="B698" s="13" t="s">
        <v>13827</v>
      </c>
      <c r="C698" s="14" t="s">
        <v>2849</v>
      </c>
      <c r="D698" s="15" t="s">
        <v>4167</v>
      </c>
      <c r="E698" s="16" t="s">
        <v>13120</v>
      </c>
      <c r="F698" s="12">
        <v>40042.708391203705</v>
      </c>
      <c r="G698" s="17" t="s">
        <v>13000</v>
      </c>
      <c r="H698" s="35" t="s">
        <v>4168</v>
      </c>
      <c r="I698" s="18" t="s">
        <v>4169</v>
      </c>
    </row>
    <row r="699" spans="1:9" s="31" customFormat="1" ht="105">
      <c r="A699" s="19">
        <v>43546.967175925922</v>
      </c>
      <c r="B699" s="20" t="s">
        <v>13828</v>
      </c>
      <c r="C699" s="21" t="s">
        <v>8691</v>
      </c>
      <c r="D699" s="22" t="s">
        <v>8692</v>
      </c>
      <c r="E699" s="23" t="s">
        <v>13011</v>
      </c>
      <c r="F699" s="19">
        <v>43445.879930555559</v>
      </c>
      <c r="G699" s="17" t="s">
        <v>13000</v>
      </c>
      <c r="H699" s="35" t="s">
        <v>8693</v>
      </c>
      <c r="I699" s="25" t="s">
        <v>8694</v>
      </c>
    </row>
    <row r="700" spans="1:9" s="31" customFormat="1" ht="105">
      <c r="A700" s="19">
        <v>43549.450543981482</v>
      </c>
      <c r="B700" s="20" t="s">
        <v>13829</v>
      </c>
      <c r="C700" s="21" t="s">
        <v>8027</v>
      </c>
      <c r="D700" s="22" t="s">
        <v>8028</v>
      </c>
      <c r="E700" s="23" t="s">
        <v>13011</v>
      </c>
      <c r="F700" s="19">
        <v>43493.629791666666</v>
      </c>
      <c r="G700" s="24" t="s">
        <v>13000</v>
      </c>
      <c r="H700" s="35" t="s">
        <v>8029</v>
      </c>
      <c r="I700" s="25" t="s">
        <v>8030</v>
      </c>
    </row>
    <row r="701" spans="1:9" s="31" customFormat="1" ht="105">
      <c r="A701" s="19">
        <v>43546.434027777781</v>
      </c>
      <c r="B701" s="20" t="s">
        <v>13829</v>
      </c>
      <c r="C701" s="21" t="s">
        <v>8027</v>
      </c>
      <c r="D701" s="22" t="s">
        <v>8848</v>
      </c>
      <c r="E701" s="23" t="s">
        <v>13011</v>
      </c>
      <c r="F701" s="19">
        <v>43493.629791666666</v>
      </c>
      <c r="G701" s="24" t="s">
        <v>13000</v>
      </c>
      <c r="H701" s="35" t="s">
        <v>8029</v>
      </c>
      <c r="I701" s="25" t="s">
        <v>8030</v>
      </c>
    </row>
    <row r="702" spans="1:9" s="31" customFormat="1" ht="105">
      <c r="A702" s="19">
        <v>43544.450439814813</v>
      </c>
      <c r="B702" s="20" t="s">
        <v>13829</v>
      </c>
      <c r="C702" s="21" t="s">
        <v>8027</v>
      </c>
      <c r="D702" s="22" t="s">
        <v>9460</v>
      </c>
      <c r="E702" s="23" t="s">
        <v>13011</v>
      </c>
      <c r="F702" s="19">
        <v>43493.629791666666</v>
      </c>
      <c r="G702" s="24" t="s">
        <v>13000</v>
      </c>
      <c r="H702" s="35" t="s">
        <v>8029</v>
      </c>
      <c r="I702" s="25" t="s">
        <v>8030</v>
      </c>
    </row>
    <row r="703" spans="1:9" s="31" customFormat="1" ht="105">
      <c r="A703" s="19">
        <v>43544.397326388891</v>
      </c>
      <c r="B703" s="20" t="s">
        <v>13829</v>
      </c>
      <c r="C703" s="21" t="s">
        <v>8027</v>
      </c>
      <c r="D703" s="22" t="s">
        <v>9488</v>
      </c>
      <c r="E703" s="23" t="s">
        <v>13011</v>
      </c>
      <c r="F703" s="19">
        <v>43493.629791666666</v>
      </c>
      <c r="G703" s="24" t="s">
        <v>13000</v>
      </c>
      <c r="H703" s="35" t="s">
        <v>8029</v>
      </c>
      <c r="I703" s="25" t="s">
        <v>8030</v>
      </c>
    </row>
    <row r="704" spans="1:9" s="31" customFormat="1" ht="105">
      <c r="A704" s="19">
        <v>43544.33766203704</v>
      </c>
      <c r="B704" s="20" t="s">
        <v>13829</v>
      </c>
      <c r="C704" s="21" t="s">
        <v>8027</v>
      </c>
      <c r="D704" s="22" t="s">
        <v>9516</v>
      </c>
      <c r="E704" s="23" t="s">
        <v>13011</v>
      </c>
      <c r="F704" s="19">
        <v>43493.629791666666</v>
      </c>
      <c r="G704" s="24" t="s">
        <v>13000</v>
      </c>
      <c r="H704" s="35" t="s">
        <v>8029</v>
      </c>
      <c r="I704" s="25" t="s">
        <v>8030</v>
      </c>
    </row>
    <row r="705" spans="1:9" s="31" customFormat="1" ht="105">
      <c r="A705" s="19">
        <v>43544.291261574079</v>
      </c>
      <c r="B705" s="20" t="s">
        <v>13829</v>
      </c>
      <c r="C705" s="21" t="s">
        <v>8027</v>
      </c>
      <c r="D705" s="22" t="s">
        <v>9551</v>
      </c>
      <c r="E705" s="23" t="s">
        <v>13011</v>
      </c>
      <c r="F705" s="19">
        <v>43493.629791666666</v>
      </c>
      <c r="G705" s="24" t="s">
        <v>13000</v>
      </c>
      <c r="H705" s="35" t="s">
        <v>8029</v>
      </c>
      <c r="I705" s="25" t="s">
        <v>8030</v>
      </c>
    </row>
    <row r="706" spans="1:9" s="31" customFormat="1" ht="105">
      <c r="A706" s="19">
        <v>43543.587083333332</v>
      </c>
      <c r="B706" s="20" t="s">
        <v>13829</v>
      </c>
      <c r="C706" s="21" t="s">
        <v>8027</v>
      </c>
      <c r="D706" s="22" t="s">
        <v>9748</v>
      </c>
      <c r="E706" s="23" t="s">
        <v>13011</v>
      </c>
      <c r="F706" s="19">
        <v>43493.629791666666</v>
      </c>
      <c r="G706" s="24" t="s">
        <v>13000</v>
      </c>
      <c r="H706" s="35" t="s">
        <v>8029</v>
      </c>
      <c r="I706" s="25" t="s">
        <v>8030</v>
      </c>
    </row>
    <row r="707" spans="1:9" s="31" customFormat="1" ht="105">
      <c r="A707" s="19">
        <v>43543.446979166663</v>
      </c>
      <c r="B707" s="20" t="s">
        <v>13829</v>
      </c>
      <c r="C707" s="21" t="s">
        <v>8027</v>
      </c>
      <c r="D707" s="22" t="s">
        <v>9792</v>
      </c>
      <c r="E707" s="23" t="s">
        <v>13011</v>
      </c>
      <c r="F707" s="19">
        <v>43493.629791666666</v>
      </c>
      <c r="G707" s="24" t="s">
        <v>13000</v>
      </c>
      <c r="H707" s="35" t="s">
        <v>8029</v>
      </c>
      <c r="I707" s="25" t="s">
        <v>8030</v>
      </c>
    </row>
    <row r="708" spans="1:9" s="31" customFormat="1" ht="105">
      <c r="A708" s="19">
        <v>43543.389606481476</v>
      </c>
      <c r="B708" s="20" t="s">
        <v>13829</v>
      </c>
      <c r="C708" s="21" t="s">
        <v>8027</v>
      </c>
      <c r="D708" s="22" t="s">
        <v>9832</v>
      </c>
      <c r="E708" s="23" t="s">
        <v>13011</v>
      </c>
      <c r="F708" s="19">
        <v>43493.629791666666</v>
      </c>
      <c r="G708" s="24" t="s">
        <v>13000</v>
      </c>
      <c r="H708" s="35" t="s">
        <v>8029</v>
      </c>
      <c r="I708" s="25" t="s">
        <v>8030</v>
      </c>
    </row>
    <row r="709" spans="1:9" s="31" customFormat="1" ht="105">
      <c r="A709" s="12">
        <v>43566.781701388885</v>
      </c>
      <c r="B709" s="13" t="s">
        <v>13830</v>
      </c>
      <c r="C709" s="14" t="s">
        <v>5341</v>
      </c>
      <c r="D709" s="15" t="s">
        <v>5342</v>
      </c>
      <c r="E709" s="16" t="s">
        <v>13011</v>
      </c>
      <c r="F709" s="12">
        <v>43478.322430555556</v>
      </c>
      <c r="G709" s="17" t="s">
        <v>13000</v>
      </c>
      <c r="H709" s="35" t="s">
        <v>5343</v>
      </c>
      <c r="I709" s="18" t="s">
        <v>5344</v>
      </c>
    </row>
    <row r="710" spans="1:9" s="31" customFormat="1" ht="45">
      <c r="A710" s="12">
        <v>43579.336805555555</v>
      </c>
      <c r="B710" s="13" t="s">
        <v>13831</v>
      </c>
      <c r="C710" s="14" t="s">
        <v>756</v>
      </c>
      <c r="D710" s="15" t="s">
        <v>757</v>
      </c>
      <c r="E710" s="16" t="s">
        <v>13006</v>
      </c>
      <c r="F710" s="12">
        <v>39901.533506944441</v>
      </c>
      <c r="G710" s="17" t="s">
        <v>13000</v>
      </c>
      <c r="H710" s="35" t="s">
        <v>758</v>
      </c>
      <c r="I710" s="18" t="s">
        <v>759</v>
      </c>
    </row>
    <row r="711" spans="1:9" s="31" customFormat="1" ht="60">
      <c r="A711" s="12">
        <v>43572.335289351853</v>
      </c>
      <c r="B711" s="13" t="s">
        <v>13831</v>
      </c>
      <c r="C711" s="14" t="s">
        <v>756</v>
      </c>
      <c r="D711" s="15" t="s">
        <v>3323</v>
      </c>
      <c r="E711" s="16" t="s">
        <v>13006</v>
      </c>
      <c r="F711" s="12">
        <v>39901.533506944441</v>
      </c>
      <c r="G711" s="17" t="s">
        <v>13000</v>
      </c>
      <c r="H711" s="35" t="s">
        <v>758</v>
      </c>
      <c r="I711" s="18" t="s">
        <v>759</v>
      </c>
    </row>
    <row r="712" spans="1:9" s="31" customFormat="1" ht="90">
      <c r="A712" s="12">
        <v>43570.139120370368</v>
      </c>
      <c r="B712" s="13" t="s">
        <v>13832</v>
      </c>
      <c r="C712" s="14" t="s">
        <v>4321</v>
      </c>
      <c r="D712" s="15" t="s">
        <v>4322</v>
      </c>
      <c r="E712" s="16" t="s">
        <v>13011</v>
      </c>
      <c r="F712" s="12">
        <v>41347.001805555556</v>
      </c>
      <c r="G712" s="17" t="s">
        <v>13000</v>
      </c>
      <c r="H712" s="35" t="s">
        <v>4323</v>
      </c>
      <c r="I712" s="18" t="s">
        <v>4324</v>
      </c>
    </row>
    <row r="713" spans="1:9" s="31" customFormat="1" ht="75">
      <c r="A713" s="19">
        <v>43544.458958333329</v>
      </c>
      <c r="B713" s="20" t="s">
        <v>13833</v>
      </c>
      <c r="C713" s="21" t="s">
        <v>9456</v>
      </c>
      <c r="D713" s="22" t="s">
        <v>9457</v>
      </c>
      <c r="E713" s="23" t="s">
        <v>13290</v>
      </c>
      <c r="F713" s="19">
        <v>43375.572465277779</v>
      </c>
      <c r="G713" s="17" t="s">
        <v>13000</v>
      </c>
      <c r="H713" s="35" t="s">
        <v>2753</v>
      </c>
      <c r="I713" s="25" t="s">
        <v>9458</v>
      </c>
    </row>
    <row r="714" spans="1:9" s="31" customFormat="1" ht="90">
      <c r="A714" s="12">
        <v>43573.749583333338</v>
      </c>
      <c r="B714" s="13" t="s">
        <v>13834</v>
      </c>
      <c r="C714" s="14" t="s">
        <v>2751</v>
      </c>
      <c r="D714" s="15" t="s">
        <v>2752</v>
      </c>
      <c r="E714" s="16" t="s">
        <v>13009</v>
      </c>
      <c r="F714" s="12">
        <v>43485.526701388888</v>
      </c>
      <c r="G714" s="17" t="s">
        <v>13000</v>
      </c>
      <c r="H714" s="35" t="s">
        <v>2753</v>
      </c>
      <c r="I714" s="18" t="s">
        <v>2754</v>
      </c>
    </row>
    <row r="715" spans="1:9" s="31" customFormat="1" ht="90">
      <c r="A715" s="12">
        <v>43573.672222222223</v>
      </c>
      <c r="B715" s="13" t="s">
        <v>13835</v>
      </c>
      <c r="C715" s="14" t="s">
        <v>2771</v>
      </c>
      <c r="D715" s="15" t="s">
        <v>2772</v>
      </c>
      <c r="E715" s="16" t="s">
        <v>13411</v>
      </c>
      <c r="F715" s="12">
        <v>39995.329594907409</v>
      </c>
      <c r="G715" s="17" t="s">
        <v>13000</v>
      </c>
      <c r="H715" s="35" t="s">
        <v>2753</v>
      </c>
      <c r="I715" s="18" t="s">
        <v>2773</v>
      </c>
    </row>
    <row r="716" spans="1:9" s="31" customFormat="1" ht="30">
      <c r="A716" s="12">
        <v>43576.618506944447</v>
      </c>
      <c r="B716" s="13" t="s">
        <v>13836</v>
      </c>
      <c r="C716" s="14" t="s">
        <v>1889</v>
      </c>
      <c r="D716" s="15" t="s">
        <v>1890</v>
      </c>
      <c r="E716" s="16" t="s">
        <v>13479</v>
      </c>
      <c r="F716" s="12">
        <v>43283.766215277778</v>
      </c>
      <c r="G716" s="17" t="s">
        <v>13000</v>
      </c>
      <c r="H716" s="35" t="s">
        <v>1891</v>
      </c>
      <c r="I716" s="18"/>
    </row>
    <row r="717" spans="1:9" s="31" customFormat="1" ht="45">
      <c r="A717" s="12">
        <v>43579.458078703705</v>
      </c>
      <c r="B717" s="13" t="s">
        <v>13837</v>
      </c>
      <c r="C717" s="14" t="s">
        <v>650</v>
      </c>
      <c r="D717" s="15" t="s">
        <v>594</v>
      </c>
      <c r="E717" s="16" t="s">
        <v>13009</v>
      </c>
      <c r="F717" s="12">
        <v>40288.386064814811</v>
      </c>
      <c r="G717" s="17" t="s">
        <v>13000</v>
      </c>
      <c r="H717" s="35" t="s">
        <v>651</v>
      </c>
      <c r="I717" s="18" t="s">
        <v>652</v>
      </c>
    </row>
    <row r="718" spans="1:9" s="31" customFormat="1" ht="60">
      <c r="A718" s="19">
        <v>43551.687685185185</v>
      </c>
      <c r="B718" s="20" t="s">
        <v>13838</v>
      </c>
      <c r="C718" s="21" t="s">
        <v>7047</v>
      </c>
      <c r="D718" s="22" t="s">
        <v>7048</v>
      </c>
      <c r="E718" s="23" t="s">
        <v>13032</v>
      </c>
      <c r="F718" s="19">
        <v>39826.377442129626</v>
      </c>
      <c r="G718" s="24" t="s">
        <v>13000</v>
      </c>
      <c r="H718" s="35" t="s">
        <v>7049</v>
      </c>
      <c r="I718" s="25" t="s">
        <v>7050</v>
      </c>
    </row>
    <row r="719" spans="1:9" s="31" customFormat="1" ht="90">
      <c r="A719" s="4">
        <v>43559.458449074074</v>
      </c>
      <c r="B719" s="5" t="s">
        <v>13839</v>
      </c>
      <c r="C719" s="6" t="s">
        <v>11809</v>
      </c>
      <c r="D719" s="7" t="s">
        <v>11810</v>
      </c>
      <c r="E719" s="8" t="s">
        <v>13840</v>
      </c>
      <c r="F719" s="4">
        <v>42934.558425925927</v>
      </c>
      <c r="G719" s="9" t="s">
        <v>13000</v>
      </c>
      <c r="H719" s="35" t="s">
        <v>11811</v>
      </c>
      <c r="I719" s="10" t="s">
        <v>11812</v>
      </c>
    </row>
    <row r="720" spans="1:9" s="31" customFormat="1" ht="30">
      <c r="A720" s="12">
        <v>43566.37091435185</v>
      </c>
      <c r="B720" s="13" t="s">
        <v>13841</v>
      </c>
      <c r="C720" s="14" t="s">
        <v>5601</v>
      </c>
      <c r="D720" s="15" t="s">
        <v>5602</v>
      </c>
      <c r="E720" s="16" t="s">
        <v>13011</v>
      </c>
      <c r="F720" s="12">
        <v>42841.374201388884</v>
      </c>
      <c r="G720" s="17" t="s">
        <v>13000</v>
      </c>
      <c r="H720" s="35" t="s">
        <v>5603</v>
      </c>
      <c r="I720" s="18" t="s">
        <v>5604</v>
      </c>
    </row>
    <row r="721" spans="1:9" s="31" customFormat="1" ht="30">
      <c r="A721" s="12">
        <v>43566.260057870371</v>
      </c>
      <c r="B721" s="13" t="s">
        <v>13842</v>
      </c>
      <c r="C721" s="14" t="s">
        <v>5705</v>
      </c>
      <c r="D721" s="15" t="s">
        <v>5706</v>
      </c>
      <c r="E721" s="16" t="s">
        <v>13009</v>
      </c>
      <c r="F721" s="12">
        <v>42086.3674537037</v>
      </c>
      <c r="G721" s="17" t="s">
        <v>13000</v>
      </c>
      <c r="H721" s="35" t="s">
        <v>5707</v>
      </c>
      <c r="I721" s="18" t="s">
        <v>5708</v>
      </c>
    </row>
    <row r="722" spans="1:9" s="31" customFormat="1" ht="90">
      <c r="A722" s="19">
        <v>43548.234039351853</v>
      </c>
      <c r="B722" s="20" t="s">
        <v>13843</v>
      </c>
      <c r="C722" s="21" t="s">
        <v>8381</v>
      </c>
      <c r="D722" s="22" t="s">
        <v>8382</v>
      </c>
      <c r="E722" s="23" t="s">
        <v>13011</v>
      </c>
      <c r="F722" s="19">
        <v>41439.773819444446</v>
      </c>
      <c r="G722" s="24" t="s">
        <v>13000</v>
      </c>
      <c r="H722" s="35" t="s">
        <v>8383</v>
      </c>
      <c r="I722" s="25" t="s">
        <v>8384</v>
      </c>
    </row>
    <row r="723" spans="1:9" s="31" customFormat="1" ht="105">
      <c r="A723" s="19">
        <v>43551.500300925924</v>
      </c>
      <c r="B723" s="20" t="s">
        <v>13844</v>
      </c>
      <c r="C723" s="21" t="s">
        <v>7153</v>
      </c>
      <c r="D723" s="22" t="s">
        <v>7154</v>
      </c>
      <c r="E723" s="23" t="s">
        <v>13034</v>
      </c>
      <c r="F723" s="19">
        <v>42200.581608796296</v>
      </c>
      <c r="G723" s="24" t="s">
        <v>13000</v>
      </c>
      <c r="H723" s="35" t="s">
        <v>7155</v>
      </c>
      <c r="I723" s="25" t="s">
        <v>7156</v>
      </c>
    </row>
    <row r="724" spans="1:9" s="31" customFormat="1" ht="105">
      <c r="A724" s="12">
        <v>43579.298611111109</v>
      </c>
      <c r="B724" s="13" t="s">
        <v>13845</v>
      </c>
      <c r="C724" s="14" t="s">
        <v>791</v>
      </c>
      <c r="D724" s="15" t="s">
        <v>792</v>
      </c>
      <c r="E724" s="16" t="s">
        <v>13120</v>
      </c>
      <c r="F724" s="12">
        <v>39938.447233796294</v>
      </c>
      <c r="G724" s="24" t="s">
        <v>13000</v>
      </c>
      <c r="H724" s="35" t="s">
        <v>793</v>
      </c>
      <c r="I724" s="18" t="s">
        <v>794</v>
      </c>
    </row>
    <row r="725" spans="1:9" s="31" customFormat="1" ht="105">
      <c r="A725" s="12">
        <v>43577.397893518515</v>
      </c>
      <c r="B725" s="13" t="s">
        <v>13845</v>
      </c>
      <c r="C725" s="14" t="s">
        <v>791</v>
      </c>
      <c r="D725" s="15" t="s">
        <v>792</v>
      </c>
      <c r="E725" s="16" t="s">
        <v>13120</v>
      </c>
      <c r="F725" s="12">
        <v>39938.447233796294</v>
      </c>
      <c r="G725" s="24" t="s">
        <v>13000</v>
      </c>
      <c r="H725" s="35" t="s">
        <v>793</v>
      </c>
      <c r="I725" s="18" t="s">
        <v>794</v>
      </c>
    </row>
    <row r="726" spans="1:9" s="31" customFormat="1" ht="30">
      <c r="A726" s="12">
        <v>43578.351458333331</v>
      </c>
      <c r="B726" s="13" t="s">
        <v>13846</v>
      </c>
      <c r="C726" s="14" t="s">
        <v>1273</v>
      </c>
      <c r="D726" s="15" t="s">
        <v>1274</v>
      </c>
      <c r="E726" s="16" t="s">
        <v>13847</v>
      </c>
      <c r="F726" s="12">
        <v>41491.519166666665</v>
      </c>
      <c r="G726" s="17" t="s">
        <v>13000</v>
      </c>
      <c r="H726" s="35" t="s">
        <v>1275</v>
      </c>
      <c r="I726" s="18" t="s">
        <v>1276</v>
      </c>
    </row>
    <row r="727" spans="1:9" s="31" customFormat="1" ht="90">
      <c r="A727" s="4">
        <v>43557.305266203708</v>
      </c>
      <c r="B727" s="5" t="s">
        <v>13848</v>
      </c>
      <c r="C727" s="6" t="s">
        <v>12567</v>
      </c>
      <c r="D727" s="7" t="s">
        <v>12568</v>
      </c>
      <c r="E727" s="8" t="s">
        <v>13006</v>
      </c>
      <c r="F727" s="4">
        <v>41387.964513888888</v>
      </c>
      <c r="G727" s="17" t="s">
        <v>13000</v>
      </c>
      <c r="H727" s="35" t="s">
        <v>12569</v>
      </c>
      <c r="I727" s="10" t="s">
        <v>12570</v>
      </c>
    </row>
    <row r="728" spans="1:9" s="31" customFormat="1" ht="135">
      <c r="A728" s="4">
        <v>43563.778310185182</v>
      </c>
      <c r="B728" s="5" t="s">
        <v>13849</v>
      </c>
      <c r="C728" s="6" t="s">
        <v>6879</v>
      </c>
      <c r="D728" s="7" t="s">
        <v>6880</v>
      </c>
      <c r="E728" s="8" t="s">
        <v>13032</v>
      </c>
      <c r="F728" s="4">
        <v>41969.603912037041</v>
      </c>
      <c r="G728" s="17" t="s">
        <v>13000</v>
      </c>
      <c r="H728" s="35" t="s">
        <v>6881</v>
      </c>
      <c r="I728" s="10" t="s">
        <v>6882</v>
      </c>
    </row>
    <row r="729" spans="1:9" s="31" customFormat="1" ht="75">
      <c r="A729" s="12">
        <v>43573.15215277778</v>
      </c>
      <c r="B729" s="13" t="s">
        <v>13850</v>
      </c>
      <c r="C729" s="14" t="s">
        <v>2991</v>
      </c>
      <c r="D729" s="15" t="s">
        <v>2992</v>
      </c>
      <c r="E729" s="16" t="s">
        <v>13009</v>
      </c>
      <c r="F729" s="12">
        <v>39645.565347222218</v>
      </c>
      <c r="G729" s="17" t="s">
        <v>13000</v>
      </c>
      <c r="H729" s="35" t="s">
        <v>2993</v>
      </c>
      <c r="I729" s="18" t="s">
        <v>2994</v>
      </c>
    </row>
    <row r="730" spans="1:9" s="31" customFormat="1" ht="105">
      <c r="A730" s="19">
        <v>43547.04488425926</v>
      </c>
      <c r="B730" s="20" t="s">
        <v>13851</v>
      </c>
      <c r="C730" s="21" t="s">
        <v>8664</v>
      </c>
      <c r="D730" s="22" t="s">
        <v>8665</v>
      </c>
      <c r="E730" s="23" t="s">
        <v>13009</v>
      </c>
      <c r="F730" s="19">
        <v>39890.981400462959</v>
      </c>
      <c r="G730" s="24" t="s">
        <v>13000</v>
      </c>
      <c r="H730" s="35" t="s">
        <v>8666</v>
      </c>
      <c r="I730" s="25" t="s">
        <v>8667</v>
      </c>
    </row>
    <row r="731" spans="1:9" s="31" customFormat="1" ht="105">
      <c r="A731" s="19">
        <v>43546.971701388888</v>
      </c>
      <c r="B731" s="20" t="s">
        <v>13851</v>
      </c>
      <c r="C731" s="21" t="s">
        <v>8664</v>
      </c>
      <c r="D731" s="22" t="s">
        <v>8690</v>
      </c>
      <c r="E731" s="23" t="s">
        <v>13009</v>
      </c>
      <c r="F731" s="19">
        <v>39890.981400462959</v>
      </c>
      <c r="G731" s="24" t="s">
        <v>13000</v>
      </c>
      <c r="H731" s="35" t="s">
        <v>8666</v>
      </c>
      <c r="I731" s="25" t="s">
        <v>8667</v>
      </c>
    </row>
    <row r="732" spans="1:9" s="31" customFormat="1" ht="105">
      <c r="A732" s="19">
        <v>43542.685856481483</v>
      </c>
      <c r="B732" s="20" t="s">
        <v>13851</v>
      </c>
      <c r="C732" s="21" t="s">
        <v>8664</v>
      </c>
      <c r="D732" s="22" t="s">
        <v>10031</v>
      </c>
      <c r="E732" s="23" t="s">
        <v>13011</v>
      </c>
      <c r="F732" s="19">
        <v>39890.981400462959</v>
      </c>
      <c r="G732" s="24" t="s">
        <v>13000</v>
      </c>
      <c r="H732" s="35" t="s">
        <v>8666</v>
      </c>
      <c r="I732" s="25" t="s">
        <v>8667</v>
      </c>
    </row>
    <row r="733" spans="1:9" s="31" customFormat="1" ht="105">
      <c r="A733" s="4">
        <v>43559.128495370373</v>
      </c>
      <c r="B733" s="5" t="s">
        <v>13852</v>
      </c>
      <c r="C733" s="6" t="s">
        <v>4766</v>
      </c>
      <c r="D733" s="7" t="s">
        <v>11937</v>
      </c>
      <c r="E733" s="8" t="s">
        <v>13011</v>
      </c>
      <c r="F733" s="4">
        <v>43512.35800925926</v>
      </c>
      <c r="G733" s="24" t="s">
        <v>13000</v>
      </c>
      <c r="H733" s="35" t="s">
        <v>4768</v>
      </c>
      <c r="I733" s="10" t="s">
        <v>4769</v>
      </c>
    </row>
    <row r="734" spans="1:9" s="31" customFormat="1" ht="105">
      <c r="A734" s="4">
        <v>43559.11818287037</v>
      </c>
      <c r="B734" s="5" t="s">
        <v>13852</v>
      </c>
      <c r="C734" s="6" t="s">
        <v>4766</v>
      </c>
      <c r="D734" s="7" t="s">
        <v>11940</v>
      </c>
      <c r="E734" s="8" t="s">
        <v>13011</v>
      </c>
      <c r="F734" s="4">
        <v>43512.35800925926</v>
      </c>
      <c r="G734" s="24" t="s">
        <v>13000</v>
      </c>
      <c r="H734" s="35" t="s">
        <v>4768</v>
      </c>
      <c r="I734" s="10" t="s">
        <v>4769</v>
      </c>
    </row>
    <row r="735" spans="1:9" s="31" customFormat="1" ht="105">
      <c r="A735" s="12">
        <v>43568.444004629629</v>
      </c>
      <c r="B735" s="13" t="s">
        <v>13852</v>
      </c>
      <c r="C735" s="14" t="s">
        <v>4766</v>
      </c>
      <c r="D735" s="15" t="s">
        <v>4767</v>
      </c>
      <c r="E735" s="16" t="s">
        <v>13011</v>
      </c>
      <c r="F735" s="12">
        <v>43512.35800925926</v>
      </c>
      <c r="G735" s="24" t="s">
        <v>13000</v>
      </c>
      <c r="H735" s="35" t="s">
        <v>4768</v>
      </c>
      <c r="I735" s="18" t="s">
        <v>4769</v>
      </c>
    </row>
    <row r="736" spans="1:9" s="31" customFormat="1" ht="45">
      <c r="A736" s="12">
        <v>43574.25163194444</v>
      </c>
      <c r="B736" s="13" t="s">
        <v>13853</v>
      </c>
      <c r="C736" s="14" t="s">
        <v>2640</v>
      </c>
      <c r="D736" s="15" t="s">
        <v>2641</v>
      </c>
      <c r="E736" s="16" t="s">
        <v>13114</v>
      </c>
      <c r="F736" s="12">
        <v>40778.385787037041</v>
      </c>
      <c r="G736" s="24" t="s">
        <v>13000</v>
      </c>
      <c r="H736" s="35" t="s">
        <v>2642</v>
      </c>
      <c r="I736" s="18" t="s">
        <v>2643</v>
      </c>
    </row>
    <row r="737" spans="1:9" s="31" customFormat="1" ht="105">
      <c r="A737" s="4">
        <v>43561.483576388884</v>
      </c>
      <c r="B737" s="5" t="s">
        <v>13854</v>
      </c>
      <c r="C737" s="6" t="s">
        <v>10957</v>
      </c>
      <c r="D737" s="7" t="s">
        <v>10958</v>
      </c>
      <c r="E737" s="8" t="s">
        <v>13009</v>
      </c>
      <c r="F737" s="4">
        <v>39582.850520833337</v>
      </c>
      <c r="G737" s="24" t="s">
        <v>13000</v>
      </c>
      <c r="H737" s="35" t="s">
        <v>10959</v>
      </c>
      <c r="I737" s="10" t="s">
        <v>10960</v>
      </c>
    </row>
    <row r="738" spans="1:9" s="31" customFormat="1" ht="75">
      <c r="A738" s="19">
        <v>43551.56454861111</v>
      </c>
      <c r="B738" s="20" t="s">
        <v>13855</v>
      </c>
      <c r="C738" s="21" t="s">
        <v>2785</v>
      </c>
      <c r="D738" s="22" t="s">
        <v>7121</v>
      </c>
      <c r="E738" s="23" t="s">
        <v>13013</v>
      </c>
      <c r="F738" s="19">
        <v>43499.376770833333</v>
      </c>
      <c r="G738" s="24" t="s">
        <v>13000</v>
      </c>
      <c r="H738" s="35" t="s">
        <v>2787</v>
      </c>
      <c r="I738" s="25" t="s">
        <v>2788</v>
      </c>
    </row>
    <row r="739" spans="1:9" s="31" customFormat="1" ht="75">
      <c r="A739" s="19">
        <v>43546.482974537037</v>
      </c>
      <c r="B739" s="20" t="s">
        <v>13855</v>
      </c>
      <c r="C739" s="21" t="s">
        <v>2785</v>
      </c>
      <c r="D739" s="22" t="s">
        <v>8831</v>
      </c>
      <c r="E739" s="23" t="s">
        <v>13013</v>
      </c>
      <c r="F739" s="19">
        <v>43499.376770833333</v>
      </c>
      <c r="G739" s="24" t="s">
        <v>13000</v>
      </c>
      <c r="H739" s="35" t="s">
        <v>2787</v>
      </c>
      <c r="I739" s="25" t="s">
        <v>2788</v>
      </c>
    </row>
    <row r="740" spans="1:9" s="31" customFormat="1" ht="90">
      <c r="A740" s="19">
        <v>43544.442939814813</v>
      </c>
      <c r="B740" s="20" t="s">
        <v>13855</v>
      </c>
      <c r="C740" s="21" t="s">
        <v>2785</v>
      </c>
      <c r="D740" s="22" t="s">
        <v>9462</v>
      </c>
      <c r="E740" s="23" t="s">
        <v>13013</v>
      </c>
      <c r="F740" s="19">
        <v>43499.376770833333</v>
      </c>
      <c r="G740" s="24" t="s">
        <v>13000</v>
      </c>
      <c r="H740" s="35" t="s">
        <v>2787</v>
      </c>
      <c r="I740" s="25" t="s">
        <v>2788</v>
      </c>
    </row>
    <row r="741" spans="1:9" s="31" customFormat="1" ht="75">
      <c r="A741" s="4">
        <v>43565.661469907413</v>
      </c>
      <c r="B741" s="5" t="s">
        <v>13855</v>
      </c>
      <c r="C741" s="6" t="s">
        <v>2785</v>
      </c>
      <c r="D741" s="7" t="s">
        <v>5960</v>
      </c>
      <c r="E741" s="8" t="s">
        <v>13013</v>
      </c>
      <c r="F741" s="4">
        <v>43499.376770833333</v>
      </c>
      <c r="G741" s="24" t="s">
        <v>13000</v>
      </c>
      <c r="H741" s="35" t="s">
        <v>2787</v>
      </c>
      <c r="I741" s="10" t="s">
        <v>2788</v>
      </c>
    </row>
    <row r="742" spans="1:9" s="31" customFormat="1" ht="90">
      <c r="A742" s="12">
        <v>43573.663287037038</v>
      </c>
      <c r="B742" s="13" t="s">
        <v>13855</v>
      </c>
      <c r="C742" s="14" t="s">
        <v>2785</v>
      </c>
      <c r="D742" s="15" t="s">
        <v>2786</v>
      </c>
      <c r="E742" s="16" t="s">
        <v>13013</v>
      </c>
      <c r="F742" s="12">
        <v>43499.376770833333</v>
      </c>
      <c r="G742" s="24" t="s">
        <v>13000</v>
      </c>
      <c r="H742" s="35" t="s">
        <v>2787</v>
      </c>
      <c r="I742" s="18" t="s">
        <v>2788</v>
      </c>
    </row>
    <row r="743" spans="1:9" s="31" customFormat="1" ht="90">
      <c r="A743" s="12">
        <v>43571.49728009259</v>
      </c>
      <c r="B743" s="13" t="s">
        <v>13855</v>
      </c>
      <c r="C743" s="14" t="s">
        <v>2785</v>
      </c>
      <c r="D743" s="15" t="s">
        <v>3660</v>
      </c>
      <c r="E743" s="16" t="s">
        <v>13013</v>
      </c>
      <c r="F743" s="12">
        <v>43499.376770833333</v>
      </c>
      <c r="G743" s="24" t="s">
        <v>13000</v>
      </c>
      <c r="H743" s="35" t="s">
        <v>2787</v>
      </c>
      <c r="I743" s="18" t="s">
        <v>2788</v>
      </c>
    </row>
    <row r="744" spans="1:9" s="31" customFormat="1" ht="120">
      <c r="A744" s="12">
        <v>43568.436921296292</v>
      </c>
      <c r="B744" s="13" t="s">
        <v>13856</v>
      </c>
      <c r="C744" s="14" t="s">
        <v>4770</v>
      </c>
      <c r="D744" s="15" t="s">
        <v>4771</v>
      </c>
      <c r="E744" s="16" t="s">
        <v>13011</v>
      </c>
      <c r="F744" s="12">
        <v>40827.654745370368</v>
      </c>
      <c r="G744" s="17" t="s">
        <v>13000</v>
      </c>
      <c r="H744" s="35" t="s">
        <v>4772</v>
      </c>
      <c r="I744" s="18" t="s">
        <v>4773</v>
      </c>
    </row>
    <row r="745" spans="1:9" s="31" customFormat="1" ht="105">
      <c r="A745" s="4">
        <v>43565.343969907408</v>
      </c>
      <c r="B745" s="5" t="s">
        <v>13857</v>
      </c>
      <c r="C745" s="6" t="s">
        <v>5013</v>
      </c>
      <c r="D745" s="7" t="s">
        <v>6151</v>
      </c>
      <c r="E745" s="8" t="s">
        <v>13011</v>
      </c>
      <c r="F745" s="4">
        <v>40849.592094907406</v>
      </c>
      <c r="G745" s="9" t="s">
        <v>13000</v>
      </c>
      <c r="H745" s="35" t="s">
        <v>5015</v>
      </c>
      <c r="I745" s="10" t="s">
        <v>5016</v>
      </c>
    </row>
    <row r="746" spans="1:9" s="31" customFormat="1" ht="105">
      <c r="A746" s="12">
        <v>43567.661909722221</v>
      </c>
      <c r="B746" s="13" t="s">
        <v>13857</v>
      </c>
      <c r="C746" s="14" t="s">
        <v>5013</v>
      </c>
      <c r="D746" s="15" t="s">
        <v>5014</v>
      </c>
      <c r="E746" s="16" t="s">
        <v>13009</v>
      </c>
      <c r="F746" s="12">
        <v>40849.592094907406</v>
      </c>
      <c r="G746" s="9" t="s">
        <v>13000</v>
      </c>
      <c r="H746" s="35" t="s">
        <v>5015</v>
      </c>
      <c r="I746" s="18" t="s">
        <v>5016</v>
      </c>
    </row>
    <row r="747" spans="1:9" s="31" customFormat="1" ht="75">
      <c r="A747" s="12">
        <v>43574.37399305556</v>
      </c>
      <c r="B747" s="13" t="s">
        <v>13858</v>
      </c>
      <c r="C747" s="14" t="s">
        <v>2572</v>
      </c>
      <c r="D747" s="15" t="s">
        <v>2573</v>
      </c>
      <c r="E747" s="16" t="s">
        <v>13011</v>
      </c>
      <c r="F747" s="12">
        <v>39909.888310185182</v>
      </c>
      <c r="G747" s="9" t="s">
        <v>13000</v>
      </c>
      <c r="H747" s="35" t="s">
        <v>2574</v>
      </c>
      <c r="I747" s="18" t="s">
        <v>2575</v>
      </c>
    </row>
    <row r="748" spans="1:9" s="31" customFormat="1" ht="30">
      <c r="A748" s="12">
        <v>43572.935231481482</v>
      </c>
      <c r="B748" s="13" t="s">
        <v>13859</v>
      </c>
      <c r="C748" s="14" t="s">
        <v>3051</v>
      </c>
      <c r="D748" s="15" t="s">
        <v>3052</v>
      </c>
      <c r="E748" s="16" t="s">
        <v>13011</v>
      </c>
      <c r="F748" s="12">
        <v>43566.546458333338</v>
      </c>
      <c r="G748" s="9" t="s">
        <v>13000</v>
      </c>
      <c r="H748" s="35" t="s">
        <v>2574</v>
      </c>
      <c r="I748" s="18" t="s">
        <v>3053</v>
      </c>
    </row>
    <row r="749" spans="1:9" s="31" customFormat="1" ht="105">
      <c r="A749" s="4">
        <v>43564.184120370366</v>
      </c>
      <c r="B749" s="5" t="s">
        <v>13860</v>
      </c>
      <c r="C749" s="6" t="s">
        <v>6750</v>
      </c>
      <c r="D749" s="7" t="s">
        <v>6751</v>
      </c>
      <c r="E749" s="8" t="s">
        <v>13009</v>
      </c>
      <c r="F749" s="4">
        <v>40575.739641203705</v>
      </c>
      <c r="G749" s="9" t="s">
        <v>13000</v>
      </c>
      <c r="H749" s="35" t="s">
        <v>6752</v>
      </c>
      <c r="I749" s="10" t="s">
        <v>6753</v>
      </c>
    </row>
    <row r="750" spans="1:9" s="31" customFormat="1" ht="45">
      <c r="A750" s="12">
        <v>43569.564629629633</v>
      </c>
      <c r="B750" s="13" t="s">
        <v>13861</v>
      </c>
      <c r="C750" s="14" t="s">
        <v>4479</v>
      </c>
      <c r="D750" s="15" t="s">
        <v>4480</v>
      </c>
      <c r="E750" s="16" t="s">
        <v>13032</v>
      </c>
      <c r="F750" s="12">
        <v>40685.635081018518</v>
      </c>
      <c r="G750" s="9" t="s">
        <v>13000</v>
      </c>
      <c r="H750" s="35" t="s">
        <v>4481</v>
      </c>
      <c r="I750" s="18" t="s">
        <v>4482</v>
      </c>
    </row>
    <row r="751" spans="1:9" s="31" customFormat="1" ht="90">
      <c r="A751" s="12">
        <v>43576.733425925922</v>
      </c>
      <c r="B751" s="13" t="s">
        <v>13862</v>
      </c>
      <c r="C751" s="14" t="s">
        <v>1857</v>
      </c>
      <c r="D751" s="15" t="s">
        <v>1858</v>
      </c>
      <c r="E751" s="16" t="s">
        <v>13032</v>
      </c>
      <c r="F751" s="12">
        <v>42225.686076388884</v>
      </c>
      <c r="G751" s="17" t="s">
        <v>13000</v>
      </c>
      <c r="H751" s="35" t="s">
        <v>1859</v>
      </c>
      <c r="I751" s="18" t="s">
        <v>1860</v>
      </c>
    </row>
    <row r="752" spans="1:9" s="31" customFormat="1" ht="90">
      <c r="A752" s="19">
        <v>43550.648472222223</v>
      </c>
      <c r="B752" s="20" t="s">
        <v>13863</v>
      </c>
      <c r="C752" s="21" t="s">
        <v>7571</v>
      </c>
      <c r="D752" s="22" t="s">
        <v>7572</v>
      </c>
      <c r="E752" s="23" t="s">
        <v>13011</v>
      </c>
      <c r="F752" s="19">
        <v>40272.866111111114</v>
      </c>
      <c r="G752" s="17" t="s">
        <v>13000</v>
      </c>
      <c r="H752" s="35" t="s">
        <v>7573</v>
      </c>
      <c r="I752" s="25" t="s">
        <v>7574</v>
      </c>
    </row>
    <row r="753" spans="1:9" s="31" customFormat="1" ht="90">
      <c r="A753" s="12">
        <v>43580.72923611111</v>
      </c>
      <c r="B753" s="13" t="s">
        <v>13864</v>
      </c>
      <c r="C753" s="14" t="s">
        <v>115</v>
      </c>
      <c r="D753" s="15" t="s">
        <v>116</v>
      </c>
      <c r="E753" s="16" t="s">
        <v>13865</v>
      </c>
      <c r="F753" s="12">
        <v>43522.91878472222</v>
      </c>
      <c r="G753" s="17" t="s">
        <v>13000</v>
      </c>
      <c r="H753" s="35" t="s">
        <v>117</v>
      </c>
      <c r="I753" s="18" t="s">
        <v>118</v>
      </c>
    </row>
    <row r="754" spans="1:9" s="31" customFormat="1" ht="90">
      <c r="A754" s="12">
        <v>43580.729212962964</v>
      </c>
      <c r="B754" s="13" t="s">
        <v>13864</v>
      </c>
      <c r="C754" s="14" t="s">
        <v>115</v>
      </c>
      <c r="D754" s="15" t="s">
        <v>116</v>
      </c>
      <c r="E754" s="16" t="s">
        <v>13865</v>
      </c>
      <c r="F754" s="12">
        <v>43522.91878472222</v>
      </c>
      <c r="G754" s="17" t="s">
        <v>13000</v>
      </c>
      <c r="H754" s="35" t="s">
        <v>117</v>
      </c>
      <c r="I754" s="18" t="s">
        <v>118</v>
      </c>
    </row>
    <row r="755" spans="1:9" s="31" customFormat="1" ht="90">
      <c r="A755" s="12">
        <v>43580.729201388887</v>
      </c>
      <c r="B755" s="13" t="s">
        <v>13864</v>
      </c>
      <c r="C755" s="14" t="s">
        <v>115</v>
      </c>
      <c r="D755" s="15" t="s">
        <v>119</v>
      </c>
      <c r="E755" s="16" t="s">
        <v>13865</v>
      </c>
      <c r="F755" s="12">
        <v>43522.91878472222</v>
      </c>
      <c r="G755" s="17" t="s">
        <v>13000</v>
      </c>
      <c r="H755" s="35" t="s">
        <v>117</v>
      </c>
      <c r="I755" s="18" t="s">
        <v>118</v>
      </c>
    </row>
    <row r="756" spans="1:9" s="31" customFormat="1" ht="90">
      <c r="A756" s="12">
        <v>43579.270925925928</v>
      </c>
      <c r="B756" s="13" t="s">
        <v>13864</v>
      </c>
      <c r="C756" s="14" t="s">
        <v>115</v>
      </c>
      <c r="D756" s="15" t="s">
        <v>806</v>
      </c>
      <c r="E756" s="16" t="s">
        <v>13865</v>
      </c>
      <c r="F756" s="12">
        <v>43522.41878472222</v>
      </c>
      <c r="G756" s="17" t="s">
        <v>13000</v>
      </c>
      <c r="H756" s="35" t="s">
        <v>117</v>
      </c>
      <c r="I756" s="18" t="s">
        <v>118</v>
      </c>
    </row>
    <row r="757" spans="1:9" s="31" customFormat="1" ht="90">
      <c r="A757" s="12">
        <v>43579.270914351851</v>
      </c>
      <c r="B757" s="13" t="s">
        <v>13864</v>
      </c>
      <c r="C757" s="14" t="s">
        <v>115</v>
      </c>
      <c r="D757" s="15" t="s">
        <v>119</v>
      </c>
      <c r="E757" s="16" t="s">
        <v>13865</v>
      </c>
      <c r="F757" s="12">
        <v>43522.41878472222</v>
      </c>
      <c r="G757" s="17" t="s">
        <v>13000</v>
      </c>
      <c r="H757" s="35" t="s">
        <v>117</v>
      </c>
      <c r="I757" s="18" t="s">
        <v>118</v>
      </c>
    </row>
    <row r="758" spans="1:9" s="31" customFormat="1" ht="90">
      <c r="A758" s="12">
        <v>43579.270914351851</v>
      </c>
      <c r="B758" s="13" t="s">
        <v>13864</v>
      </c>
      <c r="C758" s="14" t="s">
        <v>115</v>
      </c>
      <c r="D758" s="15" t="s">
        <v>116</v>
      </c>
      <c r="E758" s="16" t="s">
        <v>13865</v>
      </c>
      <c r="F758" s="12">
        <v>43522.41878472222</v>
      </c>
      <c r="G758" s="17" t="s">
        <v>13000</v>
      </c>
      <c r="H758" s="35" t="s">
        <v>117</v>
      </c>
      <c r="I758" s="18" t="s">
        <v>118</v>
      </c>
    </row>
    <row r="759" spans="1:9" s="31" customFormat="1" ht="90">
      <c r="A759" s="12">
        <v>43579.270902777775</v>
      </c>
      <c r="B759" s="13" t="s">
        <v>13864</v>
      </c>
      <c r="C759" s="14" t="s">
        <v>115</v>
      </c>
      <c r="D759" s="15" t="s">
        <v>116</v>
      </c>
      <c r="E759" s="16" t="s">
        <v>13865</v>
      </c>
      <c r="F759" s="12">
        <v>43522.41878472222</v>
      </c>
      <c r="G759" s="17" t="s">
        <v>13000</v>
      </c>
      <c r="H759" s="35" t="s">
        <v>117</v>
      </c>
      <c r="I759" s="18" t="s">
        <v>118</v>
      </c>
    </row>
    <row r="760" spans="1:9" s="31" customFormat="1" ht="90">
      <c r="A760" s="12">
        <v>43578.270937499998</v>
      </c>
      <c r="B760" s="13" t="s">
        <v>13864</v>
      </c>
      <c r="C760" s="14" t="s">
        <v>115</v>
      </c>
      <c r="D760" s="15" t="s">
        <v>1333</v>
      </c>
      <c r="E760" s="16" t="s">
        <v>13865</v>
      </c>
      <c r="F760" s="12">
        <v>43522.41878472222</v>
      </c>
      <c r="G760" s="17" t="s">
        <v>13000</v>
      </c>
      <c r="H760" s="35" t="s">
        <v>117</v>
      </c>
      <c r="I760" s="18" t="s">
        <v>118</v>
      </c>
    </row>
    <row r="761" spans="1:9" s="31" customFormat="1" ht="90">
      <c r="A761" s="12">
        <v>43578.270914351851</v>
      </c>
      <c r="B761" s="13" t="s">
        <v>13864</v>
      </c>
      <c r="C761" s="14" t="s">
        <v>115</v>
      </c>
      <c r="D761" s="15" t="s">
        <v>806</v>
      </c>
      <c r="E761" s="16" t="s">
        <v>13865</v>
      </c>
      <c r="F761" s="12">
        <v>43522.41878472222</v>
      </c>
      <c r="G761" s="17" t="s">
        <v>13000</v>
      </c>
      <c r="H761" s="35" t="s">
        <v>117</v>
      </c>
      <c r="I761" s="18" t="s">
        <v>118</v>
      </c>
    </row>
    <row r="762" spans="1:9" s="31" customFormat="1" ht="90">
      <c r="A762" s="12">
        <v>43578.270902777775</v>
      </c>
      <c r="B762" s="13" t="s">
        <v>13864</v>
      </c>
      <c r="C762" s="14" t="s">
        <v>115</v>
      </c>
      <c r="D762" s="15" t="s">
        <v>806</v>
      </c>
      <c r="E762" s="16" t="s">
        <v>13865</v>
      </c>
      <c r="F762" s="12">
        <v>43522.41878472222</v>
      </c>
      <c r="G762" s="17" t="s">
        <v>13000</v>
      </c>
      <c r="H762" s="35" t="s">
        <v>117</v>
      </c>
      <c r="I762" s="18" t="s">
        <v>118</v>
      </c>
    </row>
    <row r="763" spans="1:9" s="31" customFormat="1" ht="90">
      <c r="A763" s="12">
        <v>43577.270914351851</v>
      </c>
      <c r="B763" s="13" t="s">
        <v>13864</v>
      </c>
      <c r="C763" s="14" t="s">
        <v>115</v>
      </c>
      <c r="D763" s="15" t="s">
        <v>1333</v>
      </c>
      <c r="E763" s="16" t="s">
        <v>13865</v>
      </c>
      <c r="F763" s="12">
        <v>43522.41878472222</v>
      </c>
      <c r="G763" s="17" t="s">
        <v>13000</v>
      </c>
      <c r="H763" s="35" t="s">
        <v>117</v>
      </c>
      <c r="I763" s="18" t="s">
        <v>118</v>
      </c>
    </row>
    <row r="764" spans="1:9" s="31" customFormat="1" ht="90">
      <c r="A764" s="12">
        <v>43577.270902777775</v>
      </c>
      <c r="B764" s="13" t="s">
        <v>13864</v>
      </c>
      <c r="C764" s="14" t="s">
        <v>115</v>
      </c>
      <c r="D764" s="15" t="s">
        <v>119</v>
      </c>
      <c r="E764" s="16" t="s">
        <v>13865</v>
      </c>
      <c r="F764" s="12">
        <v>43522.41878472222</v>
      </c>
      <c r="G764" s="17" t="s">
        <v>13000</v>
      </c>
      <c r="H764" s="35" t="s">
        <v>117</v>
      </c>
      <c r="I764" s="18" t="s">
        <v>118</v>
      </c>
    </row>
    <row r="765" spans="1:9" s="31" customFormat="1" ht="90">
      <c r="A765" s="12">
        <v>43577.270902777775</v>
      </c>
      <c r="B765" s="13" t="s">
        <v>13864</v>
      </c>
      <c r="C765" s="14" t="s">
        <v>115</v>
      </c>
      <c r="D765" s="15" t="s">
        <v>1333</v>
      </c>
      <c r="E765" s="16" t="s">
        <v>13865</v>
      </c>
      <c r="F765" s="12">
        <v>43522.41878472222</v>
      </c>
      <c r="G765" s="17" t="s">
        <v>13000</v>
      </c>
      <c r="H765" s="35" t="s">
        <v>117</v>
      </c>
      <c r="I765" s="18" t="s">
        <v>118</v>
      </c>
    </row>
    <row r="766" spans="1:9" s="31" customFormat="1" ht="90">
      <c r="A766" s="12">
        <v>43577.270891203705</v>
      </c>
      <c r="B766" s="13" t="s">
        <v>13864</v>
      </c>
      <c r="C766" s="14" t="s">
        <v>115</v>
      </c>
      <c r="D766" s="15" t="s">
        <v>1333</v>
      </c>
      <c r="E766" s="16" t="s">
        <v>13865</v>
      </c>
      <c r="F766" s="12">
        <v>43522.41878472222</v>
      </c>
      <c r="G766" s="17" t="s">
        <v>13000</v>
      </c>
      <c r="H766" s="35" t="s">
        <v>117</v>
      </c>
      <c r="I766" s="18" t="s">
        <v>118</v>
      </c>
    </row>
    <row r="767" spans="1:9" s="31" customFormat="1" ht="105">
      <c r="A767" s="4">
        <v>43560.702094907407</v>
      </c>
      <c r="B767" s="5" t="s">
        <v>13866</v>
      </c>
      <c r="C767" s="6" t="s">
        <v>11216</v>
      </c>
      <c r="D767" s="7" t="s">
        <v>11217</v>
      </c>
      <c r="E767" s="8" t="s">
        <v>13034</v>
      </c>
      <c r="F767" s="4">
        <v>41781.599444444444</v>
      </c>
      <c r="G767" s="17" t="s">
        <v>13000</v>
      </c>
      <c r="H767" s="35" t="s">
        <v>11218</v>
      </c>
      <c r="I767" s="10" t="s">
        <v>11219</v>
      </c>
    </row>
    <row r="768" spans="1:9" s="31" customFormat="1" ht="165">
      <c r="A768" s="12">
        <v>43573.724351851852</v>
      </c>
      <c r="B768" s="13" t="s">
        <v>13867</v>
      </c>
      <c r="C768" s="14" t="s">
        <v>2755</v>
      </c>
      <c r="D768" s="15" t="s">
        <v>2756</v>
      </c>
      <c r="E768" s="16" t="s">
        <v>13013</v>
      </c>
      <c r="F768" s="12">
        <v>41515.366064814814</v>
      </c>
      <c r="G768" s="17" t="s">
        <v>13000</v>
      </c>
      <c r="H768" s="35" t="s">
        <v>2757</v>
      </c>
      <c r="I768" s="18" t="s">
        <v>2758</v>
      </c>
    </row>
    <row r="769" spans="1:9" s="31" customFormat="1" ht="105">
      <c r="A769" s="4">
        <v>43564.376597222217</v>
      </c>
      <c r="B769" s="5" t="s">
        <v>13868</v>
      </c>
      <c r="C769" s="6" t="s">
        <v>1126</v>
      </c>
      <c r="D769" s="7" t="s">
        <v>6651</v>
      </c>
      <c r="E769" s="8" t="s">
        <v>13018</v>
      </c>
      <c r="F769" s="4">
        <v>39991.895601851851</v>
      </c>
      <c r="G769" s="17" t="s">
        <v>13000</v>
      </c>
      <c r="H769" s="35" t="s">
        <v>1128</v>
      </c>
      <c r="I769" s="10" t="s">
        <v>1129</v>
      </c>
    </row>
    <row r="770" spans="1:9" s="31" customFormat="1" ht="105">
      <c r="A770" s="12">
        <v>43578.625821759255</v>
      </c>
      <c r="B770" s="13" t="s">
        <v>13868</v>
      </c>
      <c r="C770" s="14" t="s">
        <v>1126</v>
      </c>
      <c r="D770" s="15" t="s">
        <v>1127</v>
      </c>
      <c r="E770" s="16" t="s">
        <v>13018</v>
      </c>
      <c r="F770" s="12">
        <v>39991.895601851851</v>
      </c>
      <c r="G770" s="17" t="s">
        <v>13000</v>
      </c>
      <c r="H770" s="35" t="s">
        <v>1128</v>
      </c>
      <c r="I770" s="18" t="s">
        <v>1129</v>
      </c>
    </row>
    <row r="771" spans="1:9" s="31" customFormat="1" ht="105">
      <c r="A771" s="12">
        <v>43571.251643518517</v>
      </c>
      <c r="B771" s="13" t="s">
        <v>13868</v>
      </c>
      <c r="C771" s="14" t="s">
        <v>1126</v>
      </c>
      <c r="D771" s="15" t="s">
        <v>3770</v>
      </c>
      <c r="E771" s="16" t="s">
        <v>13018</v>
      </c>
      <c r="F771" s="12">
        <v>39991.895601851851</v>
      </c>
      <c r="G771" s="17" t="s">
        <v>13000</v>
      </c>
      <c r="H771" s="35" t="s">
        <v>1128</v>
      </c>
      <c r="I771" s="18" t="s">
        <v>1129</v>
      </c>
    </row>
    <row r="772" spans="1:9" s="31" customFormat="1" ht="90">
      <c r="A772" s="19">
        <v>43551.375208333338</v>
      </c>
      <c r="B772" s="20" t="s">
        <v>13869</v>
      </c>
      <c r="C772" s="21" t="s">
        <v>4196</v>
      </c>
      <c r="D772" s="22" t="s">
        <v>7265</v>
      </c>
      <c r="E772" s="23" t="s">
        <v>13290</v>
      </c>
      <c r="F772" s="19">
        <v>43499.522939814815</v>
      </c>
      <c r="G772" s="17" t="s">
        <v>13000</v>
      </c>
      <c r="H772" s="35" t="s">
        <v>4198</v>
      </c>
      <c r="I772" s="25" t="s">
        <v>4199</v>
      </c>
    </row>
    <row r="773" spans="1:9" s="31" customFormat="1" ht="75">
      <c r="A773" s="19">
        <v>43550.375208333338</v>
      </c>
      <c r="B773" s="20" t="s">
        <v>13869</v>
      </c>
      <c r="C773" s="21" t="s">
        <v>4196</v>
      </c>
      <c r="D773" s="22" t="s">
        <v>7697</v>
      </c>
      <c r="E773" s="23" t="s">
        <v>13290</v>
      </c>
      <c r="F773" s="19">
        <v>43499.522939814815</v>
      </c>
      <c r="G773" s="17" t="s">
        <v>13000</v>
      </c>
      <c r="H773" s="35" t="s">
        <v>4198</v>
      </c>
      <c r="I773" s="25" t="s">
        <v>4199</v>
      </c>
    </row>
    <row r="774" spans="1:9" s="31" customFormat="1" ht="90">
      <c r="A774" s="19">
        <v>43549.375243055554</v>
      </c>
      <c r="B774" s="20" t="s">
        <v>13869</v>
      </c>
      <c r="C774" s="21" t="s">
        <v>4196</v>
      </c>
      <c r="D774" s="22" t="s">
        <v>8074</v>
      </c>
      <c r="E774" s="23" t="s">
        <v>13290</v>
      </c>
      <c r="F774" s="19">
        <v>43499.522939814815</v>
      </c>
      <c r="G774" s="17" t="s">
        <v>13000</v>
      </c>
      <c r="H774" s="35" t="s">
        <v>4198</v>
      </c>
      <c r="I774" s="25" t="s">
        <v>4199</v>
      </c>
    </row>
    <row r="775" spans="1:9" s="31" customFormat="1" ht="90">
      <c r="A775" s="19">
        <v>43548.375162037039</v>
      </c>
      <c r="B775" s="20" t="s">
        <v>13869</v>
      </c>
      <c r="C775" s="21" t="s">
        <v>4196</v>
      </c>
      <c r="D775" s="22" t="s">
        <v>8339</v>
      </c>
      <c r="E775" s="23" t="s">
        <v>13290</v>
      </c>
      <c r="F775" s="19">
        <v>43499.522939814815</v>
      </c>
      <c r="G775" s="17" t="s">
        <v>13000</v>
      </c>
      <c r="H775" s="35" t="s">
        <v>4198</v>
      </c>
      <c r="I775" s="25" t="s">
        <v>4199</v>
      </c>
    </row>
    <row r="776" spans="1:9" s="31" customFormat="1" ht="90">
      <c r="A776" s="19">
        <v>43547.375185185185</v>
      </c>
      <c r="B776" s="20" t="s">
        <v>13869</v>
      </c>
      <c r="C776" s="21" t="s">
        <v>4196</v>
      </c>
      <c r="D776" s="22" t="s">
        <v>8577</v>
      </c>
      <c r="E776" s="23" t="s">
        <v>13290</v>
      </c>
      <c r="F776" s="19">
        <v>43499.522939814815</v>
      </c>
      <c r="G776" s="17" t="s">
        <v>13000</v>
      </c>
      <c r="H776" s="35" t="s">
        <v>4198</v>
      </c>
      <c r="I776" s="25" t="s">
        <v>4199</v>
      </c>
    </row>
    <row r="777" spans="1:9" s="31" customFormat="1" ht="90">
      <c r="A777" s="19">
        <v>43546.375254629631</v>
      </c>
      <c r="B777" s="20" t="s">
        <v>13869</v>
      </c>
      <c r="C777" s="21" t="s">
        <v>4196</v>
      </c>
      <c r="D777" s="22" t="s">
        <v>8880</v>
      </c>
      <c r="E777" s="23" t="s">
        <v>13290</v>
      </c>
      <c r="F777" s="19">
        <v>43499.522939814815</v>
      </c>
      <c r="G777" s="17" t="s">
        <v>13000</v>
      </c>
      <c r="H777" s="35" t="s">
        <v>4198</v>
      </c>
      <c r="I777" s="25" t="s">
        <v>4199</v>
      </c>
    </row>
    <row r="778" spans="1:9" s="31" customFormat="1" ht="90">
      <c r="A778" s="19">
        <v>43545.375219907408</v>
      </c>
      <c r="B778" s="20" t="s">
        <v>13869</v>
      </c>
      <c r="C778" s="21" t="s">
        <v>4196</v>
      </c>
      <c r="D778" s="22" t="s">
        <v>9165</v>
      </c>
      <c r="E778" s="23" t="s">
        <v>13290</v>
      </c>
      <c r="F778" s="19">
        <v>43499.522939814815</v>
      </c>
      <c r="G778" s="17" t="s">
        <v>13000</v>
      </c>
      <c r="H778" s="35" t="s">
        <v>4198</v>
      </c>
      <c r="I778" s="25" t="s">
        <v>4199</v>
      </c>
    </row>
    <row r="779" spans="1:9" s="31" customFormat="1" ht="90">
      <c r="A779" s="12">
        <v>43570.375706018516</v>
      </c>
      <c r="B779" s="13" t="s">
        <v>13869</v>
      </c>
      <c r="C779" s="14" t="s">
        <v>4196</v>
      </c>
      <c r="D779" s="15" t="s">
        <v>4197</v>
      </c>
      <c r="E779" s="16" t="s">
        <v>13290</v>
      </c>
      <c r="F779" s="12">
        <v>43499.522939814815</v>
      </c>
      <c r="G779" s="17" t="s">
        <v>13000</v>
      </c>
      <c r="H779" s="35" t="s">
        <v>4198</v>
      </c>
      <c r="I779" s="18" t="s">
        <v>4199</v>
      </c>
    </row>
    <row r="780" spans="1:9" s="31" customFormat="1" ht="90">
      <c r="A780" s="12">
        <v>43566.386226851857</v>
      </c>
      <c r="B780" s="13" t="s">
        <v>13870</v>
      </c>
      <c r="C780" s="14" t="s">
        <v>5573</v>
      </c>
      <c r="D780" s="15" t="s">
        <v>5574</v>
      </c>
      <c r="E780" s="16" t="s">
        <v>13032</v>
      </c>
      <c r="F780" s="12">
        <v>40109.857291666667</v>
      </c>
      <c r="G780" s="17" t="s">
        <v>13000</v>
      </c>
      <c r="H780" s="35" t="s">
        <v>5575</v>
      </c>
      <c r="I780" s="18" t="s">
        <v>5576</v>
      </c>
    </row>
    <row r="781" spans="1:9" s="31" customFormat="1" ht="75">
      <c r="A781" s="4">
        <v>43565.366689814815</v>
      </c>
      <c r="B781" s="5" t="s">
        <v>13871</v>
      </c>
      <c r="C781" s="6" t="s">
        <v>6142</v>
      </c>
      <c r="D781" s="7" t="s">
        <v>6143</v>
      </c>
      <c r="E781" s="8" t="s">
        <v>13009</v>
      </c>
      <c r="F781" s="4">
        <v>39977.818761574075</v>
      </c>
      <c r="G781" s="17" t="s">
        <v>13000</v>
      </c>
      <c r="H781" s="35" t="s">
        <v>6144</v>
      </c>
      <c r="I781" s="10" t="s">
        <v>6145</v>
      </c>
    </row>
    <row r="782" spans="1:9" s="31" customFormat="1" ht="90">
      <c r="A782" s="19">
        <v>43546.536145833335</v>
      </c>
      <c r="B782" s="20" t="s">
        <v>13872</v>
      </c>
      <c r="C782" s="21" t="s">
        <v>5019</v>
      </c>
      <c r="D782" s="22" t="s">
        <v>8815</v>
      </c>
      <c r="E782" s="23" t="s">
        <v>13034</v>
      </c>
      <c r="F782" s="19">
        <v>41294.61824074074</v>
      </c>
      <c r="G782" s="17" t="s">
        <v>13000</v>
      </c>
      <c r="H782" s="35" t="s">
        <v>5021</v>
      </c>
      <c r="I782" s="25" t="s">
        <v>5022</v>
      </c>
    </row>
    <row r="783" spans="1:9" s="31" customFormat="1" ht="90">
      <c r="A783" s="19">
        <v>43545.521192129629</v>
      </c>
      <c r="B783" s="20" t="s">
        <v>13872</v>
      </c>
      <c r="C783" s="21" t="s">
        <v>5019</v>
      </c>
      <c r="D783" s="22" t="s">
        <v>9112</v>
      </c>
      <c r="E783" s="23" t="s">
        <v>13034</v>
      </c>
      <c r="F783" s="19">
        <v>41294.61824074074</v>
      </c>
      <c r="G783" s="17" t="s">
        <v>13000</v>
      </c>
      <c r="H783" s="35" t="s">
        <v>5021</v>
      </c>
      <c r="I783" s="25" t="s">
        <v>5022</v>
      </c>
    </row>
    <row r="784" spans="1:9" s="31" customFormat="1" ht="90">
      <c r="A784" s="19">
        <v>43544.593842592592</v>
      </c>
      <c r="B784" s="20" t="s">
        <v>13872</v>
      </c>
      <c r="C784" s="21" t="s">
        <v>5019</v>
      </c>
      <c r="D784" s="22" t="s">
        <v>9404</v>
      </c>
      <c r="E784" s="23" t="s">
        <v>13034</v>
      </c>
      <c r="F784" s="19">
        <v>41294.61824074074</v>
      </c>
      <c r="G784" s="17" t="s">
        <v>13000</v>
      </c>
      <c r="H784" s="35" t="s">
        <v>5021</v>
      </c>
      <c r="I784" s="25" t="s">
        <v>5022</v>
      </c>
    </row>
    <row r="785" spans="1:9" s="31" customFormat="1" ht="90">
      <c r="A785" s="19">
        <v>43543.542037037041</v>
      </c>
      <c r="B785" s="20" t="s">
        <v>13872</v>
      </c>
      <c r="C785" s="21" t="s">
        <v>5019</v>
      </c>
      <c r="D785" s="22" t="s">
        <v>9759</v>
      </c>
      <c r="E785" s="23" t="s">
        <v>13034</v>
      </c>
      <c r="F785" s="19">
        <v>41294.61824074074</v>
      </c>
      <c r="G785" s="17" t="s">
        <v>13000</v>
      </c>
      <c r="H785" s="35" t="s">
        <v>5021</v>
      </c>
      <c r="I785" s="25" t="s">
        <v>5022</v>
      </c>
    </row>
    <row r="786" spans="1:9" s="31" customFormat="1" ht="90">
      <c r="A786" s="19">
        <v>43542.547962962963</v>
      </c>
      <c r="B786" s="20" t="s">
        <v>13872</v>
      </c>
      <c r="C786" s="21" t="s">
        <v>5019</v>
      </c>
      <c r="D786" s="22" t="s">
        <v>10108</v>
      </c>
      <c r="E786" s="23" t="s">
        <v>13034</v>
      </c>
      <c r="F786" s="19">
        <v>41294.61824074074</v>
      </c>
      <c r="G786" s="17" t="s">
        <v>13000</v>
      </c>
      <c r="H786" s="35" t="s">
        <v>5021</v>
      </c>
      <c r="I786" s="25" t="s">
        <v>5022</v>
      </c>
    </row>
    <row r="787" spans="1:9" s="31" customFormat="1" ht="105">
      <c r="A787" s="4">
        <v>43560.361400462964</v>
      </c>
      <c r="B787" s="5" t="s">
        <v>13873</v>
      </c>
      <c r="C787" s="6" t="s">
        <v>11428</v>
      </c>
      <c r="D787" s="7" t="s">
        <v>11429</v>
      </c>
      <c r="E787" s="8" t="s">
        <v>13009</v>
      </c>
      <c r="F787" s="4">
        <v>43556.442442129628</v>
      </c>
      <c r="G787" s="17" t="s">
        <v>13000</v>
      </c>
      <c r="H787" s="35" t="s">
        <v>5021</v>
      </c>
      <c r="I787" s="10" t="s">
        <v>11430</v>
      </c>
    </row>
    <row r="788" spans="1:9" s="31" customFormat="1" ht="90">
      <c r="A788" s="12">
        <v>43567.650393518517</v>
      </c>
      <c r="B788" s="13" t="s">
        <v>13872</v>
      </c>
      <c r="C788" s="14" t="s">
        <v>5019</v>
      </c>
      <c r="D788" s="15" t="s">
        <v>5020</v>
      </c>
      <c r="E788" s="16" t="s">
        <v>13034</v>
      </c>
      <c r="F788" s="12">
        <v>41294.61824074074</v>
      </c>
      <c r="G788" s="17" t="s">
        <v>13000</v>
      </c>
      <c r="H788" s="35" t="s">
        <v>5021</v>
      </c>
      <c r="I788" s="18" t="s">
        <v>5022</v>
      </c>
    </row>
    <row r="789" spans="1:9" s="31" customFormat="1" ht="90">
      <c r="A789" s="12">
        <v>43566.697870370372</v>
      </c>
      <c r="B789" s="13" t="s">
        <v>13872</v>
      </c>
      <c r="C789" s="14" t="s">
        <v>5019</v>
      </c>
      <c r="D789" s="15" t="s">
        <v>5373</v>
      </c>
      <c r="E789" s="16" t="s">
        <v>13034</v>
      </c>
      <c r="F789" s="12">
        <v>41294.61824074074</v>
      </c>
      <c r="G789" s="17" t="s">
        <v>13000</v>
      </c>
      <c r="H789" s="35" t="s">
        <v>5021</v>
      </c>
      <c r="I789" s="18" t="s">
        <v>5022</v>
      </c>
    </row>
    <row r="790" spans="1:9" s="31" customFormat="1" ht="105">
      <c r="A790" s="4">
        <v>43561.508333333331</v>
      </c>
      <c r="B790" s="5" t="s">
        <v>13874</v>
      </c>
      <c r="C790" s="6" t="s">
        <v>10949</v>
      </c>
      <c r="D790" s="7" t="s">
        <v>10950</v>
      </c>
      <c r="E790" s="8" t="s">
        <v>13120</v>
      </c>
      <c r="F790" s="4">
        <v>40068.762372685189</v>
      </c>
      <c r="G790" s="9" t="s">
        <v>13000</v>
      </c>
      <c r="H790" s="35" t="s">
        <v>10951</v>
      </c>
      <c r="I790" s="10" t="s">
        <v>10952</v>
      </c>
    </row>
    <row r="791" spans="1:9" s="31" customFormat="1" ht="105">
      <c r="A791" s="19">
        <v>43551.578819444447</v>
      </c>
      <c r="B791" s="20" t="s">
        <v>13875</v>
      </c>
      <c r="C791" s="21" t="s">
        <v>7111</v>
      </c>
      <c r="D791" s="22" t="s">
        <v>7112</v>
      </c>
      <c r="E791" s="23" t="s">
        <v>13032</v>
      </c>
      <c r="F791" s="19">
        <v>39748.707766203705</v>
      </c>
      <c r="G791" s="24" t="s">
        <v>13000</v>
      </c>
      <c r="H791" s="35" t="s">
        <v>7113</v>
      </c>
      <c r="I791" s="25" t="s">
        <v>7114</v>
      </c>
    </row>
    <row r="792" spans="1:9" s="31" customFormat="1" ht="105">
      <c r="A792" s="12">
        <v>43574.282129629632</v>
      </c>
      <c r="B792" s="13" t="s">
        <v>13876</v>
      </c>
      <c r="C792" s="14" t="s">
        <v>2627</v>
      </c>
      <c r="D792" s="15" t="s">
        <v>2628</v>
      </c>
      <c r="E792" s="16" t="s">
        <v>13009</v>
      </c>
      <c r="F792" s="12">
        <v>42992.581284722226</v>
      </c>
      <c r="G792" s="24" t="s">
        <v>13000</v>
      </c>
      <c r="H792" s="35" t="s">
        <v>2629</v>
      </c>
      <c r="I792" s="18" t="s">
        <v>2630</v>
      </c>
    </row>
    <row r="793" spans="1:9" s="31" customFormat="1" ht="105">
      <c r="A793" s="12">
        <v>43566.355324074073</v>
      </c>
      <c r="B793" s="13" t="s">
        <v>13877</v>
      </c>
      <c r="C793" s="14" t="s">
        <v>5624</v>
      </c>
      <c r="D793" s="15" t="s">
        <v>5625</v>
      </c>
      <c r="E793" s="16" t="s">
        <v>13011</v>
      </c>
      <c r="F793" s="12">
        <v>43538.265821759254</v>
      </c>
      <c r="G793" s="17" t="s">
        <v>13000</v>
      </c>
      <c r="H793" s="35" t="s">
        <v>5626</v>
      </c>
      <c r="I793" s="18" t="s">
        <v>5627</v>
      </c>
    </row>
    <row r="794" spans="1:9" s="31" customFormat="1" ht="75">
      <c r="A794" s="12">
        <v>43569.507245370369</v>
      </c>
      <c r="B794" s="13" t="s">
        <v>13878</v>
      </c>
      <c r="C794" s="14" t="s">
        <v>4494</v>
      </c>
      <c r="D794" s="15" t="s">
        <v>4495</v>
      </c>
      <c r="E794" s="16" t="s">
        <v>13015</v>
      </c>
      <c r="F794" s="12">
        <v>40264.784351851849</v>
      </c>
      <c r="G794" s="17" t="s">
        <v>13000</v>
      </c>
      <c r="H794" s="35" t="s">
        <v>4496</v>
      </c>
      <c r="I794" s="18" t="s">
        <v>4497</v>
      </c>
    </row>
    <row r="795" spans="1:9" s="31" customFormat="1" ht="120">
      <c r="A795" s="12">
        <v>43567.97719907407</v>
      </c>
      <c r="B795" s="13" t="s">
        <v>13879</v>
      </c>
      <c r="C795" s="14" t="s">
        <v>4907</v>
      </c>
      <c r="D795" s="15" t="s">
        <v>4908</v>
      </c>
      <c r="E795" s="16" t="s">
        <v>13032</v>
      </c>
      <c r="F795" s="12">
        <v>40510.46292824074</v>
      </c>
      <c r="G795" s="17" t="s">
        <v>13000</v>
      </c>
      <c r="H795" s="35" t="s">
        <v>4909</v>
      </c>
      <c r="I795" s="18" t="s">
        <v>4910</v>
      </c>
    </row>
    <row r="796" spans="1:9" s="31" customFormat="1" ht="60">
      <c r="A796" s="19">
        <v>43543.89162037037</v>
      </c>
      <c r="B796" s="20" t="s">
        <v>13880</v>
      </c>
      <c r="C796" s="21" t="s">
        <v>9655</v>
      </c>
      <c r="D796" s="22" t="s">
        <v>9656</v>
      </c>
      <c r="E796" s="23" t="s">
        <v>13009</v>
      </c>
      <c r="F796" s="19">
        <v>42457.707685185189</v>
      </c>
      <c r="G796" s="17" t="s">
        <v>13000</v>
      </c>
      <c r="H796" s="35" t="s">
        <v>9657</v>
      </c>
      <c r="I796" s="25" t="s">
        <v>9658</v>
      </c>
    </row>
    <row r="797" spans="1:9" s="31" customFormat="1" ht="30">
      <c r="A797" s="19">
        <v>43547.450185185182</v>
      </c>
      <c r="B797" s="20" t="s">
        <v>13881</v>
      </c>
      <c r="C797" s="21" t="s">
        <v>3030</v>
      </c>
      <c r="D797" s="22" t="s">
        <v>8538</v>
      </c>
      <c r="E797" s="23" t="s">
        <v>13011</v>
      </c>
      <c r="F797" s="19">
        <v>39910.084837962961</v>
      </c>
      <c r="G797" s="17" t="s">
        <v>13000</v>
      </c>
      <c r="H797" s="35" t="s">
        <v>3032</v>
      </c>
      <c r="I797" s="25" t="s">
        <v>3033</v>
      </c>
    </row>
    <row r="798" spans="1:9" s="31" customFormat="1" ht="30">
      <c r="A798" s="4">
        <v>43564.429479166662</v>
      </c>
      <c r="B798" s="5" t="s">
        <v>13881</v>
      </c>
      <c r="C798" s="6" t="s">
        <v>3030</v>
      </c>
      <c r="D798" s="7" t="s">
        <v>4681</v>
      </c>
      <c r="E798" s="8" t="s">
        <v>13011</v>
      </c>
      <c r="F798" s="4">
        <v>39910.084837962961</v>
      </c>
      <c r="G798" s="17" t="s">
        <v>13000</v>
      </c>
      <c r="H798" s="35" t="s">
        <v>3032</v>
      </c>
      <c r="I798" s="10" t="s">
        <v>3033</v>
      </c>
    </row>
    <row r="799" spans="1:9" s="31" customFormat="1" ht="45">
      <c r="A799" s="12">
        <v>43572.997939814813</v>
      </c>
      <c r="B799" s="13" t="s">
        <v>13881</v>
      </c>
      <c r="C799" s="14" t="s">
        <v>3030</v>
      </c>
      <c r="D799" s="15" t="s">
        <v>3031</v>
      </c>
      <c r="E799" s="16" t="s">
        <v>13011</v>
      </c>
      <c r="F799" s="12">
        <v>39910.084837962961</v>
      </c>
      <c r="G799" s="17" t="s">
        <v>13000</v>
      </c>
      <c r="H799" s="35" t="s">
        <v>3032</v>
      </c>
      <c r="I799" s="18" t="s">
        <v>3033</v>
      </c>
    </row>
    <row r="800" spans="1:9" s="31" customFormat="1" ht="30">
      <c r="A800" s="12">
        <v>43568.64534722222</v>
      </c>
      <c r="B800" s="13" t="s">
        <v>13881</v>
      </c>
      <c r="C800" s="14" t="s">
        <v>3030</v>
      </c>
      <c r="D800" s="15" t="s">
        <v>4681</v>
      </c>
      <c r="E800" s="16" t="s">
        <v>13011</v>
      </c>
      <c r="F800" s="12">
        <v>39910.084837962961</v>
      </c>
      <c r="G800" s="17" t="s">
        <v>13000</v>
      </c>
      <c r="H800" s="35" t="s">
        <v>3032</v>
      </c>
      <c r="I800" s="18" t="s">
        <v>3033</v>
      </c>
    </row>
    <row r="801" spans="1:9" s="31" customFormat="1" ht="105">
      <c r="A801" s="12">
        <v>43574.031423611115</v>
      </c>
      <c r="B801" s="13" t="s">
        <v>13882</v>
      </c>
      <c r="C801" s="14" t="s">
        <v>2685</v>
      </c>
      <c r="D801" s="15" t="s">
        <v>2686</v>
      </c>
      <c r="E801" s="16" t="s">
        <v>13013</v>
      </c>
      <c r="F801" s="12">
        <v>39853.527777777781</v>
      </c>
      <c r="G801" s="17" t="s">
        <v>13000</v>
      </c>
      <c r="H801" s="35" t="s">
        <v>2687</v>
      </c>
      <c r="I801" s="18" t="s">
        <v>2688</v>
      </c>
    </row>
    <row r="802" spans="1:9" s="31" customFormat="1" ht="90">
      <c r="A802" s="12">
        <v>43573.67292824074</v>
      </c>
      <c r="B802" s="13" t="s">
        <v>13883</v>
      </c>
      <c r="C802" s="14" t="s">
        <v>2768</v>
      </c>
      <c r="D802" s="15" t="s">
        <v>2769</v>
      </c>
      <c r="E802" s="16" t="s">
        <v>13411</v>
      </c>
      <c r="F802" s="12">
        <v>42832.688032407408</v>
      </c>
      <c r="G802" s="17" t="s">
        <v>13000</v>
      </c>
      <c r="H802" s="35" t="s">
        <v>2687</v>
      </c>
      <c r="I802" s="18" t="s">
        <v>2770</v>
      </c>
    </row>
    <row r="803" spans="1:9" s="31" customFormat="1" ht="105">
      <c r="A803" s="12">
        <v>43577.475243055553</v>
      </c>
      <c r="B803" s="13" t="s">
        <v>13884</v>
      </c>
      <c r="C803" s="14" t="s">
        <v>1609</v>
      </c>
      <c r="D803" s="15" t="s">
        <v>1610</v>
      </c>
      <c r="E803" s="16" t="s">
        <v>13099</v>
      </c>
      <c r="F803" s="12">
        <v>41537.499421296292</v>
      </c>
      <c r="G803" s="17" t="s">
        <v>13000</v>
      </c>
      <c r="H803" s="35" t="s">
        <v>1611</v>
      </c>
      <c r="I803" s="18" t="s">
        <v>1612</v>
      </c>
    </row>
    <row r="804" spans="1:9" s="31" customFormat="1" ht="105">
      <c r="A804" s="12">
        <v>43577.185983796298</v>
      </c>
      <c r="B804" s="13" t="s">
        <v>13884</v>
      </c>
      <c r="C804" s="14" t="s">
        <v>1609</v>
      </c>
      <c r="D804" s="15" t="s">
        <v>1716</v>
      </c>
      <c r="E804" s="16" t="s">
        <v>13013</v>
      </c>
      <c r="F804" s="12">
        <v>41537.499421296292</v>
      </c>
      <c r="G804" s="17" t="s">
        <v>13000</v>
      </c>
      <c r="H804" s="35" t="s">
        <v>1611</v>
      </c>
      <c r="I804" s="18" t="s">
        <v>1612</v>
      </c>
    </row>
    <row r="805" spans="1:9" s="31" customFormat="1" ht="105">
      <c r="A805" s="12">
        <v>43579.268506944441</v>
      </c>
      <c r="B805" s="13" t="s">
        <v>13885</v>
      </c>
      <c r="C805" s="14" t="s">
        <v>807</v>
      </c>
      <c r="D805" s="15" t="s">
        <v>808</v>
      </c>
      <c r="E805" s="16" t="s">
        <v>13006</v>
      </c>
      <c r="F805" s="12">
        <v>40051.757870370369</v>
      </c>
      <c r="G805" s="17" t="s">
        <v>13000</v>
      </c>
      <c r="H805" s="35" t="s">
        <v>809</v>
      </c>
      <c r="I805" s="18" t="s">
        <v>810</v>
      </c>
    </row>
    <row r="806" spans="1:9" s="31" customFormat="1" ht="60">
      <c r="A806" s="19">
        <v>43550.531689814816</v>
      </c>
      <c r="B806" s="20" t="s">
        <v>13886</v>
      </c>
      <c r="C806" s="21" t="s">
        <v>7620</v>
      </c>
      <c r="D806" s="22" t="s">
        <v>7621</v>
      </c>
      <c r="E806" s="23" t="s">
        <v>13032</v>
      </c>
      <c r="F806" s="19">
        <v>40494.508206018516</v>
      </c>
      <c r="G806" s="17" t="s">
        <v>13000</v>
      </c>
      <c r="H806" s="35" t="s">
        <v>7622</v>
      </c>
      <c r="I806" s="25" t="s">
        <v>7623</v>
      </c>
    </row>
    <row r="807" spans="1:9" s="31" customFormat="1" ht="75">
      <c r="A807" s="19">
        <v>43550.427268518513</v>
      </c>
      <c r="B807" s="20" t="s">
        <v>13887</v>
      </c>
      <c r="C807" s="21" t="s">
        <v>7670</v>
      </c>
      <c r="D807" s="22" t="s">
        <v>7671</v>
      </c>
      <c r="E807" s="23" t="s">
        <v>13018</v>
      </c>
      <c r="F807" s="19">
        <v>40035.325243055559</v>
      </c>
      <c r="G807" s="17" t="s">
        <v>13000</v>
      </c>
      <c r="H807" s="35" t="s">
        <v>7622</v>
      </c>
      <c r="I807" s="25" t="s">
        <v>7672</v>
      </c>
    </row>
    <row r="808" spans="1:9" s="31" customFormat="1" ht="75">
      <c r="A808" s="19">
        <v>43545.552233796298</v>
      </c>
      <c r="B808" s="20" t="s">
        <v>13887</v>
      </c>
      <c r="C808" s="21" t="s">
        <v>7670</v>
      </c>
      <c r="D808" s="22" t="s">
        <v>9099</v>
      </c>
      <c r="E808" s="23" t="s">
        <v>13018</v>
      </c>
      <c r="F808" s="19">
        <v>40035.325243055559</v>
      </c>
      <c r="G808" s="17" t="s">
        <v>13000</v>
      </c>
      <c r="H808" s="35" t="s">
        <v>7622</v>
      </c>
      <c r="I808" s="25" t="s">
        <v>7672</v>
      </c>
    </row>
    <row r="809" spans="1:9" s="31" customFormat="1" ht="30">
      <c r="A809" s="19">
        <v>43543.687071759261</v>
      </c>
      <c r="B809" s="20" t="s">
        <v>13888</v>
      </c>
      <c r="C809" s="21" t="s">
        <v>9703</v>
      </c>
      <c r="D809" s="22" t="s">
        <v>9704</v>
      </c>
      <c r="E809" s="23" t="s">
        <v>13011</v>
      </c>
      <c r="F809" s="19">
        <v>40213.335509259261</v>
      </c>
      <c r="G809" s="17" t="s">
        <v>13000</v>
      </c>
      <c r="H809" s="35" t="s">
        <v>7622</v>
      </c>
      <c r="I809" s="25" t="s">
        <v>9705</v>
      </c>
    </row>
    <row r="810" spans="1:9" s="31" customFormat="1" ht="90">
      <c r="A810" s="4">
        <v>43558.890231481477</v>
      </c>
      <c r="B810" s="5" t="s">
        <v>13889</v>
      </c>
      <c r="C810" s="6" t="s">
        <v>12002</v>
      </c>
      <c r="D810" s="7" t="s">
        <v>12003</v>
      </c>
      <c r="E810" s="8" t="s">
        <v>13013</v>
      </c>
      <c r="F810" s="4">
        <v>40179.53833333333</v>
      </c>
      <c r="G810" s="17" t="s">
        <v>13000</v>
      </c>
      <c r="H810" s="35" t="s">
        <v>7622</v>
      </c>
      <c r="I810" s="10" t="s">
        <v>12004</v>
      </c>
    </row>
    <row r="811" spans="1:9" s="31" customFormat="1" ht="105">
      <c r="A811" s="4">
        <v>43563.563680555555</v>
      </c>
      <c r="B811" s="5" t="s">
        <v>13890</v>
      </c>
      <c r="C811" s="6" t="s">
        <v>10222</v>
      </c>
      <c r="D811" s="7" t="s">
        <v>10223</v>
      </c>
      <c r="E811" s="8" t="s">
        <v>13891</v>
      </c>
      <c r="F811" s="4">
        <v>42033.48605324074</v>
      </c>
      <c r="G811" s="17" t="s">
        <v>13000</v>
      </c>
      <c r="H811" s="35" t="s">
        <v>10224</v>
      </c>
      <c r="I811" s="10" t="s">
        <v>10225</v>
      </c>
    </row>
    <row r="812" spans="1:9" s="31" customFormat="1" ht="105">
      <c r="A812" s="19">
        <v>43550.29409722222</v>
      </c>
      <c r="B812" s="20" t="s">
        <v>13892</v>
      </c>
      <c r="C812" s="21" t="s">
        <v>7741</v>
      </c>
      <c r="D812" s="22" t="s">
        <v>7742</v>
      </c>
      <c r="E812" s="23" t="s">
        <v>13011</v>
      </c>
      <c r="F812" s="19">
        <v>42886.434606481482</v>
      </c>
      <c r="G812" s="17" t="s">
        <v>13000</v>
      </c>
      <c r="H812" s="35" t="s">
        <v>2864</v>
      </c>
      <c r="I812" s="25" t="s">
        <v>7743</v>
      </c>
    </row>
    <row r="813" spans="1:9" s="31" customFormat="1" ht="120">
      <c r="A813" s="19">
        <v>43544.353078703702</v>
      </c>
      <c r="B813" s="20" t="s">
        <v>13893</v>
      </c>
      <c r="C813" s="21" t="s">
        <v>2862</v>
      </c>
      <c r="D813" s="22" t="s">
        <v>9500</v>
      </c>
      <c r="E813" s="23" t="s">
        <v>13009</v>
      </c>
      <c r="F813" s="19">
        <v>39701.303576388891</v>
      </c>
      <c r="G813" s="17" t="s">
        <v>13000</v>
      </c>
      <c r="H813" s="35" t="s">
        <v>2864</v>
      </c>
      <c r="I813" s="25" t="s">
        <v>2865</v>
      </c>
    </row>
    <row r="814" spans="1:9" s="31" customFormat="1" ht="105">
      <c r="A814" s="19">
        <v>43543.610891203702</v>
      </c>
      <c r="B814" s="20" t="s">
        <v>13894</v>
      </c>
      <c r="C814" s="21" t="s">
        <v>6387</v>
      </c>
      <c r="D814" s="22" t="s">
        <v>9740</v>
      </c>
      <c r="E814" s="23" t="s">
        <v>13011</v>
      </c>
      <c r="F814" s="19">
        <v>42814.549074074079</v>
      </c>
      <c r="G814" s="17" t="s">
        <v>13000</v>
      </c>
      <c r="H814" s="35" t="s">
        <v>2864</v>
      </c>
      <c r="I814" s="25" t="s">
        <v>6389</v>
      </c>
    </row>
    <row r="815" spans="1:9" s="31" customFormat="1" ht="45">
      <c r="A815" s="19">
        <v>43542.71738425926</v>
      </c>
      <c r="B815" s="20" t="s">
        <v>13895</v>
      </c>
      <c r="C815" s="21" t="s">
        <v>10028</v>
      </c>
      <c r="D815" s="22" t="s">
        <v>10029</v>
      </c>
      <c r="E815" s="23" t="s">
        <v>13034</v>
      </c>
      <c r="F815" s="19">
        <v>40466.16615740741</v>
      </c>
      <c r="G815" s="17" t="s">
        <v>13000</v>
      </c>
      <c r="H815" s="35" t="s">
        <v>2864</v>
      </c>
      <c r="I815" s="25" t="s">
        <v>10030</v>
      </c>
    </row>
    <row r="816" spans="1:9" s="31" customFormat="1" ht="45">
      <c r="A816" s="4">
        <v>43565.652789351851</v>
      </c>
      <c r="B816" s="5" t="s">
        <v>13896</v>
      </c>
      <c r="C816" s="6" t="s">
        <v>5965</v>
      </c>
      <c r="D816" s="7" t="s">
        <v>5966</v>
      </c>
      <c r="E816" s="8" t="s">
        <v>13120</v>
      </c>
      <c r="F816" s="4">
        <v>41457.370023148149</v>
      </c>
      <c r="G816" s="17" t="s">
        <v>13000</v>
      </c>
      <c r="H816" s="35" t="s">
        <v>5967</v>
      </c>
      <c r="I816" s="10" t="s">
        <v>5968</v>
      </c>
    </row>
    <row r="817" spans="1:9" s="31" customFormat="1" ht="105">
      <c r="A817" s="4">
        <v>43564.902303240742</v>
      </c>
      <c r="B817" s="5" t="s">
        <v>13894</v>
      </c>
      <c r="C817" s="6" t="s">
        <v>6387</v>
      </c>
      <c r="D817" s="7" t="s">
        <v>6388</v>
      </c>
      <c r="E817" s="8" t="s">
        <v>13011</v>
      </c>
      <c r="F817" s="4">
        <v>42814.549074074079</v>
      </c>
      <c r="G817" s="17" t="s">
        <v>13000</v>
      </c>
      <c r="H817" s="35" t="s">
        <v>2864</v>
      </c>
      <c r="I817" s="10" t="s">
        <v>6389</v>
      </c>
    </row>
    <row r="818" spans="1:9" s="31" customFormat="1" ht="165">
      <c r="A818" s="4">
        <v>43564.884687500002</v>
      </c>
      <c r="B818" s="5" t="s">
        <v>13894</v>
      </c>
      <c r="C818" s="6" t="s">
        <v>6387</v>
      </c>
      <c r="D818" s="7" t="s">
        <v>6390</v>
      </c>
      <c r="E818" s="8" t="s">
        <v>13011</v>
      </c>
      <c r="F818" s="4">
        <v>42814.549074074079</v>
      </c>
      <c r="G818" s="17" t="s">
        <v>13000</v>
      </c>
      <c r="H818" s="35" t="s">
        <v>2864</v>
      </c>
      <c r="I818" s="10" t="s">
        <v>6389</v>
      </c>
    </row>
    <row r="819" spans="1:9" s="31" customFormat="1" ht="30">
      <c r="A819" s="4">
        <v>43564.838900462964</v>
      </c>
      <c r="B819" s="5" t="s">
        <v>13897</v>
      </c>
      <c r="C819" s="6" t="s">
        <v>10195</v>
      </c>
      <c r="D819" s="7" t="s">
        <v>10196</v>
      </c>
      <c r="E819" s="8" t="s">
        <v>13011</v>
      </c>
      <c r="F819" s="4">
        <v>42459.37332175926</v>
      </c>
      <c r="G819" s="17" t="s">
        <v>13000</v>
      </c>
      <c r="H819" s="35" t="s">
        <v>2864</v>
      </c>
      <c r="I819" s="10" t="s">
        <v>10197</v>
      </c>
    </row>
    <row r="820" spans="1:9" s="31" customFormat="1" ht="60">
      <c r="A820" s="4">
        <v>43561.90825231481</v>
      </c>
      <c r="B820" s="5" t="s">
        <v>13898</v>
      </c>
      <c r="C820" s="6" t="s">
        <v>10800</v>
      </c>
      <c r="D820" s="7" t="s">
        <v>10801</v>
      </c>
      <c r="E820" s="8" t="s">
        <v>13009</v>
      </c>
      <c r="F820" s="4">
        <v>41065.710370370369</v>
      </c>
      <c r="G820" s="17" t="s">
        <v>13000</v>
      </c>
      <c r="H820" s="35" t="s">
        <v>2864</v>
      </c>
      <c r="I820" s="10" t="s">
        <v>10802</v>
      </c>
    </row>
    <row r="821" spans="1:9" s="31" customFormat="1" ht="60">
      <c r="A821" s="4">
        <v>43560.674768518518</v>
      </c>
      <c r="B821" s="5" t="s">
        <v>13899</v>
      </c>
      <c r="C821" s="6" t="s">
        <v>11224</v>
      </c>
      <c r="D821" s="7" t="s">
        <v>11225</v>
      </c>
      <c r="E821" s="8" t="s">
        <v>13011</v>
      </c>
      <c r="F821" s="4">
        <v>42138.354687500003</v>
      </c>
      <c r="G821" s="17" t="s">
        <v>13000</v>
      </c>
      <c r="H821" s="35" t="s">
        <v>2864</v>
      </c>
      <c r="I821" s="10" t="s">
        <v>11226</v>
      </c>
    </row>
    <row r="822" spans="1:9" s="31" customFormat="1" ht="120">
      <c r="A822" s="4">
        <v>43559.600902777776</v>
      </c>
      <c r="B822" s="5" t="s">
        <v>13893</v>
      </c>
      <c r="C822" s="6" t="s">
        <v>2862</v>
      </c>
      <c r="D822" s="7" t="s">
        <v>11749</v>
      </c>
      <c r="E822" s="8" t="s">
        <v>13009</v>
      </c>
      <c r="F822" s="4">
        <v>39701.303576388891</v>
      </c>
      <c r="G822" s="17" t="s">
        <v>13000</v>
      </c>
      <c r="H822" s="35" t="s">
        <v>2864</v>
      </c>
      <c r="I822" s="10" t="s">
        <v>2865</v>
      </c>
    </row>
    <row r="823" spans="1:9" s="31" customFormat="1" ht="105">
      <c r="A823" s="4">
        <v>43557.669270833328</v>
      </c>
      <c r="B823" s="5" t="s">
        <v>13894</v>
      </c>
      <c r="C823" s="6" t="s">
        <v>6387</v>
      </c>
      <c r="D823" s="7" t="s">
        <v>12419</v>
      </c>
      <c r="E823" s="8" t="s">
        <v>13011</v>
      </c>
      <c r="F823" s="4">
        <v>42814.549074074079</v>
      </c>
      <c r="G823" s="17" t="s">
        <v>13000</v>
      </c>
      <c r="H823" s="35" t="s">
        <v>2864</v>
      </c>
      <c r="I823" s="10" t="s">
        <v>6389</v>
      </c>
    </row>
    <row r="824" spans="1:9" s="31" customFormat="1" ht="45">
      <c r="A824" s="4">
        <v>43557.500833333332</v>
      </c>
      <c r="B824" s="5" t="s">
        <v>13900</v>
      </c>
      <c r="C824" s="6" t="s">
        <v>12496</v>
      </c>
      <c r="D824" s="7" t="s">
        <v>12497</v>
      </c>
      <c r="E824" s="8" t="s">
        <v>13032</v>
      </c>
      <c r="F824" s="4">
        <v>39691.903761574074</v>
      </c>
      <c r="G824" s="17" t="s">
        <v>13000</v>
      </c>
      <c r="H824" s="35" t="s">
        <v>2864</v>
      </c>
      <c r="I824" s="10" t="s">
        <v>12498</v>
      </c>
    </row>
    <row r="825" spans="1:9" s="31" customFormat="1" ht="45">
      <c r="A825" s="4">
        <v>43556.717372685191</v>
      </c>
      <c r="B825" s="5" t="s">
        <v>13895</v>
      </c>
      <c r="C825" s="6" t="s">
        <v>10028</v>
      </c>
      <c r="D825" s="7" t="s">
        <v>12763</v>
      </c>
      <c r="E825" s="8" t="s">
        <v>13034</v>
      </c>
      <c r="F825" s="4">
        <v>40466.16615740741</v>
      </c>
      <c r="G825" s="17" t="s">
        <v>13000</v>
      </c>
      <c r="H825" s="35" t="s">
        <v>2864</v>
      </c>
      <c r="I825" s="10" t="s">
        <v>10030</v>
      </c>
    </row>
    <row r="826" spans="1:9" s="31" customFormat="1" ht="120">
      <c r="A826" s="12">
        <v>43573.431724537033</v>
      </c>
      <c r="B826" s="13" t="s">
        <v>13893</v>
      </c>
      <c r="C826" s="14" t="s">
        <v>2862</v>
      </c>
      <c r="D826" s="15" t="s">
        <v>2863</v>
      </c>
      <c r="E826" s="16" t="s">
        <v>13009</v>
      </c>
      <c r="F826" s="12">
        <v>39701.303576388891</v>
      </c>
      <c r="G826" s="17" t="s">
        <v>13000</v>
      </c>
      <c r="H826" s="35" t="s">
        <v>2864</v>
      </c>
      <c r="I826" s="18" t="s">
        <v>2865</v>
      </c>
    </row>
    <row r="827" spans="1:9" s="31" customFormat="1" ht="120">
      <c r="A827" s="19">
        <v>43543.871608796297</v>
      </c>
      <c r="B827" s="20" t="s">
        <v>13901</v>
      </c>
      <c r="C827" s="21" t="s">
        <v>9659</v>
      </c>
      <c r="D827" s="22" t="s">
        <v>9660</v>
      </c>
      <c r="E827" s="23" t="s">
        <v>13011</v>
      </c>
      <c r="F827" s="19">
        <v>41950.620335648149</v>
      </c>
      <c r="G827" s="17" t="s">
        <v>13000</v>
      </c>
      <c r="H827" s="35" t="s">
        <v>9661</v>
      </c>
      <c r="I827" s="25" t="s">
        <v>9662</v>
      </c>
    </row>
    <row r="828" spans="1:9" s="31" customFormat="1" ht="120">
      <c r="A828" s="4">
        <v>43561.830659722225</v>
      </c>
      <c r="B828" s="5" t="s">
        <v>13902</v>
      </c>
      <c r="C828" s="6" t="s">
        <v>10815</v>
      </c>
      <c r="D828" s="7" t="s">
        <v>10816</v>
      </c>
      <c r="E828" s="8" t="s">
        <v>13009</v>
      </c>
      <c r="F828" s="4">
        <v>41877.248391203706</v>
      </c>
      <c r="G828" s="9" t="s">
        <v>13000</v>
      </c>
      <c r="H828" s="35" t="s">
        <v>10817</v>
      </c>
      <c r="I828" s="10" t="s">
        <v>10818</v>
      </c>
    </row>
    <row r="829" spans="1:9" s="31" customFormat="1" ht="105">
      <c r="A829" s="4">
        <v>43560.624444444446</v>
      </c>
      <c r="B829" s="5" t="s">
        <v>13903</v>
      </c>
      <c r="C829" s="6" t="s">
        <v>11241</v>
      </c>
      <c r="D829" s="7" t="s">
        <v>11242</v>
      </c>
      <c r="E829" s="8" t="s">
        <v>13006</v>
      </c>
      <c r="F829" s="4">
        <v>40113.891284722224</v>
      </c>
      <c r="G829" s="17" t="s">
        <v>13000</v>
      </c>
      <c r="H829" s="35" t="s">
        <v>11243</v>
      </c>
      <c r="I829" s="10" t="s">
        <v>11244</v>
      </c>
    </row>
    <row r="830" spans="1:9" s="31" customFormat="1" ht="105">
      <c r="A830" s="4">
        <v>43560.624224537038</v>
      </c>
      <c r="B830" s="5" t="s">
        <v>13903</v>
      </c>
      <c r="C830" s="6" t="s">
        <v>11241</v>
      </c>
      <c r="D830" s="7" t="s">
        <v>11242</v>
      </c>
      <c r="E830" s="8" t="s">
        <v>13006</v>
      </c>
      <c r="F830" s="4">
        <v>40113.891284722224</v>
      </c>
      <c r="G830" s="17" t="s">
        <v>13000</v>
      </c>
      <c r="H830" s="35" t="s">
        <v>11243</v>
      </c>
      <c r="I830" s="10" t="s">
        <v>11244</v>
      </c>
    </row>
    <row r="831" spans="1:9" s="31" customFormat="1" ht="75">
      <c r="A831" s="4">
        <v>43561.507210648153</v>
      </c>
      <c r="B831" s="5" t="s">
        <v>13904</v>
      </c>
      <c r="C831" s="6" t="s">
        <v>10953</v>
      </c>
      <c r="D831" s="7" t="s">
        <v>10954</v>
      </c>
      <c r="E831" s="8" t="s">
        <v>13099</v>
      </c>
      <c r="F831" s="4">
        <v>39596.806192129632</v>
      </c>
      <c r="G831" s="17" t="s">
        <v>13000</v>
      </c>
      <c r="H831" s="35" t="s">
        <v>10955</v>
      </c>
      <c r="I831" s="10" t="s">
        <v>10956</v>
      </c>
    </row>
    <row r="832" spans="1:9" s="31" customFormat="1" ht="45">
      <c r="A832" s="12">
        <v>43574.279699074075</v>
      </c>
      <c r="B832" s="13" t="s">
        <v>13905</v>
      </c>
      <c r="C832" s="14" t="s">
        <v>2634</v>
      </c>
      <c r="D832" s="15" t="s">
        <v>2635</v>
      </c>
      <c r="E832" s="16" t="s">
        <v>13011</v>
      </c>
      <c r="F832" s="12">
        <v>43425.474351851852</v>
      </c>
      <c r="G832" s="17" t="s">
        <v>13000</v>
      </c>
      <c r="H832" s="35" t="s">
        <v>2636</v>
      </c>
      <c r="I832" s="18" t="s">
        <v>2637</v>
      </c>
    </row>
    <row r="833" spans="1:9" s="31" customFormat="1" ht="105">
      <c r="A833" s="12">
        <v>43577.576782407406</v>
      </c>
      <c r="B833" s="13" t="s">
        <v>13906</v>
      </c>
      <c r="C833" s="14" t="s">
        <v>1569</v>
      </c>
      <c r="D833" s="15" t="s">
        <v>1570</v>
      </c>
      <c r="E833" s="16" t="s">
        <v>13009</v>
      </c>
      <c r="F833" s="12">
        <v>39646.890347222223</v>
      </c>
      <c r="G833" s="17" t="s">
        <v>13000</v>
      </c>
      <c r="H833" s="35" t="s">
        <v>1571</v>
      </c>
      <c r="I833" s="18" t="s">
        <v>1572</v>
      </c>
    </row>
    <row r="834" spans="1:9" s="31" customFormat="1" ht="105">
      <c r="A834" s="12">
        <v>43571.174432870372</v>
      </c>
      <c r="B834" s="13" t="s">
        <v>13907</v>
      </c>
      <c r="C834" s="14" t="s">
        <v>3809</v>
      </c>
      <c r="D834" s="15" t="s">
        <v>3810</v>
      </c>
      <c r="E834" s="16" t="s">
        <v>13011</v>
      </c>
      <c r="F834" s="12">
        <v>39888.825185185182</v>
      </c>
      <c r="G834" s="17" t="s">
        <v>13000</v>
      </c>
      <c r="H834" s="35" t="s">
        <v>3811</v>
      </c>
      <c r="I834" s="18" t="s">
        <v>3812</v>
      </c>
    </row>
    <row r="835" spans="1:9" s="31" customFormat="1" ht="105">
      <c r="A835" s="19">
        <v>43544.495752314819</v>
      </c>
      <c r="B835" s="20" t="s">
        <v>13908</v>
      </c>
      <c r="C835" s="21" t="s">
        <v>9440</v>
      </c>
      <c r="D835" s="22" t="s">
        <v>9441</v>
      </c>
      <c r="E835" s="23" t="s">
        <v>13009</v>
      </c>
      <c r="F835" s="19">
        <v>42798.617893518516</v>
      </c>
      <c r="G835" s="9" t="s">
        <v>13000</v>
      </c>
      <c r="H835" s="35" t="s">
        <v>9442</v>
      </c>
      <c r="I835" s="25" t="s">
        <v>9443</v>
      </c>
    </row>
    <row r="836" spans="1:9" s="31" customFormat="1" ht="30">
      <c r="A836" s="4">
        <v>43561.112118055556</v>
      </c>
      <c r="B836" s="5" t="s">
        <v>13909</v>
      </c>
      <c r="C836" s="6" t="s">
        <v>11065</v>
      </c>
      <c r="D836" s="7" t="s">
        <v>11066</v>
      </c>
      <c r="E836" s="8" t="s">
        <v>13015</v>
      </c>
      <c r="F836" s="4">
        <v>42398.60555555555</v>
      </c>
      <c r="G836" s="9" t="s">
        <v>13000</v>
      </c>
      <c r="H836" s="35" t="s">
        <v>9442</v>
      </c>
      <c r="I836" s="10"/>
    </row>
    <row r="837" spans="1:9" s="31" customFormat="1" ht="30">
      <c r="A837" s="12">
        <v>43566.632569444446</v>
      </c>
      <c r="B837" s="13" t="s">
        <v>13910</v>
      </c>
      <c r="C837" s="14" t="s">
        <v>5387</v>
      </c>
      <c r="D837" s="15" t="s">
        <v>5388</v>
      </c>
      <c r="E837" s="16" t="s">
        <v>13011</v>
      </c>
      <c r="F837" s="12">
        <v>39892.917094907403</v>
      </c>
      <c r="G837" s="17" t="s">
        <v>13000</v>
      </c>
      <c r="H837" s="35" t="s">
        <v>5389</v>
      </c>
      <c r="I837" s="18" t="s">
        <v>5390</v>
      </c>
    </row>
    <row r="838" spans="1:9" s="31" customFormat="1" ht="105">
      <c r="A838" s="4">
        <v>43558.328055555554</v>
      </c>
      <c r="B838" s="5" t="s">
        <v>13911</v>
      </c>
      <c r="C838" s="6" t="s">
        <v>12236</v>
      </c>
      <c r="D838" s="7" t="s">
        <v>12237</v>
      </c>
      <c r="E838" s="8" t="s">
        <v>13032</v>
      </c>
      <c r="F838" s="4">
        <v>43067.183472222227</v>
      </c>
      <c r="G838" s="17" t="s">
        <v>13000</v>
      </c>
      <c r="H838" s="35" t="s">
        <v>12238</v>
      </c>
      <c r="I838" s="10" t="s">
        <v>12239</v>
      </c>
    </row>
    <row r="839" spans="1:9" s="31" customFormat="1" ht="75">
      <c r="A839" s="4">
        <v>43563.352812500001</v>
      </c>
      <c r="B839" s="5" t="s">
        <v>13912</v>
      </c>
      <c r="C839" s="6" t="s">
        <v>10345</v>
      </c>
      <c r="D839" s="7" t="s">
        <v>10346</v>
      </c>
      <c r="E839" s="8" t="s">
        <v>13034</v>
      </c>
      <c r="F839" s="4">
        <v>43543.351458333331</v>
      </c>
      <c r="G839" s="17" t="s">
        <v>13000</v>
      </c>
      <c r="H839" s="35" t="s">
        <v>10347</v>
      </c>
      <c r="I839" s="10" t="s">
        <v>10348</v>
      </c>
    </row>
    <row r="840" spans="1:9" s="31" customFormat="1" ht="105">
      <c r="A840" s="4">
        <v>43561.587523148148</v>
      </c>
      <c r="B840" s="5" t="s">
        <v>13913</v>
      </c>
      <c r="C840" s="6" t="s">
        <v>10924</v>
      </c>
      <c r="D840" s="7" t="s">
        <v>10925</v>
      </c>
      <c r="E840" s="8" t="s">
        <v>13034</v>
      </c>
      <c r="F840" s="4">
        <v>41276.168877314813</v>
      </c>
      <c r="G840" s="17" t="s">
        <v>13000</v>
      </c>
      <c r="H840" s="35" t="s">
        <v>10347</v>
      </c>
      <c r="I840" s="10" t="s">
        <v>10926</v>
      </c>
    </row>
    <row r="841" spans="1:9" s="31" customFormat="1" ht="60">
      <c r="A841" s="19">
        <v>43551.083240740743</v>
      </c>
      <c r="B841" s="20" t="s">
        <v>13914</v>
      </c>
      <c r="C841" s="21" t="s">
        <v>7442</v>
      </c>
      <c r="D841" s="22" t="s">
        <v>7443</v>
      </c>
      <c r="E841" s="23" t="s">
        <v>13009</v>
      </c>
      <c r="F841" s="19">
        <v>42330.356874999998</v>
      </c>
      <c r="G841" s="17" t="s">
        <v>13000</v>
      </c>
      <c r="H841" s="35" t="s">
        <v>3586</v>
      </c>
      <c r="I841" s="25" t="s">
        <v>7444</v>
      </c>
    </row>
    <row r="842" spans="1:9" s="31" customFormat="1" ht="60">
      <c r="A842" s="4">
        <v>43563.352800925924</v>
      </c>
      <c r="B842" s="5" t="s">
        <v>13915</v>
      </c>
      <c r="C842" s="6" t="s">
        <v>10349</v>
      </c>
      <c r="D842" s="7" t="s">
        <v>10346</v>
      </c>
      <c r="E842" s="8" t="s">
        <v>13034</v>
      </c>
      <c r="F842" s="4">
        <v>42608.358576388884</v>
      </c>
      <c r="G842" s="17" t="s">
        <v>13000</v>
      </c>
      <c r="H842" s="35" t="s">
        <v>3586</v>
      </c>
      <c r="I842" s="10" t="s">
        <v>10350</v>
      </c>
    </row>
    <row r="843" spans="1:9" s="31" customFormat="1" ht="75">
      <c r="A843" s="12">
        <v>43571.712268518517</v>
      </c>
      <c r="B843" s="13" t="s">
        <v>13916</v>
      </c>
      <c r="C843" s="14" t="s">
        <v>3584</v>
      </c>
      <c r="D843" s="15" t="s">
        <v>3585</v>
      </c>
      <c r="E843" s="16" t="s">
        <v>13011</v>
      </c>
      <c r="F843" s="12">
        <v>40705.240416666667</v>
      </c>
      <c r="G843" s="17" t="s">
        <v>13000</v>
      </c>
      <c r="H843" s="35" t="s">
        <v>3586</v>
      </c>
      <c r="I843" s="18" t="s">
        <v>3587</v>
      </c>
    </row>
    <row r="844" spans="1:9" s="31" customFormat="1" ht="105">
      <c r="A844" s="19">
        <v>43549.489548611113</v>
      </c>
      <c r="B844" s="20" t="s">
        <v>13917</v>
      </c>
      <c r="C844" s="21" t="s">
        <v>200</v>
      </c>
      <c r="D844" s="22" t="s">
        <v>8015</v>
      </c>
      <c r="E844" s="23" t="s">
        <v>13011</v>
      </c>
      <c r="F844" s="19">
        <v>43412.440416666665</v>
      </c>
      <c r="G844" s="17" t="s">
        <v>13000</v>
      </c>
      <c r="H844" s="35" t="s">
        <v>202</v>
      </c>
      <c r="I844" s="25" t="s">
        <v>203</v>
      </c>
    </row>
    <row r="845" spans="1:9" s="31" customFormat="1" ht="105">
      <c r="A845" s="19">
        <v>43548.445613425924</v>
      </c>
      <c r="B845" s="20" t="s">
        <v>13917</v>
      </c>
      <c r="C845" s="21" t="s">
        <v>200</v>
      </c>
      <c r="D845" s="22" t="s">
        <v>8316</v>
      </c>
      <c r="E845" s="23" t="s">
        <v>13011</v>
      </c>
      <c r="F845" s="19">
        <v>43412.440416666665</v>
      </c>
      <c r="G845" s="17" t="s">
        <v>13000</v>
      </c>
      <c r="H845" s="35" t="s">
        <v>202</v>
      </c>
      <c r="I845" s="25" t="s">
        <v>203</v>
      </c>
    </row>
    <row r="846" spans="1:9" s="31" customFormat="1" ht="105">
      <c r="A846" s="19">
        <v>43545.501597222217</v>
      </c>
      <c r="B846" s="20" t="s">
        <v>13917</v>
      </c>
      <c r="C846" s="21" t="s">
        <v>200</v>
      </c>
      <c r="D846" s="22" t="s">
        <v>9119</v>
      </c>
      <c r="E846" s="23" t="s">
        <v>13011</v>
      </c>
      <c r="F846" s="19">
        <v>43412.440416666665</v>
      </c>
      <c r="G846" s="17" t="s">
        <v>13000</v>
      </c>
      <c r="H846" s="35" t="s">
        <v>202</v>
      </c>
      <c r="I846" s="25" t="s">
        <v>203</v>
      </c>
    </row>
    <row r="847" spans="1:9" s="31" customFormat="1" ht="105">
      <c r="A847" s="19">
        <v>43543.647025462968</v>
      </c>
      <c r="B847" s="20" t="s">
        <v>13917</v>
      </c>
      <c r="C847" s="21" t="s">
        <v>200</v>
      </c>
      <c r="D847" s="22" t="s">
        <v>9714</v>
      </c>
      <c r="E847" s="23" t="s">
        <v>13011</v>
      </c>
      <c r="F847" s="19">
        <v>43412.440416666665</v>
      </c>
      <c r="G847" s="17" t="s">
        <v>13000</v>
      </c>
      <c r="H847" s="35" t="s">
        <v>202</v>
      </c>
      <c r="I847" s="25" t="s">
        <v>203</v>
      </c>
    </row>
    <row r="848" spans="1:9" s="31" customFormat="1" ht="105">
      <c r="A848" s="4">
        <v>43565.23951388889</v>
      </c>
      <c r="B848" s="5" t="s">
        <v>13917</v>
      </c>
      <c r="C848" s="6" t="s">
        <v>200</v>
      </c>
      <c r="D848" s="7" t="s">
        <v>6212</v>
      </c>
      <c r="E848" s="8" t="s">
        <v>13011</v>
      </c>
      <c r="F848" s="4">
        <v>43412.440416666665</v>
      </c>
      <c r="G848" s="17" t="s">
        <v>13000</v>
      </c>
      <c r="H848" s="35" t="s">
        <v>202</v>
      </c>
      <c r="I848" s="10" t="s">
        <v>203</v>
      </c>
    </row>
    <row r="849" spans="1:9" s="31" customFormat="1" ht="105">
      <c r="A849" s="4">
        <v>43562.519155092596</v>
      </c>
      <c r="B849" s="5" t="s">
        <v>13917</v>
      </c>
      <c r="C849" s="6" t="s">
        <v>200</v>
      </c>
      <c r="D849" s="7" t="s">
        <v>10655</v>
      </c>
      <c r="E849" s="8" t="s">
        <v>13011</v>
      </c>
      <c r="F849" s="4">
        <v>43412.440416666665</v>
      </c>
      <c r="G849" s="17" t="s">
        <v>13000</v>
      </c>
      <c r="H849" s="35" t="s">
        <v>202</v>
      </c>
      <c r="I849" s="10" t="s">
        <v>203</v>
      </c>
    </row>
    <row r="850" spans="1:9" s="31" customFormat="1" ht="105">
      <c r="A850" s="4">
        <v>43559.68414351852</v>
      </c>
      <c r="B850" s="5" t="s">
        <v>13917</v>
      </c>
      <c r="C850" s="6" t="s">
        <v>200</v>
      </c>
      <c r="D850" s="7" t="s">
        <v>11711</v>
      </c>
      <c r="E850" s="8" t="s">
        <v>13011</v>
      </c>
      <c r="F850" s="4">
        <v>43412.440416666665</v>
      </c>
      <c r="G850" s="17" t="s">
        <v>13000</v>
      </c>
      <c r="H850" s="35" t="s">
        <v>202</v>
      </c>
      <c r="I850" s="10" t="s">
        <v>203</v>
      </c>
    </row>
    <row r="851" spans="1:9" s="31" customFormat="1" ht="105">
      <c r="A851" s="12">
        <v>43580.622210648144</v>
      </c>
      <c r="B851" s="13" t="s">
        <v>13917</v>
      </c>
      <c r="C851" s="14" t="s">
        <v>200</v>
      </c>
      <c r="D851" s="15" t="s">
        <v>201</v>
      </c>
      <c r="E851" s="16" t="s">
        <v>13011</v>
      </c>
      <c r="F851" s="12">
        <v>43412.940416666665</v>
      </c>
      <c r="G851" s="17" t="s">
        <v>13000</v>
      </c>
      <c r="H851" s="35" t="s">
        <v>202</v>
      </c>
      <c r="I851" s="18" t="s">
        <v>203</v>
      </c>
    </row>
    <row r="852" spans="1:9" s="31" customFormat="1" ht="105">
      <c r="A852" s="12">
        <v>43579.300289351857</v>
      </c>
      <c r="B852" s="13" t="s">
        <v>13917</v>
      </c>
      <c r="C852" s="14" t="s">
        <v>200</v>
      </c>
      <c r="D852" s="15" t="s">
        <v>790</v>
      </c>
      <c r="E852" s="16" t="s">
        <v>13011</v>
      </c>
      <c r="F852" s="12">
        <v>43412.440416666665</v>
      </c>
      <c r="G852" s="17" t="s">
        <v>13000</v>
      </c>
      <c r="H852" s="35" t="s">
        <v>202</v>
      </c>
      <c r="I852" s="18" t="s">
        <v>203</v>
      </c>
    </row>
    <row r="853" spans="1:9" s="31" customFormat="1" ht="150">
      <c r="A853" s="12">
        <v>43578.347974537042</v>
      </c>
      <c r="B853" s="13" t="s">
        <v>13917</v>
      </c>
      <c r="C853" s="14" t="s">
        <v>200</v>
      </c>
      <c r="D853" s="15" t="s">
        <v>1278</v>
      </c>
      <c r="E853" s="16" t="s">
        <v>13011</v>
      </c>
      <c r="F853" s="12">
        <v>43412.440416666665</v>
      </c>
      <c r="G853" s="17" t="s">
        <v>13000</v>
      </c>
      <c r="H853" s="35" t="s">
        <v>202</v>
      </c>
      <c r="I853" s="18" t="s">
        <v>203</v>
      </c>
    </row>
    <row r="854" spans="1:9" s="31" customFormat="1" ht="105">
      <c r="A854" s="12">
        <v>43577.436550925922</v>
      </c>
      <c r="B854" s="13" t="s">
        <v>13917</v>
      </c>
      <c r="C854" s="14" t="s">
        <v>200</v>
      </c>
      <c r="D854" s="15" t="s">
        <v>1635</v>
      </c>
      <c r="E854" s="16" t="s">
        <v>13011</v>
      </c>
      <c r="F854" s="12">
        <v>43412.440416666665</v>
      </c>
      <c r="G854" s="17" t="s">
        <v>13000</v>
      </c>
      <c r="H854" s="35" t="s">
        <v>202</v>
      </c>
      <c r="I854" s="18" t="s">
        <v>203</v>
      </c>
    </row>
    <row r="855" spans="1:9" s="31" customFormat="1" ht="105">
      <c r="A855" s="12">
        <v>43577.113703703704</v>
      </c>
      <c r="B855" s="13" t="s">
        <v>13917</v>
      </c>
      <c r="C855" s="14" t="s">
        <v>200</v>
      </c>
      <c r="D855" s="15" t="s">
        <v>1749</v>
      </c>
      <c r="E855" s="16" t="s">
        <v>13011</v>
      </c>
      <c r="F855" s="12">
        <v>43412.440416666665</v>
      </c>
      <c r="G855" s="17" t="s">
        <v>13000</v>
      </c>
      <c r="H855" s="35" t="s">
        <v>202</v>
      </c>
      <c r="I855" s="18" t="s">
        <v>203</v>
      </c>
    </row>
    <row r="856" spans="1:9" s="31" customFormat="1" ht="105">
      <c r="A856" s="12">
        <v>43574.433171296296</v>
      </c>
      <c r="B856" s="13" t="s">
        <v>13917</v>
      </c>
      <c r="C856" s="14" t="s">
        <v>200</v>
      </c>
      <c r="D856" s="15" t="s">
        <v>2553</v>
      </c>
      <c r="E856" s="16" t="s">
        <v>13011</v>
      </c>
      <c r="F856" s="12">
        <v>43412.440416666665</v>
      </c>
      <c r="G856" s="17" t="s">
        <v>13000</v>
      </c>
      <c r="H856" s="35" t="s">
        <v>202</v>
      </c>
      <c r="I856" s="18" t="s">
        <v>203</v>
      </c>
    </row>
    <row r="857" spans="1:9" s="31" customFormat="1" ht="105">
      <c r="A857" s="12">
        <v>43573.758506944447</v>
      </c>
      <c r="B857" s="13" t="s">
        <v>13917</v>
      </c>
      <c r="C857" s="14" t="s">
        <v>200</v>
      </c>
      <c r="D857" s="15" t="s">
        <v>2746</v>
      </c>
      <c r="E857" s="16" t="s">
        <v>13011</v>
      </c>
      <c r="F857" s="12">
        <v>43412.440416666665</v>
      </c>
      <c r="G857" s="17" t="s">
        <v>13000</v>
      </c>
      <c r="H857" s="35" t="s">
        <v>202</v>
      </c>
      <c r="I857" s="18" t="s">
        <v>203</v>
      </c>
    </row>
    <row r="858" spans="1:9" s="31" customFormat="1" ht="105">
      <c r="A858" s="12">
        <v>43573.372615740736</v>
      </c>
      <c r="B858" s="13" t="s">
        <v>13917</v>
      </c>
      <c r="C858" s="14" t="s">
        <v>200</v>
      </c>
      <c r="D858" s="15" t="s">
        <v>2910</v>
      </c>
      <c r="E858" s="16" t="s">
        <v>13011</v>
      </c>
      <c r="F858" s="12">
        <v>43412.440416666665</v>
      </c>
      <c r="G858" s="17" t="s">
        <v>13000</v>
      </c>
      <c r="H858" s="35" t="s">
        <v>202</v>
      </c>
      <c r="I858" s="18" t="s">
        <v>203</v>
      </c>
    </row>
    <row r="859" spans="1:9" s="31" customFormat="1" ht="105">
      <c r="A859" s="12">
        <v>43570.832488425927</v>
      </c>
      <c r="B859" s="13" t="s">
        <v>13917</v>
      </c>
      <c r="C859" s="14" t="s">
        <v>200</v>
      </c>
      <c r="D859" s="15" t="s">
        <v>3970</v>
      </c>
      <c r="E859" s="16" t="s">
        <v>13011</v>
      </c>
      <c r="F859" s="12">
        <v>43412.440416666665</v>
      </c>
      <c r="G859" s="17" t="s">
        <v>13000</v>
      </c>
      <c r="H859" s="35" t="s">
        <v>202</v>
      </c>
      <c r="I859" s="18" t="s">
        <v>203</v>
      </c>
    </row>
    <row r="860" spans="1:9" s="31" customFormat="1" ht="105">
      <c r="A860" s="12">
        <v>43570.513819444444</v>
      </c>
      <c r="B860" s="13" t="s">
        <v>13917</v>
      </c>
      <c r="C860" s="14" t="s">
        <v>200</v>
      </c>
      <c r="D860" s="15" t="s">
        <v>4096</v>
      </c>
      <c r="E860" s="16" t="s">
        <v>13011</v>
      </c>
      <c r="F860" s="12">
        <v>43412.440416666665</v>
      </c>
      <c r="G860" s="17" t="s">
        <v>13000</v>
      </c>
      <c r="H860" s="35" t="s">
        <v>202</v>
      </c>
      <c r="I860" s="18" t="s">
        <v>203</v>
      </c>
    </row>
    <row r="861" spans="1:9" s="31" customFormat="1" ht="105">
      <c r="A861" s="12">
        <v>43567.334664351853</v>
      </c>
      <c r="B861" s="13" t="s">
        <v>13917</v>
      </c>
      <c r="C861" s="14" t="s">
        <v>200</v>
      </c>
      <c r="D861" s="15" t="s">
        <v>5160</v>
      </c>
      <c r="E861" s="16" t="s">
        <v>13011</v>
      </c>
      <c r="F861" s="12">
        <v>43412.440416666665</v>
      </c>
      <c r="G861" s="17" t="s">
        <v>13000</v>
      </c>
      <c r="H861" s="35" t="s">
        <v>202</v>
      </c>
      <c r="I861" s="18" t="s">
        <v>203</v>
      </c>
    </row>
    <row r="862" spans="1:9" s="31" customFormat="1" ht="105">
      <c r="A862" s="12">
        <v>43566.546481481477</v>
      </c>
      <c r="B862" s="13" t="s">
        <v>13917</v>
      </c>
      <c r="C862" s="14" t="s">
        <v>200</v>
      </c>
      <c r="D862" s="15" t="s">
        <v>5453</v>
      </c>
      <c r="E862" s="16" t="s">
        <v>13011</v>
      </c>
      <c r="F862" s="12">
        <v>43412.440416666665</v>
      </c>
      <c r="G862" s="17" t="s">
        <v>13000</v>
      </c>
      <c r="H862" s="35" t="s">
        <v>202</v>
      </c>
      <c r="I862" s="18" t="s">
        <v>203</v>
      </c>
    </row>
    <row r="863" spans="1:9" s="31" customFormat="1" ht="30">
      <c r="A863" s="12">
        <v>43577.466631944444</v>
      </c>
      <c r="B863" s="13" t="s">
        <v>13918</v>
      </c>
      <c r="C863" s="14" t="s">
        <v>1616</v>
      </c>
      <c r="D863" s="15" t="s">
        <v>1617</v>
      </c>
      <c r="E863" s="16" t="s">
        <v>13011</v>
      </c>
      <c r="F863" s="12">
        <v>39920.614884259259</v>
      </c>
      <c r="G863" s="17" t="s">
        <v>13000</v>
      </c>
      <c r="H863" s="35" t="s">
        <v>1618</v>
      </c>
      <c r="I863" s="18" t="s">
        <v>1619</v>
      </c>
    </row>
    <row r="864" spans="1:9" s="31" customFormat="1" ht="75">
      <c r="A864" s="12">
        <v>43573.812777777777</v>
      </c>
      <c r="B864" s="13" t="s">
        <v>13919</v>
      </c>
      <c r="C864" s="14" t="s">
        <v>2731</v>
      </c>
      <c r="D864" s="15" t="s">
        <v>2732</v>
      </c>
      <c r="E864" s="16" t="s">
        <v>13011</v>
      </c>
      <c r="F864" s="12">
        <v>42857.991840277777</v>
      </c>
      <c r="G864" s="17" t="s">
        <v>13000</v>
      </c>
      <c r="H864" s="35" t="s">
        <v>2733</v>
      </c>
      <c r="I864" s="18"/>
    </row>
    <row r="865" spans="1:9" s="31" customFormat="1" ht="105">
      <c r="A865" s="4">
        <v>43557.375810185185</v>
      </c>
      <c r="B865" s="5" t="s">
        <v>13920</v>
      </c>
      <c r="C865" s="6" t="s">
        <v>2747</v>
      </c>
      <c r="D865" s="7" t="s">
        <v>12534</v>
      </c>
      <c r="E865" s="8" t="s">
        <v>13032</v>
      </c>
      <c r="F865" s="4">
        <v>39904.357395833329</v>
      </c>
      <c r="G865" s="24" t="s">
        <v>13000</v>
      </c>
      <c r="H865" s="35" t="s">
        <v>2749</v>
      </c>
      <c r="I865" s="10" t="s">
        <v>2750</v>
      </c>
    </row>
    <row r="866" spans="1:9" s="31" customFormat="1" ht="105">
      <c r="A866" s="4">
        <v>43557.373217592598</v>
      </c>
      <c r="B866" s="5" t="s">
        <v>13920</v>
      </c>
      <c r="C866" s="6" t="s">
        <v>2747</v>
      </c>
      <c r="D866" s="7" t="s">
        <v>12536</v>
      </c>
      <c r="E866" s="8" t="s">
        <v>13032</v>
      </c>
      <c r="F866" s="4">
        <v>39904.357395833329</v>
      </c>
      <c r="G866" s="24" t="s">
        <v>13000</v>
      </c>
      <c r="H866" s="35" t="s">
        <v>2749</v>
      </c>
      <c r="I866" s="10" t="s">
        <v>2750</v>
      </c>
    </row>
    <row r="867" spans="1:9" s="33" customFormat="1" ht="105">
      <c r="A867" s="12">
        <v>43573.75099537037</v>
      </c>
      <c r="B867" s="13" t="s">
        <v>13920</v>
      </c>
      <c r="C867" s="14" t="s">
        <v>2747</v>
      </c>
      <c r="D867" s="15" t="s">
        <v>2748</v>
      </c>
      <c r="E867" s="16" t="s">
        <v>13032</v>
      </c>
      <c r="F867" s="12">
        <v>39904.357395833329</v>
      </c>
      <c r="G867" s="24" t="s">
        <v>13000</v>
      </c>
      <c r="H867" s="35" t="s">
        <v>2749</v>
      </c>
      <c r="I867" s="18" t="s">
        <v>2750</v>
      </c>
    </row>
    <row r="868" spans="1:9" s="33" customFormat="1" ht="120">
      <c r="A868" s="19">
        <v>43551.50854166667</v>
      </c>
      <c r="B868" s="20" t="s">
        <v>13921</v>
      </c>
      <c r="C868" s="21" t="s">
        <v>3335</v>
      </c>
      <c r="D868" s="22" t="s">
        <v>7144</v>
      </c>
      <c r="E868" s="23" t="s">
        <v>13009</v>
      </c>
      <c r="F868" s="19">
        <v>41816.83452546296</v>
      </c>
      <c r="G868" s="24" t="s">
        <v>13000</v>
      </c>
      <c r="H868" s="35" t="s">
        <v>3337</v>
      </c>
      <c r="I868" s="25" t="s">
        <v>3338</v>
      </c>
    </row>
    <row r="869" spans="1:9" s="33" customFormat="1" ht="120">
      <c r="A869" s="12">
        <v>43572.316018518519</v>
      </c>
      <c r="B869" s="13" t="s">
        <v>13921</v>
      </c>
      <c r="C869" s="14" t="s">
        <v>3335</v>
      </c>
      <c r="D869" s="15" t="s">
        <v>3336</v>
      </c>
      <c r="E869" s="16" t="s">
        <v>13009</v>
      </c>
      <c r="F869" s="12">
        <v>41816.83452546296</v>
      </c>
      <c r="G869" s="24" t="s">
        <v>13000</v>
      </c>
      <c r="H869" s="35" t="s">
        <v>3337</v>
      </c>
      <c r="I869" s="18" t="s">
        <v>3338</v>
      </c>
    </row>
    <row r="870" spans="1:9" s="33" customFormat="1" ht="105">
      <c r="A870" s="12">
        <v>43576.577291666668</v>
      </c>
      <c r="B870" s="13" t="s">
        <v>13922</v>
      </c>
      <c r="C870" s="14" t="s">
        <v>1911</v>
      </c>
      <c r="D870" s="15" t="s">
        <v>1912</v>
      </c>
      <c r="E870" s="16" t="s">
        <v>13006</v>
      </c>
      <c r="F870" s="12">
        <v>39895.502025462964</v>
      </c>
      <c r="G870" s="17" t="s">
        <v>13000</v>
      </c>
      <c r="H870" s="35" t="s">
        <v>1913</v>
      </c>
      <c r="I870" s="18" t="s">
        <v>1914</v>
      </c>
    </row>
    <row r="871" spans="1:9" s="33" customFormat="1" ht="105">
      <c r="A871" s="12">
        <v>43576.577233796299</v>
      </c>
      <c r="B871" s="13" t="s">
        <v>13922</v>
      </c>
      <c r="C871" s="14" t="s">
        <v>1911</v>
      </c>
      <c r="D871" s="15" t="s">
        <v>1912</v>
      </c>
      <c r="E871" s="16" t="s">
        <v>13479</v>
      </c>
      <c r="F871" s="12">
        <v>39895.502025462964</v>
      </c>
      <c r="G871" s="17" t="s">
        <v>13000</v>
      </c>
      <c r="H871" s="35" t="s">
        <v>1913</v>
      </c>
      <c r="I871" s="18" t="s">
        <v>1914</v>
      </c>
    </row>
    <row r="872" spans="1:9" s="33" customFormat="1" ht="105">
      <c r="A872" s="4">
        <v>43565.312997685185</v>
      </c>
      <c r="B872" s="5" t="s">
        <v>13923</v>
      </c>
      <c r="C872" s="6" t="s">
        <v>6180</v>
      </c>
      <c r="D872" s="7" t="s">
        <v>6181</v>
      </c>
      <c r="E872" s="8" t="s">
        <v>13440</v>
      </c>
      <c r="F872" s="4">
        <v>42675.26295138889</v>
      </c>
      <c r="G872" s="24" t="s">
        <v>13000</v>
      </c>
      <c r="H872" s="35" t="s">
        <v>10181</v>
      </c>
      <c r="I872" s="10" t="s">
        <v>6182</v>
      </c>
    </row>
    <row r="873" spans="1:9" s="33" customFormat="1" ht="105">
      <c r="A873" s="19">
        <v>43551.518750000003</v>
      </c>
      <c r="B873" s="20" t="s">
        <v>13924</v>
      </c>
      <c r="C873" s="21" t="s">
        <v>7137</v>
      </c>
      <c r="D873" s="22" t="s">
        <v>7138</v>
      </c>
      <c r="E873" s="23" t="s">
        <v>13120</v>
      </c>
      <c r="F873" s="19">
        <v>40043.327465277776</v>
      </c>
      <c r="G873" s="24" t="s">
        <v>13000</v>
      </c>
      <c r="H873" s="35" t="s">
        <v>7139</v>
      </c>
      <c r="I873" s="25" t="s">
        <v>7140</v>
      </c>
    </row>
    <row r="874" spans="1:9" s="33" customFormat="1" ht="105">
      <c r="A874" s="12">
        <v>43574.724305555559</v>
      </c>
      <c r="B874" s="13" t="s">
        <v>13925</v>
      </c>
      <c r="C874" s="14" t="s">
        <v>2465</v>
      </c>
      <c r="D874" s="15" t="s">
        <v>2466</v>
      </c>
      <c r="E874" s="16" t="s">
        <v>13034</v>
      </c>
      <c r="F874" s="12">
        <v>40527.633148148147</v>
      </c>
      <c r="G874" s="24" t="s">
        <v>13000</v>
      </c>
      <c r="H874" s="35" t="s">
        <v>2467</v>
      </c>
      <c r="I874" s="18" t="s">
        <v>2468</v>
      </c>
    </row>
    <row r="875" spans="1:9" s="33" customFormat="1" ht="105">
      <c r="A875" s="4">
        <v>43564.656203703707</v>
      </c>
      <c r="B875" s="5" t="s">
        <v>13926</v>
      </c>
      <c r="C875" s="6" t="s">
        <v>10204</v>
      </c>
      <c r="D875" s="7" t="s">
        <v>10205</v>
      </c>
      <c r="E875" s="8" t="s">
        <v>13013</v>
      </c>
      <c r="F875" s="4">
        <v>43105.56894675926</v>
      </c>
      <c r="G875" s="24" t="s">
        <v>13000</v>
      </c>
      <c r="H875" s="35" t="s">
        <v>10206</v>
      </c>
      <c r="I875" s="10" t="s">
        <v>10207</v>
      </c>
    </row>
    <row r="876" spans="1:9" s="33" customFormat="1" ht="45">
      <c r="A876" s="19">
        <v>43545.194166666668</v>
      </c>
      <c r="B876" s="20" t="s">
        <v>13927</v>
      </c>
      <c r="C876" s="21" t="s">
        <v>9266</v>
      </c>
      <c r="D876" s="22" t="s">
        <v>9267</v>
      </c>
      <c r="E876" s="23" t="s">
        <v>13006</v>
      </c>
      <c r="F876" s="19">
        <v>40621.217662037037</v>
      </c>
      <c r="G876" s="24" t="s">
        <v>13000</v>
      </c>
      <c r="H876" s="35" t="s">
        <v>9268</v>
      </c>
      <c r="I876" s="25" t="s">
        <v>9269</v>
      </c>
    </row>
    <row r="877" spans="1:9" s="33" customFormat="1" ht="75">
      <c r="A877" s="19">
        <v>43544.71775462963</v>
      </c>
      <c r="B877" s="20" t="s">
        <v>13928</v>
      </c>
      <c r="C877" s="21" t="s">
        <v>752</v>
      </c>
      <c r="D877" s="22" t="s">
        <v>9365</v>
      </c>
      <c r="E877" s="23" t="s">
        <v>13011</v>
      </c>
      <c r="F877" s="19">
        <v>39868.676712962959</v>
      </c>
      <c r="G877" s="17" t="s">
        <v>13000</v>
      </c>
      <c r="H877" s="35" t="s">
        <v>754</v>
      </c>
      <c r="I877" s="25" t="s">
        <v>755</v>
      </c>
    </row>
    <row r="878" spans="1:9" s="33" customFormat="1" ht="75">
      <c r="A878" s="12">
        <v>43579.33766203704</v>
      </c>
      <c r="B878" s="13" t="s">
        <v>13928</v>
      </c>
      <c r="C878" s="14" t="s">
        <v>752</v>
      </c>
      <c r="D878" s="15" t="s">
        <v>753</v>
      </c>
      <c r="E878" s="16" t="s">
        <v>13011</v>
      </c>
      <c r="F878" s="12">
        <v>39868.676712962959</v>
      </c>
      <c r="G878" s="17" t="s">
        <v>13000</v>
      </c>
      <c r="H878" s="35" t="s">
        <v>754</v>
      </c>
      <c r="I878" s="18" t="s">
        <v>755</v>
      </c>
    </row>
    <row r="879" spans="1:9" s="33" customFormat="1" ht="75">
      <c r="A879" s="12">
        <v>43575.233865740738</v>
      </c>
      <c r="B879" s="13" t="s">
        <v>13929</v>
      </c>
      <c r="C879" s="14" t="s">
        <v>2333</v>
      </c>
      <c r="D879" s="15" t="s">
        <v>2334</v>
      </c>
      <c r="E879" s="16" t="s">
        <v>13027</v>
      </c>
      <c r="F879" s="12">
        <v>41029.551342592589</v>
      </c>
      <c r="G879" s="17" t="s">
        <v>13000</v>
      </c>
      <c r="H879" s="35" t="s">
        <v>754</v>
      </c>
      <c r="I879" s="18" t="s">
        <v>2335</v>
      </c>
    </row>
    <row r="880" spans="1:9" s="33" customFormat="1" ht="75">
      <c r="A880" s="19">
        <v>43550.830879629633</v>
      </c>
      <c r="B880" s="20" t="s">
        <v>13930</v>
      </c>
      <c r="C880" s="21" t="s">
        <v>7492</v>
      </c>
      <c r="D880" s="22" t="s">
        <v>7493</v>
      </c>
      <c r="E880" s="23" t="s">
        <v>13013</v>
      </c>
      <c r="F880" s="19">
        <v>41693.561874999999</v>
      </c>
      <c r="G880" s="17" t="s">
        <v>13000</v>
      </c>
      <c r="H880" s="35" t="s">
        <v>1855</v>
      </c>
      <c r="I880" s="25" t="s">
        <v>7494</v>
      </c>
    </row>
    <row r="881" spans="1:9" s="33" customFormat="1" ht="105">
      <c r="A881" s="19">
        <v>43548.736145833333</v>
      </c>
      <c r="B881" s="20" t="s">
        <v>13931</v>
      </c>
      <c r="C881" s="21" t="s">
        <v>1853</v>
      </c>
      <c r="D881" s="22" t="s">
        <v>1854</v>
      </c>
      <c r="E881" s="23" t="s">
        <v>13018</v>
      </c>
      <c r="F881" s="19">
        <v>42530.51667824074</v>
      </c>
      <c r="G881" s="17" t="s">
        <v>13000</v>
      </c>
      <c r="H881" s="35" t="s">
        <v>1855</v>
      </c>
      <c r="I881" s="25" t="s">
        <v>1856</v>
      </c>
    </row>
    <row r="882" spans="1:9" s="33" customFormat="1" ht="105">
      <c r="A882" s="19">
        <v>43545.736145833333</v>
      </c>
      <c r="B882" s="20" t="s">
        <v>13931</v>
      </c>
      <c r="C882" s="21" t="s">
        <v>1853</v>
      </c>
      <c r="D882" s="22" t="s">
        <v>1854</v>
      </c>
      <c r="E882" s="23" t="s">
        <v>13018</v>
      </c>
      <c r="F882" s="19">
        <v>42530.51667824074</v>
      </c>
      <c r="G882" s="17" t="s">
        <v>13000</v>
      </c>
      <c r="H882" s="35" t="s">
        <v>1855</v>
      </c>
      <c r="I882" s="25" t="s">
        <v>1856</v>
      </c>
    </row>
    <row r="883" spans="1:9" s="33" customFormat="1" ht="105">
      <c r="A883" s="19">
        <v>43542.736157407402</v>
      </c>
      <c r="B883" s="20" t="s">
        <v>13931</v>
      </c>
      <c r="C883" s="21" t="s">
        <v>1853</v>
      </c>
      <c r="D883" s="22" t="s">
        <v>1854</v>
      </c>
      <c r="E883" s="23" t="s">
        <v>13018</v>
      </c>
      <c r="F883" s="19">
        <v>42530.51667824074</v>
      </c>
      <c r="G883" s="17" t="s">
        <v>13000</v>
      </c>
      <c r="H883" s="35" t="s">
        <v>1855</v>
      </c>
      <c r="I883" s="25" t="s">
        <v>1856</v>
      </c>
    </row>
    <row r="884" spans="1:9" s="33" customFormat="1" ht="105">
      <c r="A884" s="4">
        <v>43565.736168981486</v>
      </c>
      <c r="B884" s="5" t="s">
        <v>13931</v>
      </c>
      <c r="C884" s="6" t="s">
        <v>1853</v>
      </c>
      <c r="D884" s="7" t="s">
        <v>1854</v>
      </c>
      <c r="E884" s="8" t="s">
        <v>13018</v>
      </c>
      <c r="F884" s="4">
        <v>42530.51667824074</v>
      </c>
      <c r="G884" s="17" t="s">
        <v>13000</v>
      </c>
      <c r="H884" s="35" t="s">
        <v>1855</v>
      </c>
      <c r="I884" s="10" t="s">
        <v>1856</v>
      </c>
    </row>
    <row r="885" spans="1:9" s="33" customFormat="1" ht="105">
      <c r="A885" s="4">
        <v>43559.736157407402</v>
      </c>
      <c r="B885" s="5" t="s">
        <v>13931</v>
      </c>
      <c r="C885" s="6" t="s">
        <v>1853</v>
      </c>
      <c r="D885" s="7" t="s">
        <v>1854</v>
      </c>
      <c r="E885" s="8" t="s">
        <v>13018</v>
      </c>
      <c r="F885" s="4">
        <v>42530.51667824074</v>
      </c>
      <c r="G885" s="17" t="s">
        <v>13000</v>
      </c>
      <c r="H885" s="35" t="s">
        <v>1855</v>
      </c>
      <c r="I885" s="10" t="s">
        <v>1856</v>
      </c>
    </row>
    <row r="886" spans="1:9" s="33" customFormat="1" ht="60">
      <c r="A886" s="4">
        <v>43557.97246527778</v>
      </c>
      <c r="B886" s="5" t="s">
        <v>13932</v>
      </c>
      <c r="C886" s="6" t="s">
        <v>12354</v>
      </c>
      <c r="D886" s="7" t="s">
        <v>12355</v>
      </c>
      <c r="E886" s="8" t="s">
        <v>13013</v>
      </c>
      <c r="F886" s="4">
        <v>41135.638969907406</v>
      </c>
      <c r="G886" s="17" t="s">
        <v>13000</v>
      </c>
      <c r="H886" s="35" t="s">
        <v>1855</v>
      </c>
      <c r="I886" s="10" t="s">
        <v>12356</v>
      </c>
    </row>
    <row r="887" spans="1:9" s="33" customFormat="1" ht="105">
      <c r="A887" s="12">
        <v>43576.736134259263</v>
      </c>
      <c r="B887" s="13" t="s">
        <v>13931</v>
      </c>
      <c r="C887" s="14" t="s">
        <v>1853</v>
      </c>
      <c r="D887" s="15" t="s">
        <v>1854</v>
      </c>
      <c r="E887" s="16" t="s">
        <v>13018</v>
      </c>
      <c r="F887" s="12">
        <v>42530.51667824074</v>
      </c>
      <c r="G887" s="17" t="s">
        <v>13000</v>
      </c>
      <c r="H887" s="35" t="s">
        <v>1855</v>
      </c>
      <c r="I887" s="18" t="s">
        <v>1856</v>
      </c>
    </row>
    <row r="888" spans="1:9" s="33" customFormat="1" ht="105">
      <c r="A888" s="12">
        <v>43572.736145833333</v>
      </c>
      <c r="B888" s="13" t="s">
        <v>13931</v>
      </c>
      <c r="C888" s="14" t="s">
        <v>1853</v>
      </c>
      <c r="D888" s="15" t="s">
        <v>1854</v>
      </c>
      <c r="E888" s="16" t="s">
        <v>13018</v>
      </c>
      <c r="F888" s="12">
        <v>42530.51667824074</v>
      </c>
      <c r="G888" s="17" t="s">
        <v>13000</v>
      </c>
      <c r="H888" s="35" t="s">
        <v>1855</v>
      </c>
      <c r="I888" s="18" t="s">
        <v>1856</v>
      </c>
    </row>
    <row r="889" spans="1:9" s="33" customFormat="1" ht="105">
      <c r="A889" s="12">
        <v>43568.736145833333</v>
      </c>
      <c r="B889" s="13" t="s">
        <v>13931</v>
      </c>
      <c r="C889" s="14" t="s">
        <v>1853</v>
      </c>
      <c r="D889" s="15" t="s">
        <v>1854</v>
      </c>
      <c r="E889" s="16" t="s">
        <v>13018</v>
      </c>
      <c r="F889" s="12">
        <v>42530.51667824074</v>
      </c>
      <c r="G889" s="17" t="s">
        <v>13000</v>
      </c>
      <c r="H889" s="35" t="s">
        <v>1855</v>
      </c>
      <c r="I889" s="18" t="s">
        <v>1856</v>
      </c>
    </row>
    <row r="890" spans="1:9" s="33" customFormat="1" ht="105">
      <c r="A890" s="12">
        <v>43566.350775462968</v>
      </c>
      <c r="B890" s="13" t="s">
        <v>13933</v>
      </c>
      <c r="C890" s="14" t="s">
        <v>5635</v>
      </c>
      <c r="D890" s="15" t="s">
        <v>5636</v>
      </c>
      <c r="E890" s="16" t="s">
        <v>13009</v>
      </c>
      <c r="F890" s="12">
        <v>39811.351736111115</v>
      </c>
      <c r="G890" s="17" t="s">
        <v>13000</v>
      </c>
      <c r="H890" s="35" t="s">
        <v>5637</v>
      </c>
      <c r="I890" s="18" t="s">
        <v>5638</v>
      </c>
    </row>
    <row r="891" spans="1:9" s="33" customFormat="1" ht="75">
      <c r="A891" s="12">
        <v>43575.374594907407</v>
      </c>
      <c r="B891" s="13" t="s">
        <v>13934</v>
      </c>
      <c r="C891" s="14" t="s">
        <v>2248</v>
      </c>
      <c r="D891" s="15" t="s">
        <v>2249</v>
      </c>
      <c r="E891" s="16" t="s">
        <v>13462</v>
      </c>
      <c r="F891" s="12">
        <v>39987.773240740738</v>
      </c>
      <c r="G891" s="17" t="s">
        <v>13000</v>
      </c>
      <c r="H891" s="35" t="s">
        <v>2250</v>
      </c>
      <c r="I891" s="18" t="s">
        <v>2251</v>
      </c>
    </row>
    <row r="892" spans="1:9" s="33" customFormat="1" ht="90">
      <c r="A892" s="19">
        <v>43550.242523148147</v>
      </c>
      <c r="B892" s="20" t="s">
        <v>13935</v>
      </c>
      <c r="C892" s="21" t="s">
        <v>3436</v>
      </c>
      <c r="D892" s="22" t="s">
        <v>7775</v>
      </c>
      <c r="E892" s="23" t="s">
        <v>13013</v>
      </c>
      <c r="F892" s="19">
        <v>43019.009108796294</v>
      </c>
      <c r="G892" s="9" t="s">
        <v>13000</v>
      </c>
      <c r="H892" s="35" t="s">
        <v>2595</v>
      </c>
      <c r="I892" s="25" t="s">
        <v>3438</v>
      </c>
    </row>
    <row r="893" spans="1:9" s="33" customFormat="1" ht="120">
      <c r="A893" s="19">
        <v>43547.914027777777</v>
      </c>
      <c r="B893" s="20" t="s">
        <v>13936</v>
      </c>
      <c r="C893" s="21" t="s">
        <v>8438</v>
      </c>
      <c r="D893" s="22" t="s">
        <v>8439</v>
      </c>
      <c r="E893" s="23" t="s">
        <v>13013</v>
      </c>
      <c r="F893" s="19">
        <v>43439.864270833335</v>
      </c>
      <c r="G893" s="9" t="s">
        <v>13000</v>
      </c>
      <c r="H893" s="35" t="s">
        <v>2595</v>
      </c>
      <c r="I893" s="25" t="s">
        <v>8440</v>
      </c>
    </row>
    <row r="894" spans="1:9" s="33" customFormat="1" ht="120">
      <c r="A894" s="4">
        <v>43564.33458333333</v>
      </c>
      <c r="B894" s="5" t="s">
        <v>13937</v>
      </c>
      <c r="C894" s="6" t="s">
        <v>3794</v>
      </c>
      <c r="D894" s="7" t="s">
        <v>6677</v>
      </c>
      <c r="E894" s="8" t="s">
        <v>13013</v>
      </c>
      <c r="F894" s="4">
        <v>40101.245578703703</v>
      </c>
      <c r="G894" s="9" t="s">
        <v>13000</v>
      </c>
      <c r="H894" s="35" t="s">
        <v>2595</v>
      </c>
      <c r="I894" s="10" t="s">
        <v>3796</v>
      </c>
    </row>
    <row r="895" spans="1:9" s="33" customFormat="1" ht="120">
      <c r="A895" s="4">
        <v>43564.33425925926</v>
      </c>
      <c r="B895" s="5" t="s">
        <v>13937</v>
      </c>
      <c r="C895" s="6" t="s">
        <v>3794</v>
      </c>
      <c r="D895" s="7" t="s">
        <v>6677</v>
      </c>
      <c r="E895" s="8" t="s">
        <v>13013</v>
      </c>
      <c r="F895" s="4">
        <v>40101.245578703703</v>
      </c>
      <c r="G895" s="9" t="s">
        <v>13000</v>
      </c>
      <c r="H895" s="35" t="s">
        <v>2595</v>
      </c>
      <c r="I895" s="10" t="s">
        <v>3796</v>
      </c>
    </row>
    <row r="896" spans="1:9" s="33" customFormat="1" ht="120">
      <c r="A896" s="4">
        <v>43564.333356481482</v>
      </c>
      <c r="B896" s="5" t="s">
        <v>13937</v>
      </c>
      <c r="C896" s="6" t="s">
        <v>3794</v>
      </c>
      <c r="D896" s="7" t="s">
        <v>6677</v>
      </c>
      <c r="E896" s="8" t="s">
        <v>13013</v>
      </c>
      <c r="F896" s="4">
        <v>40101.245578703703</v>
      </c>
      <c r="G896" s="9" t="s">
        <v>13000</v>
      </c>
      <c r="H896" s="35" t="s">
        <v>2595</v>
      </c>
      <c r="I896" s="10" t="s">
        <v>3796</v>
      </c>
    </row>
    <row r="897" spans="1:9" s="33" customFormat="1" ht="120">
      <c r="A897" s="4">
        <v>43564.332905092597</v>
      </c>
      <c r="B897" s="5" t="s">
        <v>13937</v>
      </c>
      <c r="C897" s="6" t="s">
        <v>3794</v>
      </c>
      <c r="D897" s="7" t="s">
        <v>6677</v>
      </c>
      <c r="E897" s="8" t="s">
        <v>13013</v>
      </c>
      <c r="F897" s="4">
        <v>40101.245578703703</v>
      </c>
      <c r="G897" s="9" t="s">
        <v>13000</v>
      </c>
      <c r="H897" s="35" t="s">
        <v>2595</v>
      </c>
      <c r="I897" s="10" t="s">
        <v>3796</v>
      </c>
    </row>
    <row r="898" spans="1:9" s="33" customFormat="1" ht="120">
      <c r="A898" s="4">
        <v>43564.332511574074</v>
      </c>
      <c r="B898" s="5" t="s">
        <v>13937</v>
      </c>
      <c r="C898" s="6" t="s">
        <v>3794</v>
      </c>
      <c r="D898" s="7" t="s">
        <v>6677</v>
      </c>
      <c r="E898" s="8" t="s">
        <v>13013</v>
      </c>
      <c r="F898" s="4">
        <v>40101.245578703703</v>
      </c>
      <c r="G898" s="9" t="s">
        <v>13000</v>
      </c>
      <c r="H898" s="35" t="s">
        <v>2595</v>
      </c>
      <c r="I898" s="10" t="s">
        <v>3796</v>
      </c>
    </row>
    <row r="899" spans="1:9" s="33" customFormat="1" ht="120">
      <c r="A899" s="4">
        <v>43564.331261574072</v>
      </c>
      <c r="B899" s="5" t="s">
        <v>13937</v>
      </c>
      <c r="C899" s="6" t="s">
        <v>3794</v>
      </c>
      <c r="D899" s="7" t="s">
        <v>6677</v>
      </c>
      <c r="E899" s="8" t="s">
        <v>13013</v>
      </c>
      <c r="F899" s="4">
        <v>40101.245578703703</v>
      </c>
      <c r="G899" s="9" t="s">
        <v>13000</v>
      </c>
      <c r="H899" s="35" t="s">
        <v>2595</v>
      </c>
      <c r="I899" s="10" t="s">
        <v>3796</v>
      </c>
    </row>
    <row r="900" spans="1:9" s="33" customFormat="1" ht="105">
      <c r="A900" s="4">
        <v>43559.447835648149</v>
      </c>
      <c r="B900" s="5" t="s">
        <v>13938</v>
      </c>
      <c r="C900" s="6" t="s">
        <v>11826</v>
      </c>
      <c r="D900" s="7" t="s">
        <v>11827</v>
      </c>
      <c r="E900" s="8" t="s">
        <v>13009</v>
      </c>
      <c r="F900" s="4">
        <v>40031.69189814815</v>
      </c>
      <c r="G900" s="9" t="s">
        <v>13000</v>
      </c>
      <c r="H900" s="35" t="s">
        <v>2595</v>
      </c>
      <c r="I900" s="10" t="s">
        <v>11828</v>
      </c>
    </row>
    <row r="901" spans="1:9" s="33" customFormat="1" ht="90">
      <c r="A901" s="12">
        <v>43574.331157407403</v>
      </c>
      <c r="B901" s="13" t="s">
        <v>13939</v>
      </c>
      <c r="C901" s="14" t="s">
        <v>2593</v>
      </c>
      <c r="D901" s="15" t="s">
        <v>2594</v>
      </c>
      <c r="E901" s="16" t="s">
        <v>13013</v>
      </c>
      <c r="F901" s="12">
        <v>41786.866585648146</v>
      </c>
      <c r="G901" s="9" t="s">
        <v>13000</v>
      </c>
      <c r="H901" s="35" t="s">
        <v>2595</v>
      </c>
      <c r="I901" s="18" t="s">
        <v>2596</v>
      </c>
    </row>
    <row r="902" spans="1:9" s="33" customFormat="1" ht="90">
      <c r="A902" s="12">
        <v>43572.09165509259</v>
      </c>
      <c r="B902" s="13" t="s">
        <v>13935</v>
      </c>
      <c r="C902" s="14" t="s">
        <v>3436</v>
      </c>
      <c r="D902" s="15" t="s">
        <v>3437</v>
      </c>
      <c r="E902" s="16" t="s">
        <v>13013</v>
      </c>
      <c r="F902" s="12">
        <v>43019.009108796294</v>
      </c>
      <c r="G902" s="9" t="s">
        <v>13000</v>
      </c>
      <c r="H902" s="35" t="s">
        <v>2595</v>
      </c>
      <c r="I902" s="18" t="s">
        <v>3438</v>
      </c>
    </row>
    <row r="903" spans="1:9" s="33" customFormat="1" ht="120">
      <c r="A903" s="12">
        <v>43571.199270833335</v>
      </c>
      <c r="B903" s="13" t="s">
        <v>13937</v>
      </c>
      <c r="C903" s="14" t="s">
        <v>3794</v>
      </c>
      <c r="D903" s="15" t="s">
        <v>3795</v>
      </c>
      <c r="E903" s="16" t="s">
        <v>13013</v>
      </c>
      <c r="F903" s="12">
        <v>40101.245578703703</v>
      </c>
      <c r="G903" s="9" t="s">
        <v>13000</v>
      </c>
      <c r="H903" s="35" t="s">
        <v>2595</v>
      </c>
      <c r="I903" s="18" t="s">
        <v>3796</v>
      </c>
    </row>
    <row r="904" spans="1:9" s="33" customFormat="1" ht="120">
      <c r="A904" s="12">
        <v>43571.198148148149</v>
      </c>
      <c r="B904" s="13" t="s">
        <v>13937</v>
      </c>
      <c r="C904" s="14" t="s">
        <v>3794</v>
      </c>
      <c r="D904" s="15" t="s">
        <v>3797</v>
      </c>
      <c r="E904" s="16" t="s">
        <v>13013</v>
      </c>
      <c r="F904" s="12">
        <v>40101.245578703703</v>
      </c>
      <c r="G904" s="9" t="s">
        <v>13000</v>
      </c>
      <c r="H904" s="35" t="s">
        <v>2595</v>
      </c>
      <c r="I904" s="18" t="s">
        <v>3796</v>
      </c>
    </row>
    <row r="905" spans="1:9" s="33" customFormat="1" ht="75">
      <c r="A905" s="12">
        <v>43570.556539351848</v>
      </c>
      <c r="B905" s="13" t="s">
        <v>13939</v>
      </c>
      <c r="C905" s="14" t="s">
        <v>2593</v>
      </c>
      <c r="D905" s="15" t="s">
        <v>4077</v>
      </c>
      <c r="E905" s="16" t="s">
        <v>13013</v>
      </c>
      <c r="F905" s="12">
        <v>41786.866585648146</v>
      </c>
      <c r="G905" s="9" t="s">
        <v>13000</v>
      </c>
      <c r="H905" s="35" t="s">
        <v>2595</v>
      </c>
      <c r="I905" s="18" t="s">
        <v>2596</v>
      </c>
    </row>
    <row r="906" spans="1:9" s="33" customFormat="1" ht="120">
      <c r="A906" s="4">
        <v>43563.447870370372</v>
      </c>
      <c r="B906" s="5" t="s">
        <v>13940</v>
      </c>
      <c r="C906" s="6" t="s">
        <v>10287</v>
      </c>
      <c r="D906" s="7" t="s">
        <v>10288</v>
      </c>
      <c r="E906" s="8" t="s">
        <v>13032</v>
      </c>
      <c r="F906" s="4">
        <v>40367.341377314813</v>
      </c>
      <c r="G906" s="9" t="s">
        <v>13000</v>
      </c>
      <c r="H906" s="35" t="s">
        <v>10289</v>
      </c>
      <c r="I906" s="10" t="s">
        <v>10290</v>
      </c>
    </row>
    <row r="907" spans="1:9" s="33" customFormat="1" ht="120">
      <c r="A907" s="4">
        <v>43560.446840277778</v>
      </c>
      <c r="B907" s="5" t="s">
        <v>13940</v>
      </c>
      <c r="C907" s="6" t="s">
        <v>10287</v>
      </c>
      <c r="D907" s="7" t="s">
        <v>11360</v>
      </c>
      <c r="E907" s="8" t="s">
        <v>13032</v>
      </c>
      <c r="F907" s="4">
        <v>40367.341377314813</v>
      </c>
      <c r="G907" s="9" t="s">
        <v>13000</v>
      </c>
      <c r="H907" s="35" t="s">
        <v>10289</v>
      </c>
      <c r="I907" s="10" t="s">
        <v>10290</v>
      </c>
    </row>
    <row r="908" spans="1:9" s="33" customFormat="1" ht="120">
      <c r="A908" s="4">
        <v>43559.255775462967</v>
      </c>
      <c r="B908" s="5" t="s">
        <v>13940</v>
      </c>
      <c r="C908" s="6" t="s">
        <v>10287</v>
      </c>
      <c r="D908" s="7" t="s">
        <v>11900</v>
      </c>
      <c r="E908" s="8" t="s">
        <v>13032</v>
      </c>
      <c r="F908" s="4">
        <v>40367.341377314813</v>
      </c>
      <c r="G908" s="9" t="s">
        <v>13000</v>
      </c>
      <c r="H908" s="35" t="s">
        <v>10289</v>
      </c>
      <c r="I908" s="10" t="s">
        <v>10290</v>
      </c>
    </row>
    <row r="909" spans="1:9" s="33" customFormat="1" ht="120">
      <c r="A909" s="19">
        <v>43542.586840277778</v>
      </c>
      <c r="B909" s="20" t="s">
        <v>13941</v>
      </c>
      <c r="C909" s="21" t="s">
        <v>10086</v>
      </c>
      <c r="D909" s="22" t="s">
        <v>10087</v>
      </c>
      <c r="E909" s="23" t="s">
        <v>13411</v>
      </c>
      <c r="F909" s="19">
        <v>40466.67827546296</v>
      </c>
      <c r="G909" s="17" t="s">
        <v>13000</v>
      </c>
      <c r="H909" s="35" t="s">
        <v>10088</v>
      </c>
      <c r="I909" s="25" t="s">
        <v>10089</v>
      </c>
    </row>
    <row r="910" spans="1:9" s="33" customFormat="1" ht="105">
      <c r="A910" s="12">
        <v>43571.79074074074</v>
      </c>
      <c r="B910" s="13" t="s">
        <v>13942</v>
      </c>
      <c r="C910" s="14" t="s">
        <v>3545</v>
      </c>
      <c r="D910" s="15" t="s">
        <v>3546</v>
      </c>
      <c r="E910" s="16" t="s">
        <v>13009</v>
      </c>
      <c r="F910" s="12">
        <v>42887.342731481476</v>
      </c>
      <c r="G910" s="17" t="s">
        <v>13000</v>
      </c>
      <c r="H910" s="35" t="s">
        <v>3547</v>
      </c>
      <c r="I910" s="18" t="s">
        <v>3548</v>
      </c>
    </row>
    <row r="911" spans="1:9" s="33" customFormat="1" ht="105">
      <c r="A911" s="19">
        <v>43549.333472222221</v>
      </c>
      <c r="B911" s="20" t="s">
        <v>13943</v>
      </c>
      <c r="C911" s="21" t="s">
        <v>8083</v>
      </c>
      <c r="D911" s="22" t="s">
        <v>8084</v>
      </c>
      <c r="E911" s="23" t="s">
        <v>13006</v>
      </c>
      <c r="F911" s="19">
        <v>39927.756226851852</v>
      </c>
      <c r="G911" s="24" t="s">
        <v>13000</v>
      </c>
      <c r="H911" s="35" t="s">
        <v>8085</v>
      </c>
      <c r="I911" s="25" t="s">
        <v>8086</v>
      </c>
    </row>
    <row r="912" spans="1:9" s="33" customFormat="1" ht="105">
      <c r="A912" s="19">
        <v>43550.336817129632</v>
      </c>
      <c r="B912" s="20" t="s">
        <v>13944</v>
      </c>
      <c r="C912" s="21" t="s">
        <v>2794</v>
      </c>
      <c r="D912" s="22" t="s">
        <v>4686</v>
      </c>
      <c r="E912" s="23" t="s">
        <v>13945</v>
      </c>
      <c r="F912" s="19">
        <v>41914.838159722218</v>
      </c>
      <c r="G912" s="17" t="s">
        <v>13000</v>
      </c>
      <c r="H912" s="35" t="s">
        <v>2796</v>
      </c>
      <c r="I912" s="25" t="s">
        <v>7719</v>
      </c>
    </row>
    <row r="913" spans="1:9" s="33" customFormat="1" ht="105">
      <c r="A913" s="19">
        <v>43550.25209490741</v>
      </c>
      <c r="B913" s="20" t="s">
        <v>13944</v>
      </c>
      <c r="C913" s="21" t="s">
        <v>2794</v>
      </c>
      <c r="D913" s="22" t="s">
        <v>4706</v>
      </c>
      <c r="E913" s="23" t="s">
        <v>13945</v>
      </c>
      <c r="F913" s="19">
        <v>41914.838159722218</v>
      </c>
      <c r="G913" s="17" t="s">
        <v>13000</v>
      </c>
      <c r="H913" s="35" t="s">
        <v>2796</v>
      </c>
      <c r="I913" s="25" t="s">
        <v>7719</v>
      </c>
    </row>
    <row r="914" spans="1:9" s="33" customFormat="1" ht="105">
      <c r="A914" s="19">
        <v>43546.633368055554</v>
      </c>
      <c r="B914" s="20" t="s">
        <v>13944</v>
      </c>
      <c r="C914" s="21" t="s">
        <v>2794</v>
      </c>
      <c r="D914" s="22" t="s">
        <v>4686</v>
      </c>
      <c r="E914" s="23" t="s">
        <v>13945</v>
      </c>
      <c r="F914" s="19">
        <v>41914.838159722218</v>
      </c>
      <c r="G914" s="17" t="s">
        <v>13000</v>
      </c>
      <c r="H914" s="35" t="s">
        <v>2796</v>
      </c>
      <c r="I914" s="25" t="s">
        <v>7719</v>
      </c>
    </row>
    <row r="915" spans="1:9" s="33" customFormat="1" ht="105">
      <c r="A915" s="19">
        <v>43546.548634259263</v>
      </c>
      <c r="B915" s="20" t="s">
        <v>13944</v>
      </c>
      <c r="C915" s="21" t="s">
        <v>2794</v>
      </c>
      <c r="D915" s="22" t="s">
        <v>4706</v>
      </c>
      <c r="E915" s="23" t="s">
        <v>13945</v>
      </c>
      <c r="F915" s="19">
        <v>41914.838159722218</v>
      </c>
      <c r="G915" s="17" t="s">
        <v>13000</v>
      </c>
      <c r="H915" s="35" t="s">
        <v>2796</v>
      </c>
      <c r="I915" s="25" t="s">
        <v>7719</v>
      </c>
    </row>
    <row r="916" spans="1:9" s="33" customFormat="1" ht="105">
      <c r="A916" s="19">
        <v>43543.506261574075</v>
      </c>
      <c r="B916" s="20" t="s">
        <v>13944</v>
      </c>
      <c r="C916" s="21" t="s">
        <v>2794</v>
      </c>
      <c r="D916" s="22" t="s">
        <v>4686</v>
      </c>
      <c r="E916" s="23" t="s">
        <v>13945</v>
      </c>
      <c r="F916" s="19">
        <v>41914.838159722218</v>
      </c>
      <c r="G916" s="17" t="s">
        <v>13000</v>
      </c>
      <c r="H916" s="35" t="s">
        <v>2796</v>
      </c>
      <c r="I916" s="25" t="s">
        <v>7719</v>
      </c>
    </row>
    <row r="917" spans="1:9" s="33" customFormat="1" ht="105">
      <c r="A917" s="19">
        <v>43543.421539351853</v>
      </c>
      <c r="B917" s="20" t="s">
        <v>13944</v>
      </c>
      <c r="C917" s="21" t="s">
        <v>2794</v>
      </c>
      <c r="D917" s="22" t="s">
        <v>4706</v>
      </c>
      <c r="E917" s="23" t="s">
        <v>13945</v>
      </c>
      <c r="F917" s="19">
        <v>41914.838159722218</v>
      </c>
      <c r="G917" s="17" t="s">
        <v>13000</v>
      </c>
      <c r="H917" s="35" t="s">
        <v>2796</v>
      </c>
      <c r="I917" s="25" t="s">
        <v>7719</v>
      </c>
    </row>
    <row r="918" spans="1:9" s="33" customFormat="1" ht="105">
      <c r="A918" s="4">
        <v>43565.294444444444</v>
      </c>
      <c r="B918" s="5" t="s">
        <v>13944</v>
      </c>
      <c r="C918" s="6" t="s">
        <v>2794</v>
      </c>
      <c r="D918" s="7" t="s">
        <v>4686</v>
      </c>
      <c r="E918" s="8" t="s">
        <v>13945</v>
      </c>
      <c r="F918" s="4">
        <v>41914.838159722218</v>
      </c>
      <c r="G918" s="17" t="s">
        <v>13000</v>
      </c>
      <c r="H918" s="35" t="s">
        <v>2796</v>
      </c>
      <c r="I918" s="10" t="s">
        <v>2797</v>
      </c>
    </row>
    <row r="919" spans="1:9" s="33" customFormat="1" ht="105">
      <c r="A919" s="4">
        <v>43564.633344907408</v>
      </c>
      <c r="B919" s="5" t="s">
        <v>13944</v>
      </c>
      <c r="C919" s="6" t="s">
        <v>2794</v>
      </c>
      <c r="D919" s="7" t="s">
        <v>4706</v>
      </c>
      <c r="E919" s="8" t="s">
        <v>13945</v>
      </c>
      <c r="F919" s="4">
        <v>41914.838159722218</v>
      </c>
      <c r="G919" s="17" t="s">
        <v>13000</v>
      </c>
      <c r="H919" s="35" t="s">
        <v>2796</v>
      </c>
      <c r="I919" s="10" t="s">
        <v>2797</v>
      </c>
    </row>
    <row r="920" spans="1:9" s="33" customFormat="1" ht="105">
      <c r="A920" s="4">
        <v>43561.379178240742</v>
      </c>
      <c r="B920" s="5" t="s">
        <v>13944</v>
      </c>
      <c r="C920" s="6" t="s">
        <v>2794</v>
      </c>
      <c r="D920" s="7" t="s">
        <v>4686</v>
      </c>
      <c r="E920" s="8" t="s">
        <v>13945</v>
      </c>
      <c r="F920" s="4">
        <v>41914.838159722218</v>
      </c>
      <c r="G920" s="17" t="s">
        <v>13000</v>
      </c>
      <c r="H920" s="35" t="s">
        <v>2796</v>
      </c>
      <c r="I920" s="10" t="s">
        <v>2797</v>
      </c>
    </row>
    <row r="921" spans="1:9" s="33" customFormat="1" ht="105">
      <c r="A921" s="4">
        <v>43561.294456018513</v>
      </c>
      <c r="B921" s="5" t="s">
        <v>13944</v>
      </c>
      <c r="C921" s="6" t="s">
        <v>2794</v>
      </c>
      <c r="D921" s="7" t="s">
        <v>4706</v>
      </c>
      <c r="E921" s="8" t="s">
        <v>13945</v>
      </c>
      <c r="F921" s="4">
        <v>41914.838159722218</v>
      </c>
      <c r="G921" s="17" t="s">
        <v>13000</v>
      </c>
      <c r="H921" s="35" t="s">
        <v>2796</v>
      </c>
      <c r="I921" s="10" t="s">
        <v>2797</v>
      </c>
    </row>
    <row r="922" spans="1:9" s="33" customFormat="1" ht="105">
      <c r="A922" s="4">
        <v>43557.463900462964</v>
      </c>
      <c r="B922" s="5" t="s">
        <v>13944</v>
      </c>
      <c r="C922" s="6" t="s">
        <v>2794</v>
      </c>
      <c r="D922" s="7" t="s">
        <v>4686</v>
      </c>
      <c r="E922" s="8" t="s">
        <v>13945</v>
      </c>
      <c r="F922" s="4">
        <v>41914.838159722218</v>
      </c>
      <c r="G922" s="17" t="s">
        <v>13000</v>
      </c>
      <c r="H922" s="35" t="s">
        <v>2796</v>
      </c>
      <c r="I922" s="10" t="s">
        <v>2797</v>
      </c>
    </row>
    <row r="923" spans="1:9" s="33" customFormat="1" ht="105">
      <c r="A923" s="4">
        <v>43557.379178240742</v>
      </c>
      <c r="B923" s="5" t="s">
        <v>13944</v>
      </c>
      <c r="C923" s="6" t="s">
        <v>2794</v>
      </c>
      <c r="D923" s="7" t="s">
        <v>4706</v>
      </c>
      <c r="E923" s="8" t="s">
        <v>13945</v>
      </c>
      <c r="F923" s="4">
        <v>41914.838159722218</v>
      </c>
      <c r="G923" s="17" t="s">
        <v>13000</v>
      </c>
      <c r="H923" s="35" t="s">
        <v>2796</v>
      </c>
      <c r="I923" s="10" t="s">
        <v>2797</v>
      </c>
    </row>
    <row r="924" spans="1:9" s="33" customFormat="1" ht="105">
      <c r="A924" s="12">
        <v>43573.646504629629</v>
      </c>
      <c r="B924" s="13" t="s">
        <v>13944</v>
      </c>
      <c r="C924" s="14" t="s">
        <v>2794</v>
      </c>
      <c r="D924" s="15" t="s">
        <v>2795</v>
      </c>
      <c r="E924" s="16" t="s">
        <v>13290</v>
      </c>
      <c r="F924" s="12">
        <v>41914.838159722218</v>
      </c>
      <c r="G924" s="17" t="s">
        <v>13000</v>
      </c>
      <c r="H924" s="35" t="s">
        <v>2796</v>
      </c>
      <c r="I924" s="18" t="s">
        <v>2797</v>
      </c>
    </row>
    <row r="925" spans="1:9" s="33" customFormat="1" ht="105">
      <c r="A925" s="12">
        <v>43568.633344907408</v>
      </c>
      <c r="B925" s="13" t="s">
        <v>13944</v>
      </c>
      <c r="C925" s="14" t="s">
        <v>2794</v>
      </c>
      <c r="D925" s="15" t="s">
        <v>4686</v>
      </c>
      <c r="E925" s="16" t="s">
        <v>13945</v>
      </c>
      <c r="F925" s="12">
        <v>41914.838159722218</v>
      </c>
      <c r="G925" s="17" t="s">
        <v>13000</v>
      </c>
      <c r="H925" s="35" t="s">
        <v>2796</v>
      </c>
      <c r="I925" s="18" t="s">
        <v>2797</v>
      </c>
    </row>
    <row r="926" spans="1:9" s="33" customFormat="1" ht="105">
      <c r="A926" s="12">
        <v>43568.548611111109</v>
      </c>
      <c r="B926" s="13" t="s">
        <v>13944</v>
      </c>
      <c r="C926" s="14" t="s">
        <v>2794</v>
      </c>
      <c r="D926" s="15" t="s">
        <v>4706</v>
      </c>
      <c r="E926" s="16" t="s">
        <v>13945</v>
      </c>
      <c r="F926" s="12">
        <v>41914.838159722218</v>
      </c>
      <c r="G926" s="17" t="s">
        <v>13000</v>
      </c>
      <c r="H926" s="35" t="s">
        <v>2796</v>
      </c>
      <c r="I926" s="18" t="s">
        <v>2797</v>
      </c>
    </row>
    <row r="927" spans="1:9" s="33" customFormat="1" ht="90">
      <c r="A927" s="12">
        <v>43567.865972222222</v>
      </c>
      <c r="B927" s="13" t="s">
        <v>13946</v>
      </c>
      <c r="C927" s="14" t="s">
        <v>4927</v>
      </c>
      <c r="D927" s="15" t="s">
        <v>4928</v>
      </c>
      <c r="E927" s="16" t="s">
        <v>13032</v>
      </c>
      <c r="F927" s="12">
        <v>40928.373032407406</v>
      </c>
      <c r="G927" s="17" t="s">
        <v>13000</v>
      </c>
      <c r="H927" s="35" t="s">
        <v>4929</v>
      </c>
      <c r="I927" s="18" t="s">
        <v>4930</v>
      </c>
    </row>
    <row r="928" spans="1:9" s="33" customFormat="1" ht="75">
      <c r="A928" s="19">
        <v>43547.866527777776</v>
      </c>
      <c r="B928" s="20" t="s">
        <v>13947</v>
      </c>
      <c r="C928" s="21" t="s">
        <v>8459</v>
      </c>
      <c r="D928" s="22" t="s">
        <v>8460</v>
      </c>
      <c r="E928" s="23" t="s">
        <v>13011</v>
      </c>
      <c r="F928" s="19">
        <v>42317.039340277777</v>
      </c>
      <c r="G928" s="17" t="s">
        <v>13000</v>
      </c>
      <c r="H928" s="35" t="s">
        <v>8461</v>
      </c>
      <c r="I928" s="25" t="s">
        <v>8462</v>
      </c>
    </row>
    <row r="929" spans="1:9" s="33" customFormat="1" ht="60">
      <c r="A929" s="4">
        <v>43559.357789351852</v>
      </c>
      <c r="B929" s="5" t="s">
        <v>13948</v>
      </c>
      <c r="C929" s="6" t="s">
        <v>11877</v>
      </c>
      <c r="D929" s="7" t="s">
        <v>11878</v>
      </c>
      <c r="E929" s="8" t="s">
        <v>13013</v>
      </c>
      <c r="F929" s="4">
        <v>39922.828020833331</v>
      </c>
      <c r="G929" s="17" t="s">
        <v>13000</v>
      </c>
      <c r="H929" s="35" t="s">
        <v>8461</v>
      </c>
      <c r="I929" s="10" t="s">
        <v>11879</v>
      </c>
    </row>
    <row r="930" spans="1:9" s="33" customFormat="1" ht="75">
      <c r="A930" s="4">
        <v>43565.046203703707</v>
      </c>
      <c r="B930" s="5" t="s">
        <v>13949</v>
      </c>
      <c r="C930" s="6" t="s">
        <v>6328</v>
      </c>
      <c r="D930" s="7" t="s">
        <v>6329</v>
      </c>
      <c r="E930" s="8" t="s">
        <v>13006</v>
      </c>
      <c r="F930" s="4">
        <v>39717.756157407406</v>
      </c>
      <c r="G930" s="17" t="s">
        <v>13000</v>
      </c>
      <c r="H930" s="35" t="s">
        <v>6330</v>
      </c>
      <c r="I930" s="10" t="s">
        <v>6331</v>
      </c>
    </row>
    <row r="931" spans="1:9" s="33" customFormat="1" ht="105">
      <c r="A931" s="4">
        <v>43557.646620370375</v>
      </c>
      <c r="B931" s="5" t="s">
        <v>13950</v>
      </c>
      <c r="C931" s="6" t="s">
        <v>12424</v>
      </c>
      <c r="D931" s="7" t="s">
        <v>12425</v>
      </c>
      <c r="E931" s="8" t="s">
        <v>13006</v>
      </c>
      <c r="F931" s="4">
        <v>39944.58556712963</v>
      </c>
      <c r="G931" s="9" t="s">
        <v>13000</v>
      </c>
      <c r="H931" s="35" t="s">
        <v>12426</v>
      </c>
      <c r="I931" s="10" t="s">
        <v>12427</v>
      </c>
    </row>
    <row r="932" spans="1:9" s="33" customFormat="1" ht="90">
      <c r="A932" s="12">
        <v>43572.192673611113</v>
      </c>
      <c r="B932" s="13" t="s">
        <v>13951</v>
      </c>
      <c r="C932" s="14" t="s">
        <v>3382</v>
      </c>
      <c r="D932" s="15" t="s">
        <v>3383</v>
      </c>
      <c r="E932" s="16" t="s">
        <v>13013</v>
      </c>
      <c r="F932" s="12">
        <v>43389.696631944447</v>
      </c>
      <c r="G932" s="17" t="s">
        <v>13000</v>
      </c>
      <c r="H932" s="35" t="s">
        <v>3384</v>
      </c>
      <c r="I932" s="18" t="s">
        <v>3385</v>
      </c>
    </row>
    <row r="933" spans="1:9" s="33" customFormat="1" ht="90">
      <c r="A933" s="12">
        <v>43569.659618055557</v>
      </c>
      <c r="B933" s="13" t="s">
        <v>13951</v>
      </c>
      <c r="C933" s="14" t="s">
        <v>3382</v>
      </c>
      <c r="D933" s="15" t="s">
        <v>4441</v>
      </c>
      <c r="E933" s="16" t="s">
        <v>13013</v>
      </c>
      <c r="F933" s="12">
        <v>43389.696631944447</v>
      </c>
      <c r="G933" s="17" t="s">
        <v>13000</v>
      </c>
      <c r="H933" s="35" t="s">
        <v>3384</v>
      </c>
      <c r="I933" s="18" t="s">
        <v>3385</v>
      </c>
    </row>
    <row r="934" spans="1:9" s="33" customFormat="1" ht="120">
      <c r="A934" s="12">
        <v>43569.599293981482</v>
      </c>
      <c r="B934" s="13" t="s">
        <v>13951</v>
      </c>
      <c r="C934" s="14" t="s">
        <v>3382</v>
      </c>
      <c r="D934" s="15" t="s">
        <v>4466</v>
      </c>
      <c r="E934" s="16" t="s">
        <v>13013</v>
      </c>
      <c r="F934" s="12">
        <v>43389.696631944447</v>
      </c>
      <c r="G934" s="17" t="s">
        <v>13000</v>
      </c>
      <c r="H934" s="35" t="s">
        <v>3384</v>
      </c>
      <c r="I934" s="18" t="s">
        <v>3385</v>
      </c>
    </row>
    <row r="935" spans="1:9" s="33" customFormat="1" ht="105">
      <c r="A935" s="12">
        <v>43568.279386574075</v>
      </c>
      <c r="B935" s="13" t="s">
        <v>13951</v>
      </c>
      <c r="C935" s="14" t="s">
        <v>3382</v>
      </c>
      <c r="D935" s="15" t="s">
        <v>4823</v>
      </c>
      <c r="E935" s="16" t="s">
        <v>13013</v>
      </c>
      <c r="F935" s="12">
        <v>43389.696631944447</v>
      </c>
      <c r="G935" s="17" t="s">
        <v>13000</v>
      </c>
      <c r="H935" s="35" t="s">
        <v>3384</v>
      </c>
      <c r="I935" s="18" t="s">
        <v>3385</v>
      </c>
    </row>
    <row r="936" spans="1:9" s="33" customFormat="1" ht="90">
      <c r="A936" s="12">
        <v>43567.736388888894</v>
      </c>
      <c r="B936" s="13" t="s">
        <v>13951</v>
      </c>
      <c r="C936" s="14" t="s">
        <v>3382</v>
      </c>
      <c r="D936" s="15" t="s">
        <v>4971</v>
      </c>
      <c r="E936" s="16" t="s">
        <v>13013</v>
      </c>
      <c r="F936" s="12">
        <v>43389.696631944447</v>
      </c>
      <c r="G936" s="17" t="s">
        <v>13000</v>
      </c>
      <c r="H936" s="35" t="s">
        <v>3384</v>
      </c>
      <c r="I936" s="18" t="s">
        <v>3385</v>
      </c>
    </row>
    <row r="937" spans="1:9" s="33" customFormat="1" ht="90">
      <c r="A937" s="12">
        <v>43567.731273148151</v>
      </c>
      <c r="B937" s="13" t="s">
        <v>13951</v>
      </c>
      <c r="C937" s="14" t="s">
        <v>3382</v>
      </c>
      <c r="D937" s="15" t="s">
        <v>4972</v>
      </c>
      <c r="E937" s="16" t="s">
        <v>13013</v>
      </c>
      <c r="F937" s="12">
        <v>43389.696631944447</v>
      </c>
      <c r="G937" s="17" t="s">
        <v>13000</v>
      </c>
      <c r="H937" s="35" t="s">
        <v>3384</v>
      </c>
      <c r="I937" s="18" t="s">
        <v>3385</v>
      </c>
    </row>
    <row r="938" spans="1:9" s="33" customFormat="1" ht="90">
      <c r="A938" s="12">
        <v>43567.724618055552</v>
      </c>
      <c r="B938" s="13" t="s">
        <v>13951</v>
      </c>
      <c r="C938" s="14" t="s">
        <v>3382</v>
      </c>
      <c r="D938" s="15" t="s">
        <v>4984</v>
      </c>
      <c r="E938" s="16" t="s">
        <v>13013</v>
      </c>
      <c r="F938" s="12">
        <v>43389.696631944447</v>
      </c>
      <c r="G938" s="17" t="s">
        <v>13000</v>
      </c>
      <c r="H938" s="35" t="s">
        <v>3384</v>
      </c>
      <c r="I938" s="18" t="s">
        <v>3385</v>
      </c>
    </row>
    <row r="939" spans="1:9" s="33" customFormat="1" ht="90">
      <c r="A939" s="12">
        <v>43567.721331018518</v>
      </c>
      <c r="B939" s="13" t="s">
        <v>13951</v>
      </c>
      <c r="C939" s="14" t="s">
        <v>3382</v>
      </c>
      <c r="D939" s="15" t="s">
        <v>4985</v>
      </c>
      <c r="E939" s="16" t="s">
        <v>13013</v>
      </c>
      <c r="F939" s="12">
        <v>43389.696631944447</v>
      </c>
      <c r="G939" s="17" t="s">
        <v>13000</v>
      </c>
      <c r="H939" s="35" t="s">
        <v>3384</v>
      </c>
      <c r="I939" s="18" t="s">
        <v>3385</v>
      </c>
    </row>
    <row r="940" spans="1:9" s="33" customFormat="1" ht="120">
      <c r="A940" s="4">
        <v>43559.480023148149</v>
      </c>
      <c r="B940" s="5" t="s">
        <v>13952</v>
      </c>
      <c r="C940" s="6" t="s">
        <v>4744</v>
      </c>
      <c r="D940" s="7" t="s">
        <v>11791</v>
      </c>
      <c r="E940" s="8" t="s">
        <v>13009</v>
      </c>
      <c r="F940" s="4">
        <v>42982.338449074072</v>
      </c>
      <c r="G940" s="17" t="s">
        <v>13000</v>
      </c>
      <c r="H940" s="35" t="s">
        <v>4746</v>
      </c>
      <c r="I940" s="10" t="s">
        <v>4747</v>
      </c>
    </row>
    <row r="941" spans="1:9" s="33" customFormat="1" ht="120">
      <c r="A941" s="12">
        <v>43568.468946759254</v>
      </c>
      <c r="B941" s="13" t="s">
        <v>13952</v>
      </c>
      <c r="C941" s="14" t="s">
        <v>4744</v>
      </c>
      <c r="D941" s="15" t="s">
        <v>4745</v>
      </c>
      <c r="E941" s="16" t="s">
        <v>13009</v>
      </c>
      <c r="F941" s="12">
        <v>42982.338449074072</v>
      </c>
      <c r="G941" s="17" t="s">
        <v>13000</v>
      </c>
      <c r="H941" s="35" t="s">
        <v>4746</v>
      </c>
      <c r="I941" s="18" t="s">
        <v>4747</v>
      </c>
    </row>
    <row r="942" spans="1:9" s="33" customFormat="1" ht="120">
      <c r="A942" s="12">
        <v>43567.369131944448</v>
      </c>
      <c r="B942" s="13" t="s">
        <v>13953</v>
      </c>
      <c r="C942" s="14" t="s">
        <v>5136</v>
      </c>
      <c r="D942" s="15" t="s">
        <v>5137</v>
      </c>
      <c r="E942" s="16" t="s">
        <v>13011</v>
      </c>
      <c r="F942" s="12">
        <v>42721.396469907406</v>
      </c>
      <c r="G942" s="17" t="s">
        <v>13000</v>
      </c>
      <c r="H942" s="35" t="s">
        <v>5138</v>
      </c>
      <c r="I942" s="18" t="s">
        <v>5139</v>
      </c>
    </row>
    <row r="943" spans="1:9" s="33" customFormat="1" ht="105">
      <c r="A943" s="12">
        <v>43571.054456018523</v>
      </c>
      <c r="B943" s="13" t="s">
        <v>13954</v>
      </c>
      <c r="C943" s="14" t="s">
        <v>3876</v>
      </c>
      <c r="D943" s="15" t="s">
        <v>3877</v>
      </c>
      <c r="E943" s="16" t="s">
        <v>13018</v>
      </c>
      <c r="F943" s="12">
        <v>42216.395775462966</v>
      </c>
      <c r="G943" s="17" t="s">
        <v>13000</v>
      </c>
      <c r="H943" s="35" t="s">
        <v>3878</v>
      </c>
      <c r="I943" s="18" t="s">
        <v>3879</v>
      </c>
    </row>
    <row r="944" spans="1:9" s="33" customFormat="1" ht="105">
      <c r="A944" s="19">
        <v>43546.931504629625</v>
      </c>
      <c r="B944" s="20" t="s">
        <v>13955</v>
      </c>
      <c r="C944" s="21" t="s">
        <v>5152</v>
      </c>
      <c r="D944" s="22" t="s">
        <v>8699</v>
      </c>
      <c r="E944" s="23" t="s">
        <v>13009</v>
      </c>
      <c r="F944" s="19">
        <v>40361.338750000003</v>
      </c>
      <c r="G944" s="17" t="s">
        <v>13000</v>
      </c>
      <c r="H944" s="35" t="s">
        <v>5154</v>
      </c>
      <c r="I944" s="25" t="s">
        <v>5155</v>
      </c>
    </row>
    <row r="945" spans="1:9" s="33" customFormat="1" ht="105">
      <c r="A945" s="4">
        <v>43561.396585648152</v>
      </c>
      <c r="B945" s="5" t="s">
        <v>13955</v>
      </c>
      <c r="C945" s="6" t="s">
        <v>5152</v>
      </c>
      <c r="D945" s="7" t="s">
        <v>10988</v>
      </c>
      <c r="E945" s="8" t="s">
        <v>13009</v>
      </c>
      <c r="F945" s="4">
        <v>40361.338750000003</v>
      </c>
      <c r="G945" s="17" t="s">
        <v>13000</v>
      </c>
      <c r="H945" s="35" t="s">
        <v>5154</v>
      </c>
      <c r="I945" s="10" t="s">
        <v>5155</v>
      </c>
    </row>
    <row r="946" spans="1:9" s="33" customFormat="1" ht="105">
      <c r="A946" s="4">
        <v>43559.919131944444</v>
      </c>
      <c r="B946" s="5" t="s">
        <v>13955</v>
      </c>
      <c r="C946" s="6" t="s">
        <v>5152</v>
      </c>
      <c r="D946" s="7" t="s">
        <v>11663</v>
      </c>
      <c r="E946" s="8" t="s">
        <v>13009</v>
      </c>
      <c r="F946" s="4">
        <v>40361.338750000003</v>
      </c>
      <c r="G946" s="17" t="s">
        <v>13000</v>
      </c>
      <c r="H946" s="35" t="s">
        <v>5154</v>
      </c>
      <c r="I946" s="10" t="s">
        <v>5155</v>
      </c>
    </row>
    <row r="947" spans="1:9" s="33" customFormat="1" ht="105">
      <c r="A947" s="12">
        <v>43567.343194444446</v>
      </c>
      <c r="B947" s="13" t="s">
        <v>13955</v>
      </c>
      <c r="C947" s="14" t="s">
        <v>5152</v>
      </c>
      <c r="D947" s="15" t="s">
        <v>5153</v>
      </c>
      <c r="E947" s="16" t="s">
        <v>13009</v>
      </c>
      <c r="F947" s="12">
        <v>40361.338750000003</v>
      </c>
      <c r="G947" s="17" t="s">
        <v>13000</v>
      </c>
      <c r="H947" s="35" t="s">
        <v>5154</v>
      </c>
      <c r="I947" s="18" t="s">
        <v>5155</v>
      </c>
    </row>
    <row r="948" spans="1:9" s="33" customFormat="1" ht="75">
      <c r="A948" s="19">
        <v>43550.413356481484</v>
      </c>
      <c r="B948" s="20" t="s">
        <v>13956</v>
      </c>
      <c r="C948" s="21" t="s">
        <v>7680</v>
      </c>
      <c r="D948" s="22" t="s">
        <v>7681</v>
      </c>
      <c r="E948" s="23" t="s">
        <v>13013</v>
      </c>
      <c r="F948" s="19">
        <v>43430.759456018517</v>
      </c>
      <c r="G948" s="17" t="s">
        <v>13000</v>
      </c>
      <c r="H948" s="35" t="s">
        <v>2246</v>
      </c>
      <c r="I948" s="25" t="s">
        <v>7682</v>
      </c>
    </row>
    <row r="949" spans="1:9" s="33" customFormat="1" ht="60">
      <c r="A949" s="19">
        <v>43548.68268518518</v>
      </c>
      <c r="B949" s="20" t="s">
        <v>13956</v>
      </c>
      <c r="C949" s="21" t="s">
        <v>7680</v>
      </c>
      <c r="D949" s="22" t="s">
        <v>8248</v>
      </c>
      <c r="E949" s="23" t="s">
        <v>13013</v>
      </c>
      <c r="F949" s="19">
        <v>43430.759456018517</v>
      </c>
      <c r="G949" s="17" t="s">
        <v>13000</v>
      </c>
      <c r="H949" s="35" t="s">
        <v>2246</v>
      </c>
      <c r="I949" s="25" t="s">
        <v>7682</v>
      </c>
    </row>
    <row r="950" spans="1:9" s="33" customFormat="1" ht="75">
      <c r="A950" s="19">
        <v>43546.568530092598</v>
      </c>
      <c r="B950" s="20" t="s">
        <v>13957</v>
      </c>
      <c r="C950" s="21" t="s">
        <v>8798</v>
      </c>
      <c r="D950" s="22" t="s">
        <v>8799</v>
      </c>
      <c r="E950" s="23" t="s">
        <v>13032</v>
      </c>
      <c r="F950" s="19">
        <v>39925.442303240743</v>
      </c>
      <c r="G950" s="17" t="s">
        <v>13000</v>
      </c>
      <c r="H950" s="35" t="s">
        <v>2246</v>
      </c>
      <c r="I950" s="25" t="s">
        <v>8800</v>
      </c>
    </row>
    <row r="951" spans="1:9" s="33" customFormat="1" ht="120">
      <c r="A951" s="12">
        <v>43575.383993055555</v>
      </c>
      <c r="B951" s="13" t="s">
        <v>13958</v>
      </c>
      <c r="C951" s="14" t="s">
        <v>2244</v>
      </c>
      <c r="D951" s="15" t="s">
        <v>2245</v>
      </c>
      <c r="E951" s="16" t="s">
        <v>13009</v>
      </c>
      <c r="F951" s="12">
        <v>40416.275127314817</v>
      </c>
      <c r="G951" s="17" t="s">
        <v>13000</v>
      </c>
      <c r="H951" s="35" t="s">
        <v>2246</v>
      </c>
      <c r="I951" s="18" t="s">
        <v>2247</v>
      </c>
    </row>
    <row r="952" spans="1:9" s="33" customFormat="1" ht="105">
      <c r="A952" s="4">
        <v>43559.958564814813</v>
      </c>
      <c r="B952" s="5" t="s">
        <v>13959</v>
      </c>
      <c r="C952" s="6" t="s">
        <v>11645</v>
      </c>
      <c r="D952" s="7" t="s">
        <v>11646</v>
      </c>
      <c r="E952" s="8" t="s">
        <v>13018</v>
      </c>
      <c r="F952" s="4">
        <v>43290.526817129634</v>
      </c>
      <c r="G952" s="17" t="s">
        <v>13000</v>
      </c>
      <c r="H952" s="35" t="s">
        <v>11647</v>
      </c>
      <c r="I952" s="10" t="s">
        <v>11648</v>
      </c>
    </row>
    <row r="953" spans="1:9" s="33" customFormat="1" ht="75">
      <c r="A953" s="12">
        <v>43572.236180555556</v>
      </c>
      <c r="B953" s="13" t="s">
        <v>13960</v>
      </c>
      <c r="C953" s="14" t="s">
        <v>3366</v>
      </c>
      <c r="D953" s="15" t="s">
        <v>3367</v>
      </c>
      <c r="E953" s="16" t="s">
        <v>13018</v>
      </c>
      <c r="F953" s="12">
        <v>39888.370833333334</v>
      </c>
      <c r="G953" s="17" t="s">
        <v>13000</v>
      </c>
      <c r="H953" s="35" t="s">
        <v>3368</v>
      </c>
      <c r="I953" s="18" t="s">
        <v>3369</v>
      </c>
    </row>
    <row r="954" spans="1:9" s="33" customFormat="1" ht="105">
      <c r="A954" s="12">
        <v>43574.319293981476</v>
      </c>
      <c r="B954" s="13" t="s">
        <v>13961</v>
      </c>
      <c r="C954" s="14" t="s">
        <v>2597</v>
      </c>
      <c r="D954" s="15" t="s">
        <v>2598</v>
      </c>
      <c r="E954" s="16" t="s">
        <v>13011</v>
      </c>
      <c r="F954" s="12">
        <v>40017.694537037038</v>
      </c>
      <c r="G954" s="17" t="s">
        <v>13000</v>
      </c>
      <c r="H954" s="35" t="s">
        <v>2599</v>
      </c>
      <c r="I954" s="18" t="s">
        <v>2600</v>
      </c>
    </row>
    <row r="955" spans="1:9" s="33" customFormat="1" ht="90">
      <c r="A955" s="19">
        <v>43550.434062500004</v>
      </c>
      <c r="B955" s="20" t="s">
        <v>13962</v>
      </c>
      <c r="C955" s="21" t="s">
        <v>7665</v>
      </c>
      <c r="D955" s="22" t="s">
        <v>7666</v>
      </c>
      <c r="E955" s="23" t="s">
        <v>13099</v>
      </c>
      <c r="F955" s="19">
        <v>39989.497465277775</v>
      </c>
      <c r="G955" s="24" t="s">
        <v>13000</v>
      </c>
      <c r="H955" s="35" t="s">
        <v>7667</v>
      </c>
      <c r="I955" s="25" t="s">
        <v>7668</v>
      </c>
    </row>
    <row r="956" spans="1:9" s="33" customFormat="1" ht="120">
      <c r="A956" s="12">
        <v>43578.699189814812</v>
      </c>
      <c r="B956" s="13" t="s">
        <v>13963</v>
      </c>
      <c r="C956" s="14" t="s">
        <v>1090</v>
      </c>
      <c r="D956" s="15" t="s">
        <v>1091</v>
      </c>
      <c r="E956" s="16" t="s">
        <v>13006</v>
      </c>
      <c r="F956" s="12">
        <v>39894.304456018523</v>
      </c>
      <c r="G956" s="17" t="s">
        <v>13000</v>
      </c>
      <c r="H956" s="35" t="s">
        <v>1092</v>
      </c>
      <c r="I956" s="18" t="s">
        <v>1093</v>
      </c>
    </row>
    <row r="957" spans="1:9" s="33" customFormat="1" ht="105">
      <c r="A957" s="19">
        <v>43550.336817129632</v>
      </c>
      <c r="B957" s="20" t="s">
        <v>13964</v>
      </c>
      <c r="C957" s="21" t="s">
        <v>7720</v>
      </c>
      <c r="D957" s="22" t="s">
        <v>7721</v>
      </c>
      <c r="E957" s="23" t="s">
        <v>13032</v>
      </c>
      <c r="F957" s="19">
        <v>42944.876898148148</v>
      </c>
      <c r="G957" s="17" t="s">
        <v>13000</v>
      </c>
      <c r="H957" s="35" t="s">
        <v>7722</v>
      </c>
      <c r="I957" s="25" t="s">
        <v>7723</v>
      </c>
    </row>
    <row r="958" spans="1:9" s="33" customFormat="1" ht="120">
      <c r="A958" s="19">
        <v>43548.26081018518</v>
      </c>
      <c r="B958" s="20" t="s">
        <v>13965</v>
      </c>
      <c r="C958" s="21" t="s">
        <v>8362</v>
      </c>
      <c r="D958" s="22" t="s">
        <v>8363</v>
      </c>
      <c r="E958" s="23" t="s">
        <v>13479</v>
      </c>
      <c r="F958" s="19">
        <v>42412.277685185181</v>
      </c>
      <c r="G958" s="17" t="s">
        <v>13000</v>
      </c>
      <c r="H958" s="35" t="s">
        <v>2900</v>
      </c>
      <c r="I958" s="25" t="s">
        <v>8364</v>
      </c>
    </row>
    <row r="959" spans="1:9" s="33" customFormat="1" ht="105">
      <c r="A959" s="12">
        <v>43573.392118055555</v>
      </c>
      <c r="B959" s="13" t="s">
        <v>13966</v>
      </c>
      <c r="C959" s="14" t="s">
        <v>2898</v>
      </c>
      <c r="D959" s="15" t="s">
        <v>2899</v>
      </c>
      <c r="E959" s="16" t="s">
        <v>13009</v>
      </c>
      <c r="F959" s="12">
        <v>42542.552847222221</v>
      </c>
      <c r="G959" s="17" t="s">
        <v>13000</v>
      </c>
      <c r="H959" s="35" t="s">
        <v>2900</v>
      </c>
      <c r="I959" s="18" t="s">
        <v>2901</v>
      </c>
    </row>
    <row r="960" spans="1:9" s="33" customFormat="1" ht="90">
      <c r="A960" s="19">
        <v>43550.818275462967</v>
      </c>
      <c r="B960" s="20" t="s">
        <v>13967</v>
      </c>
      <c r="C960" s="21" t="s">
        <v>7496</v>
      </c>
      <c r="D960" s="22" t="s">
        <v>7497</v>
      </c>
      <c r="E960" s="23" t="s">
        <v>13011</v>
      </c>
      <c r="F960" s="19">
        <v>42589.45207175926</v>
      </c>
      <c r="G960" s="9" t="s">
        <v>13000</v>
      </c>
      <c r="H960" s="35" t="s">
        <v>7498</v>
      </c>
      <c r="I960" s="25" t="s">
        <v>7499</v>
      </c>
    </row>
    <row r="961" spans="1:9" s="33" customFormat="1" ht="90">
      <c r="A961" s="19">
        <v>43546.413113425922</v>
      </c>
      <c r="B961" s="20" t="s">
        <v>13967</v>
      </c>
      <c r="C961" s="21" t="s">
        <v>7496</v>
      </c>
      <c r="D961" s="22" t="s">
        <v>8874</v>
      </c>
      <c r="E961" s="23" t="s">
        <v>13011</v>
      </c>
      <c r="F961" s="19">
        <v>42589.45207175926</v>
      </c>
      <c r="G961" s="9" t="s">
        <v>13000</v>
      </c>
      <c r="H961" s="35" t="s">
        <v>7498</v>
      </c>
      <c r="I961" s="25" t="s">
        <v>7499</v>
      </c>
    </row>
    <row r="962" spans="1:9" s="33" customFormat="1" ht="90">
      <c r="A962" s="4">
        <v>43557.751203703709</v>
      </c>
      <c r="B962" s="5" t="s">
        <v>13967</v>
      </c>
      <c r="C962" s="6" t="s">
        <v>7496</v>
      </c>
      <c r="D962" s="7" t="s">
        <v>12396</v>
      </c>
      <c r="E962" s="8" t="s">
        <v>13011</v>
      </c>
      <c r="F962" s="4">
        <v>42589.45207175926</v>
      </c>
      <c r="G962" s="9" t="s">
        <v>13000</v>
      </c>
      <c r="H962" s="35" t="s">
        <v>7498</v>
      </c>
      <c r="I962" s="10" t="s">
        <v>7499</v>
      </c>
    </row>
    <row r="963" spans="1:9" s="33" customFormat="1" ht="90">
      <c r="A963" s="19">
        <v>43545.811898148153</v>
      </c>
      <c r="B963" s="20" t="s">
        <v>13968</v>
      </c>
      <c r="C963" s="21" t="s">
        <v>2714</v>
      </c>
      <c r="D963" s="22" t="s">
        <v>9046</v>
      </c>
      <c r="E963" s="23" t="s">
        <v>13032</v>
      </c>
      <c r="F963" s="19">
        <v>40028.687800925924</v>
      </c>
      <c r="G963" s="17" t="s">
        <v>13000</v>
      </c>
      <c r="H963" s="35" t="s">
        <v>2716</v>
      </c>
      <c r="I963" s="25" t="s">
        <v>2717</v>
      </c>
    </row>
    <row r="964" spans="1:9" s="33" customFormat="1" ht="90">
      <c r="A964" s="19">
        <v>43544.895694444444</v>
      </c>
      <c r="B964" s="20" t="s">
        <v>13968</v>
      </c>
      <c r="C964" s="21" t="s">
        <v>2714</v>
      </c>
      <c r="D964" s="22" t="s">
        <v>9319</v>
      </c>
      <c r="E964" s="23" t="s">
        <v>13032</v>
      </c>
      <c r="F964" s="19">
        <v>40028.687800925924</v>
      </c>
      <c r="G964" s="17" t="s">
        <v>13000</v>
      </c>
      <c r="H964" s="35" t="s">
        <v>2716</v>
      </c>
      <c r="I964" s="25" t="s">
        <v>2717</v>
      </c>
    </row>
    <row r="965" spans="1:9" s="33" customFormat="1" ht="90">
      <c r="A965" s="4">
        <v>43558.679259259261</v>
      </c>
      <c r="B965" s="5" t="s">
        <v>13968</v>
      </c>
      <c r="C965" s="6" t="s">
        <v>2714</v>
      </c>
      <c r="D965" s="7" t="s">
        <v>12074</v>
      </c>
      <c r="E965" s="8" t="s">
        <v>13032</v>
      </c>
      <c r="F965" s="4">
        <v>40028.687800925924</v>
      </c>
      <c r="G965" s="17" t="s">
        <v>13000</v>
      </c>
      <c r="H965" s="35" t="s">
        <v>2716</v>
      </c>
      <c r="I965" s="10" t="s">
        <v>2717</v>
      </c>
    </row>
    <row r="966" spans="1:9" s="33" customFormat="1" ht="90">
      <c r="A966" s="12">
        <v>43573.888611111106</v>
      </c>
      <c r="B966" s="13" t="s">
        <v>13968</v>
      </c>
      <c r="C966" s="14" t="s">
        <v>2714</v>
      </c>
      <c r="D966" s="15" t="s">
        <v>2715</v>
      </c>
      <c r="E966" s="16" t="s">
        <v>13032</v>
      </c>
      <c r="F966" s="12">
        <v>40028.687800925924</v>
      </c>
      <c r="G966" s="17" t="s">
        <v>13000</v>
      </c>
      <c r="H966" s="35" t="s">
        <v>2716</v>
      </c>
      <c r="I966" s="18" t="s">
        <v>2717</v>
      </c>
    </row>
    <row r="967" spans="1:9" s="33" customFormat="1" ht="90">
      <c r="A967" s="12">
        <v>43570.795671296291</v>
      </c>
      <c r="B967" s="13" t="s">
        <v>13968</v>
      </c>
      <c r="C967" s="14" t="s">
        <v>2714</v>
      </c>
      <c r="D967" s="15" t="s">
        <v>3977</v>
      </c>
      <c r="E967" s="16" t="s">
        <v>13032</v>
      </c>
      <c r="F967" s="12">
        <v>40028.687800925924</v>
      </c>
      <c r="G967" s="17" t="s">
        <v>13000</v>
      </c>
      <c r="H967" s="35" t="s">
        <v>2716</v>
      </c>
      <c r="I967" s="18" t="s">
        <v>2717</v>
      </c>
    </row>
    <row r="968" spans="1:9" s="33" customFormat="1" ht="105">
      <c r="A968" s="19">
        <v>43543.635462962964</v>
      </c>
      <c r="B968" s="20" t="s">
        <v>13969</v>
      </c>
      <c r="C968" s="21" t="s">
        <v>9718</v>
      </c>
      <c r="D968" s="22" t="s">
        <v>9719</v>
      </c>
      <c r="E968" s="23" t="s">
        <v>13034</v>
      </c>
      <c r="F968" s="19">
        <v>40461.820659722223</v>
      </c>
      <c r="G968" s="17" t="s">
        <v>13000</v>
      </c>
      <c r="H968" s="35" t="s">
        <v>9720</v>
      </c>
      <c r="I968" s="25" t="s">
        <v>9721</v>
      </c>
    </row>
    <row r="969" spans="1:9" s="33" customFormat="1" ht="105">
      <c r="A969" s="12">
        <v>43570.525092592594</v>
      </c>
      <c r="B969" s="13" t="s">
        <v>13970</v>
      </c>
      <c r="C969" s="14" t="s">
        <v>4089</v>
      </c>
      <c r="D969" s="15" t="s">
        <v>4090</v>
      </c>
      <c r="E969" s="16" t="s">
        <v>13011</v>
      </c>
      <c r="F969" s="12">
        <v>41102.41375</v>
      </c>
      <c r="G969" s="17" t="s">
        <v>13000</v>
      </c>
      <c r="H969" s="35" t="s">
        <v>4091</v>
      </c>
      <c r="I969" s="18" t="s">
        <v>4092</v>
      </c>
    </row>
    <row r="970" spans="1:9" s="33" customFormat="1" ht="60">
      <c r="A970" s="19">
        <v>43546.360127314816</v>
      </c>
      <c r="B970" s="20" t="s">
        <v>13971</v>
      </c>
      <c r="C970" s="21" t="s">
        <v>8889</v>
      </c>
      <c r="D970" s="22" t="s">
        <v>8890</v>
      </c>
      <c r="E970" s="23" t="s">
        <v>13009</v>
      </c>
      <c r="F970" s="19">
        <v>40814.402222222227</v>
      </c>
      <c r="G970" s="17" t="s">
        <v>13000</v>
      </c>
      <c r="H970" s="35" t="s">
        <v>8891</v>
      </c>
      <c r="I970" s="25" t="s">
        <v>8892</v>
      </c>
    </row>
    <row r="971" spans="1:9" s="33" customFormat="1" ht="75">
      <c r="A971" s="4">
        <v>43564.949861111112</v>
      </c>
      <c r="B971" s="5" t="s">
        <v>13972</v>
      </c>
      <c r="C971" s="6" t="s">
        <v>5446</v>
      </c>
      <c r="D971" s="7" t="s">
        <v>6376</v>
      </c>
      <c r="E971" s="8" t="s">
        <v>13011</v>
      </c>
      <c r="F971" s="4">
        <v>39921.417581018519</v>
      </c>
      <c r="G971" s="17" t="s">
        <v>13000</v>
      </c>
      <c r="H971" s="35" t="s">
        <v>5448</v>
      </c>
      <c r="I971" s="10" t="s">
        <v>5449</v>
      </c>
    </row>
    <row r="972" spans="1:9" s="33" customFormat="1" ht="75">
      <c r="A972" s="12">
        <v>43566.552430555559</v>
      </c>
      <c r="B972" s="13" t="s">
        <v>13972</v>
      </c>
      <c r="C972" s="14" t="s">
        <v>5446</v>
      </c>
      <c r="D972" s="15" t="s">
        <v>5447</v>
      </c>
      <c r="E972" s="16" t="s">
        <v>13011</v>
      </c>
      <c r="F972" s="12">
        <v>39921.417581018519</v>
      </c>
      <c r="G972" s="17" t="s">
        <v>13000</v>
      </c>
      <c r="H972" s="35" t="s">
        <v>5448</v>
      </c>
      <c r="I972" s="18" t="s">
        <v>5449</v>
      </c>
    </row>
    <row r="973" spans="1:9" s="33" customFormat="1" ht="120">
      <c r="A973" s="19">
        <v>43544.137569444443</v>
      </c>
      <c r="B973" s="20" t="s">
        <v>13973</v>
      </c>
      <c r="C973" s="21" t="s">
        <v>3159</v>
      </c>
      <c r="D973" s="22" t="s">
        <v>9606</v>
      </c>
      <c r="E973" s="23" t="s">
        <v>13011</v>
      </c>
      <c r="F973" s="19">
        <v>42910.940023148149</v>
      </c>
      <c r="G973" s="24" t="s">
        <v>13000</v>
      </c>
      <c r="H973" s="35" t="s">
        <v>3161</v>
      </c>
      <c r="I973" s="25" t="s">
        <v>3162</v>
      </c>
    </row>
    <row r="974" spans="1:9" s="33" customFormat="1" ht="90">
      <c r="A974" s="19">
        <v>43543.482777777783</v>
      </c>
      <c r="B974" s="20" t="s">
        <v>13974</v>
      </c>
      <c r="C974" s="21" t="s">
        <v>9781</v>
      </c>
      <c r="D974" s="22" t="s">
        <v>9782</v>
      </c>
      <c r="E974" s="23" t="s">
        <v>13018</v>
      </c>
      <c r="F974" s="19">
        <v>39932.481979166667</v>
      </c>
      <c r="G974" s="24" t="s">
        <v>13000</v>
      </c>
      <c r="H974" s="35" t="s">
        <v>3161</v>
      </c>
      <c r="I974" s="25" t="s">
        <v>9783</v>
      </c>
    </row>
    <row r="975" spans="1:9" s="33" customFormat="1" ht="120">
      <c r="A975" s="12">
        <v>43572.562199074076</v>
      </c>
      <c r="B975" s="13" t="s">
        <v>13973</v>
      </c>
      <c r="C975" s="14" t="s">
        <v>3159</v>
      </c>
      <c r="D975" s="15" t="s">
        <v>3160</v>
      </c>
      <c r="E975" s="16" t="s">
        <v>13011</v>
      </c>
      <c r="F975" s="12">
        <v>42910.940023148149</v>
      </c>
      <c r="G975" s="24" t="s">
        <v>13000</v>
      </c>
      <c r="H975" s="35" t="s">
        <v>3161</v>
      </c>
      <c r="I975" s="18" t="s">
        <v>3162</v>
      </c>
    </row>
    <row r="976" spans="1:9" s="33" customFormat="1" ht="120">
      <c r="A976" s="12">
        <v>43566.757210648153</v>
      </c>
      <c r="B976" s="13" t="s">
        <v>13973</v>
      </c>
      <c r="C976" s="14" t="s">
        <v>3159</v>
      </c>
      <c r="D976" s="15" t="s">
        <v>5350</v>
      </c>
      <c r="E976" s="16" t="s">
        <v>13011</v>
      </c>
      <c r="F976" s="12">
        <v>42910.940023148149</v>
      </c>
      <c r="G976" s="24" t="s">
        <v>13000</v>
      </c>
      <c r="H976" s="35" t="s">
        <v>3161</v>
      </c>
      <c r="I976" s="18" t="s">
        <v>3162</v>
      </c>
    </row>
    <row r="977" spans="1:9" s="33" customFormat="1" ht="90">
      <c r="A977" s="19">
        <v>43543.745416666672</v>
      </c>
      <c r="B977" s="20" t="s">
        <v>13975</v>
      </c>
      <c r="C977" s="21" t="s">
        <v>9685</v>
      </c>
      <c r="D977" s="22" t="s">
        <v>9686</v>
      </c>
      <c r="E977" s="23" t="s">
        <v>13013</v>
      </c>
      <c r="F977" s="19">
        <v>42575.521400462967</v>
      </c>
      <c r="G977" s="24" t="s">
        <v>13000</v>
      </c>
      <c r="H977" s="35" t="s">
        <v>9687</v>
      </c>
      <c r="I977" s="25" t="s">
        <v>9688</v>
      </c>
    </row>
    <row r="978" spans="1:9" s="33" customFormat="1" ht="105">
      <c r="A978" s="12">
        <v>43571.088310185187</v>
      </c>
      <c r="B978" s="13" t="s">
        <v>13976</v>
      </c>
      <c r="C978" s="14" t="s">
        <v>3852</v>
      </c>
      <c r="D978" s="15" t="s">
        <v>3853</v>
      </c>
      <c r="E978" s="16" t="s">
        <v>13032</v>
      </c>
      <c r="F978" s="12">
        <v>40022.164143518516</v>
      </c>
      <c r="G978" s="24" t="s">
        <v>13000</v>
      </c>
      <c r="H978" s="35" t="s">
        <v>3854</v>
      </c>
      <c r="I978" s="18" t="s">
        <v>3855</v>
      </c>
    </row>
    <row r="979" spans="1:9" s="33" customFormat="1" ht="90">
      <c r="A979" s="19">
        <v>43550.371620370366</v>
      </c>
      <c r="B979" s="20" t="s">
        <v>13977</v>
      </c>
      <c r="C979" s="21" t="s">
        <v>3394</v>
      </c>
      <c r="D979" s="22" t="s">
        <v>3395</v>
      </c>
      <c r="E979" s="23" t="s">
        <v>13018</v>
      </c>
      <c r="F979" s="19">
        <v>40426.290011574078</v>
      </c>
      <c r="G979" s="24" t="s">
        <v>13000</v>
      </c>
      <c r="H979" s="35" t="s">
        <v>3396</v>
      </c>
      <c r="I979" s="25" t="s">
        <v>3397</v>
      </c>
    </row>
    <row r="980" spans="1:9" s="33" customFormat="1" ht="90">
      <c r="A980" s="19">
        <v>43546.371631944443</v>
      </c>
      <c r="B980" s="20" t="s">
        <v>13977</v>
      </c>
      <c r="C980" s="21" t="s">
        <v>3394</v>
      </c>
      <c r="D980" s="22" t="s">
        <v>3395</v>
      </c>
      <c r="E980" s="23" t="s">
        <v>13018</v>
      </c>
      <c r="F980" s="19">
        <v>40426.290011574078</v>
      </c>
      <c r="G980" s="24" t="s">
        <v>13000</v>
      </c>
      <c r="H980" s="35" t="s">
        <v>3396</v>
      </c>
      <c r="I980" s="25" t="s">
        <v>3397</v>
      </c>
    </row>
    <row r="981" spans="1:9" s="33" customFormat="1" ht="90">
      <c r="A981" s="4">
        <v>43557.406354166669</v>
      </c>
      <c r="B981" s="5" t="s">
        <v>13977</v>
      </c>
      <c r="C981" s="6" t="s">
        <v>3394</v>
      </c>
      <c r="D981" s="7" t="s">
        <v>3395</v>
      </c>
      <c r="E981" s="8" t="s">
        <v>13018</v>
      </c>
      <c r="F981" s="4">
        <v>40426.290011574078</v>
      </c>
      <c r="G981" s="24" t="s">
        <v>13000</v>
      </c>
      <c r="H981" s="35" t="s">
        <v>3396</v>
      </c>
      <c r="I981" s="10" t="s">
        <v>3397</v>
      </c>
    </row>
    <row r="982" spans="1:9" s="33" customFormat="1" ht="90">
      <c r="A982" s="12">
        <v>43572.173680555556</v>
      </c>
      <c r="B982" s="13" t="s">
        <v>13977</v>
      </c>
      <c r="C982" s="14" t="s">
        <v>3394</v>
      </c>
      <c r="D982" s="15" t="s">
        <v>3395</v>
      </c>
      <c r="E982" s="16" t="s">
        <v>13018</v>
      </c>
      <c r="F982" s="12">
        <v>40426.290011574078</v>
      </c>
      <c r="G982" s="24" t="s">
        <v>13000</v>
      </c>
      <c r="H982" s="35" t="s">
        <v>3396</v>
      </c>
      <c r="I982" s="18" t="s">
        <v>3397</v>
      </c>
    </row>
    <row r="983" spans="1:9" s="33" customFormat="1" ht="105">
      <c r="A983" s="12">
        <v>43572.688900462963</v>
      </c>
      <c r="B983" s="13" t="s">
        <v>13978</v>
      </c>
      <c r="C983" s="14" t="s">
        <v>3117</v>
      </c>
      <c r="D983" s="15" t="s">
        <v>3118</v>
      </c>
      <c r="E983" s="16" t="s">
        <v>13032</v>
      </c>
      <c r="F983" s="12">
        <v>41781.363171296296</v>
      </c>
      <c r="G983" s="24" t="s">
        <v>13000</v>
      </c>
      <c r="H983" s="35" t="s">
        <v>3119</v>
      </c>
      <c r="I983" s="18" t="s">
        <v>3120</v>
      </c>
    </row>
    <row r="984" spans="1:9" s="33" customFormat="1" ht="105">
      <c r="A984" s="19">
        <v>43542.644212962958</v>
      </c>
      <c r="B984" s="20" t="s">
        <v>13979</v>
      </c>
      <c r="C984" s="21" t="s">
        <v>6394</v>
      </c>
      <c r="D984" s="22" t="s">
        <v>10049</v>
      </c>
      <c r="E984" s="23" t="s">
        <v>13032</v>
      </c>
      <c r="F984" s="19">
        <v>39755.743043981478</v>
      </c>
      <c r="G984" s="24" t="s">
        <v>13000</v>
      </c>
      <c r="H984" s="35" t="s">
        <v>6396</v>
      </c>
      <c r="I984" s="25" t="s">
        <v>6397</v>
      </c>
    </row>
    <row r="985" spans="1:9" s="33" customFormat="1" ht="105">
      <c r="A985" s="4">
        <v>43564.853136574078</v>
      </c>
      <c r="B985" s="5" t="s">
        <v>13979</v>
      </c>
      <c r="C985" s="6" t="s">
        <v>6394</v>
      </c>
      <c r="D985" s="7" t="s">
        <v>6395</v>
      </c>
      <c r="E985" s="8" t="s">
        <v>13032</v>
      </c>
      <c r="F985" s="4">
        <v>39755.743043981478</v>
      </c>
      <c r="G985" s="24" t="s">
        <v>13000</v>
      </c>
      <c r="H985" s="35" t="s">
        <v>6396</v>
      </c>
      <c r="I985" s="10" t="s">
        <v>6397</v>
      </c>
    </row>
    <row r="986" spans="1:9" s="33" customFormat="1" ht="105">
      <c r="A986" s="4">
        <v>43563.287754629629</v>
      </c>
      <c r="B986" s="5" t="s">
        <v>13979</v>
      </c>
      <c r="C986" s="6" t="s">
        <v>6394</v>
      </c>
      <c r="D986" s="7" t="s">
        <v>10402</v>
      </c>
      <c r="E986" s="8" t="s">
        <v>13032</v>
      </c>
      <c r="F986" s="4">
        <v>39755.743043981478</v>
      </c>
      <c r="G986" s="24" t="s">
        <v>13000</v>
      </c>
      <c r="H986" s="35" t="s">
        <v>6396</v>
      </c>
      <c r="I986" s="10" t="s">
        <v>6397</v>
      </c>
    </row>
    <row r="987" spans="1:9" s="33" customFormat="1" ht="105">
      <c r="A987" s="4">
        <v>43558.258518518516</v>
      </c>
      <c r="B987" s="5" t="s">
        <v>13979</v>
      </c>
      <c r="C987" s="6" t="s">
        <v>6394</v>
      </c>
      <c r="D987" s="7" t="s">
        <v>12259</v>
      </c>
      <c r="E987" s="8" t="s">
        <v>13032</v>
      </c>
      <c r="F987" s="4">
        <v>39755.743043981478</v>
      </c>
      <c r="G987" s="24" t="s">
        <v>13000</v>
      </c>
      <c r="H987" s="35" t="s">
        <v>6396</v>
      </c>
      <c r="I987" s="10" t="s">
        <v>6397</v>
      </c>
    </row>
    <row r="988" spans="1:9" s="33" customFormat="1" ht="75">
      <c r="A988" s="4">
        <v>43565.522048611107</v>
      </c>
      <c r="B988" s="5" t="s">
        <v>13980</v>
      </c>
      <c r="C988" s="6" t="s">
        <v>6042</v>
      </c>
      <c r="D988" s="7" t="s">
        <v>6043</v>
      </c>
      <c r="E988" s="8" t="s">
        <v>13009</v>
      </c>
      <c r="F988" s="4">
        <v>39884.471030092594</v>
      </c>
      <c r="G988" s="24" t="s">
        <v>13000</v>
      </c>
      <c r="H988" s="35" t="s">
        <v>6044</v>
      </c>
      <c r="I988" s="10" t="s">
        <v>6045</v>
      </c>
    </row>
    <row r="989" spans="1:9" s="33" customFormat="1" ht="135">
      <c r="A989" s="19">
        <v>43542.494143518517</v>
      </c>
      <c r="B989" s="20" t="s">
        <v>13981</v>
      </c>
      <c r="C989" s="21" t="s">
        <v>10138</v>
      </c>
      <c r="D989" s="22" t="s">
        <v>10139</v>
      </c>
      <c r="E989" s="23" t="s">
        <v>13011</v>
      </c>
      <c r="F989" s="19">
        <v>40610.832395833335</v>
      </c>
      <c r="G989" s="24" t="s">
        <v>13000</v>
      </c>
      <c r="H989" s="35" t="s">
        <v>10140</v>
      </c>
      <c r="I989" s="25" t="s">
        <v>10141</v>
      </c>
    </row>
    <row r="990" spans="1:9" s="33" customFormat="1" ht="60">
      <c r="A990" s="12">
        <v>43575.766284722224</v>
      </c>
      <c r="B990" s="13" t="s">
        <v>13982</v>
      </c>
      <c r="C990" s="14" t="s">
        <v>2125</v>
      </c>
      <c r="D990" s="15" t="s">
        <v>2126</v>
      </c>
      <c r="E990" s="16" t="s">
        <v>13032</v>
      </c>
      <c r="F990" s="12">
        <v>41002.719814814816</v>
      </c>
      <c r="G990" s="17" t="s">
        <v>13000</v>
      </c>
      <c r="H990" s="35" t="s">
        <v>2127</v>
      </c>
      <c r="I990" s="18"/>
    </row>
    <row r="991" spans="1:9" s="33" customFormat="1" ht="60">
      <c r="A991" s="12">
        <v>43575.752835648149</v>
      </c>
      <c r="B991" s="13" t="s">
        <v>13982</v>
      </c>
      <c r="C991" s="14" t="s">
        <v>2125</v>
      </c>
      <c r="D991" s="15" t="s">
        <v>2132</v>
      </c>
      <c r="E991" s="16" t="s">
        <v>13032</v>
      </c>
      <c r="F991" s="12">
        <v>41002.719814814816</v>
      </c>
      <c r="G991" s="17" t="s">
        <v>13000</v>
      </c>
      <c r="H991" s="35" t="s">
        <v>2127</v>
      </c>
      <c r="I991" s="18"/>
    </row>
    <row r="992" spans="1:9" s="33" customFormat="1" ht="45">
      <c r="A992" s="4">
        <v>43557.506909722222</v>
      </c>
      <c r="B992" s="5" t="s">
        <v>13983</v>
      </c>
      <c r="C992" s="6" t="s">
        <v>12492</v>
      </c>
      <c r="D992" s="7" t="s">
        <v>12493</v>
      </c>
      <c r="E992" s="8" t="s">
        <v>13032</v>
      </c>
      <c r="F992" s="4">
        <v>39659.549293981479</v>
      </c>
      <c r="G992" s="17" t="s">
        <v>13000</v>
      </c>
      <c r="H992" s="35" t="s">
        <v>12494</v>
      </c>
      <c r="I992" s="10" t="s">
        <v>12495</v>
      </c>
    </row>
    <row r="993" spans="1:9" s="33" customFormat="1" ht="75">
      <c r="A993" s="19">
        <v>43550.475659722222</v>
      </c>
      <c r="B993" s="20" t="s">
        <v>13984</v>
      </c>
      <c r="C993" s="21" t="s">
        <v>7654</v>
      </c>
      <c r="D993" s="22" t="s">
        <v>7655</v>
      </c>
      <c r="E993" s="23" t="s">
        <v>13006</v>
      </c>
      <c r="F993" s="19">
        <v>41315.542326388888</v>
      </c>
      <c r="G993" s="17" t="s">
        <v>13000</v>
      </c>
      <c r="H993" s="35" t="s">
        <v>7656</v>
      </c>
      <c r="I993" s="25"/>
    </row>
    <row r="994" spans="1:9" s="33" customFormat="1" ht="75">
      <c r="A994" s="19">
        <v>43549.62972222222</v>
      </c>
      <c r="B994" s="20" t="s">
        <v>13984</v>
      </c>
      <c r="C994" s="21" t="s">
        <v>7654</v>
      </c>
      <c r="D994" s="22" t="s">
        <v>7958</v>
      </c>
      <c r="E994" s="23" t="s">
        <v>13006</v>
      </c>
      <c r="F994" s="19">
        <v>41315.542326388888</v>
      </c>
      <c r="G994" s="17" t="s">
        <v>13000</v>
      </c>
      <c r="H994" s="35" t="s">
        <v>7656</v>
      </c>
      <c r="I994" s="25"/>
    </row>
    <row r="995" spans="1:9" s="33" customFormat="1" ht="60">
      <c r="A995" s="4">
        <v>43562.504328703704</v>
      </c>
      <c r="B995" s="5" t="s">
        <v>13984</v>
      </c>
      <c r="C995" s="6" t="s">
        <v>7654</v>
      </c>
      <c r="D995" s="7" t="s">
        <v>10656</v>
      </c>
      <c r="E995" s="8" t="s">
        <v>13006</v>
      </c>
      <c r="F995" s="4">
        <v>41315.542326388888</v>
      </c>
      <c r="G995" s="17" t="s">
        <v>13000</v>
      </c>
      <c r="H995" s="35" t="s">
        <v>7656</v>
      </c>
      <c r="I995" s="10"/>
    </row>
    <row r="996" spans="1:9" s="33" customFormat="1" ht="90">
      <c r="A996" s="19">
        <v>43544.339583333334</v>
      </c>
      <c r="B996" s="20" t="s">
        <v>13985</v>
      </c>
      <c r="C996" s="21" t="s">
        <v>4013</v>
      </c>
      <c r="D996" s="22" t="s">
        <v>9515</v>
      </c>
      <c r="E996" s="23" t="s">
        <v>13034</v>
      </c>
      <c r="F996" s="19">
        <v>39307.991226851853</v>
      </c>
      <c r="G996" s="17" t="s">
        <v>13000</v>
      </c>
      <c r="H996" s="35" t="s">
        <v>4015</v>
      </c>
      <c r="I996" s="25" t="s">
        <v>4016</v>
      </c>
    </row>
    <row r="997" spans="1:9" s="33" customFormat="1" ht="90">
      <c r="A997" s="4">
        <v>43563.545844907407</v>
      </c>
      <c r="B997" s="5" t="s">
        <v>13985</v>
      </c>
      <c r="C997" s="6" t="s">
        <v>4013</v>
      </c>
      <c r="D997" s="7" t="s">
        <v>10232</v>
      </c>
      <c r="E997" s="8" t="s">
        <v>13034</v>
      </c>
      <c r="F997" s="4">
        <v>39307.991226851853</v>
      </c>
      <c r="G997" s="17" t="s">
        <v>13000</v>
      </c>
      <c r="H997" s="35" t="s">
        <v>4015</v>
      </c>
      <c r="I997" s="10" t="s">
        <v>4016</v>
      </c>
    </row>
    <row r="998" spans="1:9" s="33" customFormat="1" ht="90">
      <c r="A998" s="4">
        <v>43562.41878472222</v>
      </c>
      <c r="B998" s="5" t="s">
        <v>13985</v>
      </c>
      <c r="C998" s="6" t="s">
        <v>4013</v>
      </c>
      <c r="D998" s="7" t="s">
        <v>10682</v>
      </c>
      <c r="E998" s="8" t="s">
        <v>13034</v>
      </c>
      <c r="F998" s="4">
        <v>39307.991226851853</v>
      </c>
      <c r="G998" s="17" t="s">
        <v>13000</v>
      </c>
      <c r="H998" s="35" t="s">
        <v>4015</v>
      </c>
      <c r="I998" s="10" t="s">
        <v>4016</v>
      </c>
    </row>
    <row r="999" spans="1:9" s="33" customFormat="1" ht="90">
      <c r="A999" s="12">
        <v>43570.636817129634</v>
      </c>
      <c r="B999" s="13" t="s">
        <v>13985</v>
      </c>
      <c r="C999" s="14" t="s">
        <v>4013</v>
      </c>
      <c r="D999" s="15" t="s">
        <v>4014</v>
      </c>
      <c r="E999" s="16" t="s">
        <v>13034</v>
      </c>
      <c r="F999" s="12">
        <v>39307.991226851853</v>
      </c>
      <c r="G999" s="17" t="s">
        <v>13000</v>
      </c>
      <c r="H999" s="35" t="s">
        <v>4015</v>
      </c>
      <c r="I999" s="18" t="s">
        <v>4016</v>
      </c>
    </row>
    <row r="1000" spans="1:9" s="33" customFormat="1" ht="45">
      <c r="A1000" s="19">
        <v>43551.500231481477</v>
      </c>
      <c r="B1000" s="20" t="s">
        <v>13986</v>
      </c>
      <c r="C1000" s="21" t="s">
        <v>7157</v>
      </c>
      <c r="D1000" s="22" t="s">
        <v>7158</v>
      </c>
      <c r="E1000" s="23" t="s">
        <v>13006</v>
      </c>
      <c r="F1000" s="19">
        <v>41054.322384259256</v>
      </c>
      <c r="G1000" s="17" t="s">
        <v>13000</v>
      </c>
      <c r="H1000" s="35" t="s">
        <v>38</v>
      </c>
      <c r="I1000" s="25"/>
    </row>
    <row r="1001" spans="1:9" s="33" customFormat="1" ht="120">
      <c r="A1001" s="19">
        <v>43551.37537037037</v>
      </c>
      <c r="B1001" s="20" t="s">
        <v>13987</v>
      </c>
      <c r="C1001" s="21" t="s">
        <v>36</v>
      </c>
      <c r="D1001" s="22" t="s">
        <v>37</v>
      </c>
      <c r="E1001" s="23" t="s">
        <v>13034</v>
      </c>
      <c r="F1001" s="19">
        <v>43413.788715277777</v>
      </c>
      <c r="G1001" s="17" t="s">
        <v>13000</v>
      </c>
      <c r="H1001" s="35" t="s">
        <v>38</v>
      </c>
      <c r="I1001" s="25" t="s">
        <v>2570</v>
      </c>
    </row>
    <row r="1002" spans="1:9" s="33" customFormat="1" ht="120">
      <c r="A1002" s="19">
        <v>43550.375324074077</v>
      </c>
      <c r="B1002" s="20" t="s">
        <v>13987</v>
      </c>
      <c r="C1002" s="21" t="s">
        <v>36</v>
      </c>
      <c r="D1002" s="22" t="s">
        <v>37</v>
      </c>
      <c r="E1002" s="23" t="s">
        <v>13034</v>
      </c>
      <c r="F1002" s="19">
        <v>43413.788715277777</v>
      </c>
      <c r="G1002" s="17" t="s">
        <v>13000</v>
      </c>
      <c r="H1002" s="35" t="s">
        <v>38</v>
      </c>
      <c r="I1002" s="25" t="s">
        <v>2570</v>
      </c>
    </row>
    <row r="1003" spans="1:9" s="33" customFormat="1" ht="120">
      <c r="A1003" s="19">
        <v>43549.3753125</v>
      </c>
      <c r="B1003" s="20" t="s">
        <v>13987</v>
      </c>
      <c r="C1003" s="21" t="s">
        <v>36</v>
      </c>
      <c r="D1003" s="22" t="s">
        <v>37</v>
      </c>
      <c r="E1003" s="23" t="s">
        <v>13034</v>
      </c>
      <c r="F1003" s="19">
        <v>43413.788715277777</v>
      </c>
      <c r="G1003" s="17" t="s">
        <v>13000</v>
      </c>
      <c r="H1003" s="35" t="s">
        <v>38</v>
      </c>
      <c r="I1003" s="25" t="s">
        <v>2570</v>
      </c>
    </row>
    <row r="1004" spans="1:9" s="33" customFormat="1" ht="120">
      <c r="A1004" s="19">
        <v>43547.416944444441</v>
      </c>
      <c r="B1004" s="20" t="s">
        <v>13987</v>
      </c>
      <c r="C1004" s="21" t="s">
        <v>36</v>
      </c>
      <c r="D1004" s="22" t="s">
        <v>37</v>
      </c>
      <c r="E1004" s="23" t="s">
        <v>13034</v>
      </c>
      <c r="F1004" s="19">
        <v>43413.788715277777</v>
      </c>
      <c r="G1004" s="17" t="s">
        <v>13000</v>
      </c>
      <c r="H1004" s="35" t="s">
        <v>38</v>
      </c>
      <c r="I1004" s="25" t="s">
        <v>2570</v>
      </c>
    </row>
    <row r="1005" spans="1:9" s="33" customFormat="1" ht="90">
      <c r="A1005" s="19">
        <v>43546.678703703699</v>
      </c>
      <c r="B1005" s="20" t="s">
        <v>13988</v>
      </c>
      <c r="C1005" s="21" t="s">
        <v>8757</v>
      </c>
      <c r="D1005" s="22" t="s">
        <v>8758</v>
      </c>
      <c r="E1005" s="23" t="s">
        <v>13011</v>
      </c>
      <c r="F1005" s="19">
        <v>40014.407372685186</v>
      </c>
      <c r="G1005" s="17" t="s">
        <v>13000</v>
      </c>
      <c r="H1005" s="35" t="s">
        <v>38</v>
      </c>
      <c r="I1005" s="25" t="s">
        <v>8759</v>
      </c>
    </row>
    <row r="1006" spans="1:9" s="33" customFormat="1" ht="120">
      <c r="A1006" s="19">
        <v>43546.375416666662</v>
      </c>
      <c r="B1006" s="20" t="s">
        <v>13987</v>
      </c>
      <c r="C1006" s="21" t="s">
        <v>36</v>
      </c>
      <c r="D1006" s="22" t="s">
        <v>37</v>
      </c>
      <c r="E1006" s="23" t="s">
        <v>13034</v>
      </c>
      <c r="F1006" s="19">
        <v>43413.788715277777</v>
      </c>
      <c r="G1006" s="17" t="s">
        <v>13000</v>
      </c>
      <c r="H1006" s="35" t="s">
        <v>38</v>
      </c>
      <c r="I1006" s="25" t="s">
        <v>2570</v>
      </c>
    </row>
    <row r="1007" spans="1:9" s="33" customFormat="1" ht="120">
      <c r="A1007" s="19">
        <v>43545.465983796297</v>
      </c>
      <c r="B1007" s="20" t="s">
        <v>13987</v>
      </c>
      <c r="C1007" s="21" t="s">
        <v>36</v>
      </c>
      <c r="D1007" s="22" t="s">
        <v>9125</v>
      </c>
      <c r="E1007" s="23" t="s">
        <v>13034</v>
      </c>
      <c r="F1007" s="19">
        <v>43413.788715277777</v>
      </c>
      <c r="G1007" s="17" t="s">
        <v>13000</v>
      </c>
      <c r="H1007" s="35" t="s">
        <v>38</v>
      </c>
      <c r="I1007" s="25" t="s">
        <v>2570</v>
      </c>
    </row>
    <row r="1008" spans="1:9" s="33" customFormat="1" ht="120">
      <c r="A1008" s="19">
        <v>43545.375057870369</v>
      </c>
      <c r="B1008" s="20" t="s">
        <v>13987</v>
      </c>
      <c r="C1008" s="21" t="s">
        <v>36</v>
      </c>
      <c r="D1008" s="22" t="s">
        <v>37</v>
      </c>
      <c r="E1008" s="23" t="s">
        <v>13034</v>
      </c>
      <c r="F1008" s="19">
        <v>43413.788715277777</v>
      </c>
      <c r="G1008" s="17" t="s">
        <v>13000</v>
      </c>
      <c r="H1008" s="35" t="s">
        <v>38</v>
      </c>
      <c r="I1008" s="25" t="s">
        <v>2570</v>
      </c>
    </row>
    <row r="1009" spans="1:9" s="33" customFormat="1" ht="120">
      <c r="A1009" s="19">
        <v>43544.375185185185</v>
      </c>
      <c r="B1009" s="20" t="s">
        <v>13987</v>
      </c>
      <c r="C1009" s="21" t="s">
        <v>36</v>
      </c>
      <c r="D1009" s="22" t="s">
        <v>37</v>
      </c>
      <c r="E1009" s="23" t="s">
        <v>13034</v>
      </c>
      <c r="F1009" s="19">
        <v>43413.788715277777</v>
      </c>
      <c r="G1009" s="17" t="s">
        <v>13000</v>
      </c>
      <c r="H1009" s="35" t="s">
        <v>38</v>
      </c>
      <c r="I1009" s="25" t="s">
        <v>2570</v>
      </c>
    </row>
    <row r="1010" spans="1:9" s="33" customFormat="1" ht="120">
      <c r="A1010" s="19">
        <v>43543.37537037037</v>
      </c>
      <c r="B1010" s="20" t="s">
        <v>13987</v>
      </c>
      <c r="C1010" s="21" t="s">
        <v>36</v>
      </c>
      <c r="D1010" s="22" t="s">
        <v>37</v>
      </c>
      <c r="E1010" s="23" t="s">
        <v>13034</v>
      </c>
      <c r="F1010" s="19">
        <v>43413.788715277777</v>
      </c>
      <c r="G1010" s="17" t="s">
        <v>13000</v>
      </c>
      <c r="H1010" s="35" t="s">
        <v>38</v>
      </c>
      <c r="I1010" s="25" t="s">
        <v>2570</v>
      </c>
    </row>
    <row r="1011" spans="1:9" s="33" customFormat="1" ht="120">
      <c r="A1011" s="4">
        <v>43565.375717592593</v>
      </c>
      <c r="B1011" s="5" t="s">
        <v>13987</v>
      </c>
      <c r="C1011" s="6" t="s">
        <v>36</v>
      </c>
      <c r="D1011" s="7" t="s">
        <v>37</v>
      </c>
      <c r="E1011" s="8" t="s">
        <v>13034</v>
      </c>
      <c r="F1011" s="4">
        <v>43413.788715277777</v>
      </c>
      <c r="G1011" s="17" t="s">
        <v>13000</v>
      </c>
      <c r="H1011" s="35" t="s">
        <v>38</v>
      </c>
      <c r="I1011" s="10" t="s">
        <v>2570</v>
      </c>
    </row>
    <row r="1012" spans="1:9" s="33" customFormat="1" ht="120">
      <c r="A1012" s="4">
        <v>43564.375185185185</v>
      </c>
      <c r="B1012" s="5" t="s">
        <v>13987</v>
      </c>
      <c r="C1012" s="6" t="s">
        <v>36</v>
      </c>
      <c r="D1012" s="7" t="s">
        <v>37</v>
      </c>
      <c r="E1012" s="8" t="s">
        <v>13034</v>
      </c>
      <c r="F1012" s="4">
        <v>43413.788715277777</v>
      </c>
      <c r="G1012" s="17" t="s">
        <v>13000</v>
      </c>
      <c r="H1012" s="35" t="s">
        <v>38</v>
      </c>
      <c r="I1012" s="10" t="s">
        <v>2570</v>
      </c>
    </row>
    <row r="1013" spans="1:9" s="33" customFormat="1" ht="120">
      <c r="A1013" s="4">
        <v>43563.375196759254</v>
      </c>
      <c r="B1013" s="5" t="s">
        <v>13987</v>
      </c>
      <c r="C1013" s="6" t="s">
        <v>36</v>
      </c>
      <c r="D1013" s="7" t="s">
        <v>37</v>
      </c>
      <c r="E1013" s="8" t="s">
        <v>13034</v>
      </c>
      <c r="F1013" s="4">
        <v>43413.788715277777</v>
      </c>
      <c r="G1013" s="17" t="s">
        <v>13000</v>
      </c>
      <c r="H1013" s="35" t="s">
        <v>38</v>
      </c>
      <c r="I1013" s="10" t="s">
        <v>2570</v>
      </c>
    </row>
    <row r="1014" spans="1:9" s="33" customFormat="1" ht="120">
      <c r="A1014" s="4">
        <v>43560.375185185185</v>
      </c>
      <c r="B1014" s="5" t="s">
        <v>13987</v>
      </c>
      <c r="C1014" s="6" t="s">
        <v>36</v>
      </c>
      <c r="D1014" s="7" t="s">
        <v>37</v>
      </c>
      <c r="E1014" s="8" t="s">
        <v>13034</v>
      </c>
      <c r="F1014" s="4">
        <v>43413.788715277777</v>
      </c>
      <c r="G1014" s="17" t="s">
        <v>13000</v>
      </c>
      <c r="H1014" s="35" t="s">
        <v>38</v>
      </c>
      <c r="I1014" s="10" t="s">
        <v>2570</v>
      </c>
    </row>
    <row r="1015" spans="1:9" s="33" customFormat="1" ht="120">
      <c r="A1015" s="4">
        <v>43560.247789351852</v>
      </c>
      <c r="B1015" s="5" t="s">
        <v>13989</v>
      </c>
      <c r="C1015" s="6" t="s">
        <v>11537</v>
      </c>
      <c r="D1015" s="7" t="s">
        <v>11538</v>
      </c>
      <c r="E1015" s="8" t="s">
        <v>13120</v>
      </c>
      <c r="F1015" s="4">
        <v>39892.502974537041</v>
      </c>
      <c r="G1015" s="17" t="s">
        <v>13000</v>
      </c>
      <c r="H1015" s="35" t="s">
        <v>38</v>
      </c>
      <c r="I1015" s="10" t="s">
        <v>11539</v>
      </c>
    </row>
    <row r="1016" spans="1:9" s="33" customFormat="1" ht="120">
      <c r="A1016" s="4">
        <v>43559.375231481477</v>
      </c>
      <c r="B1016" s="5" t="s">
        <v>13987</v>
      </c>
      <c r="C1016" s="6" t="s">
        <v>36</v>
      </c>
      <c r="D1016" s="7" t="s">
        <v>37</v>
      </c>
      <c r="E1016" s="8" t="s">
        <v>13034</v>
      </c>
      <c r="F1016" s="4">
        <v>43413.788715277777</v>
      </c>
      <c r="G1016" s="17" t="s">
        <v>13000</v>
      </c>
      <c r="H1016" s="35" t="s">
        <v>38</v>
      </c>
      <c r="I1016" s="10" t="s">
        <v>2570</v>
      </c>
    </row>
    <row r="1017" spans="1:9" s="33" customFormat="1" ht="120">
      <c r="A1017" s="4">
        <v>43558.375462962962</v>
      </c>
      <c r="B1017" s="5" t="s">
        <v>13987</v>
      </c>
      <c r="C1017" s="6" t="s">
        <v>36</v>
      </c>
      <c r="D1017" s="7" t="s">
        <v>37</v>
      </c>
      <c r="E1017" s="8" t="s">
        <v>13034</v>
      </c>
      <c r="F1017" s="4">
        <v>43413.788715277777</v>
      </c>
      <c r="G1017" s="17" t="s">
        <v>13000</v>
      </c>
      <c r="H1017" s="35" t="s">
        <v>38</v>
      </c>
      <c r="I1017" s="10" t="s">
        <v>2570</v>
      </c>
    </row>
    <row r="1018" spans="1:9" s="33" customFormat="1" ht="120">
      <c r="A1018" s="4">
        <v>43557.375925925924</v>
      </c>
      <c r="B1018" s="5" t="s">
        <v>13987</v>
      </c>
      <c r="C1018" s="6" t="s">
        <v>36</v>
      </c>
      <c r="D1018" s="7" t="s">
        <v>37</v>
      </c>
      <c r="E1018" s="8" t="s">
        <v>13034</v>
      </c>
      <c r="F1018" s="4">
        <v>43413.788715277777</v>
      </c>
      <c r="G1018" s="17" t="s">
        <v>13000</v>
      </c>
      <c r="H1018" s="35" t="s">
        <v>38</v>
      </c>
      <c r="I1018" s="10" t="s">
        <v>2570</v>
      </c>
    </row>
    <row r="1019" spans="1:9" s="33" customFormat="1" ht="120">
      <c r="A1019" s="12">
        <v>43580.833506944444</v>
      </c>
      <c r="B1019" s="13" t="s">
        <v>13987</v>
      </c>
      <c r="C1019" s="14" t="s">
        <v>36</v>
      </c>
      <c r="D1019" s="15" t="s">
        <v>37</v>
      </c>
      <c r="E1019" s="16" t="s">
        <v>13034</v>
      </c>
      <c r="F1019" s="12">
        <v>43414.288715277777</v>
      </c>
      <c r="G1019" s="17" t="s">
        <v>13000</v>
      </c>
      <c r="H1019" s="35" t="s">
        <v>38</v>
      </c>
      <c r="I1019" s="18" t="s">
        <v>39</v>
      </c>
    </row>
    <row r="1020" spans="1:9" s="33" customFormat="1" ht="120">
      <c r="A1020" s="12">
        <v>43579.375613425931</v>
      </c>
      <c r="B1020" s="13" t="s">
        <v>13987</v>
      </c>
      <c r="C1020" s="14" t="s">
        <v>36</v>
      </c>
      <c r="D1020" s="15" t="s">
        <v>37</v>
      </c>
      <c r="E1020" s="16" t="s">
        <v>13034</v>
      </c>
      <c r="F1020" s="12">
        <v>43413.788715277777</v>
      </c>
      <c r="G1020" s="17" t="s">
        <v>13000</v>
      </c>
      <c r="H1020" s="35" t="s">
        <v>38</v>
      </c>
      <c r="I1020" s="18" t="s">
        <v>39</v>
      </c>
    </row>
    <row r="1021" spans="1:9" s="33" customFormat="1" ht="120">
      <c r="A1021" s="12">
        <v>43578.375590277778</v>
      </c>
      <c r="B1021" s="13" t="s">
        <v>13987</v>
      </c>
      <c r="C1021" s="14" t="s">
        <v>36</v>
      </c>
      <c r="D1021" s="15" t="s">
        <v>37</v>
      </c>
      <c r="E1021" s="16" t="s">
        <v>13034</v>
      </c>
      <c r="F1021" s="12">
        <v>43413.788715277777</v>
      </c>
      <c r="G1021" s="17" t="s">
        <v>13000</v>
      </c>
      <c r="H1021" s="35" t="s">
        <v>38</v>
      </c>
      <c r="I1021" s="18" t="s">
        <v>39</v>
      </c>
    </row>
    <row r="1022" spans="1:9" s="33" customFormat="1" ht="120">
      <c r="A1022" s="12">
        <v>43577.375196759254</v>
      </c>
      <c r="B1022" s="13" t="s">
        <v>13987</v>
      </c>
      <c r="C1022" s="14" t="s">
        <v>36</v>
      </c>
      <c r="D1022" s="15" t="s">
        <v>37</v>
      </c>
      <c r="E1022" s="16" t="s">
        <v>13034</v>
      </c>
      <c r="F1022" s="12">
        <v>43413.788715277777</v>
      </c>
      <c r="G1022" s="17" t="s">
        <v>13000</v>
      </c>
      <c r="H1022" s="35" t="s">
        <v>38</v>
      </c>
      <c r="I1022" s="18" t="s">
        <v>39</v>
      </c>
    </row>
    <row r="1023" spans="1:9" s="33" customFormat="1" ht="60">
      <c r="A1023" s="12">
        <v>43576.980532407411</v>
      </c>
      <c r="B1023" s="13" t="s">
        <v>13990</v>
      </c>
      <c r="C1023" s="14" t="s">
        <v>1788</v>
      </c>
      <c r="D1023" s="15" t="s">
        <v>1789</v>
      </c>
      <c r="E1023" s="16" t="s">
        <v>13011</v>
      </c>
      <c r="F1023" s="12">
        <v>40897.518333333333</v>
      </c>
      <c r="G1023" s="17" t="s">
        <v>13000</v>
      </c>
      <c r="H1023" s="35" t="s">
        <v>38</v>
      </c>
      <c r="I1023" s="18" t="s">
        <v>1790</v>
      </c>
    </row>
    <row r="1024" spans="1:9" s="33" customFormat="1" ht="120">
      <c r="A1024" s="12">
        <v>43575.41706018518</v>
      </c>
      <c r="B1024" s="13" t="s">
        <v>13987</v>
      </c>
      <c r="C1024" s="14" t="s">
        <v>36</v>
      </c>
      <c r="D1024" s="15" t="s">
        <v>37</v>
      </c>
      <c r="E1024" s="16" t="s">
        <v>13034</v>
      </c>
      <c r="F1024" s="12">
        <v>43413.788715277777</v>
      </c>
      <c r="G1024" s="17" t="s">
        <v>13000</v>
      </c>
      <c r="H1024" s="35" t="s">
        <v>38</v>
      </c>
      <c r="I1024" s="18" t="s">
        <v>39</v>
      </c>
    </row>
    <row r="1025" spans="1:9" s="33" customFormat="1" ht="60">
      <c r="A1025" s="12">
        <v>43575.340995370367</v>
      </c>
      <c r="B1025" s="13" t="s">
        <v>13991</v>
      </c>
      <c r="C1025" s="14" t="s">
        <v>2275</v>
      </c>
      <c r="D1025" s="15" t="s">
        <v>2276</v>
      </c>
      <c r="E1025" s="16" t="s">
        <v>13034</v>
      </c>
      <c r="F1025" s="12">
        <v>43005.534629629634</v>
      </c>
      <c r="G1025" s="17" t="s">
        <v>13000</v>
      </c>
      <c r="H1025" s="35" t="s">
        <v>38</v>
      </c>
      <c r="I1025" s="18" t="s">
        <v>2277</v>
      </c>
    </row>
    <row r="1026" spans="1:9" s="33" customFormat="1" ht="120">
      <c r="A1026" s="12">
        <v>43574.3753125</v>
      </c>
      <c r="B1026" s="13" t="s">
        <v>13987</v>
      </c>
      <c r="C1026" s="14" t="s">
        <v>36</v>
      </c>
      <c r="D1026" s="15" t="s">
        <v>37</v>
      </c>
      <c r="E1026" s="16" t="s">
        <v>13034</v>
      </c>
      <c r="F1026" s="12">
        <v>43413.788715277777</v>
      </c>
      <c r="G1026" s="17" t="s">
        <v>13000</v>
      </c>
      <c r="H1026" s="35" t="s">
        <v>38</v>
      </c>
      <c r="I1026" s="18" t="s">
        <v>2570</v>
      </c>
    </row>
    <row r="1027" spans="1:9" s="33" customFormat="1" ht="105">
      <c r="A1027" s="12">
        <v>43574.348877314813</v>
      </c>
      <c r="B1027" s="13" t="s">
        <v>13992</v>
      </c>
      <c r="C1027" s="14" t="s">
        <v>2586</v>
      </c>
      <c r="D1027" s="15" t="s">
        <v>2587</v>
      </c>
      <c r="E1027" s="16" t="s">
        <v>13009</v>
      </c>
      <c r="F1027" s="12">
        <v>39954.230891203704</v>
      </c>
      <c r="G1027" s="17" t="s">
        <v>13000</v>
      </c>
      <c r="H1027" s="35" t="s">
        <v>38</v>
      </c>
      <c r="I1027" s="18" t="s">
        <v>2588</v>
      </c>
    </row>
    <row r="1028" spans="1:9" s="33" customFormat="1" ht="45">
      <c r="A1028" s="12">
        <v>43573.389074074075</v>
      </c>
      <c r="B1028" s="13" t="s">
        <v>13993</v>
      </c>
      <c r="C1028" s="14" t="s">
        <v>2902</v>
      </c>
      <c r="D1028" s="15" t="s">
        <v>2903</v>
      </c>
      <c r="E1028" s="16" t="s">
        <v>13018</v>
      </c>
      <c r="F1028" s="12">
        <v>42411.724386574075</v>
      </c>
      <c r="G1028" s="17" t="s">
        <v>13000</v>
      </c>
      <c r="H1028" s="35" t="s">
        <v>38</v>
      </c>
      <c r="I1028" s="18" t="s">
        <v>2904</v>
      </c>
    </row>
    <row r="1029" spans="1:9" s="33" customFormat="1" ht="120">
      <c r="A1029" s="12">
        <v>43573.375277777777</v>
      </c>
      <c r="B1029" s="13" t="s">
        <v>13987</v>
      </c>
      <c r="C1029" s="14" t="s">
        <v>36</v>
      </c>
      <c r="D1029" s="15" t="s">
        <v>37</v>
      </c>
      <c r="E1029" s="16" t="s">
        <v>13034</v>
      </c>
      <c r="F1029" s="12">
        <v>43413.788715277777</v>
      </c>
      <c r="G1029" s="17" t="s">
        <v>13000</v>
      </c>
      <c r="H1029" s="35" t="s">
        <v>38</v>
      </c>
      <c r="I1029" s="18" t="s">
        <v>2570</v>
      </c>
    </row>
    <row r="1030" spans="1:9" s="33" customFormat="1" ht="60">
      <c r="A1030" s="12">
        <v>43572.708333333328</v>
      </c>
      <c r="B1030" s="13" t="s">
        <v>13991</v>
      </c>
      <c r="C1030" s="14" t="s">
        <v>2275</v>
      </c>
      <c r="D1030" s="15" t="s">
        <v>3114</v>
      </c>
      <c r="E1030" s="16" t="s">
        <v>13099</v>
      </c>
      <c r="F1030" s="12">
        <v>43005.534629629634</v>
      </c>
      <c r="G1030" s="17" t="s">
        <v>13000</v>
      </c>
      <c r="H1030" s="35" t="s">
        <v>38</v>
      </c>
      <c r="I1030" s="18" t="s">
        <v>2277</v>
      </c>
    </row>
    <row r="1031" spans="1:9" s="33" customFormat="1" ht="120">
      <c r="A1031" s="12">
        <v>43572.375347222223</v>
      </c>
      <c r="B1031" s="13" t="s">
        <v>13987</v>
      </c>
      <c r="C1031" s="14" t="s">
        <v>36</v>
      </c>
      <c r="D1031" s="15" t="s">
        <v>37</v>
      </c>
      <c r="E1031" s="16" t="s">
        <v>13034</v>
      </c>
      <c r="F1031" s="12">
        <v>43413.788715277777</v>
      </c>
      <c r="G1031" s="17" t="s">
        <v>13000</v>
      </c>
      <c r="H1031" s="35" t="s">
        <v>38</v>
      </c>
      <c r="I1031" s="18" t="s">
        <v>2570</v>
      </c>
    </row>
    <row r="1032" spans="1:9" s="33" customFormat="1" ht="105">
      <c r="A1032" s="12">
        <v>43571.814363425925</v>
      </c>
      <c r="B1032" s="13" t="s">
        <v>13994</v>
      </c>
      <c r="C1032" s="14" t="s">
        <v>3541</v>
      </c>
      <c r="D1032" s="15" t="s">
        <v>3542</v>
      </c>
      <c r="E1032" s="16" t="s">
        <v>13011</v>
      </c>
      <c r="F1032" s="12">
        <v>39842.933715277773</v>
      </c>
      <c r="G1032" s="17" t="s">
        <v>13000</v>
      </c>
      <c r="H1032" s="35" t="s">
        <v>38</v>
      </c>
      <c r="I1032" s="18" t="s">
        <v>3543</v>
      </c>
    </row>
    <row r="1033" spans="1:9" s="33" customFormat="1" ht="120">
      <c r="A1033" s="12">
        <v>43571.375474537039</v>
      </c>
      <c r="B1033" s="13" t="s">
        <v>13987</v>
      </c>
      <c r="C1033" s="14" t="s">
        <v>36</v>
      </c>
      <c r="D1033" s="15" t="s">
        <v>37</v>
      </c>
      <c r="E1033" s="16" t="s">
        <v>13034</v>
      </c>
      <c r="F1033" s="12">
        <v>43413.788715277777</v>
      </c>
      <c r="G1033" s="17" t="s">
        <v>13000</v>
      </c>
      <c r="H1033" s="35" t="s">
        <v>38</v>
      </c>
      <c r="I1033" s="18" t="s">
        <v>2570</v>
      </c>
    </row>
    <row r="1034" spans="1:9" s="33" customFormat="1" ht="120">
      <c r="A1034" s="12">
        <v>43570.375462962962</v>
      </c>
      <c r="B1034" s="13" t="s">
        <v>13987</v>
      </c>
      <c r="C1034" s="14" t="s">
        <v>36</v>
      </c>
      <c r="D1034" s="15" t="s">
        <v>37</v>
      </c>
      <c r="E1034" s="16" t="s">
        <v>13034</v>
      </c>
      <c r="F1034" s="12">
        <v>43413.788715277777</v>
      </c>
      <c r="G1034" s="17" t="s">
        <v>13000</v>
      </c>
      <c r="H1034" s="35" t="s">
        <v>38</v>
      </c>
      <c r="I1034" s="18" t="s">
        <v>2570</v>
      </c>
    </row>
    <row r="1035" spans="1:9" s="33" customFormat="1" ht="60">
      <c r="A1035" s="12">
        <v>43570.278749999998</v>
      </c>
      <c r="B1035" s="13" t="s">
        <v>13991</v>
      </c>
      <c r="C1035" s="14" t="s">
        <v>2275</v>
      </c>
      <c r="D1035" s="15" t="s">
        <v>4265</v>
      </c>
      <c r="E1035" s="16" t="s">
        <v>13099</v>
      </c>
      <c r="F1035" s="12">
        <v>43005.534629629634</v>
      </c>
      <c r="G1035" s="17" t="s">
        <v>13000</v>
      </c>
      <c r="H1035" s="35" t="s">
        <v>38</v>
      </c>
      <c r="I1035" s="18" t="s">
        <v>2277</v>
      </c>
    </row>
    <row r="1036" spans="1:9" s="33" customFormat="1" ht="120">
      <c r="A1036" s="12">
        <v>43568.416851851856</v>
      </c>
      <c r="B1036" s="13" t="s">
        <v>13987</v>
      </c>
      <c r="C1036" s="14" t="s">
        <v>36</v>
      </c>
      <c r="D1036" s="15" t="s">
        <v>37</v>
      </c>
      <c r="E1036" s="16" t="s">
        <v>13034</v>
      </c>
      <c r="F1036" s="12">
        <v>43413.788715277777</v>
      </c>
      <c r="G1036" s="17" t="s">
        <v>13000</v>
      </c>
      <c r="H1036" s="35" t="s">
        <v>38</v>
      </c>
      <c r="I1036" s="18" t="s">
        <v>2570</v>
      </c>
    </row>
    <row r="1037" spans="1:9" s="33" customFormat="1" ht="75">
      <c r="A1037" s="12">
        <v>43567.908182870371</v>
      </c>
      <c r="B1037" s="13" t="s">
        <v>13995</v>
      </c>
      <c r="C1037" s="14" t="s">
        <v>4919</v>
      </c>
      <c r="D1037" s="15" t="s">
        <v>4920</v>
      </c>
      <c r="E1037" s="16" t="s">
        <v>13011</v>
      </c>
      <c r="F1037" s="12">
        <v>42719.550092592588</v>
      </c>
      <c r="G1037" s="17" t="s">
        <v>13000</v>
      </c>
      <c r="H1037" s="35" t="s">
        <v>38</v>
      </c>
      <c r="I1037" s="18" t="s">
        <v>4921</v>
      </c>
    </row>
    <row r="1038" spans="1:9" s="33" customFormat="1" ht="60">
      <c r="A1038" s="12">
        <v>43567.713101851856</v>
      </c>
      <c r="B1038" s="13" t="s">
        <v>13991</v>
      </c>
      <c r="C1038" s="14" t="s">
        <v>2275</v>
      </c>
      <c r="D1038" s="15" t="s">
        <v>4986</v>
      </c>
      <c r="E1038" s="16" t="s">
        <v>13009</v>
      </c>
      <c r="F1038" s="12">
        <v>43005.534629629634</v>
      </c>
      <c r="G1038" s="17" t="s">
        <v>13000</v>
      </c>
      <c r="H1038" s="35" t="s">
        <v>38</v>
      </c>
      <c r="I1038" s="18" t="s">
        <v>2277</v>
      </c>
    </row>
    <row r="1039" spans="1:9" s="33" customFormat="1" ht="120">
      <c r="A1039" s="12">
        <v>43567.375405092593</v>
      </c>
      <c r="B1039" s="13" t="s">
        <v>13987</v>
      </c>
      <c r="C1039" s="14" t="s">
        <v>36</v>
      </c>
      <c r="D1039" s="15" t="s">
        <v>37</v>
      </c>
      <c r="E1039" s="16" t="s">
        <v>13034</v>
      </c>
      <c r="F1039" s="12">
        <v>43413.788715277777</v>
      </c>
      <c r="G1039" s="17" t="s">
        <v>13000</v>
      </c>
      <c r="H1039" s="35" t="s">
        <v>38</v>
      </c>
      <c r="I1039" s="18" t="s">
        <v>2570</v>
      </c>
    </row>
    <row r="1040" spans="1:9" s="33" customFormat="1" ht="105">
      <c r="A1040" s="12">
        <v>43566.486435185187</v>
      </c>
      <c r="B1040" s="13" t="s">
        <v>13996</v>
      </c>
      <c r="C1040" s="14" t="s">
        <v>5491</v>
      </c>
      <c r="D1040" s="15" t="s">
        <v>5492</v>
      </c>
      <c r="E1040" s="16" t="s">
        <v>13011</v>
      </c>
      <c r="F1040" s="12">
        <v>39877.470682870371</v>
      </c>
      <c r="G1040" s="17" t="s">
        <v>13000</v>
      </c>
      <c r="H1040" s="35" t="s">
        <v>38</v>
      </c>
      <c r="I1040" s="18" t="s">
        <v>5493</v>
      </c>
    </row>
    <row r="1041" spans="1:9" s="33" customFormat="1" ht="120">
      <c r="A1041" s="12">
        <v>43566.375428240739</v>
      </c>
      <c r="B1041" s="13" t="s">
        <v>13987</v>
      </c>
      <c r="C1041" s="14" t="s">
        <v>36</v>
      </c>
      <c r="D1041" s="15" t="s">
        <v>37</v>
      </c>
      <c r="E1041" s="16" t="s">
        <v>13034</v>
      </c>
      <c r="F1041" s="12">
        <v>43413.788715277777</v>
      </c>
      <c r="G1041" s="17" t="s">
        <v>13000</v>
      </c>
      <c r="H1041" s="35" t="s">
        <v>38</v>
      </c>
      <c r="I1041" s="18" t="s">
        <v>2570</v>
      </c>
    </row>
    <row r="1042" spans="1:9" s="33" customFormat="1" ht="105">
      <c r="A1042" s="4">
        <v>43560.247731481482</v>
      </c>
      <c r="B1042" s="5" t="s">
        <v>13997</v>
      </c>
      <c r="C1042" s="6" t="s">
        <v>11540</v>
      </c>
      <c r="D1042" s="7" t="s">
        <v>11538</v>
      </c>
      <c r="E1042" s="8" t="s">
        <v>13120</v>
      </c>
      <c r="F1042" s="4">
        <v>39884.38071759259</v>
      </c>
      <c r="G1042" s="17" t="s">
        <v>13000</v>
      </c>
      <c r="H1042" s="35" t="s">
        <v>11541</v>
      </c>
      <c r="I1042" s="10" t="s">
        <v>11542</v>
      </c>
    </row>
    <row r="1043" spans="1:9" s="33" customFormat="1" ht="120">
      <c r="A1043" s="4">
        <v>43565.554861111115</v>
      </c>
      <c r="B1043" s="5" t="s">
        <v>13998</v>
      </c>
      <c r="C1043" s="6" t="s">
        <v>6027</v>
      </c>
      <c r="D1043" s="7" t="s">
        <v>6028</v>
      </c>
      <c r="E1043" s="8" t="s">
        <v>13120</v>
      </c>
      <c r="F1043" s="4">
        <v>40068.74255787037</v>
      </c>
      <c r="G1043" s="17" t="s">
        <v>13000</v>
      </c>
      <c r="H1043" s="35" t="s">
        <v>6029</v>
      </c>
      <c r="I1043" s="10" t="s">
        <v>6030</v>
      </c>
    </row>
    <row r="1044" spans="1:9" s="33" customFormat="1" ht="120">
      <c r="A1044" s="4">
        <v>43560.552777777775</v>
      </c>
      <c r="B1044" s="5" t="s">
        <v>13998</v>
      </c>
      <c r="C1044" s="6" t="s">
        <v>6027</v>
      </c>
      <c r="D1044" s="7" t="s">
        <v>6125</v>
      </c>
      <c r="E1044" s="8" t="s">
        <v>13120</v>
      </c>
      <c r="F1044" s="4">
        <v>40068.74255787037</v>
      </c>
      <c r="G1044" s="17" t="s">
        <v>13000</v>
      </c>
      <c r="H1044" s="35" t="s">
        <v>6029</v>
      </c>
      <c r="I1044" s="10" t="s">
        <v>6030</v>
      </c>
    </row>
    <row r="1045" spans="1:9" s="33" customFormat="1" ht="120">
      <c r="A1045" s="12">
        <v>43570.588888888888</v>
      </c>
      <c r="B1045" s="13" t="s">
        <v>13999</v>
      </c>
      <c r="C1045" s="14" t="s">
        <v>4034</v>
      </c>
      <c r="D1045" s="15" t="s">
        <v>4035</v>
      </c>
      <c r="E1045" s="16" t="s">
        <v>13120</v>
      </c>
      <c r="F1045" s="12">
        <v>40053.723113425927</v>
      </c>
      <c r="G1045" s="17" t="s">
        <v>13000</v>
      </c>
      <c r="H1045" s="35" t="s">
        <v>4036</v>
      </c>
      <c r="I1045" s="18" t="s">
        <v>4037</v>
      </c>
    </row>
    <row r="1046" spans="1:9" s="33" customFormat="1" ht="105">
      <c r="A1046" s="4">
        <v>43560.622916666667</v>
      </c>
      <c r="B1046" s="5" t="s">
        <v>14000</v>
      </c>
      <c r="C1046" s="6" t="s">
        <v>11245</v>
      </c>
      <c r="D1046" s="7" t="s">
        <v>11246</v>
      </c>
      <c r="E1046" s="8" t="s">
        <v>13120</v>
      </c>
      <c r="F1046" s="4">
        <v>40069.471180555556</v>
      </c>
      <c r="G1046" s="17" t="s">
        <v>13000</v>
      </c>
      <c r="H1046" s="35" t="s">
        <v>11247</v>
      </c>
      <c r="I1046" s="10" t="s">
        <v>11248</v>
      </c>
    </row>
    <row r="1047" spans="1:9" s="33" customFormat="1" ht="105">
      <c r="A1047" s="12">
        <v>43570.568749999999</v>
      </c>
      <c r="B1047" s="13" t="s">
        <v>14001</v>
      </c>
      <c r="C1047" s="14" t="s">
        <v>4068</v>
      </c>
      <c r="D1047" s="15" t="s">
        <v>4069</v>
      </c>
      <c r="E1047" s="16" t="s">
        <v>13120</v>
      </c>
      <c r="F1047" s="12">
        <v>40069.464050925926</v>
      </c>
      <c r="G1047" s="17" t="s">
        <v>13000</v>
      </c>
      <c r="H1047" s="35" t="s">
        <v>4070</v>
      </c>
      <c r="I1047" s="18" t="s">
        <v>4071</v>
      </c>
    </row>
    <row r="1048" spans="1:9" s="33" customFormat="1" ht="105">
      <c r="A1048" s="12">
        <v>43566.567361111112</v>
      </c>
      <c r="B1048" s="13" t="s">
        <v>14001</v>
      </c>
      <c r="C1048" s="14" t="s">
        <v>4068</v>
      </c>
      <c r="D1048" s="15" t="s">
        <v>5439</v>
      </c>
      <c r="E1048" s="16" t="s">
        <v>13120</v>
      </c>
      <c r="F1048" s="12">
        <v>40069.464050925926</v>
      </c>
      <c r="G1048" s="17" t="s">
        <v>13000</v>
      </c>
      <c r="H1048" s="35" t="s">
        <v>4070</v>
      </c>
      <c r="I1048" s="18" t="s">
        <v>4071</v>
      </c>
    </row>
    <row r="1049" spans="1:9" s="33" customFormat="1" ht="90">
      <c r="A1049" s="4">
        <v>43565.552777777775</v>
      </c>
      <c r="B1049" s="5" t="s">
        <v>14002</v>
      </c>
      <c r="C1049" s="6" t="s">
        <v>4078</v>
      </c>
      <c r="D1049" s="7" t="s">
        <v>6031</v>
      </c>
      <c r="E1049" s="8" t="s">
        <v>13120</v>
      </c>
      <c r="F1049" s="4">
        <v>40068.773275462961</v>
      </c>
      <c r="G1049" s="17" t="s">
        <v>13000</v>
      </c>
      <c r="H1049" s="35" t="s">
        <v>4080</v>
      </c>
      <c r="I1049" s="10" t="s">
        <v>4081</v>
      </c>
    </row>
    <row r="1050" spans="1:9" s="33" customFormat="1" ht="90">
      <c r="A1050" s="12">
        <v>43570.554166666669</v>
      </c>
      <c r="B1050" s="13" t="s">
        <v>14002</v>
      </c>
      <c r="C1050" s="14" t="s">
        <v>4078</v>
      </c>
      <c r="D1050" s="15" t="s">
        <v>4079</v>
      </c>
      <c r="E1050" s="16" t="s">
        <v>13120</v>
      </c>
      <c r="F1050" s="12">
        <v>40068.773275462961</v>
      </c>
      <c r="G1050" s="17" t="s">
        <v>13000</v>
      </c>
      <c r="H1050" s="35" t="s">
        <v>4080</v>
      </c>
      <c r="I1050" s="18" t="s">
        <v>4081</v>
      </c>
    </row>
    <row r="1051" spans="1:9" s="33" customFormat="1" ht="105">
      <c r="A1051" s="19">
        <v>43551.634027777778</v>
      </c>
      <c r="B1051" s="20" t="s">
        <v>14003</v>
      </c>
      <c r="C1051" s="21" t="s">
        <v>7078</v>
      </c>
      <c r="D1051" s="22" t="s">
        <v>7079</v>
      </c>
      <c r="E1051" s="23" t="s">
        <v>13120</v>
      </c>
      <c r="F1051" s="19">
        <v>40053.718738425923</v>
      </c>
      <c r="G1051" s="17" t="s">
        <v>13000</v>
      </c>
      <c r="H1051" s="35" t="s">
        <v>7080</v>
      </c>
      <c r="I1051" s="25" t="s">
        <v>7081</v>
      </c>
    </row>
    <row r="1052" spans="1:9" s="33" customFormat="1" ht="105">
      <c r="A1052" s="19">
        <v>43549.633333333331</v>
      </c>
      <c r="B1052" s="20" t="s">
        <v>14003</v>
      </c>
      <c r="C1052" s="21" t="s">
        <v>7078</v>
      </c>
      <c r="D1052" s="22" t="s">
        <v>7957</v>
      </c>
      <c r="E1052" s="23" t="s">
        <v>13120</v>
      </c>
      <c r="F1052" s="19">
        <v>40053.718738425923</v>
      </c>
      <c r="G1052" s="17" t="s">
        <v>13000</v>
      </c>
      <c r="H1052" s="35" t="s">
        <v>7080</v>
      </c>
      <c r="I1052" s="25" t="s">
        <v>7081</v>
      </c>
    </row>
    <row r="1053" spans="1:9" s="33" customFormat="1" ht="120">
      <c r="A1053" s="4">
        <v>43565.594444444447</v>
      </c>
      <c r="B1053" s="5" t="s">
        <v>14004</v>
      </c>
      <c r="C1053" s="6" t="s">
        <v>5415</v>
      </c>
      <c r="D1053" s="7" t="s">
        <v>6010</v>
      </c>
      <c r="E1053" s="8" t="s">
        <v>13120</v>
      </c>
      <c r="F1053" s="4">
        <v>40069.406701388885</v>
      </c>
      <c r="G1053" s="17" t="s">
        <v>13000</v>
      </c>
      <c r="H1053" s="35" t="s">
        <v>5417</v>
      </c>
      <c r="I1053" s="10" t="s">
        <v>5418</v>
      </c>
    </row>
    <row r="1054" spans="1:9" s="33" customFormat="1" ht="120">
      <c r="A1054" s="12">
        <v>43566.594444444447</v>
      </c>
      <c r="B1054" s="13" t="s">
        <v>14004</v>
      </c>
      <c r="C1054" s="14" t="s">
        <v>5415</v>
      </c>
      <c r="D1054" s="15" t="s">
        <v>5416</v>
      </c>
      <c r="E1054" s="16" t="s">
        <v>13120</v>
      </c>
      <c r="F1054" s="12">
        <v>40069.406701388885</v>
      </c>
      <c r="G1054" s="17" t="s">
        <v>13000</v>
      </c>
      <c r="H1054" s="35" t="s">
        <v>5417</v>
      </c>
      <c r="I1054" s="18" t="s">
        <v>5418</v>
      </c>
    </row>
    <row r="1055" spans="1:9" s="33" customFormat="1" ht="90">
      <c r="A1055" s="12">
        <v>43568.536990740744</v>
      </c>
      <c r="B1055" s="13" t="s">
        <v>14005</v>
      </c>
      <c r="C1055" s="14" t="s">
        <v>4711</v>
      </c>
      <c r="D1055" s="15" t="s">
        <v>4712</v>
      </c>
      <c r="E1055" s="16" t="s">
        <v>13009</v>
      </c>
      <c r="F1055" s="12">
        <v>40186.344884259262</v>
      </c>
      <c r="G1055" s="24" t="s">
        <v>13000</v>
      </c>
      <c r="H1055" s="35" t="s">
        <v>4713</v>
      </c>
      <c r="I1055" s="18" t="s">
        <v>4714</v>
      </c>
    </row>
    <row r="1056" spans="1:9" s="33" customFormat="1" ht="105">
      <c r="A1056" s="12">
        <v>43566.657523148147</v>
      </c>
      <c r="B1056" s="13" t="s">
        <v>14006</v>
      </c>
      <c r="C1056" s="14" t="s">
        <v>5378</v>
      </c>
      <c r="D1056" s="15" t="s">
        <v>5379</v>
      </c>
      <c r="E1056" s="16" t="s">
        <v>13032</v>
      </c>
      <c r="F1056" s="12">
        <v>40709.593043981484</v>
      </c>
      <c r="G1056" s="24" t="s">
        <v>13000</v>
      </c>
      <c r="H1056" s="35" t="s">
        <v>5380</v>
      </c>
      <c r="I1056" s="18" t="s">
        <v>5381</v>
      </c>
    </row>
    <row r="1057" spans="1:9" s="33" customFormat="1" ht="90">
      <c r="A1057" s="19">
        <v>43550.334756944445</v>
      </c>
      <c r="B1057" s="20" t="s">
        <v>14007</v>
      </c>
      <c r="C1057" s="21" t="s">
        <v>7730</v>
      </c>
      <c r="D1057" s="22" t="s">
        <v>7638</v>
      </c>
      <c r="E1057" s="23" t="s">
        <v>13034</v>
      </c>
      <c r="F1057" s="19">
        <v>40248.359907407408</v>
      </c>
      <c r="G1057" s="24" t="s">
        <v>13000</v>
      </c>
      <c r="H1057" s="35" t="s">
        <v>7731</v>
      </c>
      <c r="I1057" s="25" t="s">
        <v>7732</v>
      </c>
    </row>
    <row r="1058" spans="1:9" s="33" customFormat="1" ht="90">
      <c r="A1058" s="4">
        <v>43557.521284722221</v>
      </c>
      <c r="B1058" s="5" t="s">
        <v>14008</v>
      </c>
      <c r="C1058" s="6" t="s">
        <v>12484</v>
      </c>
      <c r="D1058" s="7" t="s">
        <v>12483</v>
      </c>
      <c r="E1058" s="8" t="s">
        <v>13006</v>
      </c>
      <c r="F1058" s="4">
        <v>43214.469502314816</v>
      </c>
      <c r="G1058" s="9" t="s">
        <v>13000</v>
      </c>
      <c r="H1058" s="35" t="s">
        <v>12485</v>
      </c>
      <c r="I1058" s="10" t="s">
        <v>12486</v>
      </c>
    </row>
    <row r="1059" spans="1:9" s="33" customFormat="1" ht="120">
      <c r="A1059" s="19">
        <v>43543.437997685185</v>
      </c>
      <c r="B1059" s="20" t="s">
        <v>14009</v>
      </c>
      <c r="C1059" s="21" t="s">
        <v>9801</v>
      </c>
      <c r="D1059" s="22" t="s">
        <v>9802</v>
      </c>
      <c r="E1059" s="23" t="s">
        <v>13011</v>
      </c>
      <c r="F1059" s="19">
        <v>42934.507986111115</v>
      </c>
      <c r="G1059" s="17" t="s">
        <v>13000</v>
      </c>
      <c r="H1059" s="35" t="s">
        <v>9803</v>
      </c>
      <c r="I1059" s="25" t="s">
        <v>9804</v>
      </c>
    </row>
    <row r="1060" spans="1:9" s="33" customFormat="1" ht="120">
      <c r="A1060" s="19">
        <v>43543.430335648147</v>
      </c>
      <c r="B1060" s="20" t="s">
        <v>14009</v>
      </c>
      <c r="C1060" s="21" t="s">
        <v>9801</v>
      </c>
      <c r="D1060" s="22" t="s">
        <v>9806</v>
      </c>
      <c r="E1060" s="23" t="s">
        <v>13011</v>
      </c>
      <c r="F1060" s="19">
        <v>42934.507986111115</v>
      </c>
      <c r="G1060" s="17" t="s">
        <v>13000</v>
      </c>
      <c r="H1060" s="35" t="s">
        <v>9803</v>
      </c>
      <c r="I1060" s="25" t="s">
        <v>9804</v>
      </c>
    </row>
    <row r="1061" spans="1:9" s="33" customFormat="1" ht="120">
      <c r="A1061" s="19">
        <v>43544.438819444447</v>
      </c>
      <c r="B1061" s="20" t="s">
        <v>14010</v>
      </c>
      <c r="C1061" s="21" t="s">
        <v>9463</v>
      </c>
      <c r="D1061" s="22" t="s">
        <v>9464</v>
      </c>
      <c r="E1061" s="23" t="s">
        <v>13018</v>
      </c>
      <c r="F1061" s="19">
        <v>40357.369953703703</v>
      </c>
      <c r="G1061" s="17" t="s">
        <v>13000</v>
      </c>
      <c r="H1061" s="35" t="s">
        <v>2831</v>
      </c>
      <c r="I1061" s="25" t="s">
        <v>9465</v>
      </c>
    </row>
    <row r="1062" spans="1:9" s="33" customFormat="1" ht="75">
      <c r="A1062" s="12">
        <v>43573.529976851853</v>
      </c>
      <c r="B1062" s="13" t="s">
        <v>14011</v>
      </c>
      <c r="C1062" s="14" t="s">
        <v>2829</v>
      </c>
      <c r="D1062" s="15" t="s">
        <v>2830</v>
      </c>
      <c r="E1062" s="16" t="s">
        <v>13032</v>
      </c>
      <c r="F1062" s="12">
        <v>40516.672743055555</v>
      </c>
      <c r="G1062" s="17" t="s">
        <v>13000</v>
      </c>
      <c r="H1062" s="35" t="s">
        <v>2831</v>
      </c>
      <c r="I1062" s="18" t="s">
        <v>2832</v>
      </c>
    </row>
    <row r="1063" spans="1:9" s="33" customFormat="1" ht="90">
      <c r="A1063" s="4">
        <v>43564.501134259262</v>
      </c>
      <c r="B1063" s="5" t="s">
        <v>14012</v>
      </c>
      <c r="C1063" s="6" t="s">
        <v>2555</v>
      </c>
      <c r="D1063" s="7" t="s">
        <v>6575</v>
      </c>
      <c r="E1063" s="8" t="s">
        <v>13018</v>
      </c>
      <c r="F1063" s="4">
        <v>42284.749259259261</v>
      </c>
      <c r="G1063" s="17" t="s">
        <v>13000</v>
      </c>
      <c r="H1063" s="35" t="s">
        <v>2557</v>
      </c>
      <c r="I1063" s="10" t="s">
        <v>2558</v>
      </c>
    </row>
    <row r="1064" spans="1:9" s="33" customFormat="1" ht="90">
      <c r="A1064" s="4">
        <v>43560.542094907403</v>
      </c>
      <c r="B1064" s="5" t="s">
        <v>14012</v>
      </c>
      <c r="C1064" s="6" t="s">
        <v>2555</v>
      </c>
      <c r="D1064" s="7" t="s">
        <v>11306</v>
      </c>
      <c r="E1064" s="8" t="s">
        <v>13018</v>
      </c>
      <c r="F1064" s="4">
        <v>42284.749259259261</v>
      </c>
      <c r="G1064" s="17" t="s">
        <v>13000</v>
      </c>
      <c r="H1064" s="35" t="s">
        <v>2557</v>
      </c>
      <c r="I1064" s="10" t="s">
        <v>2558</v>
      </c>
    </row>
    <row r="1065" spans="1:9" s="33" customFormat="1" ht="90">
      <c r="A1065" s="12">
        <v>43574.418217592596</v>
      </c>
      <c r="B1065" s="13" t="s">
        <v>14012</v>
      </c>
      <c r="C1065" s="14" t="s">
        <v>2555</v>
      </c>
      <c r="D1065" s="15" t="s">
        <v>2556</v>
      </c>
      <c r="E1065" s="16" t="s">
        <v>13018</v>
      </c>
      <c r="F1065" s="12">
        <v>42284.749259259261</v>
      </c>
      <c r="G1065" s="17" t="s">
        <v>13000</v>
      </c>
      <c r="H1065" s="35" t="s">
        <v>2557</v>
      </c>
      <c r="I1065" s="18" t="s">
        <v>2558</v>
      </c>
    </row>
    <row r="1066" spans="1:9" s="33" customFormat="1" ht="90">
      <c r="A1066" s="12">
        <v>43567.418460648143</v>
      </c>
      <c r="B1066" s="13" t="s">
        <v>14012</v>
      </c>
      <c r="C1066" s="14" t="s">
        <v>2555</v>
      </c>
      <c r="D1066" s="15" t="s">
        <v>5112</v>
      </c>
      <c r="E1066" s="16" t="s">
        <v>13018</v>
      </c>
      <c r="F1066" s="12">
        <v>42284.749259259261</v>
      </c>
      <c r="G1066" s="17" t="s">
        <v>13000</v>
      </c>
      <c r="H1066" s="35" t="s">
        <v>2557</v>
      </c>
      <c r="I1066" s="18" t="s">
        <v>2558</v>
      </c>
    </row>
    <row r="1067" spans="1:9" s="33" customFormat="1" ht="45">
      <c r="A1067" s="19">
        <v>43545.351018518515</v>
      </c>
      <c r="B1067" s="20" t="s">
        <v>14013</v>
      </c>
      <c r="C1067" s="21" t="s">
        <v>9178</v>
      </c>
      <c r="D1067" s="22" t="s">
        <v>9179</v>
      </c>
      <c r="E1067" s="23" t="s">
        <v>13027</v>
      </c>
      <c r="F1067" s="19">
        <v>43320.369444444441</v>
      </c>
      <c r="G1067" s="17" t="s">
        <v>13000</v>
      </c>
      <c r="H1067" s="35" t="s">
        <v>1917</v>
      </c>
      <c r="I1067" s="25" t="s">
        <v>9180</v>
      </c>
    </row>
    <row r="1068" spans="1:9" s="33" customFormat="1" ht="45">
      <c r="A1068" s="4">
        <v>43563.386828703704</v>
      </c>
      <c r="B1068" s="5" t="s">
        <v>14014</v>
      </c>
      <c r="C1068" s="6" t="s">
        <v>10320</v>
      </c>
      <c r="D1068" s="7" t="s">
        <v>10321</v>
      </c>
      <c r="E1068" s="8" t="s">
        <v>13034</v>
      </c>
      <c r="F1068" s="4">
        <v>42171.434606481482</v>
      </c>
      <c r="G1068" s="17" t="s">
        <v>13000</v>
      </c>
      <c r="H1068" s="35" t="s">
        <v>1917</v>
      </c>
      <c r="I1068" s="10" t="s">
        <v>10322</v>
      </c>
    </row>
    <row r="1069" spans="1:9" s="33" customFormat="1" ht="60">
      <c r="A1069" s="4">
        <v>43558.277627314819</v>
      </c>
      <c r="B1069" s="5" t="s">
        <v>14015</v>
      </c>
      <c r="C1069" s="6" t="s">
        <v>12250</v>
      </c>
      <c r="D1069" s="7" t="s">
        <v>12251</v>
      </c>
      <c r="E1069" s="8" t="s">
        <v>13032</v>
      </c>
      <c r="F1069" s="4">
        <v>40013.957719907405</v>
      </c>
      <c r="G1069" s="17" t="s">
        <v>13000</v>
      </c>
      <c r="H1069" s="35" t="s">
        <v>1917</v>
      </c>
      <c r="I1069" s="10" t="s">
        <v>12252</v>
      </c>
    </row>
    <row r="1070" spans="1:9" s="33" customFormat="1" ht="105">
      <c r="A1070" s="12">
        <v>43576.533483796295</v>
      </c>
      <c r="B1070" s="13" t="s">
        <v>14016</v>
      </c>
      <c r="C1070" s="14" t="s">
        <v>1915</v>
      </c>
      <c r="D1070" s="15" t="s">
        <v>1916</v>
      </c>
      <c r="E1070" s="16" t="s">
        <v>13011</v>
      </c>
      <c r="F1070" s="12">
        <v>39894.691157407404</v>
      </c>
      <c r="G1070" s="17" t="s">
        <v>13000</v>
      </c>
      <c r="H1070" s="35" t="s">
        <v>1917</v>
      </c>
      <c r="I1070" s="18" t="s">
        <v>1918</v>
      </c>
    </row>
    <row r="1071" spans="1:9" s="33" customFormat="1" ht="120">
      <c r="A1071" s="4">
        <v>43562.702175925922</v>
      </c>
      <c r="B1071" s="5" t="s">
        <v>14017</v>
      </c>
      <c r="C1071" s="6" t="s">
        <v>10608</v>
      </c>
      <c r="D1071" s="7" t="s">
        <v>10609</v>
      </c>
      <c r="E1071" s="8" t="s">
        <v>13011</v>
      </c>
      <c r="F1071" s="4">
        <v>41318.92559027778</v>
      </c>
      <c r="G1071" s="17" t="s">
        <v>13000</v>
      </c>
      <c r="H1071" s="35" t="s">
        <v>10610</v>
      </c>
      <c r="I1071" s="10" t="s">
        <v>10611</v>
      </c>
    </row>
    <row r="1072" spans="1:9" s="33" customFormat="1" ht="75">
      <c r="A1072" s="19">
        <v>43549.36928240741</v>
      </c>
      <c r="B1072" s="20" t="s">
        <v>14018</v>
      </c>
      <c r="C1072" s="21" t="s">
        <v>8075</v>
      </c>
      <c r="D1072" s="22" t="s">
        <v>8076</v>
      </c>
      <c r="E1072" s="23" t="s">
        <v>13009</v>
      </c>
      <c r="F1072" s="19">
        <v>40100.230995370366</v>
      </c>
      <c r="G1072" s="17" t="s">
        <v>13000</v>
      </c>
      <c r="H1072" s="35" t="s">
        <v>8077</v>
      </c>
      <c r="I1072" s="25" t="s">
        <v>8078</v>
      </c>
    </row>
    <row r="1073" spans="1:9" s="33" customFormat="1" ht="75">
      <c r="A1073" s="19">
        <v>43545.270601851851</v>
      </c>
      <c r="B1073" s="20" t="s">
        <v>14018</v>
      </c>
      <c r="C1073" s="21" t="s">
        <v>8075</v>
      </c>
      <c r="D1073" s="22" t="s">
        <v>9223</v>
      </c>
      <c r="E1073" s="23" t="s">
        <v>13009</v>
      </c>
      <c r="F1073" s="19">
        <v>40100.230995370366</v>
      </c>
      <c r="G1073" s="17" t="s">
        <v>13000</v>
      </c>
      <c r="H1073" s="35" t="s">
        <v>8077</v>
      </c>
      <c r="I1073" s="25" t="s">
        <v>8078</v>
      </c>
    </row>
    <row r="1074" spans="1:9" s="33" customFormat="1" ht="30">
      <c r="A1074" s="12">
        <v>43579.333761574075</v>
      </c>
      <c r="B1074" s="13" t="s">
        <v>14019</v>
      </c>
      <c r="C1074" s="14" t="s">
        <v>760</v>
      </c>
      <c r="D1074" s="15" t="s">
        <v>761</v>
      </c>
      <c r="E1074" s="16" t="s">
        <v>13006</v>
      </c>
      <c r="F1074" s="12">
        <v>42687.725937499999</v>
      </c>
      <c r="G1074" s="17" t="s">
        <v>13000</v>
      </c>
      <c r="H1074" s="35" t="s">
        <v>762</v>
      </c>
      <c r="I1074" s="18" t="s">
        <v>763</v>
      </c>
    </row>
    <row r="1075" spans="1:9" s="33" customFormat="1" ht="30">
      <c r="A1075" s="12">
        <v>43579.333391203705</v>
      </c>
      <c r="B1075" s="13" t="s">
        <v>14019</v>
      </c>
      <c r="C1075" s="14" t="s">
        <v>760</v>
      </c>
      <c r="D1075" s="15" t="s">
        <v>761</v>
      </c>
      <c r="E1075" s="16" t="s">
        <v>13006</v>
      </c>
      <c r="F1075" s="12">
        <v>42687.725937499999</v>
      </c>
      <c r="G1075" s="17" t="s">
        <v>13000</v>
      </c>
      <c r="H1075" s="35" t="s">
        <v>762</v>
      </c>
      <c r="I1075" s="18" t="s">
        <v>763</v>
      </c>
    </row>
    <row r="1076" spans="1:9" s="33" customFormat="1" ht="30">
      <c r="A1076" s="12">
        <v>43579.854212962964</v>
      </c>
      <c r="B1076" s="13" t="s">
        <v>14020</v>
      </c>
      <c r="C1076" s="14" t="s">
        <v>430</v>
      </c>
      <c r="D1076" s="15" t="s">
        <v>431</v>
      </c>
      <c r="E1076" s="16" t="s">
        <v>14021</v>
      </c>
      <c r="F1076" s="12">
        <v>39867.383009259262</v>
      </c>
      <c r="G1076" s="17" t="s">
        <v>13000</v>
      </c>
      <c r="H1076" s="35" t="s">
        <v>432</v>
      </c>
      <c r="I1076" s="18" t="s">
        <v>433</v>
      </c>
    </row>
    <row r="1077" spans="1:9" s="33" customFormat="1" ht="105">
      <c r="A1077" s="4">
        <v>43557.280092592591</v>
      </c>
      <c r="B1077" s="5" t="s">
        <v>14022</v>
      </c>
      <c r="C1077" s="6" t="s">
        <v>12595</v>
      </c>
      <c r="D1077" s="7" t="s">
        <v>12596</v>
      </c>
      <c r="E1077" s="8" t="s">
        <v>13009</v>
      </c>
      <c r="F1077" s="4">
        <v>39533.578611111108</v>
      </c>
      <c r="G1077" s="9" t="s">
        <v>13000</v>
      </c>
      <c r="H1077" s="35" t="s">
        <v>12597</v>
      </c>
      <c r="I1077" s="10" t="s">
        <v>12598</v>
      </c>
    </row>
    <row r="1078" spans="1:9" s="33" customFormat="1" ht="120">
      <c r="A1078" s="19">
        <v>43551.403067129635</v>
      </c>
      <c r="B1078" s="20" t="s">
        <v>14023</v>
      </c>
      <c r="C1078" s="21" t="s">
        <v>7229</v>
      </c>
      <c r="D1078" s="22" t="s">
        <v>7230</v>
      </c>
      <c r="E1078" s="23" t="s">
        <v>13013</v>
      </c>
      <c r="F1078" s="19">
        <v>39825.404722222222</v>
      </c>
      <c r="G1078" s="24" t="s">
        <v>13000</v>
      </c>
      <c r="H1078" s="35" t="s">
        <v>928</v>
      </c>
      <c r="I1078" s="25" t="s">
        <v>7231</v>
      </c>
    </row>
    <row r="1079" spans="1:9" s="33" customFormat="1" ht="75">
      <c r="A1079" s="19">
        <v>43551.379201388889</v>
      </c>
      <c r="B1079" s="20" t="s">
        <v>14024</v>
      </c>
      <c r="C1079" s="21" t="s">
        <v>926</v>
      </c>
      <c r="D1079" s="22" t="s">
        <v>7263</v>
      </c>
      <c r="E1079" s="23" t="s">
        <v>14025</v>
      </c>
      <c r="F1079" s="19">
        <v>41763.639884259261</v>
      </c>
      <c r="G1079" s="24" t="s">
        <v>13000</v>
      </c>
      <c r="H1079" s="35" t="s">
        <v>928</v>
      </c>
      <c r="I1079" s="25" t="s">
        <v>929</v>
      </c>
    </row>
    <row r="1080" spans="1:9" s="33" customFormat="1" ht="90">
      <c r="A1080" s="19">
        <v>43550.339791666665</v>
      </c>
      <c r="B1080" s="20" t="s">
        <v>14026</v>
      </c>
      <c r="C1080" s="21" t="s">
        <v>7715</v>
      </c>
      <c r="D1080" s="22" t="s">
        <v>7716</v>
      </c>
      <c r="E1080" s="23" t="s">
        <v>13032</v>
      </c>
      <c r="F1080" s="19">
        <v>40604.404756944445</v>
      </c>
      <c r="G1080" s="24" t="s">
        <v>13000</v>
      </c>
      <c r="H1080" s="35" t="s">
        <v>928</v>
      </c>
      <c r="I1080" s="25" t="s">
        <v>7717</v>
      </c>
    </row>
    <row r="1081" spans="1:9" s="33" customFormat="1" ht="75">
      <c r="A1081" s="19">
        <v>43544.333831018521</v>
      </c>
      <c r="B1081" s="20" t="s">
        <v>14024</v>
      </c>
      <c r="C1081" s="21" t="s">
        <v>926</v>
      </c>
      <c r="D1081" s="22" t="s">
        <v>9517</v>
      </c>
      <c r="E1081" s="23" t="s">
        <v>14025</v>
      </c>
      <c r="F1081" s="19">
        <v>41763.639884259261</v>
      </c>
      <c r="G1081" s="24" t="s">
        <v>13000</v>
      </c>
      <c r="H1081" s="35" t="s">
        <v>928</v>
      </c>
      <c r="I1081" s="25" t="s">
        <v>929</v>
      </c>
    </row>
    <row r="1082" spans="1:9" s="33" customFormat="1" ht="75">
      <c r="A1082" s="4">
        <v>43565.306064814809</v>
      </c>
      <c r="B1082" s="5" t="s">
        <v>14024</v>
      </c>
      <c r="C1082" s="6" t="s">
        <v>926</v>
      </c>
      <c r="D1082" s="7" t="s">
        <v>6185</v>
      </c>
      <c r="E1082" s="8" t="s">
        <v>14025</v>
      </c>
      <c r="F1082" s="4">
        <v>41763.639884259261</v>
      </c>
      <c r="G1082" s="24" t="s">
        <v>13000</v>
      </c>
      <c r="H1082" s="35" t="s">
        <v>928</v>
      </c>
      <c r="I1082" s="10" t="s">
        <v>929</v>
      </c>
    </row>
    <row r="1083" spans="1:9" s="33" customFormat="1" ht="105">
      <c r="A1083" s="4">
        <v>43563.763854166667</v>
      </c>
      <c r="B1083" s="5" t="s">
        <v>14027</v>
      </c>
      <c r="C1083" s="6" t="s">
        <v>6890</v>
      </c>
      <c r="D1083" s="7" t="s">
        <v>6891</v>
      </c>
      <c r="E1083" s="8" t="s">
        <v>13009</v>
      </c>
      <c r="F1083" s="4">
        <v>40653.11377314815</v>
      </c>
      <c r="G1083" s="24" t="s">
        <v>13000</v>
      </c>
      <c r="H1083" s="35" t="s">
        <v>928</v>
      </c>
      <c r="I1083" s="10" t="s">
        <v>6892</v>
      </c>
    </row>
    <row r="1084" spans="1:9" s="33" customFormat="1" ht="60">
      <c r="A1084" s="4">
        <v>43563.578819444447</v>
      </c>
      <c r="B1084" s="5" t="s">
        <v>14028</v>
      </c>
      <c r="C1084" s="6" t="s">
        <v>10218</v>
      </c>
      <c r="D1084" s="7" t="s">
        <v>10219</v>
      </c>
      <c r="E1084" s="8" t="s">
        <v>13009</v>
      </c>
      <c r="F1084" s="4">
        <v>39840.355787037035</v>
      </c>
      <c r="G1084" s="24" t="s">
        <v>13000</v>
      </c>
      <c r="H1084" s="35" t="s">
        <v>928</v>
      </c>
      <c r="I1084" s="10" t="s">
        <v>10220</v>
      </c>
    </row>
    <row r="1085" spans="1:9" s="33" customFormat="1" ht="75">
      <c r="A1085" s="4">
        <v>43560.441076388888</v>
      </c>
      <c r="B1085" s="5" t="s">
        <v>14029</v>
      </c>
      <c r="C1085" s="6" t="s">
        <v>11372</v>
      </c>
      <c r="D1085" s="7" t="s">
        <v>11373</v>
      </c>
      <c r="E1085" s="8" t="s">
        <v>13009</v>
      </c>
      <c r="F1085" s="4">
        <v>40181.108287037037</v>
      </c>
      <c r="G1085" s="24" t="s">
        <v>13000</v>
      </c>
      <c r="H1085" s="35" t="s">
        <v>928</v>
      </c>
      <c r="I1085" s="10" t="s">
        <v>11374</v>
      </c>
    </row>
    <row r="1086" spans="1:9" s="33" customFormat="1" ht="75">
      <c r="A1086" s="4">
        <v>43559.130740740744</v>
      </c>
      <c r="B1086" s="5" t="s">
        <v>14024</v>
      </c>
      <c r="C1086" s="6" t="s">
        <v>926</v>
      </c>
      <c r="D1086" s="7" t="s">
        <v>11936</v>
      </c>
      <c r="E1086" s="8" t="s">
        <v>14025</v>
      </c>
      <c r="F1086" s="4">
        <v>41763.639884259261</v>
      </c>
      <c r="G1086" s="24" t="s">
        <v>13000</v>
      </c>
      <c r="H1086" s="35" t="s">
        <v>928</v>
      </c>
      <c r="I1086" s="10" t="s">
        <v>929</v>
      </c>
    </row>
    <row r="1087" spans="1:9" s="33" customFormat="1" ht="90">
      <c r="A1087" s="4">
        <v>43558.381284722222</v>
      </c>
      <c r="B1087" s="5" t="s">
        <v>14030</v>
      </c>
      <c r="C1087" s="6" t="s">
        <v>12217</v>
      </c>
      <c r="D1087" s="7" t="s">
        <v>12218</v>
      </c>
      <c r="E1087" s="8" t="s">
        <v>13034</v>
      </c>
      <c r="F1087" s="4">
        <v>40118.384722222225</v>
      </c>
      <c r="G1087" s="24" t="s">
        <v>13000</v>
      </c>
      <c r="H1087" s="35" t="s">
        <v>928</v>
      </c>
      <c r="I1087" s="10" t="s">
        <v>12219</v>
      </c>
    </row>
    <row r="1088" spans="1:9" s="33" customFormat="1" ht="105">
      <c r="A1088" s="4">
        <v>43557.393773148149</v>
      </c>
      <c r="B1088" s="5" t="s">
        <v>14031</v>
      </c>
      <c r="C1088" s="6" t="s">
        <v>4215</v>
      </c>
      <c r="D1088" s="7" t="s">
        <v>12530</v>
      </c>
      <c r="E1088" s="8" t="s">
        <v>13034</v>
      </c>
      <c r="F1088" s="4">
        <v>41663.498263888891</v>
      </c>
      <c r="G1088" s="24" t="s">
        <v>13000</v>
      </c>
      <c r="H1088" s="35" t="s">
        <v>928</v>
      </c>
      <c r="I1088" s="10" t="s">
        <v>4217</v>
      </c>
    </row>
    <row r="1089" spans="1:9" s="33" customFormat="1" ht="75">
      <c r="A1089" s="12">
        <v>43579.102696759262</v>
      </c>
      <c r="B1089" s="13" t="s">
        <v>14024</v>
      </c>
      <c r="C1089" s="14" t="s">
        <v>926</v>
      </c>
      <c r="D1089" s="15" t="s">
        <v>927</v>
      </c>
      <c r="E1089" s="16" t="s">
        <v>14025</v>
      </c>
      <c r="F1089" s="12">
        <v>41763.639884259261</v>
      </c>
      <c r="G1089" s="24" t="s">
        <v>13000</v>
      </c>
      <c r="H1089" s="35" t="s">
        <v>928</v>
      </c>
      <c r="I1089" s="18" t="s">
        <v>929</v>
      </c>
    </row>
    <row r="1090" spans="1:9" s="33" customFormat="1" ht="90">
      <c r="A1090" s="12">
        <v>43572.988946759258</v>
      </c>
      <c r="B1090" s="13" t="s">
        <v>14032</v>
      </c>
      <c r="C1090" s="14" t="s">
        <v>3035</v>
      </c>
      <c r="D1090" s="15" t="s">
        <v>3036</v>
      </c>
      <c r="E1090" s="16" t="s">
        <v>13009</v>
      </c>
      <c r="F1090" s="12">
        <v>39772.458993055552</v>
      </c>
      <c r="G1090" s="24" t="s">
        <v>13000</v>
      </c>
      <c r="H1090" s="35" t="s">
        <v>928</v>
      </c>
      <c r="I1090" s="18" t="s">
        <v>3037</v>
      </c>
    </row>
    <row r="1091" spans="1:9" s="33" customFormat="1" ht="75">
      <c r="A1091" s="12">
        <v>43572.295624999999</v>
      </c>
      <c r="B1091" s="13" t="s">
        <v>14024</v>
      </c>
      <c r="C1091" s="14" t="s">
        <v>926</v>
      </c>
      <c r="D1091" s="15" t="s">
        <v>3348</v>
      </c>
      <c r="E1091" s="16" t="s">
        <v>14025</v>
      </c>
      <c r="F1091" s="12">
        <v>41763.639884259261</v>
      </c>
      <c r="G1091" s="24" t="s">
        <v>13000</v>
      </c>
      <c r="H1091" s="35" t="s">
        <v>928</v>
      </c>
      <c r="I1091" s="18" t="s">
        <v>929</v>
      </c>
    </row>
    <row r="1092" spans="1:9" s="33" customFormat="1" ht="90">
      <c r="A1092" s="12">
        <v>43571.668402777781</v>
      </c>
      <c r="B1092" s="13" t="s">
        <v>14033</v>
      </c>
      <c r="C1092" s="14" t="s">
        <v>3597</v>
      </c>
      <c r="D1092" s="15" t="s">
        <v>3598</v>
      </c>
      <c r="E1092" s="16" t="s">
        <v>13130</v>
      </c>
      <c r="F1092" s="12">
        <v>40563.671203703707</v>
      </c>
      <c r="G1092" s="24" t="s">
        <v>13000</v>
      </c>
      <c r="H1092" s="35" t="s">
        <v>928</v>
      </c>
      <c r="I1092" s="27" t="s">
        <v>3599</v>
      </c>
    </row>
    <row r="1093" spans="1:9" s="33" customFormat="1" ht="105">
      <c r="A1093" s="12">
        <v>43570.343240740738</v>
      </c>
      <c r="B1093" s="13" t="s">
        <v>14031</v>
      </c>
      <c r="C1093" s="14" t="s">
        <v>4215</v>
      </c>
      <c r="D1093" s="15" t="s">
        <v>4216</v>
      </c>
      <c r="E1093" s="16" t="s">
        <v>13034</v>
      </c>
      <c r="F1093" s="12">
        <v>41663.498263888891</v>
      </c>
      <c r="G1093" s="24" t="s">
        <v>13000</v>
      </c>
      <c r="H1093" s="35" t="s">
        <v>928</v>
      </c>
      <c r="I1093" s="18" t="s">
        <v>4217</v>
      </c>
    </row>
    <row r="1094" spans="1:9" s="33" customFormat="1" ht="105">
      <c r="A1094" s="12">
        <v>43566.759189814809</v>
      </c>
      <c r="B1094" s="13" t="s">
        <v>14034</v>
      </c>
      <c r="C1094" s="14" t="s">
        <v>5347</v>
      </c>
      <c r="D1094" s="15" t="s">
        <v>5348</v>
      </c>
      <c r="E1094" s="16" t="s">
        <v>13011</v>
      </c>
      <c r="F1094" s="12">
        <v>39683.805543981478</v>
      </c>
      <c r="G1094" s="24" t="s">
        <v>13000</v>
      </c>
      <c r="H1094" s="35" t="s">
        <v>928</v>
      </c>
      <c r="I1094" s="18" t="s">
        <v>5349</v>
      </c>
    </row>
    <row r="1095" spans="1:9" s="33" customFormat="1" ht="90">
      <c r="A1095" s="19">
        <v>43542.610231481478</v>
      </c>
      <c r="B1095" s="20" t="s">
        <v>14035</v>
      </c>
      <c r="C1095" s="21" t="s">
        <v>6367</v>
      </c>
      <c r="D1095" s="22" t="s">
        <v>10075</v>
      </c>
      <c r="E1095" s="23" t="s">
        <v>13009</v>
      </c>
      <c r="F1095" s="19">
        <v>39667.660219907411</v>
      </c>
      <c r="G1095" s="24" t="s">
        <v>13000</v>
      </c>
      <c r="H1095" s="35" t="s">
        <v>6369</v>
      </c>
      <c r="I1095" s="25" t="s">
        <v>6370</v>
      </c>
    </row>
    <row r="1096" spans="1:9" s="33" customFormat="1" ht="90">
      <c r="A1096" s="4">
        <v>43564.964629629627</v>
      </c>
      <c r="B1096" s="5" t="s">
        <v>14035</v>
      </c>
      <c r="C1096" s="6" t="s">
        <v>6367</v>
      </c>
      <c r="D1096" s="7" t="s">
        <v>6368</v>
      </c>
      <c r="E1096" s="8" t="s">
        <v>13009</v>
      </c>
      <c r="F1096" s="4">
        <v>39667.660219907411</v>
      </c>
      <c r="G1096" s="24" t="s">
        <v>13000</v>
      </c>
      <c r="H1096" s="35" t="s">
        <v>6369</v>
      </c>
      <c r="I1096" s="10" t="s">
        <v>6370</v>
      </c>
    </row>
    <row r="1097" spans="1:9" s="33" customFormat="1" ht="105">
      <c r="A1097" s="4">
        <v>43556.980451388888</v>
      </c>
      <c r="B1097" s="5" t="s">
        <v>14036</v>
      </c>
      <c r="C1097" s="6" t="s">
        <v>12685</v>
      </c>
      <c r="D1097" s="7" t="s">
        <v>12686</v>
      </c>
      <c r="E1097" s="8" t="s">
        <v>13006</v>
      </c>
      <c r="F1097" s="4">
        <v>39839.711956018517</v>
      </c>
      <c r="G1097" s="24" t="s">
        <v>13000</v>
      </c>
      <c r="H1097" s="35" t="s">
        <v>12687</v>
      </c>
      <c r="I1097" s="10" t="s">
        <v>12688</v>
      </c>
    </row>
    <row r="1098" spans="1:9" s="33" customFormat="1" ht="105">
      <c r="A1098" s="19">
        <v>43551.588969907403</v>
      </c>
      <c r="B1098" s="20" t="s">
        <v>14037</v>
      </c>
      <c r="C1098" s="21" t="s">
        <v>7097</v>
      </c>
      <c r="D1098" s="22" t="s">
        <v>7098</v>
      </c>
      <c r="E1098" s="23" t="s">
        <v>13074</v>
      </c>
      <c r="F1098" s="19">
        <v>40314.878750000003</v>
      </c>
      <c r="G1098" s="24" t="s">
        <v>13000</v>
      </c>
      <c r="H1098" s="35" t="s">
        <v>1029</v>
      </c>
      <c r="I1098" s="25" t="s">
        <v>7099</v>
      </c>
    </row>
    <row r="1099" spans="1:9" s="33" customFormat="1" ht="90">
      <c r="A1099" s="19">
        <v>43551.419016203705</v>
      </c>
      <c r="B1099" s="20" t="s">
        <v>14038</v>
      </c>
      <c r="C1099" s="21" t="s">
        <v>1309</v>
      </c>
      <c r="D1099" s="22" t="s">
        <v>7208</v>
      </c>
      <c r="E1099" s="23" t="s">
        <v>13011</v>
      </c>
      <c r="F1099" s="19">
        <v>39840.599317129629</v>
      </c>
      <c r="G1099" s="24" t="s">
        <v>13000</v>
      </c>
      <c r="H1099" s="35" t="s">
        <v>1029</v>
      </c>
      <c r="I1099" s="25" t="s">
        <v>1312</v>
      </c>
    </row>
    <row r="1100" spans="1:9" s="33" customFormat="1" ht="90">
      <c r="A1100" s="19">
        <v>43551.409710648149</v>
      </c>
      <c r="B1100" s="20" t="s">
        <v>14038</v>
      </c>
      <c r="C1100" s="21" t="s">
        <v>1309</v>
      </c>
      <c r="D1100" s="22" t="s">
        <v>7223</v>
      </c>
      <c r="E1100" s="23" t="s">
        <v>13009</v>
      </c>
      <c r="F1100" s="19">
        <v>39840.599317129629</v>
      </c>
      <c r="G1100" s="24" t="s">
        <v>13000</v>
      </c>
      <c r="H1100" s="35" t="s">
        <v>1029</v>
      </c>
      <c r="I1100" s="25" t="s">
        <v>1312</v>
      </c>
    </row>
    <row r="1101" spans="1:9" s="33" customFormat="1" ht="90">
      <c r="A1101" s="19">
        <v>43550.259131944447</v>
      </c>
      <c r="B1101" s="20" t="s">
        <v>14039</v>
      </c>
      <c r="C1101" s="21" t="s">
        <v>7760</v>
      </c>
      <c r="D1101" s="22" t="s">
        <v>7761</v>
      </c>
      <c r="E1101" s="23" t="s">
        <v>13011</v>
      </c>
      <c r="F1101" s="19">
        <v>40114.228750000002</v>
      </c>
      <c r="G1101" s="24" t="s">
        <v>13000</v>
      </c>
      <c r="H1101" s="35" t="s">
        <v>1029</v>
      </c>
      <c r="I1101" s="25" t="s">
        <v>7762</v>
      </c>
    </row>
    <row r="1102" spans="1:9" s="33" customFormat="1" ht="45">
      <c r="A1102" s="19">
        <v>43549.598703703705</v>
      </c>
      <c r="B1102" s="20" t="s">
        <v>14040</v>
      </c>
      <c r="C1102" s="21" t="s">
        <v>7968</v>
      </c>
      <c r="D1102" s="22" t="s">
        <v>7969</v>
      </c>
      <c r="E1102" s="23" t="s">
        <v>13032</v>
      </c>
      <c r="F1102" s="19">
        <v>40479.956469907411</v>
      </c>
      <c r="G1102" s="24" t="s">
        <v>13000</v>
      </c>
      <c r="H1102" s="35" t="s">
        <v>1029</v>
      </c>
      <c r="I1102" s="25" t="s">
        <v>7970</v>
      </c>
    </row>
    <row r="1103" spans="1:9" s="33" customFormat="1" ht="105">
      <c r="A1103" s="19">
        <v>43549.40221064815</v>
      </c>
      <c r="B1103" s="20" t="s">
        <v>14038</v>
      </c>
      <c r="C1103" s="21" t="s">
        <v>1309</v>
      </c>
      <c r="D1103" s="22" t="s">
        <v>8060</v>
      </c>
      <c r="E1103" s="23" t="s">
        <v>13009</v>
      </c>
      <c r="F1103" s="19">
        <v>39840.599317129629</v>
      </c>
      <c r="G1103" s="24" t="s">
        <v>13000</v>
      </c>
      <c r="H1103" s="35" t="s">
        <v>1029</v>
      </c>
      <c r="I1103" s="25" t="s">
        <v>1312</v>
      </c>
    </row>
    <row r="1104" spans="1:9" s="33" customFormat="1" ht="90">
      <c r="A1104" s="19">
        <v>43549.252824074079</v>
      </c>
      <c r="B1104" s="20" t="s">
        <v>14041</v>
      </c>
      <c r="C1104" s="21" t="s">
        <v>1524</v>
      </c>
      <c r="D1104" s="22" t="s">
        <v>1525</v>
      </c>
      <c r="E1104" s="23" t="s">
        <v>13009</v>
      </c>
      <c r="F1104" s="19">
        <v>40054.733136574076</v>
      </c>
      <c r="G1104" s="24" t="s">
        <v>13000</v>
      </c>
      <c r="H1104" s="35" t="s">
        <v>1029</v>
      </c>
      <c r="I1104" s="25" t="s">
        <v>1526</v>
      </c>
    </row>
    <row r="1105" spans="1:9" s="33" customFormat="1" ht="90">
      <c r="A1105" s="19">
        <v>43548.736504629633</v>
      </c>
      <c r="B1105" s="20" t="s">
        <v>14042</v>
      </c>
      <c r="C1105" s="21" t="s">
        <v>8229</v>
      </c>
      <c r="D1105" s="22" t="s">
        <v>8230</v>
      </c>
      <c r="E1105" s="23" t="s">
        <v>13015</v>
      </c>
      <c r="F1105" s="19">
        <v>41941.479780092595</v>
      </c>
      <c r="G1105" s="24" t="s">
        <v>13000</v>
      </c>
      <c r="H1105" s="35" t="s">
        <v>1029</v>
      </c>
      <c r="I1105" s="25" t="s">
        <v>8231</v>
      </c>
    </row>
    <row r="1106" spans="1:9" s="33" customFormat="1" ht="90">
      <c r="A1106" s="19">
        <v>43548.719143518523</v>
      </c>
      <c r="B1106" s="20" t="s">
        <v>14043</v>
      </c>
      <c r="C1106" s="21" t="s">
        <v>1302</v>
      </c>
      <c r="D1106" s="22" t="s">
        <v>8234</v>
      </c>
      <c r="E1106" s="23" t="s">
        <v>13011</v>
      </c>
      <c r="F1106" s="19">
        <v>40559.532453703701</v>
      </c>
      <c r="G1106" s="24" t="s">
        <v>13000</v>
      </c>
      <c r="H1106" s="35" t="s">
        <v>1029</v>
      </c>
      <c r="I1106" s="25" t="s">
        <v>1304</v>
      </c>
    </row>
    <row r="1107" spans="1:9" s="33" customFormat="1" ht="90">
      <c r="A1107" s="19">
        <v>43548.010648148149</v>
      </c>
      <c r="B1107" s="20" t="s">
        <v>14044</v>
      </c>
      <c r="C1107" s="21" t="s">
        <v>2073</v>
      </c>
      <c r="D1107" s="22" t="s">
        <v>8433</v>
      </c>
      <c r="E1107" s="23" t="s">
        <v>13027</v>
      </c>
      <c r="F1107" s="19">
        <v>40150.956562499996</v>
      </c>
      <c r="G1107" s="24" t="s">
        <v>13000</v>
      </c>
      <c r="H1107" s="35" t="s">
        <v>1029</v>
      </c>
      <c r="I1107" s="25" t="s">
        <v>2075</v>
      </c>
    </row>
    <row r="1108" spans="1:9" s="33" customFormat="1" ht="90">
      <c r="A1108" s="19">
        <v>43547.544016203705</v>
      </c>
      <c r="B1108" s="20" t="s">
        <v>14045</v>
      </c>
      <c r="C1108" s="21" t="s">
        <v>2161</v>
      </c>
      <c r="D1108" s="22" t="s">
        <v>2162</v>
      </c>
      <c r="E1108" s="23" t="s">
        <v>13282</v>
      </c>
      <c r="F1108" s="19">
        <v>40917.109328703707</v>
      </c>
      <c r="G1108" s="24" t="s">
        <v>13000</v>
      </c>
      <c r="H1108" s="35" t="s">
        <v>1029</v>
      </c>
      <c r="I1108" s="25" t="s">
        <v>2163</v>
      </c>
    </row>
    <row r="1109" spans="1:9" s="33" customFormat="1" ht="90">
      <c r="A1109" s="19">
        <v>43546.051423611112</v>
      </c>
      <c r="B1109" s="20" t="s">
        <v>14041</v>
      </c>
      <c r="C1109" s="21" t="s">
        <v>1524</v>
      </c>
      <c r="D1109" s="22" t="s">
        <v>1525</v>
      </c>
      <c r="E1109" s="23" t="s">
        <v>13009</v>
      </c>
      <c r="F1109" s="19">
        <v>40054.733136574076</v>
      </c>
      <c r="G1109" s="24" t="s">
        <v>13000</v>
      </c>
      <c r="H1109" s="35" t="s">
        <v>1029</v>
      </c>
      <c r="I1109" s="25" t="s">
        <v>1526</v>
      </c>
    </row>
    <row r="1110" spans="1:9" s="33" customFormat="1" ht="90">
      <c r="A1110" s="19">
        <v>43545.344467592593</v>
      </c>
      <c r="B1110" s="20" t="s">
        <v>14038</v>
      </c>
      <c r="C1110" s="21" t="s">
        <v>1309</v>
      </c>
      <c r="D1110" s="22" t="s">
        <v>9186</v>
      </c>
      <c r="E1110" s="23" t="s">
        <v>13009</v>
      </c>
      <c r="F1110" s="19">
        <v>39840.599317129629</v>
      </c>
      <c r="G1110" s="24" t="s">
        <v>13000</v>
      </c>
      <c r="H1110" s="35" t="s">
        <v>1029</v>
      </c>
      <c r="I1110" s="25" t="s">
        <v>1312</v>
      </c>
    </row>
    <row r="1111" spans="1:9" s="33" customFormat="1" ht="90">
      <c r="A1111" s="19">
        <v>43544.295138888891</v>
      </c>
      <c r="B1111" s="20" t="s">
        <v>14046</v>
      </c>
      <c r="C1111" s="21" t="s">
        <v>1919</v>
      </c>
      <c r="D1111" s="22" t="s">
        <v>9545</v>
      </c>
      <c r="E1111" s="23" t="s">
        <v>13120</v>
      </c>
      <c r="F1111" s="19">
        <v>42863.606840277775</v>
      </c>
      <c r="G1111" s="24" t="s">
        <v>13000</v>
      </c>
      <c r="H1111" s="35" t="s">
        <v>1029</v>
      </c>
      <c r="I1111" s="25" t="s">
        <v>1921</v>
      </c>
    </row>
    <row r="1112" spans="1:9" s="33" customFormat="1" ht="120">
      <c r="A1112" s="19">
        <v>43542.543298611112</v>
      </c>
      <c r="B1112" s="20" t="s">
        <v>14047</v>
      </c>
      <c r="C1112" s="21" t="s">
        <v>10113</v>
      </c>
      <c r="D1112" s="22" t="s">
        <v>10114</v>
      </c>
      <c r="E1112" s="23" t="s">
        <v>13013</v>
      </c>
      <c r="F1112" s="19">
        <v>43036.521990740745</v>
      </c>
      <c r="G1112" s="24" t="s">
        <v>13000</v>
      </c>
      <c r="H1112" s="35" t="s">
        <v>1029</v>
      </c>
      <c r="I1112" s="25" t="s">
        <v>10115</v>
      </c>
    </row>
    <row r="1113" spans="1:9" s="33" customFormat="1" ht="60">
      <c r="A1113" s="4">
        <v>43565.78597222222</v>
      </c>
      <c r="B1113" s="5" t="s">
        <v>14048</v>
      </c>
      <c r="C1113" s="6" t="s">
        <v>5903</v>
      </c>
      <c r="D1113" s="7" t="s">
        <v>5904</v>
      </c>
      <c r="E1113" s="8" t="s">
        <v>13032</v>
      </c>
      <c r="F1113" s="4">
        <v>39920.74927083333</v>
      </c>
      <c r="G1113" s="24" t="s">
        <v>13000</v>
      </c>
      <c r="H1113" s="35" t="s">
        <v>1029</v>
      </c>
      <c r="I1113" s="10" t="s">
        <v>5905</v>
      </c>
    </row>
    <row r="1114" spans="1:9" s="33" customFormat="1" ht="90">
      <c r="A1114" s="4">
        <v>43564.435578703706</v>
      </c>
      <c r="B1114" s="5" t="s">
        <v>14049</v>
      </c>
      <c r="C1114" s="6" t="s">
        <v>3249</v>
      </c>
      <c r="D1114" s="7" t="s">
        <v>6614</v>
      </c>
      <c r="E1114" s="8" t="s">
        <v>13009</v>
      </c>
      <c r="F1114" s="4">
        <v>43553.587094907409</v>
      </c>
      <c r="G1114" s="24" t="s">
        <v>13000</v>
      </c>
      <c r="H1114" s="35" t="s">
        <v>1029</v>
      </c>
      <c r="I1114" s="10" t="s">
        <v>3251</v>
      </c>
    </row>
    <row r="1115" spans="1:9" s="33" customFormat="1" ht="90">
      <c r="A1115" s="4">
        <v>43563.685150462959</v>
      </c>
      <c r="B1115" s="5" t="s">
        <v>14049</v>
      </c>
      <c r="C1115" s="6" t="s">
        <v>3249</v>
      </c>
      <c r="D1115" s="7" t="s">
        <v>6920</v>
      </c>
      <c r="E1115" s="8" t="s">
        <v>13009</v>
      </c>
      <c r="F1115" s="4">
        <v>43553.587094907409</v>
      </c>
      <c r="G1115" s="24" t="s">
        <v>13000</v>
      </c>
      <c r="H1115" s="35" t="s">
        <v>1029</v>
      </c>
      <c r="I1115" s="10" t="s">
        <v>3251</v>
      </c>
    </row>
    <row r="1116" spans="1:9" s="33" customFormat="1" ht="120">
      <c r="A1116" s="4">
        <v>43563.47934027778</v>
      </c>
      <c r="B1116" s="5" t="s">
        <v>14050</v>
      </c>
      <c r="C1116" s="6" t="s">
        <v>10269</v>
      </c>
      <c r="D1116" s="7" t="s">
        <v>10270</v>
      </c>
      <c r="E1116" s="8" t="s">
        <v>13011</v>
      </c>
      <c r="F1116" s="4">
        <v>43021.420497685191</v>
      </c>
      <c r="G1116" s="24" t="s">
        <v>13000</v>
      </c>
      <c r="H1116" s="35" t="s">
        <v>1029</v>
      </c>
      <c r="I1116" s="10" t="s">
        <v>10271</v>
      </c>
    </row>
    <row r="1117" spans="1:9" s="33" customFormat="1" ht="105">
      <c r="A1117" s="4">
        <v>43563.416238425925</v>
      </c>
      <c r="B1117" s="5" t="s">
        <v>14051</v>
      </c>
      <c r="C1117" s="6" t="s">
        <v>10294</v>
      </c>
      <c r="D1117" s="7" t="s">
        <v>10295</v>
      </c>
      <c r="E1117" s="8" t="s">
        <v>13011</v>
      </c>
      <c r="F1117" s="4">
        <v>42259.655821759261</v>
      </c>
      <c r="G1117" s="24" t="s">
        <v>13000</v>
      </c>
      <c r="H1117" s="35" t="s">
        <v>1029</v>
      </c>
      <c r="I1117" s="10" t="s">
        <v>10296</v>
      </c>
    </row>
    <row r="1118" spans="1:9" s="33" customFormat="1" ht="90">
      <c r="A1118" s="4">
        <v>43562.460416666669</v>
      </c>
      <c r="B1118" s="5" t="s">
        <v>14046</v>
      </c>
      <c r="C1118" s="6" t="s">
        <v>1919</v>
      </c>
      <c r="D1118" s="7" t="s">
        <v>10676</v>
      </c>
      <c r="E1118" s="8" t="s">
        <v>13120</v>
      </c>
      <c r="F1118" s="4">
        <v>42863.606840277775</v>
      </c>
      <c r="G1118" s="24" t="s">
        <v>13000</v>
      </c>
      <c r="H1118" s="35" t="s">
        <v>1029</v>
      </c>
      <c r="I1118" s="10" t="s">
        <v>1921</v>
      </c>
    </row>
    <row r="1119" spans="1:9" s="33" customFormat="1" ht="90">
      <c r="A1119" s="4">
        <v>43562.011180555557</v>
      </c>
      <c r="B1119" s="5" t="s">
        <v>14044</v>
      </c>
      <c r="C1119" s="6" t="s">
        <v>2073</v>
      </c>
      <c r="D1119" s="7" t="s">
        <v>2074</v>
      </c>
      <c r="E1119" s="8" t="s">
        <v>13027</v>
      </c>
      <c r="F1119" s="4">
        <v>40150.956562499996</v>
      </c>
      <c r="G1119" s="24" t="s">
        <v>13000</v>
      </c>
      <c r="H1119" s="35" t="s">
        <v>1029</v>
      </c>
      <c r="I1119" s="10" t="s">
        <v>2075</v>
      </c>
    </row>
    <row r="1120" spans="1:9" s="33" customFormat="1" ht="90">
      <c r="A1120" s="4">
        <v>43561.827569444446</v>
      </c>
      <c r="B1120" s="5" t="s">
        <v>14052</v>
      </c>
      <c r="C1120" s="6" t="s">
        <v>10819</v>
      </c>
      <c r="D1120" s="7" t="s">
        <v>10820</v>
      </c>
      <c r="E1120" s="8" t="s">
        <v>13009</v>
      </c>
      <c r="F1120" s="4">
        <v>41165.497708333336</v>
      </c>
      <c r="G1120" s="24" t="s">
        <v>13000</v>
      </c>
      <c r="H1120" s="35" t="s">
        <v>1029</v>
      </c>
      <c r="I1120" s="10" t="s">
        <v>10821</v>
      </c>
    </row>
    <row r="1121" spans="1:9" s="33" customFormat="1" ht="90">
      <c r="A1121" s="4">
        <v>43561.549270833333</v>
      </c>
      <c r="B1121" s="5" t="s">
        <v>14045</v>
      </c>
      <c r="C1121" s="6" t="s">
        <v>2161</v>
      </c>
      <c r="D1121" s="7" t="s">
        <v>2162</v>
      </c>
      <c r="E1121" s="8" t="s">
        <v>13282</v>
      </c>
      <c r="F1121" s="4">
        <v>40917.109328703707</v>
      </c>
      <c r="G1121" s="24" t="s">
        <v>13000</v>
      </c>
      <c r="H1121" s="35" t="s">
        <v>1029</v>
      </c>
      <c r="I1121" s="10" t="s">
        <v>2163</v>
      </c>
    </row>
    <row r="1122" spans="1:9" s="33" customFormat="1" ht="105">
      <c r="A1122" s="4">
        <v>43560.61546296296</v>
      </c>
      <c r="B1122" s="5" t="s">
        <v>14053</v>
      </c>
      <c r="C1122" s="6" t="s">
        <v>11251</v>
      </c>
      <c r="D1122" s="7" t="s">
        <v>11252</v>
      </c>
      <c r="E1122" s="8" t="s">
        <v>13011</v>
      </c>
      <c r="F1122" s="4">
        <v>40824.445439814815</v>
      </c>
      <c r="G1122" s="24" t="s">
        <v>13000</v>
      </c>
      <c r="H1122" s="35" t="s">
        <v>1029</v>
      </c>
      <c r="I1122" s="10" t="s">
        <v>11253</v>
      </c>
    </row>
    <row r="1123" spans="1:9" s="33" customFormat="1" ht="90">
      <c r="A1123" s="4">
        <v>43560.542453703703</v>
      </c>
      <c r="B1123" s="5" t="s">
        <v>14054</v>
      </c>
      <c r="C1123" s="6" t="s">
        <v>11303</v>
      </c>
      <c r="D1123" s="7" t="s">
        <v>11304</v>
      </c>
      <c r="E1123" s="8" t="s">
        <v>13018</v>
      </c>
      <c r="F1123" s="4">
        <v>41022.647638888891</v>
      </c>
      <c r="G1123" s="24" t="s">
        <v>13000</v>
      </c>
      <c r="H1123" s="35" t="s">
        <v>1029</v>
      </c>
      <c r="I1123" s="10" t="s">
        <v>11305</v>
      </c>
    </row>
    <row r="1124" spans="1:9" s="33" customFormat="1" ht="90">
      <c r="A1124" s="4">
        <v>43560.161319444444</v>
      </c>
      <c r="B1124" s="5" t="s">
        <v>14055</v>
      </c>
      <c r="C1124" s="6" t="s">
        <v>11584</v>
      </c>
      <c r="D1124" s="7" t="s">
        <v>11585</v>
      </c>
      <c r="E1124" s="8" t="s">
        <v>13011</v>
      </c>
      <c r="F1124" s="4">
        <v>39952.712835648148</v>
      </c>
      <c r="G1124" s="24" t="s">
        <v>13000</v>
      </c>
      <c r="H1124" s="35" t="s">
        <v>11586</v>
      </c>
      <c r="I1124" s="10" t="s">
        <v>11587</v>
      </c>
    </row>
    <row r="1125" spans="1:9" s="33" customFormat="1" ht="90">
      <c r="A1125" s="4">
        <v>43559.786365740743</v>
      </c>
      <c r="B1125" s="5" t="s">
        <v>14056</v>
      </c>
      <c r="C1125" s="6" t="s">
        <v>11695</v>
      </c>
      <c r="D1125" s="7" t="s">
        <v>11696</v>
      </c>
      <c r="E1125" s="8" t="s">
        <v>13011</v>
      </c>
      <c r="F1125" s="4">
        <v>42998.802199074074</v>
      </c>
      <c r="G1125" s="24" t="s">
        <v>13000</v>
      </c>
      <c r="H1125" s="35" t="s">
        <v>1029</v>
      </c>
      <c r="I1125" s="10" t="s">
        <v>11697</v>
      </c>
    </row>
    <row r="1126" spans="1:9" s="33" customFormat="1" ht="90">
      <c r="A1126" s="4">
        <v>43558.696087962962</v>
      </c>
      <c r="B1126" s="5" t="s">
        <v>14049</v>
      </c>
      <c r="C1126" s="6" t="s">
        <v>3249</v>
      </c>
      <c r="D1126" s="7" t="s">
        <v>12073</v>
      </c>
      <c r="E1126" s="8" t="s">
        <v>13009</v>
      </c>
      <c r="F1126" s="4">
        <v>43553.587094907409</v>
      </c>
      <c r="G1126" s="24" t="s">
        <v>13000</v>
      </c>
      <c r="H1126" s="35" t="s">
        <v>1029</v>
      </c>
      <c r="I1126" s="10" t="s">
        <v>3251</v>
      </c>
    </row>
    <row r="1127" spans="1:9" s="33" customFormat="1" ht="90">
      <c r="A1127" s="4">
        <v>43558.508703703701</v>
      </c>
      <c r="B1127" s="5" t="s">
        <v>14049</v>
      </c>
      <c r="C1127" s="6" t="s">
        <v>3249</v>
      </c>
      <c r="D1127" s="7" t="s">
        <v>12154</v>
      </c>
      <c r="E1127" s="8" t="s">
        <v>13009</v>
      </c>
      <c r="F1127" s="4">
        <v>43553.587094907409</v>
      </c>
      <c r="G1127" s="24" t="s">
        <v>13000</v>
      </c>
      <c r="H1127" s="35" t="s">
        <v>1029</v>
      </c>
      <c r="I1127" s="10" t="s">
        <v>3251</v>
      </c>
    </row>
    <row r="1128" spans="1:9" s="33" customFormat="1" ht="90">
      <c r="A1128" s="4">
        <v>43557.632384259261</v>
      </c>
      <c r="B1128" s="5" t="s">
        <v>14049</v>
      </c>
      <c r="C1128" s="6" t="s">
        <v>3249</v>
      </c>
      <c r="D1128" s="7" t="s">
        <v>12434</v>
      </c>
      <c r="E1128" s="8" t="s">
        <v>13009</v>
      </c>
      <c r="F1128" s="4">
        <v>43553.587094907409</v>
      </c>
      <c r="G1128" s="24" t="s">
        <v>13000</v>
      </c>
      <c r="H1128" s="35" t="s">
        <v>1029</v>
      </c>
      <c r="I1128" s="10" t="s">
        <v>3251</v>
      </c>
    </row>
    <row r="1129" spans="1:9" s="33" customFormat="1" ht="90">
      <c r="A1129" s="4">
        <v>43556.675023148149</v>
      </c>
      <c r="B1129" s="5" t="s">
        <v>14049</v>
      </c>
      <c r="C1129" s="6" t="s">
        <v>3249</v>
      </c>
      <c r="D1129" s="7" t="s">
        <v>12778</v>
      </c>
      <c r="E1129" s="8" t="s">
        <v>13009</v>
      </c>
      <c r="F1129" s="4">
        <v>43553.587094907409</v>
      </c>
      <c r="G1129" s="24" t="s">
        <v>13000</v>
      </c>
      <c r="H1129" s="35" t="s">
        <v>1029</v>
      </c>
      <c r="I1129" s="10" t="s">
        <v>3251</v>
      </c>
    </row>
    <row r="1130" spans="1:9" s="33" customFormat="1" ht="105">
      <c r="A1130" s="12">
        <v>43578.793900462959</v>
      </c>
      <c r="B1130" s="13" t="s">
        <v>14057</v>
      </c>
      <c r="C1130" s="14" t="s">
        <v>1027</v>
      </c>
      <c r="D1130" s="15" t="s">
        <v>1028</v>
      </c>
      <c r="E1130" s="16" t="s">
        <v>13009</v>
      </c>
      <c r="F1130" s="12">
        <v>43235.612523148149</v>
      </c>
      <c r="G1130" s="24" t="s">
        <v>13000</v>
      </c>
      <c r="H1130" s="35" t="s">
        <v>1029</v>
      </c>
      <c r="I1130" s="18" t="s">
        <v>1030</v>
      </c>
    </row>
    <row r="1131" spans="1:9" s="33" customFormat="1" ht="120">
      <c r="A1131" s="12">
        <v>43578.5003125</v>
      </c>
      <c r="B1131" s="13" t="s">
        <v>14058</v>
      </c>
      <c r="C1131" s="14" t="s">
        <v>1175</v>
      </c>
      <c r="D1131" s="15" t="s">
        <v>1176</v>
      </c>
      <c r="E1131" s="16" t="s">
        <v>13009</v>
      </c>
      <c r="F1131" s="12">
        <v>42138.431493055556</v>
      </c>
      <c r="G1131" s="24" t="s">
        <v>13000</v>
      </c>
      <c r="H1131" s="35" t="s">
        <v>1029</v>
      </c>
      <c r="I1131" s="18" t="s">
        <v>1177</v>
      </c>
    </row>
    <row r="1132" spans="1:9" s="33" customFormat="1" ht="30">
      <c r="A1132" s="12">
        <v>43578.44767361111</v>
      </c>
      <c r="B1132" s="13" t="s">
        <v>14059</v>
      </c>
      <c r="C1132" s="14" t="s">
        <v>1193</v>
      </c>
      <c r="D1132" s="15" t="s">
        <v>1194</v>
      </c>
      <c r="E1132" s="16" t="s">
        <v>13011</v>
      </c>
      <c r="F1132" s="12">
        <v>43088.540138888886</v>
      </c>
      <c r="G1132" s="24" t="s">
        <v>13000</v>
      </c>
      <c r="H1132" s="35" t="s">
        <v>1029</v>
      </c>
      <c r="I1132" s="18" t="s">
        <v>1195</v>
      </c>
    </row>
    <row r="1133" spans="1:9" s="33" customFormat="1" ht="30">
      <c r="A1133" s="12">
        <v>43578.383773148147</v>
      </c>
      <c r="B1133" s="13" t="s">
        <v>14060</v>
      </c>
      <c r="C1133" s="14" t="s">
        <v>1243</v>
      </c>
      <c r="D1133" s="15" t="s">
        <v>1164</v>
      </c>
      <c r="E1133" s="16" t="s">
        <v>13009</v>
      </c>
      <c r="F1133" s="12">
        <v>43562.522962962961</v>
      </c>
      <c r="G1133" s="24" t="s">
        <v>13000</v>
      </c>
      <c r="H1133" s="35" t="s">
        <v>1029</v>
      </c>
      <c r="I1133" s="18" t="s">
        <v>1244</v>
      </c>
    </row>
    <row r="1134" spans="1:9" s="33" customFormat="1" ht="90">
      <c r="A1134" s="12">
        <v>43578.317523148144</v>
      </c>
      <c r="B1134" s="13" t="s">
        <v>14043</v>
      </c>
      <c r="C1134" s="14" t="s">
        <v>1302</v>
      </c>
      <c r="D1134" s="15" t="s">
        <v>1303</v>
      </c>
      <c r="E1134" s="16" t="s">
        <v>13011</v>
      </c>
      <c r="F1134" s="12">
        <v>40559.532453703701</v>
      </c>
      <c r="G1134" s="24" t="s">
        <v>13000</v>
      </c>
      <c r="H1134" s="35" t="s">
        <v>1029</v>
      </c>
      <c r="I1134" s="18" t="s">
        <v>1304</v>
      </c>
    </row>
    <row r="1135" spans="1:9" s="33" customFormat="1" ht="75">
      <c r="A1135" s="12">
        <v>43578.265347222223</v>
      </c>
      <c r="B1135" s="13" t="s">
        <v>14061</v>
      </c>
      <c r="C1135" s="14" t="s">
        <v>1336</v>
      </c>
      <c r="D1135" s="15" t="s">
        <v>1337</v>
      </c>
      <c r="E1135" s="16" t="s">
        <v>13009</v>
      </c>
      <c r="F1135" s="12">
        <v>39867.938888888893</v>
      </c>
      <c r="G1135" s="24" t="s">
        <v>13000</v>
      </c>
      <c r="H1135" s="35" t="s">
        <v>1029</v>
      </c>
      <c r="I1135" s="18" t="s">
        <v>1338</v>
      </c>
    </row>
    <row r="1136" spans="1:9" s="33" customFormat="1" ht="90">
      <c r="A1136" s="12">
        <v>43577.683437500003</v>
      </c>
      <c r="B1136" s="13" t="s">
        <v>14041</v>
      </c>
      <c r="C1136" s="14" t="s">
        <v>1524</v>
      </c>
      <c r="D1136" s="15" t="s">
        <v>1525</v>
      </c>
      <c r="E1136" s="16" t="s">
        <v>13009</v>
      </c>
      <c r="F1136" s="12">
        <v>40054.733136574076</v>
      </c>
      <c r="G1136" s="24" t="s">
        <v>13000</v>
      </c>
      <c r="H1136" s="35" t="s">
        <v>1029</v>
      </c>
      <c r="I1136" s="18" t="s">
        <v>1526</v>
      </c>
    </row>
    <row r="1137" spans="1:9" s="33" customFormat="1" ht="90">
      <c r="A1137" s="12">
        <v>43576.530555555553</v>
      </c>
      <c r="B1137" s="13" t="s">
        <v>14046</v>
      </c>
      <c r="C1137" s="14" t="s">
        <v>1919</v>
      </c>
      <c r="D1137" s="15" t="s">
        <v>1920</v>
      </c>
      <c r="E1137" s="16" t="s">
        <v>13120</v>
      </c>
      <c r="F1137" s="12">
        <v>42863.606840277775</v>
      </c>
      <c r="G1137" s="24" t="s">
        <v>13000</v>
      </c>
      <c r="H1137" s="35" t="s">
        <v>1029</v>
      </c>
      <c r="I1137" s="18" t="s">
        <v>1921</v>
      </c>
    </row>
    <row r="1138" spans="1:9" s="33" customFormat="1" ht="90">
      <c r="A1138" s="12">
        <v>43576.010833333334</v>
      </c>
      <c r="B1138" s="13" t="s">
        <v>14044</v>
      </c>
      <c r="C1138" s="14" t="s">
        <v>2073</v>
      </c>
      <c r="D1138" s="15" t="s">
        <v>2074</v>
      </c>
      <c r="E1138" s="16" t="s">
        <v>13027</v>
      </c>
      <c r="F1138" s="12">
        <v>40150.956562499996</v>
      </c>
      <c r="G1138" s="24" t="s">
        <v>13000</v>
      </c>
      <c r="H1138" s="35" t="s">
        <v>1029</v>
      </c>
      <c r="I1138" s="18" t="s">
        <v>2075</v>
      </c>
    </row>
    <row r="1139" spans="1:9" s="33" customFormat="1" ht="105">
      <c r="A1139" s="12">
        <v>43575.654861111107</v>
      </c>
      <c r="B1139" s="13" t="s">
        <v>14062</v>
      </c>
      <c r="C1139" s="14" t="s">
        <v>2149</v>
      </c>
      <c r="D1139" s="15" t="s">
        <v>2150</v>
      </c>
      <c r="E1139" s="16" t="s">
        <v>13034</v>
      </c>
      <c r="F1139" s="12">
        <v>39905.134930555556</v>
      </c>
      <c r="G1139" s="24" t="s">
        <v>13000</v>
      </c>
      <c r="H1139" s="35" t="s">
        <v>1029</v>
      </c>
      <c r="I1139" s="18" t="s">
        <v>2151</v>
      </c>
    </row>
    <row r="1140" spans="1:9" s="33" customFormat="1" ht="90">
      <c r="A1140" s="12">
        <v>43575.591087962966</v>
      </c>
      <c r="B1140" s="13" t="s">
        <v>14045</v>
      </c>
      <c r="C1140" s="14" t="s">
        <v>2161</v>
      </c>
      <c r="D1140" s="15" t="s">
        <v>2162</v>
      </c>
      <c r="E1140" s="16" t="s">
        <v>13282</v>
      </c>
      <c r="F1140" s="12">
        <v>40917.109328703707</v>
      </c>
      <c r="G1140" s="24" t="s">
        <v>13000</v>
      </c>
      <c r="H1140" s="35" t="s">
        <v>1029</v>
      </c>
      <c r="I1140" s="18" t="s">
        <v>2163</v>
      </c>
    </row>
    <row r="1141" spans="1:9" s="33" customFormat="1" ht="90">
      <c r="A1141" s="12">
        <v>43575.282430555555</v>
      </c>
      <c r="B1141" s="13" t="s">
        <v>14043</v>
      </c>
      <c r="C1141" s="14" t="s">
        <v>1302</v>
      </c>
      <c r="D1141" s="15" t="s">
        <v>2313</v>
      </c>
      <c r="E1141" s="16" t="s">
        <v>13011</v>
      </c>
      <c r="F1141" s="12">
        <v>40559.532453703701</v>
      </c>
      <c r="G1141" s="24" t="s">
        <v>13000</v>
      </c>
      <c r="H1141" s="35" t="s">
        <v>1029</v>
      </c>
      <c r="I1141" s="18" t="s">
        <v>1304</v>
      </c>
    </row>
    <row r="1142" spans="1:9" s="33" customFormat="1" ht="120">
      <c r="A1142" s="12">
        <v>43573.62226851852</v>
      </c>
      <c r="B1142" s="13" t="s">
        <v>14063</v>
      </c>
      <c r="C1142" s="14" t="s">
        <v>2805</v>
      </c>
      <c r="D1142" s="15" t="s">
        <v>2806</v>
      </c>
      <c r="E1142" s="16" t="s">
        <v>13009</v>
      </c>
      <c r="F1142" s="12">
        <v>39393.717824074076</v>
      </c>
      <c r="G1142" s="24" t="s">
        <v>13000</v>
      </c>
      <c r="H1142" s="35" t="s">
        <v>1029</v>
      </c>
      <c r="I1142" s="18" t="s">
        <v>2807</v>
      </c>
    </row>
    <row r="1143" spans="1:9" s="33" customFormat="1" ht="90">
      <c r="A1143" s="12">
        <v>43573.571562500001</v>
      </c>
      <c r="B1143" s="13" t="s">
        <v>14064</v>
      </c>
      <c r="C1143" s="14" t="s">
        <v>2815</v>
      </c>
      <c r="D1143" s="15" t="s">
        <v>2816</v>
      </c>
      <c r="E1143" s="16" t="s">
        <v>13756</v>
      </c>
      <c r="F1143" s="12">
        <v>39884.938449074078</v>
      </c>
      <c r="G1143" s="24" t="s">
        <v>13000</v>
      </c>
      <c r="H1143" s="35" t="s">
        <v>1029</v>
      </c>
      <c r="I1143" s="18" t="s">
        <v>2817</v>
      </c>
    </row>
    <row r="1144" spans="1:9" s="33" customFormat="1" ht="60">
      <c r="A1144" s="12">
        <v>43573.382789351846</v>
      </c>
      <c r="B1144" s="13" t="s">
        <v>14065</v>
      </c>
      <c r="C1144" s="14" t="s">
        <v>2906</v>
      </c>
      <c r="D1144" s="15" t="s">
        <v>2907</v>
      </c>
      <c r="E1144" s="16" t="s">
        <v>13011</v>
      </c>
      <c r="F1144" s="12">
        <v>40828.71402777778</v>
      </c>
      <c r="G1144" s="24" t="s">
        <v>13000</v>
      </c>
      <c r="H1144" s="35" t="s">
        <v>1029</v>
      </c>
      <c r="I1144" s="18" t="s">
        <v>2908</v>
      </c>
    </row>
    <row r="1145" spans="1:9" s="33" customFormat="1" ht="90">
      <c r="A1145" s="12">
        <v>43572.434062500004</v>
      </c>
      <c r="B1145" s="13" t="s">
        <v>14049</v>
      </c>
      <c r="C1145" s="14" t="s">
        <v>3249</v>
      </c>
      <c r="D1145" s="15" t="s">
        <v>3250</v>
      </c>
      <c r="E1145" s="16" t="s">
        <v>13009</v>
      </c>
      <c r="F1145" s="12">
        <v>43553.587094907409</v>
      </c>
      <c r="G1145" s="24" t="s">
        <v>13000</v>
      </c>
      <c r="H1145" s="35" t="s">
        <v>1029</v>
      </c>
      <c r="I1145" s="18" t="s">
        <v>3251</v>
      </c>
    </row>
    <row r="1146" spans="1:9" s="33" customFormat="1" ht="105">
      <c r="A1146" s="12">
        <v>43571.464374999996</v>
      </c>
      <c r="B1146" s="13" t="s">
        <v>14066</v>
      </c>
      <c r="C1146" s="14" t="s">
        <v>3667</v>
      </c>
      <c r="D1146" s="15" t="s">
        <v>3668</v>
      </c>
      <c r="E1146" s="16" t="s">
        <v>13120</v>
      </c>
      <c r="F1146" s="12">
        <v>40545.652002314819</v>
      </c>
      <c r="G1146" s="24" t="s">
        <v>13000</v>
      </c>
      <c r="H1146" s="35" t="s">
        <v>1029</v>
      </c>
      <c r="I1146" s="18" t="s">
        <v>3669</v>
      </c>
    </row>
    <row r="1147" spans="1:9" s="33" customFormat="1" ht="60">
      <c r="A1147" s="12">
        <v>43571.384560185186</v>
      </c>
      <c r="B1147" s="13" t="s">
        <v>14067</v>
      </c>
      <c r="C1147" s="14" t="s">
        <v>3696</v>
      </c>
      <c r="D1147" s="15" t="s">
        <v>3697</v>
      </c>
      <c r="E1147" s="16" t="s">
        <v>14068</v>
      </c>
      <c r="F1147" s="12">
        <v>43127.524594907409</v>
      </c>
      <c r="G1147" s="24" t="s">
        <v>13000</v>
      </c>
      <c r="H1147" s="35" t="s">
        <v>1029</v>
      </c>
      <c r="I1147" s="18" t="s">
        <v>3698</v>
      </c>
    </row>
    <row r="1148" spans="1:9" s="33" customFormat="1" ht="90">
      <c r="A1148" s="12">
        <v>43570.830324074079</v>
      </c>
      <c r="B1148" s="13" t="s">
        <v>14043</v>
      </c>
      <c r="C1148" s="14" t="s">
        <v>1302</v>
      </c>
      <c r="D1148" s="15" t="s">
        <v>3971</v>
      </c>
      <c r="E1148" s="16" t="s">
        <v>13011</v>
      </c>
      <c r="F1148" s="12">
        <v>40559.532453703701</v>
      </c>
      <c r="G1148" s="24" t="s">
        <v>13000</v>
      </c>
      <c r="H1148" s="35" t="s">
        <v>1029</v>
      </c>
      <c r="I1148" s="18" t="s">
        <v>1304</v>
      </c>
    </row>
    <row r="1149" spans="1:9" s="33" customFormat="1" ht="90">
      <c r="A1149" s="12">
        <v>43570.67869212963</v>
      </c>
      <c r="B1149" s="13" t="s">
        <v>14049</v>
      </c>
      <c r="C1149" s="14" t="s">
        <v>3249</v>
      </c>
      <c r="D1149" s="15" t="s">
        <v>4002</v>
      </c>
      <c r="E1149" s="16" t="s">
        <v>13009</v>
      </c>
      <c r="F1149" s="12">
        <v>43553.587094907409</v>
      </c>
      <c r="G1149" s="24" t="s">
        <v>13000</v>
      </c>
      <c r="H1149" s="35" t="s">
        <v>1029</v>
      </c>
      <c r="I1149" s="18" t="s">
        <v>3251</v>
      </c>
    </row>
    <row r="1150" spans="1:9" s="33" customFormat="1" ht="90">
      <c r="A1150" s="12">
        <v>43569.744039351848</v>
      </c>
      <c r="B1150" s="13" t="s">
        <v>14043</v>
      </c>
      <c r="C1150" s="14" t="s">
        <v>1302</v>
      </c>
      <c r="D1150" s="15" t="s">
        <v>4417</v>
      </c>
      <c r="E1150" s="16" t="s">
        <v>13011</v>
      </c>
      <c r="F1150" s="12">
        <v>40559.532453703701</v>
      </c>
      <c r="G1150" s="24" t="s">
        <v>13000</v>
      </c>
      <c r="H1150" s="35" t="s">
        <v>1029</v>
      </c>
      <c r="I1150" s="18" t="s">
        <v>1304</v>
      </c>
    </row>
    <row r="1151" spans="1:9" s="33" customFormat="1" ht="120">
      <c r="A1151" s="12">
        <v>43569.729062500002</v>
      </c>
      <c r="B1151" s="13" t="s">
        <v>14069</v>
      </c>
      <c r="C1151" s="14" t="s">
        <v>4423</v>
      </c>
      <c r="D1151" s="15" t="s">
        <v>4424</v>
      </c>
      <c r="E1151" s="16" t="s">
        <v>13032</v>
      </c>
      <c r="F1151" s="12">
        <v>40910.882418981484</v>
      </c>
      <c r="G1151" s="24" t="s">
        <v>13000</v>
      </c>
      <c r="H1151" s="35" t="s">
        <v>1029</v>
      </c>
      <c r="I1151" s="18" t="s">
        <v>4425</v>
      </c>
    </row>
    <row r="1152" spans="1:9" s="33" customFormat="1" ht="90">
      <c r="A1152" s="12">
        <v>43569.010613425926</v>
      </c>
      <c r="B1152" s="13" t="s">
        <v>14044</v>
      </c>
      <c r="C1152" s="14" t="s">
        <v>2073</v>
      </c>
      <c r="D1152" s="15" t="s">
        <v>2074</v>
      </c>
      <c r="E1152" s="16" t="s">
        <v>13027</v>
      </c>
      <c r="F1152" s="12">
        <v>40150.956562499996</v>
      </c>
      <c r="G1152" s="24" t="s">
        <v>13000</v>
      </c>
      <c r="H1152" s="35" t="s">
        <v>1029</v>
      </c>
      <c r="I1152" s="18" t="s">
        <v>2075</v>
      </c>
    </row>
    <row r="1153" spans="1:9" s="33" customFormat="1" ht="75">
      <c r="A1153" s="12">
        <v>43568.563298611116</v>
      </c>
      <c r="B1153" s="13" t="s">
        <v>14070</v>
      </c>
      <c r="C1153" s="14" t="s">
        <v>4700</v>
      </c>
      <c r="D1153" s="15" t="s">
        <v>4701</v>
      </c>
      <c r="E1153" s="16" t="s">
        <v>13013</v>
      </c>
      <c r="F1153" s="12">
        <v>40795.875590277778</v>
      </c>
      <c r="G1153" s="24" t="s">
        <v>13000</v>
      </c>
      <c r="H1153" s="35" t="s">
        <v>1029</v>
      </c>
      <c r="I1153" s="18" t="s">
        <v>4702</v>
      </c>
    </row>
    <row r="1154" spans="1:9" s="33" customFormat="1" ht="90">
      <c r="A1154" s="12">
        <v>43568.334027777775</v>
      </c>
      <c r="B1154" s="13" t="s">
        <v>14046</v>
      </c>
      <c r="C1154" s="14" t="s">
        <v>1919</v>
      </c>
      <c r="D1154" s="15" t="s">
        <v>4802</v>
      </c>
      <c r="E1154" s="16" t="s">
        <v>13120</v>
      </c>
      <c r="F1154" s="12">
        <v>42863.606840277775</v>
      </c>
      <c r="G1154" s="24" t="s">
        <v>13000</v>
      </c>
      <c r="H1154" s="35" t="s">
        <v>1029</v>
      </c>
      <c r="I1154" s="18" t="s">
        <v>1921</v>
      </c>
    </row>
    <row r="1155" spans="1:9" s="33" customFormat="1" ht="90">
      <c r="A1155" s="12">
        <v>43567.808310185181</v>
      </c>
      <c r="B1155" s="13" t="s">
        <v>14071</v>
      </c>
      <c r="C1155" s="14" t="s">
        <v>4944</v>
      </c>
      <c r="D1155" s="15" t="s">
        <v>4945</v>
      </c>
      <c r="E1155" s="16" t="s">
        <v>13011</v>
      </c>
      <c r="F1155" s="12">
        <v>42398.634606481486</v>
      </c>
      <c r="G1155" s="24" t="s">
        <v>13000</v>
      </c>
      <c r="H1155" s="35" t="s">
        <v>1029</v>
      </c>
      <c r="I1155" s="18" t="s">
        <v>4946</v>
      </c>
    </row>
    <row r="1156" spans="1:9" s="33" customFormat="1" ht="30">
      <c r="A1156" s="12">
        <v>43567.174479166672</v>
      </c>
      <c r="B1156" s="13" t="s">
        <v>14072</v>
      </c>
      <c r="C1156" s="14" t="s">
        <v>5217</v>
      </c>
      <c r="D1156" s="15" t="s">
        <v>5218</v>
      </c>
      <c r="E1156" s="16" t="s">
        <v>13032</v>
      </c>
      <c r="F1156" s="12">
        <v>41935.652499999997</v>
      </c>
      <c r="G1156" s="24" t="s">
        <v>13000</v>
      </c>
      <c r="H1156" s="35" t="s">
        <v>1029</v>
      </c>
      <c r="I1156" s="18" t="s">
        <v>5219</v>
      </c>
    </row>
    <row r="1157" spans="1:9" s="33" customFormat="1" ht="135">
      <c r="A1157" s="12">
        <v>43566.550347222219</v>
      </c>
      <c r="B1157" s="13" t="s">
        <v>14073</v>
      </c>
      <c r="C1157" s="14" t="s">
        <v>5450</v>
      </c>
      <c r="D1157" s="15" t="s">
        <v>5451</v>
      </c>
      <c r="E1157" s="16" t="s">
        <v>13011</v>
      </c>
      <c r="F1157" s="12">
        <v>42362.154224537036</v>
      </c>
      <c r="G1157" s="24" t="s">
        <v>13000</v>
      </c>
      <c r="H1157" s="35" t="s">
        <v>1029</v>
      </c>
      <c r="I1157" s="18" t="s">
        <v>5452</v>
      </c>
    </row>
    <row r="1158" spans="1:9" s="33" customFormat="1" ht="45">
      <c r="A1158" s="19">
        <v>43543.851782407408</v>
      </c>
      <c r="B1158" s="20" t="s">
        <v>14074</v>
      </c>
      <c r="C1158" s="21" t="s">
        <v>9667</v>
      </c>
      <c r="D1158" s="22" t="s">
        <v>9668</v>
      </c>
      <c r="E1158" s="23" t="s">
        <v>13011</v>
      </c>
      <c r="F1158" s="19">
        <v>42183.921909722223</v>
      </c>
      <c r="G1158" s="24" t="s">
        <v>13000</v>
      </c>
      <c r="H1158" s="35" t="s">
        <v>9669</v>
      </c>
      <c r="I1158" s="25" t="s">
        <v>9670</v>
      </c>
    </row>
    <row r="1159" spans="1:9" s="33" customFormat="1" ht="120">
      <c r="A1159" s="12">
        <v>43577.558078703703</v>
      </c>
      <c r="B1159" s="13" t="s">
        <v>14075</v>
      </c>
      <c r="C1159" s="14" t="s">
        <v>1579</v>
      </c>
      <c r="D1159" s="15" t="s">
        <v>1580</v>
      </c>
      <c r="E1159" s="16" t="s">
        <v>13009</v>
      </c>
      <c r="F1159" s="12">
        <v>39583.397199074076</v>
      </c>
      <c r="G1159" s="24" t="s">
        <v>13000</v>
      </c>
      <c r="H1159" s="35" t="s">
        <v>1581</v>
      </c>
      <c r="I1159" s="18" t="s">
        <v>1582</v>
      </c>
    </row>
    <row r="1160" spans="1:9" s="33" customFormat="1" ht="90">
      <c r="A1160" s="4">
        <v>43565.300520833334</v>
      </c>
      <c r="B1160" s="5" t="s">
        <v>14038</v>
      </c>
      <c r="C1160" s="6" t="s">
        <v>1309</v>
      </c>
      <c r="D1160" s="7" t="s">
        <v>6192</v>
      </c>
      <c r="E1160" s="8" t="s">
        <v>13009</v>
      </c>
      <c r="F1160" s="4">
        <v>39840.599317129629</v>
      </c>
      <c r="G1160" s="24" t="s">
        <v>13000</v>
      </c>
      <c r="H1160" s="35" t="s">
        <v>1311</v>
      </c>
      <c r="I1160" s="10" t="s">
        <v>1312</v>
      </c>
    </row>
    <row r="1161" spans="1:9" s="33" customFormat="1" ht="90">
      <c r="A1161" s="4">
        <v>43560.569780092592</v>
      </c>
      <c r="B1161" s="5" t="s">
        <v>14038</v>
      </c>
      <c r="C1161" s="6" t="s">
        <v>1309</v>
      </c>
      <c r="D1161" s="7" t="s">
        <v>11277</v>
      </c>
      <c r="E1161" s="8" t="s">
        <v>13011</v>
      </c>
      <c r="F1161" s="4">
        <v>39840.599317129629</v>
      </c>
      <c r="G1161" s="24" t="s">
        <v>13000</v>
      </c>
      <c r="H1161" s="35" t="s">
        <v>1311</v>
      </c>
      <c r="I1161" s="10" t="s">
        <v>1312</v>
      </c>
    </row>
    <row r="1162" spans="1:9" s="33" customFormat="1" ht="90">
      <c r="A1162" s="12">
        <v>43578.295451388884</v>
      </c>
      <c r="B1162" s="13" t="s">
        <v>14038</v>
      </c>
      <c r="C1162" s="14" t="s">
        <v>1309</v>
      </c>
      <c r="D1162" s="15" t="s">
        <v>1310</v>
      </c>
      <c r="E1162" s="16" t="s">
        <v>13009</v>
      </c>
      <c r="F1162" s="12">
        <v>39840.599317129629</v>
      </c>
      <c r="G1162" s="24" t="s">
        <v>13000</v>
      </c>
      <c r="H1162" s="35" t="s">
        <v>1311</v>
      </c>
      <c r="I1162" s="18" t="s">
        <v>1312</v>
      </c>
    </row>
    <row r="1163" spans="1:9" s="33" customFormat="1" ht="90">
      <c r="A1163" s="12">
        <v>43577.276041666672</v>
      </c>
      <c r="B1163" s="13" t="s">
        <v>14038</v>
      </c>
      <c r="C1163" s="14" t="s">
        <v>1309</v>
      </c>
      <c r="D1163" s="15" t="s">
        <v>1684</v>
      </c>
      <c r="E1163" s="16" t="s">
        <v>13009</v>
      </c>
      <c r="F1163" s="12">
        <v>39840.599317129629</v>
      </c>
      <c r="G1163" s="24" t="s">
        <v>13000</v>
      </c>
      <c r="H1163" s="35" t="s">
        <v>1311</v>
      </c>
      <c r="I1163" s="18" t="s">
        <v>1312</v>
      </c>
    </row>
    <row r="1164" spans="1:9" s="33" customFormat="1" ht="90">
      <c r="A1164" s="12">
        <v>43574.562430555554</v>
      </c>
      <c r="B1164" s="13" t="s">
        <v>14038</v>
      </c>
      <c r="C1164" s="14" t="s">
        <v>1309</v>
      </c>
      <c r="D1164" s="15" t="s">
        <v>2509</v>
      </c>
      <c r="E1164" s="16" t="s">
        <v>13011</v>
      </c>
      <c r="F1164" s="12">
        <v>39840.599317129629</v>
      </c>
      <c r="G1164" s="24" t="s">
        <v>13000</v>
      </c>
      <c r="H1164" s="35" t="s">
        <v>1311</v>
      </c>
      <c r="I1164" s="18" t="s">
        <v>1312</v>
      </c>
    </row>
    <row r="1165" spans="1:9" s="33" customFormat="1" ht="90">
      <c r="A1165" s="12">
        <v>43573.33592592593</v>
      </c>
      <c r="B1165" s="13" t="s">
        <v>14038</v>
      </c>
      <c r="C1165" s="14" t="s">
        <v>1309</v>
      </c>
      <c r="D1165" s="15" t="s">
        <v>1310</v>
      </c>
      <c r="E1165" s="16" t="s">
        <v>13009</v>
      </c>
      <c r="F1165" s="12">
        <v>39840.599317129629</v>
      </c>
      <c r="G1165" s="24" t="s">
        <v>13000</v>
      </c>
      <c r="H1165" s="35" t="s">
        <v>1311</v>
      </c>
      <c r="I1165" s="18" t="s">
        <v>1312</v>
      </c>
    </row>
    <row r="1166" spans="1:9" s="33" customFormat="1" ht="90">
      <c r="A1166" s="12">
        <v>43573.327222222222</v>
      </c>
      <c r="B1166" s="13" t="s">
        <v>14038</v>
      </c>
      <c r="C1166" s="14" t="s">
        <v>1309</v>
      </c>
      <c r="D1166" s="15" t="s">
        <v>2928</v>
      </c>
      <c r="E1166" s="16" t="s">
        <v>13009</v>
      </c>
      <c r="F1166" s="12">
        <v>39840.599317129629</v>
      </c>
      <c r="G1166" s="24" t="s">
        <v>13000</v>
      </c>
      <c r="H1166" s="35" t="s">
        <v>1311</v>
      </c>
      <c r="I1166" s="18" t="s">
        <v>1312</v>
      </c>
    </row>
    <row r="1167" spans="1:9" s="33" customFormat="1" ht="90">
      <c r="A1167" s="12">
        <v>43572.276736111111</v>
      </c>
      <c r="B1167" s="13" t="s">
        <v>14038</v>
      </c>
      <c r="C1167" s="14" t="s">
        <v>1309</v>
      </c>
      <c r="D1167" s="15" t="s">
        <v>3354</v>
      </c>
      <c r="E1167" s="16" t="s">
        <v>13009</v>
      </c>
      <c r="F1167" s="12">
        <v>39840.599317129629</v>
      </c>
      <c r="G1167" s="24" t="s">
        <v>13000</v>
      </c>
      <c r="H1167" s="35" t="s">
        <v>1311</v>
      </c>
      <c r="I1167" s="18" t="s">
        <v>1312</v>
      </c>
    </row>
    <row r="1168" spans="1:9" s="33" customFormat="1" ht="105">
      <c r="A1168" s="12">
        <v>43566.27961805556</v>
      </c>
      <c r="B1168" s="13" t="s">
        <v>14038</v>
      </c>
      <c r="C1168" s="14" t="s">
        <v>1309</v>
      </c>
      <c r="D1168" s="15" t="s">
        <v>5689</v>
      </c>
      <c r="E1168" s="16" t="s">
        <v>13009</v>
      </c>
      <c r="F1168" s="12">
        <v>39840.599317129629</v>
      </c>
      <c r="G1168" s="24" t="s">
        <v>13000</v>
      </c>
      <c r="H1168" s="35" t="s">
        <v>1311</v>
      </c>
      <c r="I1168" s="18" t="s">
        <v>1312</v>
      </c>
    </row>
    <row r="1169" spans="1:9" s="33" customFormat="1" ht="90">
      <c r="A1169" s="12">
        <v>43566.268506944441</v>
      </c>
      <c r="B1169" s="13" t="s">
        <v>14038</v>
      </c>
      <c r="C1169" s="14" t="s">
        <v>1309</v>
      </c>
      <c r="D1169" s="15" t="s">
        <v>5699</v>
      </c>
      <c r="E1169" s="16" t="s">
        <v>13009</v>
      </c>
      <c r="F1169" s="12">
        <v>39840.599317129629</v>
      </c>
      <c r="G1169" s="24" t="s">
        <v>13000</v>
      </c>
      <c r="H1169" s="35" t="s">
        <v>1311</v>
      </c>
      <c r="I1169" s="18" t="s">
        <v>1312</v>
      </c>
    </row>
    <row r="1170" spans="1:9" s="33" customFormat="1" ht="75">
      <c r="A1170" s="4">
        <v>43563.661793981482</v>
      </c>
      <c r="B1170" s="5" t="s">
        <v>14076</v>
      </c>
      <c r="C1170" s="6" t="s">
        <v>6922</v>
      </c>
      <c r="D1170" s="7" t="s">
        <v>6923</v>
      </c>
      <c r="E1170" s="8" t="s">
        <v>13027</v>
      </c>
      <c r="F1170" s="4">
        <v>39896.762337962966</v>
      </c>
      <c r="G1170" s="17" t="s">
        <v>13000</v>
      </c>
      <c r="H1170" s="35" t="s">
        <v>6924</v>
      </c>
      <c r="I1170" s="10" t="s">
        <v>6925</v>
      </c>
    </row>
    <row r="1171" spans="1:9" s="33" customFormat="1" ht="105">
      <c r="A1171" s="4">
        <v>43558.569652777776</v>
      </c>
      <c r="B1171" s="5" t="s">
        <v>14077</v>
      </c>
      <c r="C1171" s="6" t="s">
        <v>12128</v>
      </c>
      <c r="D1171" s="7" t="s">
        <v>12129</v>
      </c>
      <c r="E1171" s="8" t="s">
        <v>13013</v>
      </c>
      <c r="F1171" s="4">
        <v>43156.739965277782</v>
      </c>
      <c r="G1171" s="17" t="s">
        <v>13000</v>
      </c>
      <c r="H1171" s="35" t="s">
        <v>12130</v>
      </c>
      <c r="I1171" s="10" t="s">
        <v>12131</v>
      </c>
    </row>
    <row r="1172" spans="1:9" s="33" customFormat="1" ht="75">
      <c r="A1172" s="19">
        <v>43550.795590277776</v>
      </c>
      <c r="B1172" s="20" t="s">
        <v>14078</v>
      </c>
      <c r="C1172" s="21" t="s">
        <v>7500</v>
      </c>
      <c r="D1172" s="22" t="s">
        <v>7501</v>
      </c>
      <c r="E1172" s="23" t="s">
        <v>13011</v>
      </c>
      <c r="F1172" s="19">
        <v>41375.440787037034</v>
      </c>
      <c r="G1172" s="17" t="s">
        <v>13000</v>
      </c>
      <c r="H1172" s="35" t="s">
        <v>554</v>
      </c>
      <c r="I1172" s="25" t="s">
        <v>7502</v>
      </c>
    </row>
    <row r="1173" spans="1:9" s="33" customFormat="1" ht="90">
      <c r="A1173" s="4">
        <v>43563.19930555555</v>
      </c>
      <c r="B1173" s="5" t="s">
        <v>14079</v>
      </c>
      <c r="C1173" s="6" t="s">
        <v>10435</v>
      </c>
      <c r="D1173" s="7" t="s">
        <v>502</v>
      </c>
      <c r="E1173" s="8" t="s">
        <v>13034</v>
      </c>
      <c r="F1173" s="4">
        <v>42579.625694444447</v>
      </c>
      <c r="G1173" s="17" t="s">
        <v>13000</v>
      </c>
      <c r="H1173" s="35" t="s">
        <v>554</v>
      </c>
      <c r="I1173" s="10" t="s">
        <v>10436</v>
      </c>
    </row>
    <row r="1174" spans="1:9" s="33" customFormat="1" ht="90">
      <c r="A1174" s="4">
        <v>43560.266377314816</v>
      </c>
      <c r="B1174" s="5" t="s">
        <v>14080</v>
      </c>
      <c r="C1174" s="6" t="s">
        <v>11518</v>
      </c>
      <c r="D1174" s="7" t="s">
        <v>11519</v>
      </c>
      <c r="E1174" s="8" t="s">
        <v>13032</v>
      </c>
      <c r="F1174" s="4">
        <v>39857.299618055556</v>
      </c>
      <c r="G1174" s="17" t="s">
        <v>13000</v>
      </c>
      <c r="H1174" s="35" t="s">
        <v>554</v>
      </c>
      <c r="I1174" s="10" t="s">
        <v>11520</v>
      </c>
    </row>
    <row r="1175" spans="1:9" s="33" customFormat="1" ht="90">
      <c r="A1175" s="4">
        <v>43558.793171296296</v>
      </c>
      <c r="B1175" s="5" t="s">
        <v>14081</v>
      </c>
      <c r="C1175" s="6" t="s">
        <v>12036</v>
      </c>
      <c r="D1175" s="7" t="s">
        <v>12037</v>
      </c>
      <c r="E1175" s="8" t="s">
        <v>13011</v>
      </c>
      <c r="F1175" s="4">
        <v>42955.801354166666</v>
      </c>
      <c r="G1175" s="17" t="s">
        <v>13000</v>
      </c>
      <c r="H1175" s="35" t="s">
        <v>554</v>
      </c>
      <c r="I1175" s="10" t="s">
        <v>12038</v>
      </c>
    </row>
    <row r="1176" spans="1:9" s="33" customFormat="1" ht="90">
      <c r="A1176" s="4">
        <v>43558.783043981486</v>
      </c>
      <c r="B1176" s="5" t="s">
        <v>14081</v>
      </c>
      <c r="C1176" s="6" t="s">
        <v>12036</v>
      </c>
      <c r="D1176" s="7" t="s">
        <v>12039</v>
      </c>
      <c r="E1176" s="8" t="s">
        <v>13011</v>
      </c>
      <c r="F1176" s="4">
        <v>42955.801354166666</v>
      </c>
      <c r="G1176" s="17" t="s">
        <v>13000</v>
      </c>
      <c r="H1176" s="35" t="s">
        <v>554</v>
      </c>
      <c r="I1176" s="10" t="s">
        <v>12038</v>
      </c>
    </row>
    <row r="1177" spans="1:9" s="33" customFormat="1" ht="60">
      <c r="A1177" s="12">
        <v>43579.600462962961</v>
      </c>
      <c r="B1177" s="13" t="s">
        <v>14082</v>
      </c>
      <c r="C1177" s="14" t="s">
        <v>552</v>
      </c>
      <c r="D1177" s="15" t="s">
        <v>553</v>
      </c>
      <c r="E1177" s="16" t="s">
        <v>13120</v>
      </c>
      <c r="F1177" s="12">
        <v>39819.385138888887</v>
      </c>
      <c r="G1177" s="17" t="s">
        <v>13000</v>
      </c>
      <c r="H1177" s="35" t="s">
        <v>554</v>
      </c>
      <c r="I1177" s="18" t="s">
        <v>555</v>
      </c>
    </row>
    <row r="1178" spans="1:9" s="33" customFormat="1" ht="90">
      <c r="A1178" s="12">
        <v>43569.763888888891</v>
      </c>
      <c r="B1178" s="13" t="s">
        <v>14083</v>
      </c>
      <c r="C1178" s="14" t="s">
        <v>4413</v>
      </c>
      <c r="D1178" s="15" t="s">
        <v>4414</v>
      </c>
      <c r="E1178" s="16" t="s">
        <v>13009</v>
      </c>
      <c r="F1178" s="12">
        <v>41148.383483796293</v>
      </c>
      <c r="G1178" s="17" t="s">
        <v>13000</v>
      </c>
      <c r="H1178" s="35" t="s">
        <v>554</v>
      </c>
      <c r="I1178" s="18" t="s">
        <v>4415</v>
      </c>
    </row>
    <row r="1179" spans="1:9" s="33" customFormat="1" ht="90">
      <c r="A1179" s="12">
        <v>43575.401273148149</v>
      </c>
      <c r="B1179" s="13" t="s">
        <v>14084</v>
      </c>
      <c r="C1179" s="14" t="s">
        <v>2236</v>
      </c>
      <c r="D1179" s="15" t="s">
        <v>2237</v>
      </c>
      <c r="E1179" s="16" t="s">
        <v>13032</v>
      </c>
      <c r="F1179" s="12">
        <v>39856.32372685185</v>
      </c>
      <c r="G1179" s="17" t="s">
        <v>13000</v>
      </c>
      <c r="H1179" s="35" t="s">
        <v>2238</v>
      </c>
      <c r="I1179" s="18" t="s">
        <v>2239</v>
      </c>
    </row>
    <row r="1180" spans="1:9" s="33" customFormat="1" ht="105">
      <c r="A1180" s="4">
        <v>43560.53875</v>
      </c>
      <c r="B1180" s="5" t="s">
        <v>14085</v>
      </c>
      <c r="C1180" s="6" t="s">
        <v>11316</v>
      </c>
      <c r="D1180" s="7" t="s">
        <v>11317</v>
      </c>
      <c r="E1180" s="8" t="s">
        <v>13011</v>
      </c>
      <c r="F1180" s="4">
        <v>41012.521782407406</v>
      </c>
      <c r="G1180" s="17" t="s">
        <v>13000</v>
      </c>
      <c r="H1180" s="35" t="s">
        <v>11318</v>
      </c>
      <c r="I1180" s="10" t="s">
        <v>11319</v>
      </c>
    </row>
    <row r="1181" spans="1:9" s="33" customFormat="1" ht="105">
      <c r="A1181" s="12">
        <v>43574.310011574074</v>
      </c>
      <c r="B1181" s="13" t="s">
        <v>14086</v>
      </c>
      <c r="C1181" s="14" t="s">
        <v>2606</v>
      </c>
      <c r="D1181" s="15" t="s">
        <v>2607</v>
      </c>
      <c r="E1181" s="16" t="s">
        <v>13032</v>
      </c>
      <c r="F1181" s="12">
        <v>40716.798634259263</v>
      </c>
      <c r="G1181" s="17" t="s">
        <v>13000</v>
      </c>
      <c r="H1181" s="35" t="s">
        <v>2608</v>
      </c>
      <c r="I1181" s="18" t="s">
        <v>2609</v>
      </c>
    </row>
    <row r="1182" spans="1:9" s="33" customFormat="1" ht="105">
      <c r="A1182" s="12">
        <v>43579.762499999997</v>
      </c>
      <c r="B1182" s="13" t="s">
        <v>14087</v>
      </c>
      <c r="C1182" s="14" t="s">
        <v>460</v>
      </c>
      <c r="D1182" s="15" t="s">
        <v>461</v>
      </c>
      <c r="E1182" s="16" t="s">
        <v>13034</v>
      </c>
      <c r="F1182" s="12">
        <v>41387.368298611109</v>
      </c>
      <c r="G1182" s="17" t="s">
        <v>13000</v>
      </c>
      <c r="H1182" s="35" t="s">
        <v>462</v>
      </c>
      <c r="I1182" s="18" t="s">
        <v>463</v>
      </c>
    </row>
    <row r="1183" spans="1:9" s="33" customFormat="1" ht="105">
      <c r="A1183" s="4">
        <v>43560.312592592592</v>
      </c>
      <c r="B1183" s="5" t="s">
        <v>14088</v>
      </c>
      <c r="C1183" s="6" t="s">
        <v>11458</v>
      </c>
      <c r="D1183" s="7" t="s">
        <v>11459</v>
      </c>
      <c r="E1183" s="8" t="s">
        <v>13011</v>
      </c>
      <c r="F1183" s="4">
        <v>41712.746689814812</v>
      </c>
      <c r="G1183" s="9" t="s">
        <v>13000</v>
      </c>
      <c r="H1183" s="35" t="s">
        <v>11460</v>
      </c>
      <c r="I1183" s="10" t="s">
        <v>11461</v>
      </c>
    </row>
    <row r="1184" spans="1:9" s="33" customFormat="1" ht="60">
      <c r="A1184" s="4">
        <v>43561.679965277777</v>
      </c>
      <c r="B1184" s="5" t="s">
        <v>14089</v>
      </c>
      <c r="C1184" s="6" t="s">
        <v>10870</v>
      </c>
      <c r="D1184" s="7" t="s">
        <v>10871</v>
      </c>
      <c r="E1184" s="8" t="s">
        <v>13130</v>
      </c>
      <c r="F1184" s="4">
        <v>40801.222442129627</v>
      </c>
      <c r="G1184" s="9" t="s">
        <v>13000</v>
      </c>
      <c r="H1184" s="35" t="s">
        <v>10872</v>
      </c>
      <c r="I1184" s="10" t="s">
        <v>10873</v>
      </c>
    </row>
    <row r="1185" spans="1:9" s="33" customFormat="1" ht="75">
      <c r="A1185" s="19">
        <v>43546.428865740745</v>
      </c>
      <c r="B1185" s="20" t="s">
        <v>14090</v>
      </c>
      <c r="C1185" s="21" t="s">
        <v>8861</v>
      </c>
      <c r="D1185" s="22" t="s">
        <v>8862</v>
      </c>
      <c r="E1185" s="23" t="s">
        <v>13011</v>
      </c>
      <c r="F1185" s="19">
        <v>40224.085046296299</v>
      </c>
      <c r="G1185" s="24" t="s">
        <v>13000</v>
      </c>
      <c r="H1185" s="35" t="s">
        <v>8863</v>
      </c>
      <c r="I1185" s="25" t="s">
        <v>8864</v>
      </c>
    </row>
    <row r="1186" spans="1:9" s="33" customFormat="1" ht="120">
      <c r="A1186" s="12">
        <v>43577.8203125</v>
      </c>
      <c r="B1186" s="13" t="s">
        <v>14091</v>
      </c>
      <c r="C1186" s="14" t="s">
        <v>1489</v>
      </c>
      <c r="D1186" s="15" t="s">
        <v>1490</v>
      </c>
      <c r="E1186" s="16" t="s">
        <v>13130</v>
      </c>
      <c r="F1186" s="12">
        <v>41033.799178240741</v>
      </c>
      <c r="G1186" s="9" t="s">
        <v>13000</v>
      </c>
      <c r="H1186" s="35" t="s">
        <v>1491</v>
      </c>
      <c r="I1186" s="18" t="s">
        <v>1492</v>
      </c>
    </row>
    <row r="1187" spans="1:9" s="33" customFormat="1" ht="90">
      <c r="A1187" s="4">
        <v>43559.3752662037</v>
      </c>
      <c r="B1187" s="5" t="s">
        <v>14092</v>
      </c>
      <c r="C1187" s="6" t="s">
        <v>11870</v>
      </c>
      <c r="D1187" s="7" t="s">
        <v>11871</v>
      </c>
      <c r="E1187" s="8" t="s">
        <v>13400</v>
      </c>
      <c r="F1187" s="4">
        <v>43362.844594907408</v>
      </c>
      <c r="G1187" s="9" t="s">
        <v>13000</v>
      </c>
      <c r="H1187" s="35" t="s">
        <v>11872</v>
      </c>
      <c r="I1187" s="10" t="s">
        <v>11873</v>
      </c>
    </row>
    <row r="1188" spans="1:9" s="33" customFormat="1" ht="60">
      <c r="A1188" s="4">
        <v>43558.514745370368</v>
      </c>
      <c r="B1188" s="5" t="s">
        <v>14093</v>
      </c>
      <c r="C1188" s="6" t="s">
        <v>12146</v>
      </c>
      <c r="D1188" s="7" t="s">
        <v>12147</v>
      </c>
      <c r="E1188" s="8" t="s">
        <v>13011</v>
      </c>
      <c r="F1188" s="4">
        <v>40492.927777777775</v>
      </c>
      <c r="G1188" s="9" t="s">
        <v>13000</v>
      </c>
      <c r="H1188" s="35" t="s">
        <v>11872</v>
      </c>
      <c r="I1188" s="10" t="s">
        <v>12148</v>
      </c>
    </row>
    <row r="1189" spans="1:9" s="33" customFormat="1" ht="105">
      <c r="A1189" s="12">
        <v>43579.929849537039</v>
      </c>
      <c r="B1189" s="13" t="s">
        <v>14094</v>
      </c>
      <c r="C1189" s="14" t="s">
        <v>390</v>
      </c>
      <c r="D1189" s="15" t="s">
        <v>391</v>
      </c>
      <c r="E1189" s="16" t="s">
        <v>13027</v>
      </c>
      <c r="F1189" s="12">
        <v>41510.603576388887</v>
      </c>
      <c r="G1189" s="17" t="s">
        <v>13000</v>
      </c>
      <c r="H1189" s="35" t="s">
        <v>392</v>
      </c>
      <c r="I1189" s="18" t="s">
        <v>393</v>
      </c>
    </row>
    <row r="1190" spans="1:9" s="33" customFormat="1" ht="75">
      <c r="A1190" s="4">
        <v>43565.657453703709</v>
      </c>
      <c r="B1190" s="5" t="s">
        <v>14095</v>
      </c>
      <c r="C1190" s="6" t="s">
        <v>5961</v>
      </c>
      <c r="D1190" s="7" t="s">
        <v>5962</v>
      </c>
      <c r="E1190" s="8" t="s">
        <v>13009</v>
      </c>
      <c r="F1190" s="4">
        <v>43151.499548611115</v>
      </c>
      <c r="G1190" s="17" t="s">
        <v>13000</v>
      </c>
      <c r="H1190" s="35" t="s">
        <v>5963</v>
      </c>
      <c r="I1190" s="10" t="s">
        <v>5964</v>
      </c>
    </row>
    <row r="1191" spans="1:9" s="33" customFormat="1" ht="30">
      <c r="A1191" s="4">
        <v>43563.459687499999</v>
      </c>
      <c r="B1191" s="5" t="s">
        <v>14096</v>
      </c>
      <c r="C1191" s="6" t="s">
        <v>10276</v>
      </c>
      <c r="D1191" s="7" t="s">
        <v>10277</v>
      </c>
      <c r="E1191" s="8" t="s">
        <v>13032</v>
      </c>
      <c r="F1191" s="4">
        <v>39847.499699074076</v>
      </c>
      <c r="G1191" s="9" t="s">
        <v>13000</v>
      </c>
      <c r="H1191" s="35" t="s">
        <v>10278</v>
      </c>
      <c r="I1191" s="10" t="s">
        <v>10279</v>
      </c>
    </row>
    <row r="1192" spans="1:9" s="33" customFormat="1" ht="90">
      <c r="A1192" s="12">
        <v>43573.492303240739</v>
      </c>
      <c r="B1192" s="13" t="s">
        <v>14097</v>
      </c>
      <c r="C1192" s="14" t="s">
        <v>2838</v>
      </c>
      <c r="D1192" s="15" t="s">
        <v>2839</v>
      </c>
      <c r="E1192" s="16" t="s">
        <v>13027</v>
      </c>
      <c r="F1192" s="12">
        <v>41121.462627314817</v>
      </c>
      <c r="G1192" s="17" t="s">
        <v>13000</v>
      </c>
      <c r="H1192" s="35" t="s">
        <v>2840</v>
      </c>
      <c r="I1192" s="18" t="s">
        <v>2841</v>
      </c>
    </row>
    <row r="1193" spans="1:9" s="33" customFormat="1" ht="30">
      <c r="A1193" s="12">
        <v>43575.250949074078</v>
      </c>
      <c r="B1193" s="13" t="s">
        <v>14098</v>
      </c>
      <c r="C1193" s="14" t="s">
        <v>2324</v>
      </c>
      <c r="D1193" s="15" t="s">
        <v>2325</v>
      </c>
      <c r="E1193" s="16" t="s">
        <v>13018</v>
      </c>
      <c r="F1193" s="12">
        <v>43479.361331018517</v>
      </c>
      <c r="G1193" s="17" t="s">
        <v>13000</v>
      </c>
      <c r="H1193" s="35" t="s">
        <v>2326</v>
      </c>
      <c r="I1193" s="18" t="s">
        <v>2327</v>
      </c>
    </row>
    <row r="1194" spans="1:9" s="33" customFormat="1" ht="135">
      <c r="A1194" s="19">
        <v>43547.512685185182</v>
      </c>
      <c r="B1194" s="20" t="s">
        <v>14099</v>
      </c>
      <c r="C1194" s="21" t="s">
        <v>8520</v>
      </c>
      <c r="D1194" s="22" t="s">
        <v>8521</v>
      </c>
      <c r="E1194" s="23" t="s">
        <v>13009</v>
      </c>
      <c r="F1194" s="19">
        <v>42013.602476851855</v>
      </c>
      <c r="G1194" s="17" t="s">
        <v>13000</v>
      </c>
      <c r="H1194" s="35" t="s">
        <v>472</v>
      </c>
      <c r="I1194" s="25" t="s">
        <v>8522</v>
      </c>
    </row>
    <row r="1195" spans="1:9" s="33" customFormat="1" ht="75">
      <c r="A1195" s="12">
        <v>43579.7503125</v>
      </c>
      <c r="B1195" s="13" t="s">
        <v>14100</v>
      </c>
      <c r="C1195" s="14" t="s">
        <v>470</v>
      </c>
      <c r="D1195" s="15" t="s">
        <v>471</v>
      </c>
      <c r="E1195" s="16" t="s">
        <v>13018</v>
      </c>
      <c r="F1195" s="12">
        <v>41797.443831018521</v>
      </c>
      <c r="G1195" s="17" t="s">
        <v>13000</v>
      </c>
      <c r="H1195" s="35" t="s">
        <v>472</v>
      </c>
      <c r="I1195" s="18" t="s">
        <v>473</v>
      </c>
    </row>
    <row r="1196" spans="1:9" s="33" customFormat="1" ht="105">
      <c r="A1196" s="19">
        <v>43546.507974537039</v>
      </c>
      <c r="B1196" s="20" t="s">
        <v>14101</v>
      </c>
      <c r="C1196" s="21" t="s">
        <v>8818</v>
      </c>
      <c r="D1196" s="22" t="s">
        <v>8819</v>
      </c>
      <c r="E1196" s="23" t="s">
        <v>13032</v>
      </c>
      <c r="F1196" s="19">
        <v>40120.341805555552</v>
      </c>
      <c r="G1196" s="17" t="s">
        <v>13000</v>
      </c>
      <c r="H1196" s="35" t="s">
        <v>8820</v>
      </c>
      <c r="I1196" s="25" t="s">
        <v>8821</v>
      </c>
    </row>
    <row r="1197" spans="1:9" s="33" customFormat="1" ht="60">
      <c r="A1197" s="12">
        <v>43576.826018518521</v>
      </c>
      <c r="B1197" s="13" t="s">
        <v>14102</v>
      </c>
      <c r="C1197" s="14" t="s">
        <v>1817</v>
      </c>
      <c r="D1197" s="15" t="s">
        <v>1818</v>
      </c>
      <c r="E1197" s="16" t="s">
        <v>13013</v>
      </c>
      <c r="F1197" s="12">
        <v>40919.775914351849</v>
      </c>
      <c r="G1197" s="17" t="s">
        <v>13000</v>
      </c>
      <c r="H1197" s="35" t="s">
        <v>1819</v>
      </c>
      <c r="I1197" s="18" t="s">
        <v>1820</v>
      </c>
    </row>
    <row r="1198" spans="1:9" s="33" customFormat="1" ht="30">
      <c r="A1198" s="4">
        <v>43564.250856481478</v>
      </c>
      <c r="B1198" s="5" t="s">
        <v>14103</v>
      </c>
      <c r="C1198" s="6" t="s">
        <v>6714</v>
      </c>
      <c r="D1198" s="7" t="s">
        <v>6715</v>
      </c>
      <c r="E1198" s="8" t="s">
        <v>13009</v>
      </c>
      <c r="F1198" s="4">
        <v>39821.486018518517</v>
      </c>
      <c r="G1198" s="17" t="s">
        <v>13000</v>
      </c>
      <c r="H1198" s="35" t="s">
        <v>6716</v>
      </c>
      <c r="I1198" s="10" t="s">
        <v>6717</v>
      </c>
    </row>
    <row r="1199" spans="1:9" s="33" customFormat="1" ht="90">
      <c r="A1199" s="19">
        <v>43551.701678240745</v>
      </c>
      <c r="B1199" s="20" t="s">
        <v>14104</v>
      </c>
      <c r="C1199" s="21" t="s">
        <v>7030</v>
      </c>
      <c r="D1199" s="22" t="s">
        <v>7031</v>
      </c>
      <c r="E1199" s="23" t="s">
        <v>13013</v>
      </c>
      <c r="F1199" s="19">
        <v>39916.096562500003</v>
      </c>
      <c r="G1199" s="24" t="s">
        <v>13000</v>
      </c>
      <c r="H1199" s="35" t="s">
        <v>7032</v>
      </c>
      <c r="I1199" s="25" t="s">
        <v>7033</v>
      </c>
    </row>
    <row r="1200" spans="1:9" s="33" customFormat="1" ht="105">
      <c r="A1200" s="12">
        <v>43577.026874999996</v>
      </c>
      <c r="B1200" s="13" t="s">
        <v>14105</v>
      </c>
      <c r="C1200" s="14" t="s">
        <v>1774</v>
      </c>
      <c r="D1200" s="15" t="s">
        <v>1775</v>
      </c>
      <c r="E1200" s="16" t="s">
        <v>13013</v>
      </c>
      <c r="F1200" s="12">
        <v>41101.485023148147</v>
      </c>
      <c r="G1200" s="17" t="s">
        <v>13000</v>
      </c>
      <c r="H1200" s="35" t="s">
        <v>1776</v>
      </c>
      <c r="I1200" s="18" t="s">
        <v>1777</v>
      </c>
    </row>
    <row r="1201" spans="1:9" s="33" customFormat="1" ht="105">
      <c r="A1201" s="12">
        <v>43568.032337962963</v>
      </c>
      <c r="B1201" s="13" t="s">
        <v>14105</v>
      </c>
      <c r="C1201" s="14" t="s">
        <v>1774</v>
      </c>
      <c r="D1201" s="15" t="s">
        <v>4895</v>
      </c>
      <c r="E1201" s="16" t="s">
        <v>13013</v>
      </c>
      <c r="F1201" s="12">
        <v>41101.485023148147</v>
      </c>
      <c r="G1201" s="17" t="s">
        <v>13000</v>
      </c>
      <c r="H1201" s="35" t="s">
        <v>1776</v>
      </c>
      <c r="I1201" s="18" t="s">
        <v>1777</v>
      </c>
    </row>
    <row r="1202" spans="1:9" s="33" customFormat="1" ht="90">
      <c r="A1202" s="12">
        <v>43570.456099537041</v>
      </c>
      <c r="B1202" s="13" t="s">
        <v>14106</v>
      </c>
      <c r="C1202" s="14" t="s">
        <v>4137</v>
      </c>
      <c r="D1202" s="15" t="s">
        <v>4138</v>
      </c>
      <c r="E1202" s="16" t="s">
        <v>13015</v>
      </c>
      <c r="F1202" s="12">
        <v>40760.64943287037</v>
      </c>
      <c r="G1202" s="17" t="s">
        <v>13000</v>
      </c>
      <c r="H1202" s="35" t="s">
        <v>4139</v>
      </c>
      <c r="I1202" s="18" t="s">
        <v>4140</v>
      </c>
    </row>
    <row r="1203" spans="1:9" s="33" customFormat="1" ht="90">
      <c r="A1203" s="19">
        <v>43544.541874999995</v>
      </c>
      <c r="B1203" s="20" t="s">
        <v>14107</v>
      </c>
      <c r="C1203" s="21" t="s">
        <v>9421</v>
      </c>
      <c r="D1203" s="22" t="s">
        <v>9422</v>
      </c>
      <c r="E1203" s="23" t="s">
        <v>13018</v>
      </c>
      <c r="F1203" s="19">
        <v>43439.53634259259</v>
      </c>
      <c r="G1203" s="24" t="s">
        <v>13000</v>
      </c>
      <c r="H1203" s="35" t="s">
        <v>9423</v>
      </c>
      <c r="I1203" s="25" t="s">
        <v>9424</v>
      </c>
    </row>
    <row r="1204" spans="1:9" s="33" customFormat="1" ht="90">
      <c r="A1204" s="19">
        <v>43547.579444444447</v>
      </c>
      <c r="B1204" s="20" t="s">
        <v>14108</v>
      </c>
      <c r="C1204" s="21" t="s">
        <v>8501</v>
      </c>
      <c r="D1204" s="22" t="s">
        <v>8502</v>
      </c>
      <c r="E1204" s="23" t="s">
        <v>13479</v>
      </c>
      <c r="F1204" s="19">
        <v>39898.773726851854</v>
      </c>
      <c r="G1204" s="24" t="s">
        <v>13000</v>
      </c>
      <c r="H1204" s="35" t="s">
        <v>8503</v>
      </c>
      <c r="I1204" s="25" t="s">
        <v>8504</v>
      </c>
    </row>
    <row r="1205" spans="1:9" s="33" customFormat="1" ht="75">
      <c r="A1205" s="19">
        <v>43543.594039351854</v>
      </c>
      <c r="B1205" s="20" t="s">
        <v>14109</v>
      </c>
      <c r="C1205" s="21" t="s">
        <v>5374</v>
      </c>
      <c r="D1205" s="22" t="s">
        <v>9744</v>
      </c>
      <c r="E1205" s="23" t="s">
        <v>13032</v>
      </c>
      <c r="F1205" s="19">
        <v>39960.385682870372</v>
      </c>
      <c r="G1205" s="24" t="s">
        <v>13000</v>
      </c>
      <c r="H1205" s="35" t="s">
        <v>4029</v>
      </c>
      <c r="I1205" s="25" t="s">
        <v>5376</v>
      </c>
    </row>
    <row r="1206" spans="1:9" s="33" customFormat="1" ht="75">
      <c r="A1206" s="12">
        <v>43570.6</v>
      </c>
      <c r="B1206" s="13" t="s">
        <v>14110</v>
      </c>
      <c r="C1206" s="14" t="s">
        <v>4027</v>
      </c>
      <c r="D1206" s="15" t="s">
        <v>4028</v>
      </c>
      <c r="E1206" s="16" t="s">
        <v>13120</v>
      </c>
      <c r="F1206" s="12">
        <v>43455.516527777778</v>
      </c>
      <c r="G1206" s="24" t="s">
        <v>13000</v>
      </c>
      <c r="H1206" s="35" t="s">
        <v>4029</v>
      </c>
      <c r="I1206" s="18" t="s">
        <v>4030</v>
      </c>
    </row>
    <row r="1207" spans="1:9" s="33" customFormat="1" ht="75">
      <c r="A1207" s="12">
        <v>43566.675451388888</v>
      </c>
      <c r="B1207" s="13" t="s">
        <v>14109</v>
      </c>
      <c r="C1207" s="14" t="s">
        <v>5374</v>
      </c>
      <c r="D1207" s="15" t="s">
        <v>5375</v>
      </c>
      <c r="E1207" s="16" t="s">
        <v>13006</v>
      </c>
      <c r="F1207" s="12">
        <v>39960.385682870372</v>
      </c>
      <c r="G1207" s="24" t="s">
        <v>13000</v>
      </c>
      <c r="H1207" s="35" t="s">
        <v>4029</v>
      </c>
      <c r="I1207" s="18" t="s">
        <v>5376</v>
      </c>
    </row>
    <row r="1208" spans="1:9" s="33" customFormat="1" ht="75">
      <c r="A1208" s="12">
        <v>43566.597928240742</v>
      </c>
      <c r="B1208" s="13" t="s">
        <v>14110</v>
      </c>
      <c r="C1208" s="14" t="s">
        <v>4027</v>
      </c>
      <c r="D1208" s="15" t="s">
        <v>5414</v>
      </c>
      <c r="E1208" s="16" t="s">
        <v>13120</v>
      </c>
      <c r="F1208" s="12">
        <v>43455.516527777778</v>
      </c>
      <c r="G1208" s="24" t="s">
        <v>13000</v>
      </c>
      <c r="H1208" s="35" t="s">
        <v>4029</v>
      </c>
      <c r="I1208" s="18" t="s">
        <v>4030</v>
      </c>
    </row>
    <row r="1209" spans="1:9" s="33" customFormat="1" ht="105">
      <c r="A1209" s="19">
        <v>43551.253553240742</v>
      </c>
      <c r="B1209" s="20" t="s">
        <v>14111</v>
      </c>
      <c r="C1209" s="21" t="s">
        <v>7377</v>
      </c>
      <c r="D1209" s="22" t="s">
        <v>7378</v>
      </c>
      <c r="E1209" s="23" t="s">
        <v>13034</v>
      </c>
      <c r="F1209" s="19">
        <v>40657.398912037039</v>
      </c>
      <c r="G1209" s="24" t="s">
        <v>13000</v>
      </c>
      <c r="H1209" s="35" t="s">
        <v>7379</v>
      </c>
      <c r="I1209" s="25" t="s">
        <v>7380</v>
      </c>
    </row>
    <row r="1210" spans="1:9" s="33" customFormat="1" ht="75">
      <c r="A1210" s="19">
        <v>43543.398368055554</v>
      </c>
      <c r="B1210" s="20" t="s">
        <v>14112</v>
      </c>
      <c r="C1210" s="21" t="s">
        <v>9824</v>
      </c>
      <c r="D1210" s="22" t="s">
        <v>9825</v>
      </c>
      <c r="E1210" s="23" t="s">
        <v>13009</v>
      </c>
      <c r="F1210" s="19">
        <v>43457.383425925931</v>
      </c>
      <c r="G1210" s="17" t="s">
        <v>13000</v>
      </c>
      <c r="H1210" s="35" t="s">
        <v>5084</v>
      </c>
      <c r="I1210" s="25"/>
    </row>
    <row r="1211" spans="1:9" s="33" customFormat="1" ht="45">
      <c r="A1211" s="19">
        <v>43542.500810185185</v>
      </c>
      <c r="B1211" s="20" t="s">
        <v>14112</v>
      </c>
      <c r="C1211" s="21" t="s">
        <v>9824</v>
      </c>
      <c r="D1211" s="22" t="s">
        <v>10133</v>
      </c>
      <c r="E1211" s="23" t="s">
        <v>13015</v>
      </c>
      <c r="F1211" s="19">
        <v>43457.383425925931</v>
      </c>
      <c r="G1211" s="17" t="s">
        <v>13000</v>
      </c>
      <c r="H1211" s="35" t="s">
        <v>5084</v>
      </c>
      <c r="I1211" s="25"/>
    </row>
    <row r="1212" spans="1:9" s="33" customFormat="1" ht="75">
      <c r="A1212" s="4">
        <v>43559.633229166662</v>
      </c>
      <c r="B1212" s="5" t="s">
        <v>14113</v>
      </c>
      <c r="C1212" s="6" t="s">
        <v>11726</v>
      </c>
      <c r="D1212" s="7" t="s">
        <v>11727</v>
      </c>
      <c r="E1212" s="8" t="s">
        <v>13015</v>
      </c>
      <c r="F1212" s="4">
        <v>43543.814942129626</v>
      </c>
      <c r="G1212" s="17" t="s">
        <v>13000</v>
      </c>
      <c r="H1212" s="35" t="s">
        <v>5084</v>
      </c>
      <c r="I1212" s="10" t="s">
        <v>11728</v>
      </c>
    </row>
    <row r="1213" spans="1:9" s="33" customFormat="1" ht="75">
      <c r="A1213" s="12">
        <v>43567.49790509259</v>
      </c>
      <c r="B1213" s="13" t="s">
        <v>14114</v>
      </c>
      <c r="C1213" s="14" t="s">
        <v>5082</v>
      </c>
      <c r="D1213" s="15" t="s">
        <v>5083</v>
      </c>
      <c r="E1213" s="16" t="s">
        <v>13011</v>
      </c>
      <c r="F1213" s="12">
        <v>40290.377384259264</v>
      </c>
      <c r="G1213" s="17" t="s">
        <v>13000</v>
      </c>
      <c r="H1213" s="35" t="s">
        <v>5084</v>
      </c>
      <c r="I1213" s="18" t="s">
        <v>5085</v>
      </c>
    </row>
    <row r="1214" spans="1:9" s="33" customFormat="1" ht="75">
      <c r="A1214" s="12">
        <v>43567.493287037039</v>
      </c>
      <c r="B1214" s="13" t="s">
        <v>14114</v>
      </c>
      <c r="C1214" s="14" t="s">
        <v>5082</v>
      </c>
      <c r="D1214" s="15" t="s">
        <v>5083</v>
      </c>
      <c r="E1214" s="16" t="s">
        <v>13011</v>
      </c>
      <c r="F1214" s="12">
        <v>40290.377384259264</v>
      </c>
      <c r="G1214" s="17" t="s">
        <v>13000</v>
      </c>
      <c r="H1214" s="35" t="s">
        <v>5084</v>
      </c>
      <c r="I1214" s="18" t="s">
        <v>5085</v>
      </c>
    </row>
    <row r="1215" spans="1:9" s="33" customFormat="1" ht="105">
      <c r="A1215" s="12">
        <v>43565.34211805556</v>
      </c>
      <c r="B1215" s="13" t="s">
        <v>14115</v>
      </c>
      <c r="C1215" s="14" t="s">
        <v>6156</v>
      </c>
      <c r="D1215" s="15" t="s">
        <v>6157</v>
      </c>
      <c r="E1215" s="16" t="s">
        <v>13009</v>
      </c>
      <c r="F1215" s="12">
        <v>41920.136817129627</v>
      </c>
      <c r="G1215" s="17" t="s">
        <v>13000</v>
      </c>
      <c r="H1215" s="35" t="s">
        <v>5084</v>
      </c>
      <c r="I1215" s="18" t="s">
        <v>6158</v>
      </c>
    </row>
    <row r="1216" spans="1:9" s="33" customFormat="1">
      <c r="A1216" s="12">
        <v>43570.45103009259</v>
      </c>
      <c r="B1216" s="13" t="s">
        <v>14116</v>
      </c>
      <c r="C1216" s="14" t="s">
        <v>4143</v>
      </c>
      <c r="D1216" s="15" t="s">
        <v>4144</v>
      </c>
      <c r="E1216" s="16" t="s">
        <v>13011</v>
      </c>
      <c r="F1216" s="12">
        <v>40197.794791666667</v>
      </c>
      <c r="G1216" s="17" t="s">
        <v>13000</v>
      </c>
      <c r="H1216" s="35" t="s">
        <v>4145</v>
      </c>
      <c r="I1216" s="18" t="s">
        <v>4146</v>
      </c>
    </row>
    <row r="1217" spans="1:9" s="33" customFormat="1" ht="60">
      <c r="A1217" s="4">
        <v>43557.827106481476</v>
      </c>
      <c r="B1217" s="5" t="s">
        <v>14117</v>
      </c>
      <c r="C1217" s="6" t="s">
        <v>12383</v>
      </c>
      <c r="D1217" s="7" t="s">
        <v>12384</v>
      </c>
      <c r="E1217" s="8" t="s">
        <v>13027</v>
      </c>
      <c r="F1217" s="4">
        <v>41403.98474537037</v>
      </c>
      <c r="G1217" s="17" t="s">
        <v>13000</v>
      </c>
      <c r="H1217" s="35" t="s">
        <v>12385</v>
      </c>
      <c r="I1217" s="10" t="s">
        <v>12386</v>
      </c>
    </row>
    <row r="1218" spans="1:9" s="33" customFormat="1" ht="90">
      <c r="A1218" s="4">
        <v>43560.364895833336</v>
      </c>
      <c r="B1218" s="5" t="s">
        <v>14118</v>
      </c>
      <c r="C1218" s="6" t="s">
        <v>11420</v>
      </c>
      <c r="D1218" s="7" t="s">
        <v>11421</v>
      </c>
      <c r="E1218" s="8" t="s">
        <v>13011</v>
      </c>
      <c r="F1218" s="4">
        <v>40608.037141203706</v>
      </c>
      <c r="G1218" s="17" t="s">
        <v>13000</v>
      </c>
      <c r="H1218" s="35" t="s">
        <v>11422</v>
      </c>
      <c r="I1218" s="10" t="s">
        <v>11423</v>
      </c>
    </row>
    <row r="1219" spans="1:9" s="33" customFormat="1" ht="120">
      <c r="A1219" s="4">
        <v>43557.535555555558</v>
      </c>
      <c r="B1219" s="5" t="s">
        <v>14119</v>
      </c>
      <c r="C1219" s="6" t="s">
        <v>12476</v>
      </c>
      <c r="D1219" s="7" t="s">
        <v>12477</v>
      </c>
      <c r="E1219" s="8" t="s">
        <v>13011</v>
      </c>
      <c r="F1219" s="4">
        <v>39945.599768518521</v>
      </c>
      <c r="G1219" s="17" t="s">
        <v>13000</v>
      </c>
      <c r="H1219" s="35" t="s">
        <v>12478</v>
      </c>
      <c r="I1219" s="10" t="s">
        <v>12479</v>
      </c>
    </row>
    <row r="1220" spans="1:9" s="33" customFormat="1" ht="60">
      <c r="A1220" s="12">
        <v>43578.377129629633</v>
      </c>
      <c r="B1220" s="13" t="s">
        <v>14120</v>
      </c>
      <c r="C1220" s="14" t="s">
        <v>1259</v>
      </c>
      <c r="D1220" s="15" t="s">
        <v>996</v>
      </c>
      <c r="E1220" s="16" t="s">
        <v>13009</v>
      </c>
      <c r="F1220" s="12">
        <v>43571.390069444446</v>
      </c>
      <c r="G1220" s="17" t="s">
        <v>13000</v>
      </c>
      <c r="H1220" s="35" t="s">
        <v>1260</v>
      </c>
      <c r="I1220" s="18" t="s">
        <v>1261</v>
      </c>
    </row>
    <row r="1221" spans="1:9" s="33" customFormat="1" ht="90">
      <c r="A1221" s="12">
        <v>43571.544131944444</v>
      </c>
      <c r="B1221" s="13" t="s">
        <v>14121</v>
      </c>
      <c r="C1221" s="14" t="s">
        <v>3637</v>
      </c>
      <c r="D1221" s="15" t="s">
        <v>3638</v>
      </c>
      <c r="E1221" s="16" t="s">
        <v>13006</v>
      </c>
      <c r="F1221" s="12">
        <v>39937.977152777778</v>
      </c>
      <c r="G1221" s="17" t="s">
        <v>13000</v>
      </c>
      <c r="H1221" s="35" t="s">
        <v>3639</v>
      </c>
      <c r="I1221" s="18" t="s">
        <v>3640</v>
      </c>
    </row>
    <row r="1222" spans="1:9" s="33" customFormat="1" ht="60">
      <c r="A1222" s="19">
        <v>43550.140439814815</v>
      </c>
      <c r="B1222" s="20" t="s">
        <v>14122</v>
      </c>
      <c r="C1222" s="21" t="s">
        <v>4696</v>
      </c>
      <c r="D1222" s="22" t="s">
        <v>4697</v>
      </c>
      <c r="E1222" s="23" t="s">
        <v>13034</v>
      </c>
      <c r="F1222" s="19">
        <v>43129.76798611111</v>
      </c>
      <c r="G1222" s="17" t="s">
        <v>13000</v>
      </c>
      <c r="H1222" s="35" t="s">
        <v>4698</v>
      </c>
      <c r="I1222" s="25" t="s">
        <v>4699</v>
      </c>
    </row>
    <row r="1223" spans="1:9" s="33" customFormat="1" ht="60">
      <c r="A1223" s="19">
        <v>43542.460451388892</v>
      </c>
      <c r="B1223" s="20" t="s">
        <v>14122</v>
      </c>
      <c r="C1223" s="21" t="s">
        <v>4696</v>
      </c>
      <c r="D1223" s="22" t="s">
        <v>4697</v>
      </c>
      <c r="E1223" s="23" t="s">
        <v>13034</v>
      </c>
      <c r="F1223" s="19">
        <v>43129.76798611111</v>
      </c>
      <c r="G1223" s="17" t="s">
        <v>13000</v>
      </c>
      <c r="H1223" s="35" t="s">
        <v>4698</v>
      </c>
      <c r="I1223" s="25" t="s">
        <v>4699</v>
      </c>
    </row>
    <row r="1224" spans="1:9" s="33" customFormat="1" ht="60">
      <c r="A1224" s="4">
        <v>43559.26563657407</v>
      </c>
      <c r="B1224" s="5" t="s">
        <v>14122</v>
      </c>
      <c r="C1224" s="6" t="s">
        <v>4696</v>
      </c>
      <c r="D1224" s="7" t="s">
        <v>4697</v>
      </c>
      <c r="E1224" s="8" t="s">
        <v>13034</v>
      </c>
      <c r="F1224" s="4">
        <v>43129.76798611111</v>
      </c>
      <c r="G1224" s="17" t="s">
        <v>13000</v>
      </c>
      <c r="H1224" s="35" t="s">
        <v>4698</v>
      </c>
      <c r="I1224" s="10" t="s">
        <v>4699</v>
      </c>
    </row>
    <row r="1225" spans="1:9" s="33" customFormat="1" ht="60">
      <c r="A1225" s="12">
        <v>43568.563819444447</v>
      </c>
      <c r="B1225" s="13" t="s">
        <v>14122</v>
      </c>
      <c r="C1225" s="14" t="s">
        <v>4696</v>
      </c>
      <c r="D1225" s="15" t="s">
        <v>4697</v>
      </c>
      <c r="E1225" s="16" t="s">
        <v>13034</v>
      </c>
      <c r="F1225" s="12">
        <v>43129.76798611111</v>
      </c>
      <c r="G1225" s="17" t="s">
        <v>13000</v>
      </c>
      <c r="H1225" s="35" t="s">
        <v>4698</v>
      </c>
      <c r="I1225" s="18" t="s">
        <v>4699</v>
      </c>
    </row>
    <row r="1226" spans="1:9" s="33" customFormat="1" ht="45">
      <c r="A1226" s="12">
        <v>43571.716539351852</v>
      </c>
      <c r="B1226" s="13" t="s">
        <v>14123</v>
      </c>
      <c r="C1226" s="14" t="s">
        <v>3576</v>
      </c>
      <c r="D1226" s="15" t="s">
        <v>3577</v>
      </c>
      <c r="E1226" s="16" t="s">
        <v>13011</v>
      </c>
      <c r="F1226" s="12">
        <v>40100.408715277779</v>
      </c>
      <c r="G1226" s="17" t="s">
        <v>13000</v>
      </c>
      <c r="H1226" s="35" t="s">
        <v>3578</v>
      </c>
      <c r="I1226" s="18" t="s">
        <v>3579</v>
      </c>
    </row>
    <row r="1227" spans="1:9" s="33" customFormat="1" ht="135">
      <c r="A1227" s="19">
        <v>43543.642337962963</v>
      </c>
      <c r="B1227" s="20" t="s">
        <v>14124</v>
      </c>
      <c r="C1227" s="21" t="s">
        <v>9715</v>
      </c>
      <c r="D1227" s="22" t="s">
        <v>9716</v>
      </c>
      <c r="E1227" s="23" t="s">
        <v>13032</v>
      </c>
      <c r="F1227" s="19">
        <v>40686.632673611108</v>
      </c>
      <c r="G1227" s="17" t="s">
        <v>13000</v>
      </c>
      <c r="H1227" s="35" t="s">
        <v>5622</v>
      </c>
      <c r="I1227" s="25" t="s">
        <v>9717</v>
      </c>
    </row>
    <row r="1228" spans="1:9" s="33" customFormat="1" ht="105">
      <c r="A1228" s="4">
        <v>43562.75571759259</v>
      </c>
      <c r="B1228" s="5" t="s">
        <v>14125</v>
      </c>
      <c r="C1228" s="6" t="s">
        <v>10599</v>
      </c>
      <c r="D1228" s="7" t="s">
        <v>10600</v>
      </c>
      <c r="E1228" s="8" t="s">
        <v>13011</v>
      </c>
      <c r="F1228" s="4">
        <v>41727.693657407406</v>
      </c>
      <c r="G1228" s="17" t="s">
        <v>13000</v>
      </c>
      <c r="H1228" s="35" t="s">
        <v>5622</v>
      </c>
      <c r="I1228" s="10" t="s">
        <v>10601</v>
      </c>
    </row>
    <row r="1229" spans="1:9" s="33" customFormat="1" ht="105">
      <c r="A1229" s="4">
        <v>43561.544629629629</v>
      </c>
      <c r="B1229" s="5" t="s">
        <v>14126</v>
      </c>
      <c r="C1229" s="6" t="s">
        <v>10936</v>
      </c>
      <c r="D1229" s="7" t="s">
        <v>10937</v>
      </c>
      <c r="E1229" s="8" t="s">
        <v>13006</v>
      </c>
      <c r="F1229" s="4">
        <v>39843.745740740742</v>
      </c>
      <c r="G1229" s="17" t="s">
        <v>13000</v>
      </c>
      <c r="H1229" s="35" t="s">
        <v>5622</v>
      </c>
      <c r="I1229" s="10" t="s">
        <v>10938</v>
      </c>
    </row>
    <row r="1230" spans="1:9" s="33" customFormat="1" ht="105">
      <c r="A1230" s="4">
        <v>43559.376215277778</v>
      </c>
      <c r="B1230" s="5" t="s">
        <v>14127</v>
      </c>
      <c r="C1230" s="6" t="s">
        <v>11865</v>
      </c>
      <c r="D1230" s="7" t="s">
        <v>11866</v>
      </c>
      <c r="E1230" s="8" t="s">
        <v>13009</v>
      </c>
      <c r="F1230" s="4">
        <v>42338.396956018521</v>
      </c>
      <c r="G1230" s="17" t="s">
        <v>13000</v>
      </c>
      <c r="H1230" s="35" t="s">
        <v>5622</v>
      </c>
      <c r="I1230" s="10" t="s">
        <v>11867</v>
      </c>
    </row>
    <row r="1231" spans="1:9" s="33" customFormat="1" ht="75">
      <c r="A1231" s="12">
        <v>43576.828819444447</v>
      </c>
      <c r="B1231" s="13" t="s">
        <v>14128</v>
      </c>
      <c r="C1231" s="14" t="s">
        <v>1813</v>
      </c>
      <c r="D1231" s="15" t="s">
        <v>1814</v>
      </c>
      <c r="E1231" s="16" t="s">
        <v>13032</v>
      </c>
      <c r="F1231" s="12">
        <v>40887.602581018517</v>
      </c>
      <c r="G1231" s="17" t="s">
        <v>13000</v>
      </c>
      <c r="H1231" s="35" t="s">
        <v>1815</v>
      </c>
      <c r="I1231" s="18" t="s">
        <v>1816</v>
      </c>
    </row>
    <row r="1232" spans="1:9" s="33" customFormat="1" ht="105">
      <c r="A1232" s="12">
        <v>43566.360115740739</v>
      </c>
      <c r="B1232" s="13" t="s">
        <v>14129</v>
      </c>
      <c r="C1232" s="14" t="s">
        <v>5620</v>
      </c>
      <c r="D1232" s="15" t="s">
        <v>5621</v>
      </c>
      <c r="E1232" s="16" t="s">
        <v>13009</v>
      </c>
      <c r="F1232" s="12">
        <v>39873.859664351854</v>
      </c>
      <c r="G1232" s="17" t="s">
        <v>13000</v>
      </c>
      <c r="H1232" s="35" t="s">
        <v>5622</v>
      </c>
      <c r="I1232" s="18" t="s">
        <v>5623</v>
      </c>
    </row>
    <row r="1233" spans="1:9" s="33" customFormat="1" ht="90">
      <c r="A1233" s="12">
        <v>43566.345648148148</v>
      </c>
      <c r="B1233" s="13" t="s">
        <v>14130</v>
      </c>
      <c r="C1233" s="14" t="s">
        <v>5639</v>
      </c>
      <c r="D1233" s="15" t="s">
        <v>5640</v>
      </c>
      <c r="E1233" s="16" t="s">
        <v>13009</v>
      </c>
      <c r="F1233" s="12">
        <v>43517.526678240742</v>
      </c>
      <c r="G1233" s="17" t="s">
        <v>13000</v>
      </c>
      <c r="H1233" s="35" t="s">
        <v>5622</v>
      </c>
      <c r="I1233" s="18" t="s">
        <v>5641</v>
      </c>
    </row>
    <row r="1234" spans="1:9" s="33" customFormat="1" ht="105">
      <c r="A1234" s="4">
        <v>43560.288414351853</v>
      </c>
      <c r="B1234" s="5" t="s">
        <v>14131</v>
      </c>
      <c r="C1234" s="6" t="s">
        <v>11503</v>
      </c>
      <c r="D1234" s="7" t="s">
        <v>11504</v>
      </c>
      <c r="E1234" s="8" t="s">
        <v>14132</v>
      </c>
      <c r="F1234" s="4">
        <v>39888.26829861111</v>
      </c>
      <c r="G1234" s="17" t="s">
        <v>13000</v>
      </c>
      <c r="H1234" s="35" t="s">
        <v>11505</v>
      </c>
      <c r="I1234" s="10" t="s">
        <v>11506</v>
      </c>
    </row>
    <row r="1235" spans="1:9" s="33" customFormat="1" ht="60">
      <c r="A1235" s="12">
        <v>43572.625231481477</v>
      </c>
      <c r="B1235" s="13" t="s">
        <v>14133</v>
      </c>
      <c r="C1235" s="14" t="s">
        <v>3132</v>
      </c>
      <c r="D1235" s="15" t="s">
        <v>3133</v>
      </c>
      <c r="E1235" s="16" t="s">
        <v>13479</v>
      </c>
      <c r="F1235" s="12">
        <v>41057.688125000001</v>
      </c>
      <c r="G1235" s="17" t="s">
        <v>13000</v>
      </c>
      <c r="H1235" s="35" t="s">
        <v>3134</v>
      </c>
      <c r="I1235" s="18" t="s">
        <v>3135</v>
      </c>
    </row>
    <row r="1236" spans="1:9" s="33" customFormat="1" ht="45">
      <c r="A1236" s="12">
        <v>43578.363888888889</v>
      </c>
      <c r="B1236" s="13" t="s">
        <v>14134</v>
      </c>
      <c r="C1236" s="14" t="s">
        <v>1264</v>
      </c>
      <c r="D1236" s="15" t="s">
        <v>1265</v>
      </c>
      <c r="E1236" s="16" t="s">
        <v>13120</v>
      </c>
      <c r="F1236" s="12">
        <v>39827.640231481484</v>
      </c>
      <c r="G1236" s="17" t="s">
        <v>13000</v>
      </c>
      <c r="H1236" s="35" t="s">
        <v>1266</v>
      </c>
      <c r="I1236" s="18" t="s">
        <v>1267</v>
      </c>
    </row>
    <row r="1237" spans="1:9" s="33" customFormat="1" ht="90">
      <c r="A1237" s="12">
        <v>43573.708726851852</v>
      </c>
      <c r="B1237" s="13" t="s">
        <v>14135</v>
      </c>
      <c r="C1237" s="14" t="s">
        <v>2763</v>
      </c>
      <c r="D1237" s="15" t="s">
        <v>2764</v>
      </c>
      <c r="E1237" s="16" t="s">
        <v>13018</v>
      </c>
      <c r="F1237" s="12">
        <v>41820.556979166664</v>
      </c>
      <c r="G1237" s="24" t="s">
        <v>13000</v>
      </c>
      <c r="H1237" s="35" t="s">
        <v>2765</v>
      </c>
      <c r="I1237" s="18" t="s">
        <v>2766</v>
      </c>
    </row>
    <row r="1238" spans="1:9" s="33" customFormat="1" ht="60">
      <c r="A1238" s="12">
        <v>43572.804803240739</v>
      </c>
      <c r="B1238" s="13" t="s">
        <v>14136</v>
      </c>
      <c r="C1238" s="14" t="s">
        <v>3085</v>
      </c>
      <c r="D1238" s="15" t="s">
        <v>3086</v>
      </c>
      <c r="E1238" s="16" t="s">
        <v>13009</v>
      </c>
      <c r="F1238" s="12">
        <v>43060.373148148152</v>
      </c>
      <c r="G1238" s="24" t="s">
        <v>13000</v>
      </c>
      <c r="H1238" s="35" t="s">
        <v>2765</v>
      </c>
      <c r="I1238" s="18" t="s">
        <v>3087</v>
      </c>
    </row>
    <row r="1239" spans="1:9" s="33" customFormat="1" ht="105">
      <c r="A1239" s="19">
        <v>43544.467581018514</v>
      </c>
      <c r="B1239" s="20" t="s">
        <v>14137</v>
      </c>
      <c r="C1239" s="21" t="s">
        <v>9448</v>
      </c>
      <c r="D1239" s="22" t="s">
        <v>9449</v>
      </c>
      <c r="E1239" s="23" t="s">
        <v>13479</v>
      </c>
      <c r="F1239" s="19">
        <v>40178.537812499999</v>
      </c>
      <c r="G1239" s="24" t="s">
        <v>13000</v>
      </c>
      <c r="H1239" s="35" t="s">
        <v>9450</v>
      </c>
      <c r="I1239" s="25" t="s">
        <v>9451</v>
      </c>
    </row>
    <row r="1240" spans="1:9" s="33" customFormat="1" ht="105">
      <c r="A1240" s="12">
        <v>43566.514502314814</v>
      </c>
      <c r="B1240" s="13" t="s">
        <v>14138</v>
      </c>
      <c r="C1240" s="14" t="s">
        <v>5464</v>
      </c>
      <c r="D1240" s="15" t="s">
        <v>5465</v>
      </c>
      <c r="E1240" s="16" t="s">
        <v>13013</v>
      </c>
      <c r="F1240" s="12">
        <v>41203.582754629628</v>
      </c>
      <c r="G1240" s="17" t="s">
        <v>13000</v>
      </c>
      <c r="H1240" s="35" t="s">
        <v>5466</v>
      </c>
      <c r="I1240" s="18" t="s">
        <v>5467</v>
      </c>
    </row>
    <row r="1241" spans="1:9" s="33" customFormat="1" ht="90">
      <c r="A1241" s="19">
        <v>43548.388472222221</v>
      </c>
      <c r="B1241" s="20" t="s">
        <v>14139</v>
      </c>
      <c r="C1241" s="21" t="s">
        <v>8334</v>
      </c>
      <c r="D1241" s="22" t="s">
        <v>8335</v>
      </c>
      <c r="E1241" s="23" t="s">
        <v>13032</v>
      </c>
      <c r="F1241" s="19">
        <v>39883.423148148147</v>
      </c>
      <c r="G1241" s="17" t="s">
        <v>13000</v>
      </c>
      <c r="H1241" s="35" t="s">
        <v>8336</v>
      </c>
      <c r="I1241" s="25" t="s">
        <v>8337</v>
      </c>
    </row>
    <row r="1242" spans="1:9" s="33" customFormat="1" ht="105">
      <c r="A1242" s="19">
        <v>43548.640729166669</v>
      </c>
      <c r="B1242" s="20" t="s">
        <v>14140</v>
      </c>
      <c r="C1242" s="21" t="s">
        <v>8260</v>
      </c>
      <c r="D1242" s="22" t="s">
        <v>8261</v>
      </c>
      <c r="E1242" s="23" t="s">
        <v>13009</v>
      </c>
      <c r="F1242" s="19">
        <v>42117.877615740741</v>
      </c>
      <c r="G1242" s="17" t="s">
        <v>13000</v>
      </c>
      <c r="H1242" s="35" t="s">
        <v>6885</v>
      </c>
      <c r="I1242" s="25" t="s">
        <v>8262</v>
      </c>
    </row>
    <row r="1243" spans="1:9" s="33" customFormat="1" ht="45">
      <c r="A1243" s="4">
        <v>43563.77444444444</v>
      </c>
      <c r="B1243" s="5" t="s">
        <v>14141</v>
      </c>
      <c r="C1243" s="6" t="s">
        <v>6883</v>
      </c>
      <c r="D1243" s="7" t="s">
        <v>6884</v>
      </c>
      <c r="E1243" s="8" t="s">
        <v>13011</v>
      </c>
      <c r="F1243" s="4">
        <v>40467.414143518516</v>
      </c>
      <c r="G1243" s="17" t="s">
        <v>13000</v>
      </c>
      <c r="H1243" s="35" t="s">
        <v>6885</v>
      </c>
      <c r="I1243" s="10"/>
    </row>
    <row r="1244" spans="1:9" s="33" customFormat="1" ht="105">
      <c r="A1244" s="19">
        <v>43551.412893518514</v>
      </c>
      <c r="B1244" s="20" t="s">
        <v>14142</v>
      </c>
      <c r="C1244" s="21" t="s">
        <v>7217</v>
      </c>
      <c r="D1244" s="22" t="s">
        <v>7218</v>
      </c>
      <c r="E1244" s="23" t="s">
        <v>13011</v>
      </c>
      <c r="F1244" s="19">
        <v>41467.520115740743</v>
      </c>
      <c r="G1244" s="17" t="s">
        <v>13000</v>
      </c>
      <c r="H1244" s="35" t="s">
        <v>6917</v>
      </c>
      <c r="I1244" s="25" t="s">
        <v>7219</v>
      </c>
    </row>
    <row r="1245" spans="1:9" s="33" customFormat="1" ht="120">
      <c r="A1245" s="4">
        <v>43563.702615740738</v>
      </c>
      <c r="B1245" s="5" t="s">
        <v>14143</v>
      </c>
      <c r="C1245" s="6" t="s">
        <v>6915</v>
      </c>
      <c r="D1245" s="7" t="s">
        <v>6916</v>
      </c>
      <c r="E1245" s="8" t="s">
        <v>13011</v>
      </c>
      <c r="F1245" s="4">
        <v>40706.417731481481</v>
      </c>
      <c r="G1245" s="17" t="s">
        <v>13000</v>
      </c>
      <c r="H1245" s="35" t="s">
        <v>6917</v>
      </c>
      <c r="I1245" s="10" t="s">
        <v>6918</v>
      </c>
    </row>
    <row r="1246" spans="1:9" s="33" customFormat="1" ht="105">
      <c r="A1246" s="4">
        <v>43557.617256944446</v>
      </c>
      <c r="B1246" s="5" t="s">
        <v>14142</v>
      </c>
      <c r="C1246" s="6" t="s">
        <v>7217</v>
      </c>
      <c r="D1246" s="7" t="s">
        <v>12441</v>
      </c>
      <c r="E1246" s="8" t="s">
        <v>13011</v>
      </c>
      <c r="F1246" s="4">
        <v>41467.520115740743</v>
      </c>
      <c r="G1246" s="17" t="s">
        <v>13000</v>
      </c>
      <c r="H1246" s="35" t="s">
        <v>6917</v>
      </c>
      <c r="I1246" s="10" t="s">
        <v>7219</v>
      </c>
    </row>
    <row r="1247" spans="1:9" s="33" customFormat="1" ht="120">
      <c r="A1247" s="4">
        <v>43557.409652777773</v>
      </c>
      <c r="B1247" s="5" t="s">
        <v>14143</v>
      </c>
      <c r="C1247" s="6" t="s">
        <v>6915</v>
      </c>
      <c r="D1247" s="7" t="s">
        <v>12522</v>
      </c>
      <c r="E1247" s="8" t="s">
        <v>13011</v>
      </c>
      <c r="F1247" s="4">
        <v>40706.417731481481</v>
      </c>
      <c r="G1247" s="17" t="s">
        <v>13000</v>
      </c>
      <c r="H1247" s="35" t="s">
        <v>6917</v>
      </c>
      <c r="I1247" s="10" t="s">
        <v>6918</v>
      </c>
    </row>
    <row r="1248" spans="1:9" s="33" customFormat="1" ht="45">
      <c r="A1248" s="19">
        <v>43549.893657407403</v>
      </c>
      <c r="B1248" s="20" t="s">
        <v>14144</v>
      </c>
      <c r="C1248" s="21" t="s">
        <v>7881</v>
      </c>
      <c r="D1248" s="22" t="s">
        <v>7882</v>
      </c>
      <c r="E1248" s="23" t="s">
        <v>13011</v>
      </c>
      <c r="F1248" s="19">
        <v>39274.554351851853</v>
      </c>
      <c r="G1248" s="17" t="s">
        <v>13000</v>
      </c>
      <c r="H1248" s="35" t="s">
        <v>7883</v>
      </c>
      <c r="I1248" s="25" t="s">
        <v>7884</v>
      </c>
    </row>
    <row r="1249" spans="1:9" s="33" customFormat="1" ht="105">
      <c r="A1249" s="19">
        <v>43551.833726851852</v>
      </c>
      <c r="B1249" s="20" t="s">
        <v>14145</v>
      </c>
      <c r="C1249" s="21" t="s">
        <v>435</v>
      </c>
      <c r="D1249" s="22" t="s">
        <v>6987</v>
      </c>
      <c r="E1249" s="23" t="s">
        <v>13027</v>
      </c>
      <c r="F1249" s="19">
        <v>41787.481631944444</v>
      </c>
      <c r="G1249" s="17" t="s">
        <v>13000</v>
      </c>
      <c r="H1249" s="35" t="s">
        <v>437</v>
      </c>
      <c r="I1249" s="25" t="s">
        <v>438</v>
      </c>
    </row>
    <row r="1250" spans="1:9" s="33" customFormat="1" ht="105">
      <c r="A1250" s="19">
        <v>43550.833483796298</v>
      </c>
      <c r="B1250" s="20" t="s">
        <v>14145</v>
      </c>
      <c r="C1250" s="21" t="s">
        <v>435</v>
      </c>
      <c r="D1250" s="22" t="s">
        <v>7491</v>
      </c>
      <c r="E1250" s="23" t="s">
        <v>13027</v>
      </c>
      <c r="F1250" s="19">
        <v>41787.481631944444</v>
      </c>
      <c r="G1250" s="17" t="s">
        <v>13000</v>
      </c>
      <c r="H1250" s="35" t="s">
        <v>437</v>
      </c>
      <c r="I1250" s="25" t="s">
        <v>438</v>
      </c>
    </row>
    <row r="1251" spans="1:9" s="33" customFormat="1" ht="105">
      <c r="A1251" s="19">
        <v>43549.833622685182</v>
      </c>
      <c r="B1251" s="20" t="s">
        <v>14145</v>
      </c>
      <c r="C1251" s="21" t="s">
        <v>435</v>
      </c>
      <c r="D1251" s="22" t="s">
        <v>7907</v>
      </c>
      <c r="E1251" s="23" t="s">
        <v>13027</v>
      </c>
      <c r="F1251" s="19">
        <v>41787.481631944444</v>
      </c>
      <c r="G1251" s="17" t="s">
        <v>13000</v>
      </c>
      <c r="H1251" s="35" t="s">
        <v>437</v>
      </c>
      <c r="I1251" s="25" t="s">
        <v>438</v>
      </c>
    </row>
    <row r="1252" spans="1:9" s="33" customFormat="1" ht="105">
      <c r="A1252" s="19">
        <v>43548.833483796298</v>
      </c>
      <c r="B1252" s="20" t="s">
        <v>14145</v>
      </c>
      <c r="C1252" s="21" t="s">
        <v>435</v>
      </c>
      <c r="D1252" s="22" t="s">
        <v>8215</v>
      </c>
      <c r="E1252" s="23" t="s">
        <v>13027</v>
      </c>
      <c r="F1252" s="19">
        <v>41787.481631944444</v>
      </c>
      <c r="G1252" s="17" t="s">
        <v>13000</v>
      </c>
      <c r="H1252" s="35" t="s">
        <v>437</v>
      </c>
      <c r="I1252" s="25" t="s">
        <v>438</v>
      </c>
    </row>
    <row r="1253" spans="1:9" s="33" customFormat="1" ht="105">
      <c r="A1253" s="19">
        <v>43547.833958333329</v>
      </c>
      <c r="B1253" s="20" t="s">
        <v>14145</v>
      </c>
      <c r="C1253" s="21" t="s">
        <v>435</v>
      </c>
      <c r="D1253" s="22" t="s">
        <v>8467</v>
      </c>
      <c r="E1253" s="23" t="s">
        <v>13027</v>
      </c>
      <c r="F1253" s="19">
        <v>41787.481631944444</v>
      </c>
      <c r="G1253" s="17" t="s">
        <v>13000</v>
      </c>
      <c r="H1253" s="35" t="s">
        <v>437</v>
      </c>
      <c r="I1253" s="25" t="s">
        <v>438</v>
      </c>
    </row>
    <row r="1254" spans="1:9" s="33" customFormat="1" ht="105">
      <c r="A1254" s="19">
        <v>43546.834108796298</v>
      </c>
      <c r="B1254" s="20" t="s">
        <v>14145</v>
      </c>
      <c r="C1254" s="21" t="s">
        <v>435</v>
      </c>
      <c r="D1254" s="22" t="s">
        <v>8718</v>
      </c>
      <c r="E1254" s="23" t="s">
        <v>13027</v>
      </c>
      <c r="F1254" s="19">
        <v>41787.481631944444</v>
      </c>
      <c r="G1254" s="17" t="s">
        <v>13000</v>
      </c>
      <c r="H1254" s="35" t="s">
        <v>437</v>
      </c>
      <c r="I1254" s="25" t="s">
        <v>438</v>
      </c>
    </row>
    <row r="1255" spans="1:9" s="33" customFormat="1" ht="105">
      <c r="A1255" s="19">
        <v>43545.833553240736</v>
      </c>
      <c r="B1255" s="20" t="s">
        <v>14145</v>
      </c>
      <c r="C1255" s="21" t="s">
        <v>435</v>
      </c>
      <c r="D1255" s="22" t="s">
        <v>9030</v>
      </c>
      <c r="E1255" s="23" t="s">
        <v>13027</v>
      </c>
      <c r="F1255" s="19">
        <v>41787.481631944444</v>
      </c>
      <c r="G1255" s="17" t="s">
        <v>13000</v>
      </c>
      <c r="H1255" s="35" t="s">
        <v>437</v>
      </c>
      <c r="I1255" s="25" t="s">
        <v>438</v>
      </c>
    </row>
    <row r="1256" spans="1:9" s="33" customFormat="1" ht="105">
      <c r="A1256" s="19">
        <v>43544.833587962959</v>
      </c>
      <c r="B1256" s="20" t="s">
        <v>14145</v>
      </c>
      <c r="C1256" s="21" t="s">
        <v>435</v>
      </c>
      <c r="D1256" s="22" t="s">
        <v>9321</v>
      </c>
      <c r="E1256" s="23" t="s">
        <v>13027</v>
      </c>
      <c r="F1256" s="19">
        <v>41787.481631944444</v>
      </c>
      <c r="G1256" s="17" t="s">
        <v>13000</v>
      </c>
      <c r="H1256" s="35" t="s">
        <v>437</v>
      </c>
      <c r="I1256" s="25" t="s">
        <v>438</v>
      </c>
    </row>
    <row r="1257" spans="1:9" s="33" customFormat="1" ht="105">
      <c r="A1257" s="19">
        <v>43543.833599537036</v>
      </c>
      <c r="B1257" s="20" t="s">
        <v>14145</v>
      </c>
      <c r="C1257" s="21" t="s">
        <v>435</v>
      </c>
      <c r="D1257" s="22" t="s">
        <v>9675</v>
      </c>
      <c r="E1257" s="23" t="s">
        <v>13027</v>
      </c>
      <c r="F1257" s="19">
        <v>41787.481631944444</v>
      </c>
      <c r="G1257" s="17" t="s">
        <v>13000</v>
      </c>
      <c r="H1257" s="35" t="s">
        <v>437</v>
      </c>
      <c r="I1257" s="25" t="s">
        <v>438</v>
      </c>
    </row>
    <row r="1258" spans="1:9" s="33" customFormat="1" ht="75">
      <c r="A1258" s="19">
        <v>43543.705034722225</v>
      </c>
      <c r="B1258" s="20" t="s">
        <v>14146</v>
      </c>
      <c r="C1258" s="21" t="s">
        <v>9699</v>
      </c>
      <c r="D1258" s="22" t="s">
        <v>9700</v>
      </c>
      <c r="E1258" s="23" t="s">
        <v>13009</v>
      </c>
      <c r="F1258" s="19">
        <v>39577.251099537039</v>
      </c>
      <c r="G1258" s="17" t="s">
        <v>13000</v>
      </c>
      <c r="H1258" s="35" t="s">
        <v>437</v>
      </c>
      <c r="I1258" s="25" t="s">
        <v>9701</v>
      </c>
    </row>
    <row r="1259" spans="1:9" s="33" customFormat="1" ht="105">
      <c r="A1259" s="19">
        <v>43542.833449074074</v>
      </c>
      <c r="B1259" s="20" t="s">
        <v>14145</v>
      </c>
      <c r="C1259" s="21" t="s">
        <v>435</v>
      </c>
      <c r="D1259" s="22" t="s">
        <v>10007</v>
      </c>
      <c r="E1259" s="23" t="s">
        <v>13027</v>
      </c>
      <c r="F1259" s="19">
        <v>41787.481631944444</v>
      </c>
      <c r="G1259" s="17" t="s">
        <v>13000</v>
      </c>
      <c r="H1259" s="35" t="s">
        <v>437</v>
      </c>
      <c r="I1259" s="25" t="s">
        <v>438</v>
      </c>
    </row>
    <row r="1260" spans="1:9" s="33" customFormat="1" ht="105">
      <c r="A1260" s="4">
        <v>43565.833495370374</v>
      </c>
      <c r="B1260" s="5" t="s">
        <v>14145</v>
      </c>
      <c r="C1260" s="6" t="s">
        <v>435</v>
      </c>
      <c r="D1260" s="7" t="s">
        <v>5883</v>
      </c>
      <c r="E1260" s="8" t="s">
        <v>13027</v>
      </c>
      <c r="F1260" s="4">
        <v>41787.481631944444</v>
      </c>
      <c r="G1260" s="17" t="s">
        <v>13000</v>
      </c>
      <c r="H1260" s="35" t="s">
        <v>437</v>
      </c>
      <c r="I1260" s="10" t="s">
        <v>438</v>
      </c>
    </row>
    <row r="1261" spans="1:9" s="33" customFormat="1" ht="105">
      <c r="A1261" s="4">
        <v>43564.833726851852</v>
      </c>
      <c r="B1261" s="5" t="s">
        <v>14145</v>
      </c>
      <c r="C1261" s="6" t="s">
        <v>435</v>
      </c>
      <c r="D1261" s="7" t="s">
        <v>6399</v>
      </c>
      <c r="E1261" s="8" t="s">
        <v>13027</v>
      </c>
      <c r="F1261" s="4">
        <v>41787.481631944444</v>
      </c>
      <c r="G1261" s="17" t="s">
        <v>13000</v>
      </c>
      <c r="H1261" s="35" t="s">
        <v>437</v>
      </c>
      <c r="I1261" s="10" t="s">
        <v>438</v>
      </c>
    </row>
    <row r="1262" spans="1:9" s="33" customFormat="1" ht="105">
      <c r="A1262" s="4">
        <v>43563.833530092597</v>
      </c>
      <c r="B1262" s="5" t="s">
        <v>14145</v>
      </c>
      <c r="C1262" s="6" t="s">
        <v>435</v>
      </c>
      <c r="D1262" s="7" t="s">
        <v>6868</v>
      </c>
      <c r="E1262" s="8" t="s">
        <v>13027</v>
      </c>
      <c r="F1262" s="4">
        <v>41787.481631944444</v>
      </c>
      <c r="G1262" s="17" t="s">
        <v>13000</v>
      </c>
      <c r="H1262" s="35" t="s">
        <v>437</v>
      </c>
      <c r="I1262" s="10" t="s">
        <v>438</v>
      </c>
    </row>
    <row r="1263" spans="1:9" s="33" customFormat="1" ht="90">
      <c r="A1263" s="4">
        <v>43563.362743055557</v>
      </c>
      <c r="B1263" s="5" t="s">
        <v>14147</v>
      </c>
      <c r="C1263" s="6" t="s">
        <v>10332</v>
      </c>
      <c r="D1263" s="7" t="s">
        <v>10333</v>
      </c>
      <c r="E1263" s="8" t="s">
        <v>13011</v>
      </c>
      <c r="F1263" s="4">
        <v>43554.6090162037</v>
      </c>
      <c r="G1263" s="17" t="s">
        <v>13000</v>
      </c>
      <c r="H1263" s="35" t="s">
        <v>437</v>
      </c>
      <c r="I1263" s="10" t="s">
        <v>10334</v>
      </c>
    </row>
    <row r="1264" spans="1:9" s="33" customFormat="1" ht="105">
      <c r="A1264" s="4">
        <v>43562.833726851852</v>
      </c>
      <c r="B1264" s="5" t="s">
        <v>14145</v>
      </c>
      <c r="C1264" s="6" t="s">
        <v>435</v>
      </c>
      <c r="D1264" s="7" t="s">
        <v>10568</v>
      </c>
      <c r="E1264" s="8" t="s">
        <v>13027</v>
      </c>
      <c r="F1264" s="4">
        <v>41787.481631944444</v>
      </c>
      <c r="G1264" s="17" t="s">
        <v>13000</v>
      </c>
      <c r="H1264" s="35" t="s">
        <v>437</v>
      </c>
      <c r="I1264" s="10" t="s">
        <v>438</v>
      </c>
    </row>
    <row r="1265" spans="1:9" s="33" customFormat="1" ht="105">
      <c r="A1265" s="4">
        <v>43561.833969907406</v>
      </c>
      <c r="B1265" s="5" t="s">
        <v>14145</v>
      </c>
      <c r="C1265" s="6" t="s">
        <v>435</v>
      </c>
      <c r="D1265" s="7" t="s">
        <v>10814</v>
      </c>
      <c r="E1265" s="8" t="s">
        <v>13027</v>
      </c>
      <c r="F1265" s="4">
        <v>41787.481631944444</v>
      </c>
      <c r="G1265" s="17" t="s">
        <v>13000</v>
      </c>
      <c r="H1265" s="35" t="s">
        <v>437</v>
      </c>
      <c r="I1265" s="10" t="s">
        <v>438</v>
      </c>
    </row>
    <row r="1266" spans="1:9" s="33" customFormat="1" ht="105">
      <c r="A1266" s="4">
        <v>43560.833645833336</v>
      </c>
      <c r="B1266" s="5" t="s">
        <v>14145</v>
      </c>
      <c r="C1266" s="6" t="s">
        <v>435</v>
      </c>
      <c r="D1266" s="7" t="s">
        <v>11149</v>
      </c>
      <c r="E1266" s="8" t="s">
        <v>13027</v>
      </c>
      <c r="F1266" s="4">
        <v>41787.481631944444</v>
      </c>
      <c r="G1266" s="17" t="s">
        <v>13000</v>
      </c>
      <c r="H1266" s="35" t="s">
        <v>437</v>
      </c>
      <c r="I1266" s="10" t="s">
        <v>438</v>
      </c>
    </row>
    <row r="1267" spans="1:9" s="33" customFormat="1" ht="105">
      <c r="A1267" s="4">
        <v>43559.834560185191</v>
      </c>
      <c r="B1267" s="5" t="s">
        <v>14145</v>
      </c>
      <c r="C1267" s="6" t="s">
        <v>435</v>
      </c>
      <c r="D1267" s="7" t="s">
        <v>11678</v>
      </c>
      <c r="E1267" s="8" t="s">
        <v>13027</v>
      </c>
      <c r="F1267" s="4">
        <v>41787.481631944444</v>
      </c>
      <c r="G1267" s="17" t="s">
        <v>13000</v>
      </c>
      <c r="H1267" s="35" t="s">
        <v>437</v>
      </c>
      <c r="I1267" s="10" t="s">
        <v>438</v>
      </c>
    </row>
    <row r="1268" spans="1:9" s="33" customFormat="1" ht="105">
      <c r="A1268" s="4">
        <v>43558.833587962959</v>
      </c>
      <c r="B1268" s="5" t="s">
        <v>14145</v>
      </c>
      <c r="C1268" s="6" t="s">
        <v>435</v>
      </c>
      <c r="D1268" s="7" t="s">
        <v>12030</v>
      </c>
      <c r="E1268" s="8" t="s">
        <v>13027</v>
      </c>
      <c r="F1268" s="4">
        <v>41787.481631944444</v>
      </c>
      <c r="G1268" s="17" t="s">
        <v>13000</v>
      </c>
      <c r="H1268" s="35" t="s">
        <v>437</v>
      </c>
      <c r="I1268" s="10" t="s">
        <v>438</v>
      </c>
    </row>
    <row r="1269" spans="1:9" s="33" customFormat="1" ht="105">
      <c r="A1269" s="4">
        <v>43557.833449074074</v>
      </c>
      <c r="B1269" s="5" t="s">
        <v>14145</v>
      </c>
      <c r="C1269" s="6" t="s">
        <v>435</v>
      </c>
      <c r="D1269" s="7" t="s">
        <v>12381</v>
      </c>
      <c r="E1269" s="8" t="s">
        <v>13027</v>
      </c>
      <c r="F1269" s="4">
        <v>41787.481631944444</v>
      </c>
      <c r="G1269" s="17" t="s">
        <v>13000</v>
      </c>
      <c r="H1269" s="35" t="s">
        <v>437</v>
      </c>
      <c r="I1269" s="10" t="s">
        <v>438</v>
      </c>
    </row>
    <row r="1270" spans="1:9" s="33" customFormat="1" ht="105">
      <c r="A1270" s="4">
        <v>43556.833680555559</v>
      </c>
      <c r="B1270" s="5" t="s">
        <v>14145</v>
      </c>
      <c r="C1270" s="6" t="s">
        <v>435</v>
      </c>
      <c r="D1270" s="7" t="s">
        <v>12730</v>
      </c>
      <c r="E1270" s="8" t="s">
        <v>13027</v>
      </c>
      <c r="F1270" s="4">
        <v>41787.481631944444</v>
      </c>
      <c r="G1270" s="17" t="s">
        <v>13000</v>
      </c>
      <c r="H1270" s="35" t="s">
        <v>437</v>
      </c>
      <c r="I1270" s="10" t="s">
        <v>438</v>
      </c>
    </row>
    <row r="1271" spans="1:9" s="33" customFormat="1" ht="105">
      <c r="A1271" s="12">
        <v>43579.834444444445</v>
      </c>
      <c r="B1271" s="13" t="s">
        <v>14145</v>
      </c>
      <c r="C1271" s="14" t="s">
        <v>435</v>
      </c>
      <c r="D1271" s="15" t="s">
        <v>436</v>
      </c>
      <c r="E1271" s="16" t="s">
        <v>13027</v>
      </c>
      <c r="F1271" s="12">
        <v>41787.481631944444</v>
      </c>
      <c r="G1271" s="17" t="s">
        <v>13000</v>
      </c>
      <c r="H1271" s="35" t="s">
        <v>437</v>
      </c>
      <c r="I1271" s="18" t="s">
        <v>438</v>
      </c>
    </row>
    <row r="1272" spans="1:9" s="33" customFormat="1" ht="105">
      <c r="A1272" s="12">
        <v>43578.833657407406</v>
      </c>
      <c r="B1272" s="13" t="s">
        <v>14145</v>
      </c>
      <c r="C1272" s="14" t="s">
        <v>435</v>
      </c>
      <c r="D1272" s="15" t="s">
        <v>1022</v>
      </c>
      <c r="E1272" s="16" t="s">
        <v>13027</v>
      </c>
      <c r="F1272" s="12">
        <v>41787.481631944444</v>
      </c>
      <c r="G1272" s="17" t="s">
        <v>13000</v>
      </c>
      <c r="H1272" s="35" t="s">
        <v>437</v>
      </c>
      <c r="I1272" s="18" t="s">
        <v>438</v>
      </c>
    </row>
    <row r="1273" spans="1:9" s="33" customFormat="1" ht="105">
      <c r="A1273" s="12">
        <v>43577.833715277782</v>
      </c>
      <c r="B1273" s="13" t="s">
        <v>14145</v>
      </c>
      <c r="C1273" s="14" t="s">
        <v>435</v>
      </c>
      <c r="D1273" s="15" t="s">
        <v>1488</v>
      </c>
      <c r="E1273" s="16" t="s">
        <v>13027</v>
      </c>
      <c r="F1273" s="12">
        <v>41787.481631944444</v>
      </c>
      <c r="G1273" s="17" t="s">
        <v>13000</v>
      </c>
      <c r="H1273" s="35" t="s">
        <v>437</v>
      </c>
      <c r="I1273" s="18" t="s">
        <v>438</v>
      </c>
    </row>
    <row r="1274" spans="1:9" s="33" customFormat="1" ht="105">
      <c r="A1274" s="12">
        <v>43576.834027777775</v>
      </c>
      <c r="B1274" s="13" t="s">
        <v>14145</v>
      </c>
      <c r="C1274" s="14" t="s">
        <v>435</v>
      </c>
      <c r="D1274" s="15" t="s">
        <v>1812</v>
      </c>
      <c r="E1274" s="16" t="s">
        <v>13027</v>
      </c>
      <c r="F1274" s="12">
        <v>41787.481631944444</v>
      </c>
      <c r="G1274" s="17" t="s">
        <v>13000</v>
      </c>
      <c r="H1274" s="35" t="s">
        <v>437</v>
      </c>
      <c r="I1274" s="18" t="s">
        <v>438</v>
      </c>
    </row>
    <row r="1275" spans="1:9" s="33" customFormat="1" ht="105">
      <c r="A1275" s="12">
        <v>43575.833819444444</v>
      </c>
      <c r="B1275" s="13" t="s">
        <v>14145</v>
      </c>
      <c r="C1275" s="14" t="s">
        <v>435</v>
      </c>
      <c r="D1275" s="15" t="s">
        <v>2111</v>
      </c>
      <c r="E1275" s="16" t="s">
        <v>13027</v>
      </c>
      <c r="F1275" s="12">
        <v>41787.481631944444</v>
      </c>
      <c r="G1275" s="17" t="s">
        <v>13000</v>
      </c>
      <c r="H1275" s="35" t="s">
        <v>437</v>
      </c>
      <c r="I1275" s="18" t="s">
        <v>438</v>
      </c>
    </row>
    <row r="1276" spans="1:9" s="33" customFormat="1" ht="105">
      <c r="A1276" s="12">
        <v>43574.834328703699</v>
      </c>
      <c r="B1276" s="13" t="s">
        <v>14145</v>
      </c>
      <c r="C1276" s="14" t="s">
        <v>435</v>
      </c>
      <c r="D1276" s="15" t="s">
        <v>2421</v>
      </c>
      <c r="E1276" s="16" t="s">
        <v>13027</v>
      </c>
      <c r="F1276" s="12">
        <v>41787.481631944444</v>
      </c>
      <c r="G1276" s="17" t="s">
        <v>13000</v>
      </c>
      <c r="H1276" s="35" t="s">
        <v>437</v>
      </c>
      <c r="I1276" s="18" t="s">
        <v>438</v>
      </c>
    </row>
    <row r="1277" spans="1:9" s="33" customFormat="1" ht="105">
      <c r="A1277" s="12">
        <v>43573.834328703699</v>
      </c>
      <c r="B1277" s="13" t="s">
        <v>14145</v>
      </c>
      <c r="C1277" s="14" t="s">
        <v>435</v>
      </c>
      <c r="D1277" s="15" t="s">
        <v>2722</v>
      </c>
      <c r="E1277" s="16" t="s">
        <v>13027</v>
      </c>
      <c r="F1277" s="12">
        <v>41787.481631944444</v>
      </c>
      <c r="G1277" s="17" t="s">
        <v>13000</v>
      </c>
      <c r="H1277" s="35" t="s">
        <v>437</v>
      </c>
      <c r="I1277" s="18" t="s">
        <v>438</v>
      </c>
    </row>
    <row r="1278" spans="1:9" s="33" customFormat="1" ht="105">
      <c r="A1278" s="12">
        <v>43572.833553240736</v>
      </c>
      <c r="B1278" s="13" t="s">
        <v>14145</v>
      </c>
      <c r="C1278" s="14" t="s">
        <v>435</v>
      </c>
      <c r="D1278" s="15" t="s">
        <v>3078</v>
      </c>
      <c r="E1278" s="16" t="s">
        <v>13027</v>
      </c>
      <c r="F1278" s="12">
        <v>41787.481631944444</v>
      </c>
      <c r="G1278" s="17" t="s">
        <v>13000</v>
      </c>
      <c r="H1278" s="35" t="s">
        <v>437</v>
      </c>
      <c r="I1278" s="18" t="s">
        <v>438</v>
      </c>
    </row>
    <row r="1279" spans="1:9" s="33" customFormat="1" ht="105">
      <c r="A1279" s="12">
        <v>43571.833622685182</v>
      </c>
      <c r="B1279" s="13" t="s">
        <v>14145</v>
      </c>
      <c r="C1279" s="14" t="s">
        <v>435</v>
      </c>
      <c r="D1279" s="15" t="s">
        <v>3533</v>
      </c>
      <c r="E1279" s="16" t="s">
        <v>13027</v>
      </c>
      <c r="F1279" s="12">
        <v>41787.481631944444</v>
      </c>
      <c r="G1279" s="17" t="s">
        <v>13000</v>
      </c>
      <c r="H1279" s="35" t="s">
        <v>437</v>
      </c>
      <c r="I1279" s="18" t="s">
        <v>438</v>
      </c>
    </row>
    <row r="1280" spans="1:9" s="33" customFormat="1" ht="105">
      <c r="A1280" s="12">
        <v>43570.83421296296</v>
      </c>
      <c r="B1280" s="13" t="s">
        <v>14145</v>
      </c>
      <c r="C1280" s="14" t="s">
        <v>435</v>
      </c>
      <c r="D1280" s="15" t="s">
        <v>3969</v>
      </c>
      <c r="E1280" s="16" t="s">
        <v>13027</v>
      </c>
      <c r="F1280" s="12">
        <v>41787.481631944444</v>
      </c>
      <c r="G1280" s="17" t="s">
        <v>13000</v>
      </c>
      <c r="H1280" s="35" t="s">
        <v>437</v>
      </c>
      <c r="I1280" s="18" t="s">
        <v>438</v>
      </c>
    </row>
    <row r="1281" spans="1:9" s="33" customFormat="1" ht="105">
      <c r="A1281" s="12">
        <v>43569.834282407406</v>
      </c>
      <c r="B1281" s="13" t="s">
        <v>14145</v>
      </c>
      <c r="C1281" s="14" t="s">
        <v>435</v>
      </c>
      <c r="D1281" s="15" t="s">
        <v>4392</v>
      </c>
      <c r="E1281" s="16" t="s">
        <v>13027</v>
      </c>
      <c r="F1281" s="12">
        <v>41787.481631944444</v>
      </c>
      <c r="G1281" s="17" t="s">
        <v>13000</v>
      </c>
      <c r="H1281" s="35" t="s">
        <v>437</v>
      </c>
      <c r="I1281" s="18" t="s">
        <v>438</v>
      </c>
    </row>
    <row r="1282" spans="1:9" s="33" customFormat="1" ht="105">
      <c r="A1282" s="12">
        <v>43568.83430555556</v>
      </c>
      <c r="B1282" s="13" t="s">
        <v>14145</v>
      </c>
      <c r="C1282" s="14" t="s">
        <v>435</v>
      </c>
      <c r="D1282" s="15" t="s">
        <v>4652</v>
      </c>
      <c r="E1282" s="16" t="s">
        <v>13027</v>
      </c>
      <c r="F1282" s="12">
        <v>41787.481631944444</v>
      </c>
      <c r="G1282" s="17" t="s">
        <v>13000</v>
      </c>
      <c r="H1282" s="35" t="s">
        <v>437</v>
      </c>
      <c r="I1282" s="18" t="s">
        <v>438</v>
      </c>
    </row>
    <row r="1283" spans="1:9" s="33" customFormat="1" ht="105">
      <c r="A1283" s="12">
        <v>43567.834155092598</v>
      </c>
      <c r="B1283" s="13" t="s">
        <v>14145</v>
      </c>
      <c r="C1283" s="14" t="s">
        <v>435</v>
      </c>
      <c r="D1283" s="15" t="s">
        <v>4943</v>
      </c>
      <c r="E1283" s="16" t="s">
        <v>13027</v>
      </c>
      <c r="F1283" s="12">
        <v>41787.481631944444</v>
      </c>
      <c r="G1283" s="17" t="s">
        <v>13000</v>
      </c>
      <c r="H1283" s="35" t="s">
        <v>437</v>
      </c>
      <c r="I1283" s="18" t="s">
        <v>438</v>
      </c>
    </row>
    <row r="1284" spans="1:9" s="33" customFormat="1" ht="105">
      <c r="A1284" s="12">
        <v>43566.834201388891</v>
      </c>
      <c r="B1284" s="13" t="s">
        <v>14145</v>
      </c>
      <c r="C1284" s="14" t="s">
        <v>435</v>
      </c>
      <c r="D1284" s="15" t="s">
        <v>5329</v>
      </c>
      <c r="E1284" s="16" t="s">
        <v>13027</v>
      </c>
      <c r="F1284" s="12">
        <v>41787.481631944444</v>
      </c>
      <c r="G1284" s="17" t="s">
        <v>13000</v>
      </c>
      <c r="H1284" s="35" t="s">
        <v>437</v>
      </c>
      <c r="I1284" s="18" t="s">
        <v>438</v>
      </c>
    </row>
    <row r="1285" spans="1:9" s="33" customFormat="1" ht="90">
      <c r="A1285" s="12">
        <v>43566.588912037041</v>
      </c>
      <c r="B1285" s="13" t="s">
        <v>14148</v>
      </c>
      <c r="C1285" s="14" t="s">
        <v>5419</v>
      </c>
      <c r="D1285" s="15" t="s">
        <v>5420</v>
      </c>
      <c r="E1285" s="16" t="s">
        <v>13034</v>
      </c>
      <c r="F1285" s="12">
        <v>41076.544965277775</v>
      </c>
      <c r="G1285" s="17" t="s">
        <v>13000</v>
      </c>
      <c r="H1285" s="35" t="s">
        <v>437</v>
      </c>
      <c r="I1285" s="18" t="s">
        <v>5421</v>
      </c>
    </row>
    <row r="1286" spans="1:9" s="33" customFormat="1" ht="105">
      <c r="A1286" s="4">
        <v>43558.338900462964</v>
      </c>
      <c r="B1286" s="5" t="s">
        <v>14149</v>
      </c>
      <c r="C1286" s="6" t="s">
        <v>3631</v>
      </c>
      <c r="D1286" s="7" t="s">
        <v>12226</v>
      </c>
      <c r="E1286" s="8" t="s">
        <v>13034</v>
      </c>
      <c r="F1286" s="4">
        <v>39881.544930555552</v>
      </c>
      <c r="G1286" s="17" t="s">
        <v>13000</v>
      </c>
      <c r="H1286" s="35" t="s">
        <v>3633</v>
      </c>
      <c r="I1286" s="10" t="s">
        <v>3634</v>
      </c>
    </row>
    <row r="1287" spans="1:9" s="33" customFormat="1" ht="105">
      <c r="A1287" s="12">
        <v>43571.574317129634</v>
      </c>
      <c r="B1287" s="13" t="s">
        <v>14149</v>
      </c>
      <c r="C1287" s="14" t="s">
        <v>3631</v>
      </c>
      <c r="D1287" s="15" t="s">
        <v>3632</v>
      </c>
      <c r="E1287" s="16" t="s">
        <v>13034</v>
      </c>
      <c r="F1287" s="12">
        <v>39881.544930555552</v>
      </c>
      <c r="G1287" s="17" t="s">
        <v>13000</v>
      </c>
      <c r="H1287" s="35" t="s">
        <v>3633</v>
      </c>
      <c r="I1287" s="18" t="s">
        <v>3634</v>
      </c>
    </row>
    <row r="1288" spans="1:9" s="33" customFormat="1" ht="150">
      <c r="A1288" s="12">
        <v>43572.186122685191</v>
      </c>
      <c r="B1288" s="13" t="s">
        <v>14150</v>
      </c>
      <c r="C1288" s="14" t="s">
        <v>3386</v>
      </c>
      <c r="D1288" s="15" t="s">
        <v>3387</v>
      </c>
      <c r="E1288" s="16" t="s">
        <v>13034</v>
      </c>
      <c r="F1288" s="12">
        <v>40627.399976851855</v>
      </c>
      <c r="G1288" s="17" t="s">
        <v>13000</v>
      </c>
      <c r="H1288" s="35" t="s">
        <v>3388</v>
      </c>
      <c r="I1288" s="18" t="s">
        <v>3389</v>
      </c>
    </row>
    <row r="1289" spans="1:9" s="33" customFormat="1" ht="105">
      <c r="A1289" s="12">
        <v>43571.833472222221</v>
      </c>
      <c r="B1289" s="13" t="s">
        <v>14151</v>
      </c>
      <c r="C1289" s="14" t="s">
        <v>3534</v>
      </c>
      <c r="D1289" s="15" t="s">
        <v>3535</v>
      </c>
      <c r="E1289" s="16" t="s">
        <v>13011</v>
      </c>
      <c r="F1289" s="12">
        <v>40731.826377314814</v>
      </c>
      <c r="G1289" s="17" t="s">
        <v>13000</v>
      </c>
      <c r="H1289" s="35" t="s">
        <v>3388</v>
      </c>
      <c r="I1289" s="18" t="s">
        <v>3536</v>
      </c>
    </row>
    <row r="1290" spans="1:9" s="33" customFormat="1" ht="120">
      <c r="A1290" s="19">
        <v>43549.691053240742</v>
      </c>
      <c r="B1290" s="20" t="s">
        <v>14152</v>
      </c>
      <c r="C1290" s="21" t="s">
        <v>1885</v>
      </c>
      <c r="D1290" s="22" t="s">
        <v>7945</v>
      </c>
      <c r="E1290" s="23" t="s">
        <v>13009</v>
      </c>
      <c r="F1290" s="19">
        <v>42823.056111111116</v>
      </c>
      <c r="G1290" s="17" t="s">
        <v>13000</v>
      </c>
      <c r="H1290" s="35" t="s">
        <v>1887</v>
      </c>
      <c r="I1290" s="25" t="s">
        <v>1888</v>
      </c>
    </row>
    <row r="1291" spans="1:9" s="33" customFormat="1" ht="120">
      <c r="A1291" s="12">
        <v>43576.639374999999</v>
      </c>
      <c r="B1291" s="13" t="s">
        <v>14152</v>
      </c>
      <c r="C1291" s="14" t="s">
        <v>1885</v>
      </c>
      <c r="D1291" s="15" t="s">
        <v>1886</v>
      </c>
      <c r="E1291" s="16" t="s">
        <v>13009</v>
      </c>
      <c r="F1291" s="12">
        <v>42823.056111111116</v>
      </c>
      <c r="G1291" s="17" t="s">
        <v>13000</v>
      </c>
      <c r="H1291" s="35" t="s">
        <v>1887</v>
      </c>
      <c r="I1291" s="18" t="s">
        <v>1888</v>
      </c>
    </row>
    <row r="1292" spans="1:9" s="33" customFormat="1" ht="75">
      <c r="A1292" s="12">
        <v>43576.389467592591</v>
      </c>
      <c r="B1292" s="13" t="s">
        <v>14153</v>
      </c>
      <c r="C1292" s="14" t="s">
        <v>1967</v>
      </c>
      <c r="D1292" s="15" t="s">
        <v>1968</v>
      </c>
      <c r="E1292" s="16" t="s">
        <v>13011</v>
      </c>
      <c r="F1292" s="12">
        <v>40845.302650462967</v>
      </c>
      <c r="G1292" s="17" t="s">
        <v>13000</v>
      </c>
      <c r="H1292" s="35" t="s">
        <v>1969</v>
      </c>
      <c r="I1292" s="18" t="s">
        <v>1970</v>
      </c>
    </row>
    <row r="1293" spans="1:9" s="33" customFormat="1" ht="105">
      <c r="A1293" s="19">
        <v>43551.66715277778</v>
      </c>
      <c r="B1293" s="20" t="s">
        <v>14154</v>
      </c>
      <c r="C1293" s="21" t="s">
        <v>2774</v>
      </c>
      <c r="D1293" s="22" t="s">
        <v>7058</v>
      </c>
      <c r="E1293" s="23" t="s">
        <v>13018</v>
      </c>
      <c r="F1293" s="19">
        <v>39938.33153935185</v>
      </c>
      <c r="G1293" s="17" t="s">
        <v>13000</v>
      </c>
      <c r="H1293" s="35" t="s">
        <v>2776</v>
      </c>
      <c r="I1293" s="25" t="s">
        <v>2777</v>
      </c>
    </row>
    <row r="1294" spans="1:9" s="33" customFormat="1" ht="105">
      <c r="A1294" s="19">
        <v>43543.667025462964</v>
      </c>
      <c r="B1294" s="20" t="s">
        <v>14154</v>
      </c>
      <c r="C1294" s="21" t="s">
        <v>2774</v>
      </c>
      <c r="D1294" s="22" t="s">
        <v>9502</v>
      </c>
      <c r="E1294" s="23" t="s">
        <v>13018</v>
      </c>
      <c r="F1294" s="19">
        <v>39938.33153935185</v>
      </c>
      <c r="G1294" s="17" t="s">
        <v>13000</v>
      </c>
      <c r="H1294" s="35" t="s">
        <v>2776</v>
      </c>
      <c r="I1294" s="25" t="s">
        <v>2777</v>
      </c>
    </row>
    <row r="1295" spans="1:9" s="33" customFormat="1" ht="105">
      <c r="A1295" s="4">
        <v>43560.667071759264</v>
      </c>
      <c r="B1295" s="5" t="s">
        <v>14154</v>
      </c>
      <c r="C1295" s="6" t="s">
        <v>2774</v>
      </c>
      <c r="D1295" s="7" t="s">
        <v>11231</v>
      </c>
      <c r="E1295" s="8" t="s">
        <v>13018</v>
      </c>
      <c r="F1295" s="4">
        <v>39938.33153935185</v>
      </c>
      <c r="G1295" s="17" t="s">
        <v>13000</v>
      </c>
      <c r="H1295" s="35" t="s">
        <v>2776</v>
      </c>
      <c r="I1295" s="10" t="s">
        <v>2777</v>
      </c>
    </row>
    <row r="1296" spans="1:9" s="33" customFormat="1" ht="105">
      <c r="A1296" s="12">
        <v>43573.667164351849</v>
      </c>
      <c r="B1296" s="13" t="s">
        <v>14154</v>
      </c>
      <c r="C1296" s="14" t="s">
        <v>2774</v>
      </c>
      <c r="D1296" s="15" t="s">
        <v>2775</v>
      </c>
      <c r="E1296" s="16" t="s">
        <v>13018</v>
      </c>
      <c r="F1296" s="12">
        <v>39938.33153935185</v>
      </c>
      <c r="G1296" s="17" t="s">
        <v>13000</v>
      </c>
      <c r="H1296" s="35" t="s">
        <v>2776</v>
      </c>
      <c r="I1296" s="18" t="s">
        <v>2777</v>
      </c>
    </row>
    <row r="1297" spans="1:9" s="33" customFormat="1" ht="45">
      <c r="A1297" s="4">
        <v>43559.944398148145</v>
      </c>
      <c r="B1297" s="5" t="s">
        <v>14155</v>
      </c>
      <c r="C1297" s="6" t="s">
        <v>11652</v>
      </c>
      <c r="D1297" s="7" t="s">
        <v>11653</v>
      </c>
      <c r="E1297" s="8" t="s">
        <v>13011</v>
      </c>
      <c r="F1297" s="4">
        <v>39848.834189814814</v>
      </c>
      <c r="G1297" s="24" t="s">
        <v>13000</v>
      </c>
      <c r="H1297" s="35" t="s">
        <v>11654</v>
      </c>
      <c r="I1297" s="10" t="s">
        <v>11655</v>
      </c>
    </row>
    <row r="1298" spans="1:9" s="33" customFormat="1" ht="105">
      <c r="A1298" s="12">
        <v>43573.37222222222</v>
      </c>
      <c r="B1298" s="13" t="s">
        <v>14156</v>
      </c>
      <c r="C1298" s="14" t="s">
        <v>2849</v>
      </c>
      <c r="D1298" s="15" t="s">
        <v>2911</v>
      </c>
      <c r="E1298" s="16" t="s">
        <v>13120</v>
      </c>
      <c r="F1298" s="12">
        <v>40043.461516203708</v>
      </c>
      <c r="G1298" s="24" t="s">
        <v>13000</v>
      </c>
      <c r="H1298" s="35" t="s">
        <v>2912</v>
      </c>
      <c r="I1298" s="18" t="s">
        <v>2913</v>
      </c>
    </row>
    <row r="1299" spans="1:9" s="33" customFormat="1" ht="105">
      <c r="A1299" s="12">
        <v>43572.37222222222</v>
      </c>
      <c r="B1299" s="13" t="s">
        <v>14156</v>
      </c>
      <c r="C1299" s="14" t="s">
        <v>2849</v>
      </c>
      <c r="D1299" s="15" t="s">
        <v>3291</v>
      </c>
      <c r="E1299" s="16" t="s">
        <v>13120</v>
      </c>
      <c r="F1299" s="12">
        <v>40043.461516203708</v>
      </c>
      <c r="G1299" s="24" t="s">
        <v>13000</v>
      </c>
      <c r="H1299" s="35" t="s">
        <v>2912</v>
      </c>
      <c r="I1299" s="18" t="s">
        <v>2913</v>
      </c>
    </row>
    <row r="1300" spans="1:9" s="33" customFormat="1" ht="90">
      <c r="A1300" s="19">
        <v>43547.918344907404</v>
      </c>
      <c r="B1300" s="20" t="s">
        <v>14157</v>
      </c>
      <c r="C1300" s="21" t="s">
        <v>8434</v>
      </c>
      <c r="D1300" s="22" t="s">
        <v>8435</v>
      </c>
      <c r="E1300" s="23" t="s">
        <v>13011</v>
      </c>
      <c r="F1300" s="19">
        <v>40958.729722222226</v>
      </c>
      <c r="G1300" s="17" t="s">
        <v>13000</v>
      </c>
      <c r="H1300" s="35" t="s">
        <v>8436</v>
      </c>
      <c r="I1300" s="25" t="s">
        <v>8437</v>
      </c>
    </row>
    <row r="1301" spans="1:9" s="33" customFormat="1" ht="30">
      <c r="A1301" s="12">
        <v>43572.398009259261</v>
      </c>
      <c r="B1301" s="13" t="s">
        <v>14158</v>
      </c>
      <c r="C1301" s="14" t="s">
        <v>3270</v>
      </c>
      <c r="D1301" s="15" t="s">
        <v>3271</v>
      </c>
      <c r="E1301" s="16" t="s">
        <v>13006</v>
      </c>
      <c r="F1301" s="12">
        <v>42414.499537037038</v>
      </c>
      <c r="G1301" s="17" t="s">
        <v>13000</v>
      </c>
      <c r="H1301" s="35" t="s">
        <v>3272</v>
      </c>
      <c r="I1301" s="18"/>
    </row>
    <row r="1302" spans="1:9" s="33" customFormat="1" ht="75">
      <c r="A1302" s="4">
        <v>43563.042025462964</v>
      </c>
      <c r="B1302" s="5" t="s">
        <v>14159</v>
      </c>
      <c r="C1302" s="6" t="s">
        <v>5557</v>
      </c>
      <c r="D1302" s="7" t="s">
        <v>10491</v>
      </c>
      <c r="E1302" s="8" t="s">
        <v>13018</v>
      </c>
      <c r="F1302" s="4">
        <v>43456.792384259257</v>
      </c>
      <c r="G1302" s="17" t="s">
        <v>13000</v>
      </c>
      <c r="H1302" s="35" t="s">
        <v>1633</v>
      </c>
      <c r="I1302" s="10"/>
    </row>
    <row r="1303" spans="1:9" s="33" customFormat="1" ht="75">
      <c r="A1303" s="4">
        <v>43561.791944444441</v>
      </c>
      <c r="B1303" s="5" t="s">
        <v>14159</v>
      </c>
      <c r="C1303" s="6" t="s">
        <v>5557</v>
      </c>
      <c r="D1303" s="7" t="s">
        <v>10833</v>
      </c>
      <c r="E1303" s="8" t="s">
        <v>13018</v>
      </c>
      <c r="F1303" s="4">
        <v>43456.792384259257</v>
      </c>
      <c r="G1303" s="17" t="s">
        <v>13000</v>
      </c>
      <c r="H1303" s="35" t="s">
        <v>1633</v>
      </c>
      <c r="I1303" s="10"/>
    </row>
    <row r="1304" spans="1:9" s="33" customFormat="1" ht="60">
      <c r="A1304" s="4">
        <v>43560.292615740742</v>
      </c>
      <c r="B1304" s="5" t="s">
        <v>14159</v>
      </c>
      <c r="C1304" s="6" t="s">
        <v>5557</v>
      </c>
      <c r="D1304" s="7" t="s">
        <v>11493</v>
      </c>
      <c r="E1304" s="8" t="s">
        <v>13018</v>
      </c>
      <c r="F1304" s="4">
        <v>43456.792384259257</v>
      </c>
      <c r="G1304" s="17" t="s">
        <v>13000</v>
      </c>
      <c r="H1304" s="35" t="s">
        <v>1633</v>
      </c>
      <c r="I1304" s="10"/>
    </row>
    <row r="1305" spans="1:9" s="33" customFormat="1" ht="75">
      <c r="A1305" s="4">
        <v>43557.933182870373</v>
      </c>
      <c r="B1305" s="5" t="s">
        <v>14159</v>
      </c>
      <c r="C1305" s="6" t="s">
        <v>5557</v>
      </c>
      <c r="D1305" s="7" t="s">
        <v>12361</v>
      </c>
      <c r="E1305" s="8" t="s">
        <v>13018</v>
      </c>
      <c r="F1305" s="4">
        <v>43456.792384259257</v>
      </c>
      <c r="G1305" s="17" t="s">
        <v>13000</v>
      </c>
      <c r="H1305" s="35" t="s">
        <v>1633</v>
      </c>
      <c r="I1305" s="10"/>
    </row>
    <row r="1306" spans="1:9" s="33" customFormat="1" ht="75">
      <c r="A1306" s="4">
        <v>43557.292731481481</v>
      </c>
      <c r="B1306" s="5" t="s">
        <v>14159</v>
      </c>
      <c r="C1306" s="6" t="s">
        <v>5557</v>
      </c>
      <c r="D1306" s="7" t="s">
        <v>12580</v>
      </c>
      <c r="E1306" s="8" t="s">
        <v>13018</v>
      </c>
      <c r="F1306" s="4">
        <v>43456.792384259257</v>
      </c>
      <c r="G1306" s="17" t="s">
        <v>13000</v>
      </c>
      <c r="H1306" s="35" t="s">
        <v>1633</v>
      </c>
      <c r="I1306" s="10"/>
    </row>
    <row r="1307" spans="1:9" s="33" customFormat="1" ht="75">
      <c r="A1307" s="4">
        <v>43557.042245370365</v>
      </c>
      <c r="B1307" s="5" t="s">
        <v>14159</v>
      </c>
      <c r="C1307" s="6" t="s">
        <v>5557</v>
      </c>
      <c r="D1307" s="7" t="s">
        <v>12672</v>
      </c>
      <c r="E1307" s="8" t="s">
        <v>13018</v>
      </c>
      <c r="F1307" s="4">
        <v>43456.792384259257</v>
      </c>
      <c r="G1307" s="17" t="s">
        <v>13000</v>
      </c>
      <c r="H1307" s="35" t="s">
        <v>1633</v>
      </c>
      <c r="I1307" s="10"/>
    </row>
    <row r="1308" spans="1:9" s="33" customFormat="1" ht="75">
      <c r="A1308" s="12">
        <v>43577.458275462966</v>
      </c>
      <c r="B1308" s="13" t="s">
        <v>14160</v>
      </c>
      <c r="C1308" s="14" t="s">
        <v>1631</v>
      </c>
      <c r="D1308" s="15" t="s">
        <v>1632</v>
      </c>
      <c r="E1308" s="16" t="s">
        <v>13011</v>
      </c>
      <c r="F1308" s="12">
        <v>41106.395416666666</v>
      </c>
      <c r="G1308" s="17" t="s">
        <v>13000</v>
      </c>
      <c r="H1308" s="35" t="s">
        <v>1633</v>
      </c>
      <c r="I1308" s="18" t="s">
        <v>1634</v>
      </c>
    </row>
    <row r="1309" spans="1:9" s="33" customFormat="1" ht="60">
      <c r="A1309" s="12">
        <v>43566.403877314813</v>
      </c>
      <c r="B1309" s="13" t="s">
        <v>14159</v>
      </c>
      <c r="C1309" s="14" t="s">
        <v>5557</v>
      </c>
      <c r="D1309" s="15" t="s">
        <v>5558</v>
      </c>
      <c r="E1309" s="16" t="s">
        <v>13013</v>
      </c>
      <c r="F1309" s="12">
        <v>43456.792384259257</v>
      </c>
      <c r="G1309" s="17" t="s">
        <v>13000</v>
      </c>
      <c r="H1309" s="35" t="s">
        <v>1633</v>
      </c>
      <c r="I1309" s="18"/>
    </row>
    <row r="1310" spans="1:9" s="33" customFormat="1" ht="60">
      <c r="A1310" s="19">
        <v>43543.812523148154</v>
      </c>
      <c r="B1310" s="20" t="s">
        <v>14161</v>
      </c>
      <c r="C1310" s="21" t="s">
        <v>9677</v>
      </c>
      <c r="D1310" s="22" t="s">
        <v>9678</v>
      </c>
      <c r="E1310" s="23" t="s">
        <v>13032</v>
      </c>
      <c r="F1310" s="19">
        <v>40064.541377314818</v>
      </c>
      <c r="G1310" s="17" t="s">
        <v>13000</v>
      </c>
      <c r="H1310" s="35" t="s">
        <v>9679</v>
      </c>
      <c r="I1310" s="25" t="s">
        <v>9680</v>
      </c>
    </row>
    <row r="1311" spans="1:9" s="33" customFormat="1" ht="105">
      <c r="A1311" s="4">
        <v>43563.615046296298</v>
      </c>
      <c r="B1311" s="5" t="s">
        <v>14162</v>
      </c>
      <c r="C1311" s="6" t="s">
        <v>6942</v>
      </c>
      <c r="D1311" s="7" t="s">
        <v>6943</v>
      </c>
      <c r="E1311" s="8" t="s">
        <v>13011</v>
      </c>
      <c r="F1311" s="4">
        <v>41402.238344907411</v>
      </c>
      <c r="G1311" s="17" t="s">
        <v>13000</v>
      </c>
      <c r="H1311" s="35" t="s">
        <v>6944</v>
      </c>
      <c r="I1311" s="10" t="s">
        <v>6945</v>
      </c>
    </row>
    <row r="1312" spans="1:9" s="33" customFormat="1" ht="60">
      <c r="A1312" s="12">
        <v>43577.464328703703</v>
      </c>
      <c r="B1312" s="13" t="s">
        <v>14163</v>
      </c>
      <c r="C1312" s="14" t="s">
        <v>1620</v>
      </c>
      <c r="D1312" s="15" t="s">
        <v>1621</v>
      </c>
      <c r="E1312" s="16" t="s">
        <v>13032</v>
      </c>
      <c r="F1312" s="12">
        <v>43575.472002314811</v>
      </c>
      <c r="G1312" s="17" t="s">
        <v>13000</v>
      </c>
      <c r="H1312" s="35" t="s">
        <v>1622</v>
      </c>
      <c r="I1312" s="18" t="s">
        <v>1623</v>
      </c>
    </row>
    <row r="1313" spans="1:9" s="33" customFormat="1" ht="30">
      <c r="A1313" s="12">
        <v>43566.352372685185</v>
      </c>
      <c r="B1313" s="13" t="s">
        <v>14164</v>
      </c>
      <c r="C1313" s="14" t="s">
        <v>5628</v>
      </c>
      <c r="D1313" s="15" t="s">
        <v>5629</v>
      </c>
      <c r="E1313" s="16" t="s">
        <v>13009</v>
      </c>
      <c r="F1313" s="12">
        <v>41309.394131944442</v>
      </c>
      <c r="G1313" s="17" t="s">
        <v>13000</v>
      </c>
      <c r="H1313" s="35" t="s">
        <v>1622</v>
      </c>
      <c r="I1313" s="18" t="s">
        <v>5630</v>
      </c>
    </row>
    <row r="1314" spans="1:9" s="33" customFormat="1" ht="75">
      <c r="A1314" s="12">
        <v>43566.225347222222</v>
      </c>
      <c r="B1314" s="13" t="s">
        <v>14165</v>
      </c>
      <c r="C1314" s="14" t="s">
        <v>5717</v>
      </c>
      <c r="D1314" s="15" t="s">
        <v>5718</v>
      </c>
      <c r="E1314" s="16" t="s">
        <v>13013</v>
      </c>
      <c r="F1314" s="12">
        <v>39454.325578703705</v>
      </c>
      <c r="G1314" s="17" t="s">
        <v>13000</v>
      </c>
      <c r="H1314" s="35" t="s">
        <v>5719</v>
      </c>
      <c r="I1314" s="18" t="s">
        <v>5720</v>
      </c>
    </row>
    <row r="1315" spans="1:9" s="33" customFormat="1" ht="60">
      <c r="A1315" s="19">
        <v>43551.423611111109</v>
      </c>
      <c r="B1315" s="20" t="s">
        <v>14166</v>
      </c>
      <c r="C1315" s="21" t="s">
        <v>7205</v>
      </c>
      <c r="D1315" s="22" t="s">
        <v>7206</v>
      </c>
      <c r="E1315" s="23" t="s">
        <v>13011</v>
      </c>
      <c r="F1315" s="19">
        <v>39793.648576388892</v>
      </c>
      <c r="G1315" s="24" t="s">
        <v>13000</v>
      </c>
      <c r="H1315" s="35" t="s">
        <v>5127</v>
      </c>
      <c r="I1315" s="25" t="s">
        <v>7207</v>
      </c>
    </row>
    <row r="1316" spans="1:9" s="33" customFormat="1" ht="105">
      <c r="A1316" s="19">
        <v>43546.339131944449</v>
      </c>
      <c r="B1316" s="20" t="s">
        <v>14167</v>
      </c>
      <c r="C1316" s="21" t="s">
        <v>8903</v>
      </c>
      <c r="D1316" s="22" t="s">
        <v>8904</v>
      </c>
      <c r="E1316" s="23" t="s">
        <v>13120</v>
      </c>
      <c r="F1316" s="19">
        <v>40574.393842592595</v>
      </c>
      <c r="G1316" s="24" t="s">
        <v>13000</v>
      </c>
      <c r="H1316" s="35" t="s">
        <v>5127</v>
      </c>
      <c r="I1316" s="25" t="s">
        <v>8905</v>
      </c>
    </row>
    <row r="1317" spans="1:9" s="33" customFormat="1" ht="90">
      <c r="A1317" s="12">
        <v>43567.391574074078</v>
      </c>
      <c r="B1317" s="13" t="s">
        <v>14168</v>
      </c>
      <c r="C1317" s="14" t="s">
        <v>5125</v>
      </c>
      <c r="D1317" s="15" t="s">
        <v>5126</v>
      </c>
      <c r="E1317" s="16" t="s">
        <v>13009</v>
      </c>
      <c r="F1317" s="12">
        <v>39765.735474537039</v>
      </c>
      <c r="G1317" s="24" t="s">
        <v>13000</v>
      </c>
      <c r="H1317" s="35" t="s">
        <v>5127</v>
      </c>
      <c r="I1317" s="18" t="s">
        <v>5128</v>
      </c>
    </row>
    <row r="1318" spans="1:9" s="33" customFormat="1" ht="30">
      <c r="A1318" s="19">
        <v>43545.828449074077</v>
      </c>
      <c r="B1318" s="20" t="s">
        <v>14169</v>
      </c>
      <c r="C1318" s="21" t="s">
        <v>9031</v>
      </c>
      <c r="D1318" s="22" t="s">
        <v>9032</v>
      </c>
      <c r="E1318" s="23" t="s">
        <v>13009</v>
      </c>
      <c r="F1318" s="19">
        <v>40419.621770833335</v>
      </c>
      <c r="G1318" s="24" t="s">
        <v>13000</v>
      </c>
      <c r="H1318" s="35" t="s">
        <v>9033</v>
      </c>
      <c r="I1318" s="25"/>
    </row>
    <row r="1319" spans="1:9" s="33" customFormat="1" ht="120">
      <c r="A1319" s="4">
        <v>43558.753483796296</v>
      </c>
      <c r="B1319" s="5" t="s">
        <v>14170</v>
      </c>
      <c r="C1319" s="6" t="s">
        <v>12048</v>
      </c>
      <c r="D1319" s="7" t="s">
        <v>12049</v>
      </c>
      <c r="E1319" s="8" t="s">
        <v>13009</v>
      </c>
      <c r="F1319" s="4">
        <v>41441.588055555556</v>
      </c>
      <c r="G1319" s="24" t="s">
        <v>13000</v>
      </c>
      <c r="H1319" s="35" t="s">
        <v>12050</v>
      </c>
      <c r="I1319" s="10" t="s">
        <v>12051</v>
      </c>
    </row>
    <row r="1320" spans="1:9" s="33" customFormat="1" ht="60">
      <c r="A1320" s="19">
        <v>43551.514178240745</v>
      </c>
      <c r="B1320" s="20" t="s">
        <v>14171</v>
      </c>
      <c r="C1320" s="21" t="s">
        <v>7141</v>
      </c>
      <c r="D1320" s="22" t="s">
        <v>7142</v>
      </c>
      <c r="E1320" s="23" t="s">
        <v>13011</v>
      </c>
      <c r="F1320" s="19">
        <v>42377.307395833333</v>
      </c>
      <c r="G1320" s="24" t="s">
        <v>13000</v>
      </c>
      <c r="H1320" s="35" t="s">
        <v>211</v>
      </c>
      <c r="I1320" s="25" t="s">
        <v>7143</v>
      </c>
    </row>
    <row r="1321" spans="1:9" s="33" customFormat="1" ht="30">
      <c r="A1321" s="19">
        <v>43549.463055555556</v>
      </c>
      <c r="B1321" s="20" t="s">
        <v>14172</v>
      </c>
      <c r="C1321" s="21" t="s">
        <v>8020</v>
      </c>
      <c r="D1321" s="22" t="s">
        <v>8021</v>
      </c>
      <c r="E1321" s="23" t="s">
        <v>13013</v>
      </c>
      <c r="F1321" s="19">
        <v>41205.650231481479</v>
      </c>
      <c r="G1321" s="24" t="s">
        <v>13000</v>
      </c>
      <c r="H1321" s="35" t="s">
        <v>211</v>
      </c>
      <c r="I1321" s="25" t="s">
        <v>8022</v>
      </c>
    </row>
    <row r="1322" spans="1:9" s="33" customFormat="1" ht="60">
      <c r="A1322" s="4">
        <v>43563.260833333334</v>
      </c>
      <c r="B1322" s="5" t="s">
        <v>14173</v>
      </c>
      <c r="C1322" s="6" t="s">
        <v>3761</v>
      </c>
      <c r="D1322" s="7" t="s">
        <v>10419</v>
      </c>
      <c r="E1322" s="8" t="s">
        <v>13462</v>
      </c>
      <c r="F1322" s="4">
        <v>39890.479247685187</v>
      </c>
      <c r="G1322" s="24" t="s">
        <v>13000</v>
      </c>
      <c r="H1322" s="35" t="s">
        <v>211</v>
      </c>
      <c r="I1322" s="10" t="s">
        <v>3763</v>
      </c>
    </row>
    <row r="1323" spans="1:9" s="33" customFormat="1" ht="90">
      <c r="A1323" s="4">
        <v>43560.444502314815</v>
      </c>
      <c r="B1323" s="5" t="s">
        <v>14174</v>
      </c>
      <c r="C1323" s="6" t="s">
        <v>11362</v>
      </c>
      <c r="D1323" s="7" t="s">
        <v>11363</v>
      </c>
      <c r="E1323" s="8" t="s">
        <v>13018</v>
      </c>
      <c r="F1323" s="4">
        <v>42226.394016203703</v>
      </c>
      <c r="G1323" s="24" t="s">
        <v>13000</v>
      </c>
      <c r="H1323" s="35" t="s">
        <v>211</v>
      </c>
      <c r="I1323" s="10" t="s">
        <v>11364</v>
      </c>
    </row>
    <row r="1324" spans="1:9" s="33" customFormat="1" ht="60">
      <c r="A1324" s="4">
        <v>43560.260798611111</v>
      </c>
      <c r="B1324" s="5" t="s">
        <v>14173</v>
      </c>
      <c r="C1324" s="6" t="s">
        <v>3761</v>
      </c>
      <c r="D1324" s="7" t="s">
        <v>11525</v>
      </c>
      <c r="E1324" s="8" t="s">
        <v>13462</v>
      </c>
      <c r="F1324" s="4">
        <v>39890.479247685187</v>
      </c>
      <c r="G1324" s="24" t="s">
        <v>13000</v>
      </c>
      <c r="H1324" s="35" t="s">
        <v>211</v>
      </c>
      <c r="I1324" s="10" t="s">
        <v>3763</v>
      </c>
    </row>
    <row r="1325" spans="1:9" s="33" customFormat="1" ht="60">
      <c r="A1325" s="4">
        <v>43559.260798611111</v>
      </c>
      <c r="B1325" s="5" t="s">
        <v>14173</v>
      </c>
      <c r="C1325" s="6" t="s">
        <v>3761</v>
      </c>
      <c r="D1325" s="7" t="s">
        <v>11899</v>
      </c>
      <c r="E1325" s="8" t="s">
        <v>13462</v>
      </c>
      <c r="F1325" s="4">
        <v>39890.479247685187</v>
      </c>
      <c r="G1325" s="24" t="s">
        <v>13000</v>
      </c>
      <c r="H1325" s="35" t="s">
        <v>211</v>
      </c>
      <c r="I1325" s="10" t="s">
        <v>3763</v>
      </c>
    </row>
    <row r="1326" spans="1:9" s="33" customFormat="1" ht="45">
      <c r="A1326" s="4">
        <v>43558.595601851848</v>
      </c>
      <c r="B1326" s="5" t="s">
        <v>14175</v>
      </c>
      <c r="C1326" s="6" t="s">
        <v>12114</v>
      </c>
      <c r="D1326" s="7" t="s">
        <v>12115</v>
      </c>
      <c r="E1326" s="8" t="s">
        <v>13009</v>
      </c>
      <c r="F1326" s="4">
        <v>41659.052847222221</v>
      </c>
      <c r="G1326" s="24" t="s">
        <v>13000</v>
      </c>
      <c r="H1326" s="35" t="s">
        <v>211</v>
      </c>
      <c r="I1326" s="10" t="s">
        <v>12116</v>
      </c>
    </row>
    <row r="1327" spans="1:9" s="33" customFormat="1" ht="120">
      <c r="A1327" s="12">
        <v>43580.616076388891</v>
      </c>
      <c r="B1327" s="13" t="s">
        <v>14176</v>
      </c>
      <c r="C1327" s="14" t="s">
        <v>209</v>
      </c>
      <c r="D1327" s="15" t="s">
        <v>210</v>
      </c>
      <c r="E1327" s="16" t="s">
        <v>13013</v>
      </c>
      <c r="F1327" s="12">
        <v>41725.748703703706</v>
      </c>
      <c r="G1327" s="24" t="s">
        <v>13000</v>
      </c>
      <c r="H1327" s="35" t="s">
        <v>211</v>
      </c>
      <c r="I1327" s="18" t="s">
        <v>212</v>
      </c>
    </row>
    <row r="1328" spans="1:9" s="33" customFormat="1" ht="60">
      <c r="A1328" s="12">
        <v>43578.32335648148</v>
      </c>
      <c r="B1328" s="13" t="s">
        <v>14177</v>
      </c>
      <c r="C1328" s="14" t="s">
        <v>1292</v>
      </c>
      <c r="D1328" s="15" t="s">
        <v>1293</v>
      </c>
      <c r="E1328" s="16" t="s">
        <v>13018</v>
      </c>
      <c r="F1328" s="12">
        <v>43430.42292824074</v>
      </c>
      <c r="G1328" s="24" t="s">
        <v>13000</v>
      </c>
      <c r="H1328" s="35" t="s">
        <v>211</v>
      </c>
      <c r="I1328" s="18" t="s">
        <v>1294</v>
      </c>
    </row>
    <row r="1329" spans="1:9" s="33" customFormat="1" ht="75">
      <c r="A1329" s="12">
        <v>43573.444537037038</v>
      </c>
      <c r="B1329" s="13" t="s">
        <v>14177</v>
      </c>
      <c r="C1329" s="14" t="s">
        <v>1292</v>
      </c>
      <c r="D1329" s="15" t="s">
        <v>2861</v>
      </c>
      <c r="E1329" s="16" t="s">
        <v>13018</v>
      </c>
      <c r="F1329" s="12">
        <v>43430.42292824074</v>
      </c>
      <c r="G1329" s="24" t="s">
        <v>13000</v>
      </c>
      <c r="H1329" s="35" t="s">
        <v>211</v>
      </c>
      <c r="I1329" s="18" t="s">
        <v>1294</v>
      </c>
    </row>
    <row r="1330" spans="1:9" s="33" customFormat="1" ht="90">
      <c r="A1330" s="12">
        <v>43573.249120370368</v>
      </c>
      <c r="B1330" s="13" t="s">
        <v>14178</v>
      </c>
      <c r="C1330" s="14" t="s">
        <v>2957</v>
      </c>
      <c r="D1330" s="15" t="s">
        <v>2958</v>
      </c>
      <c r="E1330" s="16" t="s">
        <v>13009</v>
      </c>
      <c r="F1330" s="12">
        <v>41162.201504629629</v>
      </c>
      <c r="G1330" s="24" t="s">
        <v>13000</v>
      </c>
      <c r="H1330" s="35" t="s">
        <v>211</v>
      </c>
      <c r="I1330" s="18" t="s">
        <v>2959</v>
      </c>
    </row>
    <row r="1331" spans="1:9" s="33" customFormat="1" ht="75">
      <c r="A1331" s="12">
        <v>43571.325624999998</v>
      </c>
      <c r="B1331" s="13" t="s">
        <v>14177</v>
      </c>
      <c r="C1331" s="14" t="s">
        <v>1292</v>
      </c>
      <c r="D1331" s="15" t="s">
        <v>3731</v>
      </c>
      <c r="E1331" s="16" t="s">
        <v>13018</v>
      </c>
      <c r="F1331" s="12">
        <v>43430.42292824074</v>
      </c>
      <c r="G1331" s="24" t="s">
        <v>13000</v>
      </c>
      <c r="H1331" s="35" t="s">
        <v>211</v>
      </c>
      <c r="I1331" s="18" t="s">
        <v>1294</v>
      </c>
    </row>
    <row r="1332" spans="1:9" s="33" customFormat="1" ht="60">
      <c r="A1332" s="12">
        <v>43571.26934027778</v>
      </c>
      <c r="B1332" s="13" t="s">
        <v>14173</v>
      </c>
      <c r="C1332" s="14" t="s">
        <v>3761</v>
      </c>
      <c r="D1332" s="15" t="s">
        <v>3762</v>
      </c>
      <c r="E1332" s="16" t="s">
        <v>13462</v>
      </c>
      <c r="F1332" s="12">
        <v>39890.479247685187</v>
      </c>
      <c r="G1332" s="24" t="s">
        <v>13000</v>
      </c>
      <c r="H1332" s="35" t="s">
        <v>211</v>
      </c>
      <c r="I1332" s="18" t="s">
        <v>3763</v>
      </c>
    </row>
    <row r="1333" spans="1:9" s="33" customFormat="1" ht="60">
      <c r="A1333" s="12">
        <v>43566.308009259257</v>
      </c>
      <c r="B1333" s="13" t="s">
        <v>14177</v>
      </c>
      <c r="C1333" s="14" t="s">
        <v>1292</v>
      </c>
      <c r="D1333" s="15" t="s">
        <v>5668</v>
      </c>
      <c r="E1333" s="16" t="s">
        <v>13009</v>
      </c>
      <c r="F1333" s="12">
        <v>43430.42292824074</v>
      </c>
      <c r="G1333" s="24" t="s">
        <v>13000</v>
      </c>
      <c r="H1333" s="35" t="s">
        <v>211</v>
      </c>
      <c r="I1333" s="18" t="s">
        <v>1294</v>
      </c>
    </row>
    <row r="1334" spans="1:9" s="33" customFormat="1" ht="120">
      <c r="A1334" s="19">
        <v>43544.29206018518</v>
      </c>
      <c r="B1334" s="20" t="s">
        <v>14179</v>
      </c>
      <c r="C1334" s="21" t="s">
        <v>9547</v>
      </c>
      <c r="D1334" s="22" t="s">
        <v>9548</v>
      </c>
      <c r="E1334" s="23" t="s">
        <v>13130</v>
      </c>
      <c r="F1334" s="19">
        <v>40668.68440972222</v>
      </c>
      <c r="G1334" s="24" t="s">
        <v>13000</v>
      </c>
      <c r="H1334" s="35" t="s">
        <v>9549</v>
      </c>
      <c r="I1334" s="25" t="s">
        <v>9550</v>
      </c>
    </row>
    <row r="1335" spans="1:9" s="33" customFormat="1" ht="75">
      <c r="A1335" s="12">
        <v>43578.709328703699</v>
      </c>
      <c r="B1335" s="13" t="s">
        <v>14180</v>
      </c>
      <c r="C1335" s="14" t="s">
        <v>1082</v>
      </c>
      <c r="D1335" s="15" t="s">
        <v>1083</v>
      </c>
      <c r="E1335" s="16" t="s">
        <v>13011</v>
      </c>
      <c r="F1335" s="12">
        <v>39996.585775462961</v>
      </c>
      <c r="G1335" s="24" t="s">
        <v>13000</v>
      </c>
      <c r="H1335" s="35" t="s">
        <v>1084</v>
      </c>
      <c r="I1335" s="18" t="s">
        <v>1085</v>
      </c>
    </row>
    <row r="1336" spans="1:9" s="33" customFormat="1" ht="135">
      <c r="A1336" s="12">
        <v>43574.674166666664</v>
      </c>
      <c r="B1336" s="13" t="s">
        <v>14181</v>
      </c>
      <c r="C1336" s="14" t="s">
        <v>2483</v>
      </c>
      <c r="D1336" s="15" t="s">
        <v>2484</v>
      </c>
      <c r="E1336" s="16" t="s">
        <v>13032</v>
      </c>
      <c r="F1336" s="12">
        <v>40639.644421296296</v>
      </c>
      <c r="G1336" s="24" t="s">
        <v>13000</v>
      </c>
      <c r="H1336" s="35" t="s">
        <v>2485</v>
      </c>
      <c r="I1336" s="18" t="s">
        <v>2486</v>
      </c>
    </row>
    <row r="1337" spans="1:9" s="33" customFormat="1" ht="135">
      <c r="A1337" s="12">
        <v>43574.664641203708</v>
      </c>
      <c r="B1337" s="13" t="s">
        <v>14181</v>
      </c>
      <c r="C1337" s="14" t="s">
        <v>2483</v>
      </c>
      <c r="D1337" s="15" t="s">
        <v>2487</v>
      </c>
      <c r="E1337" s="16" t="s">
        <v>13009</v>
      </c>
      <c r="F1337" s="12">
        <v>40639.644421296296</v>
      </c>
      <c r="G1337" s="24" t="s">
        <v>13000</v>
      </c>
      <c r="H1337" s="35" t="s">
        <v>2485</v>
      </c>
      <c r="I1337" s="18" t="s">
        <v>2486</v>
      </c>
    </row>
    <row r="1338" spans="1:9" s="33" customFormat="1" ht="105">
      <c r="A1338" s="12">
        <v>43567.340312500004</v>
      </c>
      <c r="B1338" s="13" t="s">
        <v>14182</v>
      </c>
      <c r="C1338" s="14" t="s">
        <v>5156</v>
      </c>
      <c r="D1338" s="15" t="s">
        <v>5157</v>
      </c>
      <c r="E1338" s="16" t="s">
        <v>13034</v>
      </c>
      <c r="F1338" s="12">
        <v>39796.742326388892</v>
      </c>
      <c r="G1338" s="24" t="s">
        <v>13000</v>
      </c>
      <c r="H1338" s="35" t="s">
        <v>5158</v>
      </c>
      <c r="I1338" s="18" t="s">
        <v>5159</v>
      </c>
    </row>
    <row r="1339" spans="1:9" s="33" customFormat="1" ht="60">
      <c r="A1339" s="19">
        <v>43547.54179398148</v>
      </c>
      <c r="B1339" s="20" t="s">
        <v>14183</v>
      </c>
      <c r="C1339" s="21" t="s">
        <v>8505</v>
      </c>
      <c r="D1339" s="22" t="s">
        <v>8506</v>
      </c>
      <c r="E1339" s="23" t="s">
        <v>13027</v>
      </c>
      <c r="F1339" s="19">
        <v>41935.353726851856</v>
      </c>
      <c r="G1339" s="24" t="s">
        <v>13000</v>
      </c>
      <c r="H1339" s="35" t="s">
        <v>8507</v>
      </c>
      <c r="I1339" s="25" t="s">
        <v>8508</v>
      </c>
    </row>
    <row r="1340" spans="1:9" s="33" customFormat="1" ht="90">
      <c r="A1340" s="4">
        <v>43560.220023148147</v>
      </c>
      <c r="B1340" s="5" t="s">
        <v>14184</v>
      </c>
      <c r="C1340" s="6" t="s">
        <v>11559</v>
      </c>
      <c r="D1340" s="7" t="s">
        <v>11560</v>
      </c>
      <c r="E1340" s="8" t="s">
        <v>13006</v>
      </c>
      <c r="F1340" s="4">
        <v>39932.680196759262</v>
      </c>
      <c r="G1340" s="9" t="s">
        <v>13000</v>
      </c>
      <c r="H1340" s="35" t="s">
        <v>11561</v>
      </c>
      <c r="I1340" s="10" t="s">
        <v>11562</v>
      </c>
    </row>
    <row r="1341" spans="1:9" s="33" customFormat="1" ht="135">
      <c r="A1341" s="4">
        <v>43562.860902777778</v>
      </c>
      <c r="B1341" s="5" t="s">
        <v>14185</v>
      </c>
      <c r="C1341" s="6" t="s">
        <v>10559</v>
      </c>
      <c r="D1341" s="7" t="s">
        <v>10560</v>
      </c>
      <c r="E1341" s="8" t="s">
        <v>13013</v>
      </c>
      <c r="F1341" s="4">
        <v>43547.681342592594</v>
      </c>
      <c r="G1341" s="17" t="s">
        <v>13000</v>
      </c>
      <c r="H1341" s="35" t="s">
        <v>10561</v>
      </c>
      <c r="I1341" s="10" t="s">
        <v>10562</v>
      </c>
    </row>
    <row r="1342" spans="1:9" s="33" customFormat="1" ht="105">
      <c r="A1342" s="19">
        <v>43547.187569444446</v>
      </c>
      <c r="B1342" s="20" t="s">
        <v>14186</v>
      </c>
      <c r="C1342" s="21" t="s">
        <v>4255</v>
      </c>
      <c r="D1342" s="22" t="s">
        <v>8641</v>
      </c>
      <c r="E1342" s="23" t="s">
        <v>13018</v>
      </c>
      <c r="F1342" s="19">
        <v>42636.323020833333</v>
      </c>
      <c r="G1342" s="17" t="s">
        <v>13000</v>
      </c>
      <c r="H1342" s="35" t="s">
        <v>4257</v>
      </c>
      <c r="I1342" s="25" t="s">
        <v>4258</v>
      </c>
    </row>
    <row r="1343" spans="1:9" s="33" customFormat="1" ht="105">
      <c r="A1343" s="19">
        <v>43546.340428240743</v>
      </c>
      <c r="B1343" s="20" t="s">
        <v>14186</v>
      </c>
      <c r="C1343" s="21" t="s">
        <v>4255</v>
      </c>
      <c r="D1343" s="22" t="s">
        <v>8899</v>
      </c>
      <c r="E1343" s="23" t="s">
        <v>13018</v>
      </c>
      <c r="F1343" s="19">
        <v>42636.323020833333</v>
      </c>
      <c r="G1343" s="17" t="s">
        <v>13000</v>
      </c>
      <c r="H1343" s="35" t="s">
        <v>4257</v>
      </c>
      <c r="I1343" s="25" t="s">
        <v>4258</v>
      </c>
    </row>
    <row r="1344" spans="1:9" s="33" customFormat="1" ht="105">
      <c r="A1344" s="19">
        <v>43546.20149305556</v>
      </c>
      <c r="B1344" s="20" t="s">
        <v>14186</v>
      </c>
      <c r="C1344" s="21" t="s">
        <v>4255</v>
      </c>
      <c r="D1344" s="22" t="s">
        <v>8641</v>
      </c>
      <c r="E1344" s="23" t="s">
        <v>13018</v>
      </c>
      <c r="F1344" s="19">
        <v>42636.323020833333</v>
      </c>
      <c r="G1344" s="17" t="s">
        <v>13000</v>
      </c>
      <c r="H1344" s="35" t="s">
        <v>4257</v>
      </c>
      <c r="I1344" s="25" t="s">
        <v>4258</v>
      </c>
    </row>
    <row r="1345" spans="1:9" s="33" customFormat="1" ht="105">
      <c r="A1345" s="4">
        <v>43557.096041666664</v>
      </c>
      <c r="B1345" s="5" t="s">
        <v>14186</v>
      </c>
      <c r="C1345" s="6" t="s">
        <v>4255</v>
      </c>
      <c r="D1345" s="7" t="s">
        <v>12655</v>
      </c>
      <c r="E1345" s="8" t="s">
        <v>13018</v>
      </c>
      <c r="F1345" s="4">
        <v>42636.323020833333</v>
      </c>
      <c r="G1345" s="17" t="s">
        <v>13000</v>
      </c>
      <c r="H1345" s="35" t="s">
        <v>4257</v>
      </c>
      <c r="I1345" s="10" t="s">
        <v>4258</v>
      </c>
    </row>
    <row r="1346" spans="1:9" s="33" customFormat="1" ht="105">
      <c r="A1346" s="4">
        <v>43557.069664351853</v>
      </c>
      <c r="B1346" s="5" t="s">
        <v>14186</v>
      </c>
      <c r="C1346" s="6" t="s">
        <v>4255</v>
      </c>
      <c r="D1346" s="7" t="s">
        <v>12658</v>
      </c>
      <c r="E1346" s="8" t="s">
        <v>13018</v>
      </c>
      <c r="F1346" s="4">
        <v>42636.323020833333</v>
      </c>
      <c r="G1346" s="17" t="s">
        <v>13000</v>
      </c>
      <c r="H1346" s="35" t="s">
        <v>4257</v>
      </c>
      <c r="I1346" s="10" t="s">
        <v>4258</v>
      </c>
    </row>
    <row r="1347" spans="1:9" s="33" customFormat="1" ht="105">
      <c r="A1347" s="12">
        <v>43570.29011574074</v>
      </c>
      <c r="B1347" s="13" t="s">
        <v>14186</v>
      </c>
      <c r="C1347" s="14" t="s">
        <v>4255</v>
      </c>
      <c r="D1347" s="15" t="s">
        <v>4256</v>
      </c>
      <c r="E1347" s="16" t="s">
        <v>13018</v>
      </c>
      <c r="F1347" s="12">
        <v>42636.323020833333</v>
      </c>
      <c r="G1347" s="17" t="s">
        <v>13000</v>
      </c>
      <c r="H1347" s="35" t="s">
        <v>4257</v>
      </c>
      <c r="I1347" s="18" t="s">
        <v>4258</v>
      </c>
    </row>
    <row r="1348" spans="1:9" s="33" customFormat="1" ht="105">
      <c r="A1348" s="12">
        <v>43574.448020833333</v>
      </c>
      <c r="B1348" s="13" t="s">
        <v>14187</v>
      </c>
      <c r="C1348" s="14" t="s">
        <v>2546</v>
      </c>
      <c r="D1348" s="15" t="s">
        <v>2547</v>
      </c>
      <c r="E1348" s="16" t="s">
        <v>13018</v>
      </c>
      <c r="F1348" s="12">
        <v>42941.344189814816</v>
      </c>
      <c r="G1348" s="17" t="s">
        <v>13000</v>
      </c>
      <c r="H1348" s="35" t="s">
        <v>2548</v>
      </c>
      <c r="I1348" s="18" t="s">
        <v>2549</v>
      </c>
    </row>
    <row r="1349" spans="1:9" s="33" customFormat="1" ht="105">
      <c r="A1349" s="12">
        <v>43579.726145833338</v>
      </c>
      <c r="B1349" s="13" t="s">
        <v>14188</v>
      </c>
      <c r="C1349" s="14" t="s">
        <v>488</v>
      </c>
      <c r="D1349" s="15" t="s">
        <v>489</v>
      </c>
      <c r="E1349" s="16" t="s">
        <v>13027</v>
      </c>
      <c r="F1349" s="12">
        <v>43427.252291666664</v>
      </c>
      <c r="G1349" s="17" t="s">
        <v>13000</v>
      </c>
      <c r="H1349" s="35" t="s">
        <v>490</v>
      </c>
      <c r="I1349" s="18" t="s">
        <v>491</v>
      </c>
    </row>
    <row r="1350" spans="1:9" s="33" customFormat="1" ht="105">
      <c r="A1350" s="12">
        <v>43579.726064814815</v>
      </c>
      <c r="B1350" s="13" t="s">
        <v>14188</v>
      </c>
      <c r="C1350" s="14" t="s">
        <v>488</v>
      </c>
      <c r="D1350" s="15" t="s">
        <v>489</v>
      </c>
      <c r="E1350" s="16" t="s">
        <v>13027</v>
      </c>
      <c r="F1350" s="12">
        <v>43427.252291666664</v>
      </c>
      <c r="G1350" s="17" t="s">
        <v>13000</v>
      </c>
      <c r="H1350" s="35" t="s">
        <v>490</v>
      </c>
      <c r="I1350" s="18" t="s">
        <v>491</v>
      </c>
    </row>
    <row r="1351" spans="1:9" s="33" customFormat="1" ht="105">
      <c r="A1351" s="12">
        <v>43579.702731481477</v>
      </c>
      <c r="B1351" s="13" t="s">
        <v>14188</v>
      </c>
      <c r="C1351" s="14" t="s">
        <v>488</v>
      </c>
      <c r="D1351" s="15" t="s">
        <v>500</v>
      </c>
      <c r="E1351" s="16" t="s">
        <v>13027</v>
      </c>
      <c r="F1351" s="12">
        <v>43427.252291666664</v>
      </c>
      <c r="G1351" s="17" t="s">
        <v>13000</v>
      </c>
      <c r="H1351" s="35" t="s">
        <v>490</v>
      </c>
      <c r="I1351" s="18" t="s">
        <v>491</v>
      </c>
    </row>
    <row r="1352" spans="1:9" s="33" customFormat="1" ht="105">
      <c r="A1352" s="12">
        <v>43579.698877314819</v>
      </c>
      <c r="B1352" s="13" t="s">
        <v>14188</v>
      </c>
      <c r="C1352" s="14" t="s">
        <v>488</v>
      </c>
      <c r="D1352" s="15" t="s">
        <v>500</v>
      </c>
      <c r="E1352" s="16" t="s">
        <v>13027</v>
      </c>
      <c r="F1352" s="12">
        <v>43427.252291666664</v>
      </c>
      <c r="G1352" s="17" t="s">
        <v>13000</v>
      </c>
      <c r="H1352" s="35" t="s">
        <v>490</v>
      </c>
      <c r="I1352" s="18" t="s">
        <v>491</v>
      </c>
    </row>
    <row r="1353" spans="1:9" s="33" customFormat="1" ht="105">
      <c r="A1353" s="12">
        <v>43579.69430555556</v>
      </c>
      <c r="B1353" s="13" t="s">
        <v>14188</v>
      </c>
      <c r="C1353" s="14" t="s">
        <v>488</v>
      </c>
      <c r="D1353" s="15" t="s">
        <v>509</v>
      </c>
      <c r="E1353" s="16" t="s">
        <v>13032</v>
      </c>
      <c r="F1353" s="12">
        <v>43427.252291666664</v>
      </c>
      <c r="G1353" s="17" t="s">
        <v>13000</v>
      </c>
      <c r="H1353" s="35" t="s">
        <v>490</v>
      </c>
      <c r="I1353" s="18" t="s">
        <v>491</v>
      </c>
    </row>
    <row r="1354" spans="1:9" s="33" customFormat="1" ht="105">
      <c r="A1354" s="12">
        <v>43575.566354166665</v>
      </c>
      <c r="B1354" s="13" t="s">
        <v>14188</v>
      </c>
      <c r="C1354" s="14" t="s">
        <v>488</v>
      </c>
      <c r="D1354" s="15" t="s">
        <v>2167</v>
      </c>
      <c r="E1354" s="16" t="s">
        <v>13032</v>
      </c>
      <c r="F1354" s="12">
        <v>43427.252291666664</v>
      </c>
      <c r="G1354" s="17" t="s">
        <v>13000</v>
      </c>
      <c r="H1354" s="35" t="s">
        <v>490</v>
      </c>
      <c r="I1354" s="18" t="s">
        <v>491</v>
      </c>
    </row>
    <row r="1355" spans="1:9" s="33" customFormat="1" ht="105">
      <c r="A1355" s="12">
        <v>43572.280266203699</v>
      </c>
      <c r="B1355" s="13" t="s">
        <v>14188</v>
      </c>
      <c r="C1355" s="14" t="s">
        <v>488</v>
      </c>
      <c r="D1355" s="15" t="s">
        <v>3349</v>
      </c>
      <c r="E1355" s="16" t="s">
        <v>13032</v>
      </c>
      <c r="F1355" s="12">
        <v>43427.252291666664</v>
      </c>
      <c r="G1355" s="17" t="s">
        <v>13000</v>
      </c>
      <c r="H1355" s="35" t="s">
        <v>490</v>
      </c>
      <c r="I1355" s="18" t="s">
        <v>491</v>
      </c>
    </row>
    <row r="1356" spans="1:9" s="33" customFormat="1" ht="105">
      <c r="A1356" s="19">
        <v>43546.110879629632</v>
      </c>
      <c r="B1356" s="20" t="s">
        <v>14189</v>
      </c>
      <c r="C1356" s="21" t="s">
        <v>1750</v>
      </c>
      <c r="D1356" s="22" t="s">
        <v>8959</v>
      </c>
      <c r="E1356" s="23" t="s">
        <v>13032</v>
      </c>
      <c r="F1356" s="19">
        <v>41157.31313657407</v>
      </c>
      <c r="G1356" s="17" t="s">
        <v>13000</v>
      </c>
      <c r="H1356" s="35" t="s">
        <v>1752</v>
      </c>
      <c r="I1356" s="25" t="s">
        <v>1753</v>
      </c>
    </row>
    <row r="1357" spans="1:9" s="33" customFormat="1" ht="105">
      <c r="A1357" s="12">
        <v>43577.104780092588</v>
      </c>
      <c r="B1357" s="13" t="s">
        <v>14189</v>
      </c>
      <c r="C1357" s="14" t="s">
        <v>1750</v>
      </c>
      <c r="D1357" s="15" t="s">
        <v>1751</v>
      </c>
      <c r="E1357" s="16" t="s">
        <v>13032</v>
      </c>
      <c r="F1357" s="12">
        <v>41157.31313657407</v>
      </c>
      <c r="G1357" s="17" t="s">
        <v>13000</v>
      </c>
      <c r="H1357" s="35" t="s">
        <v>1752</v>
      </c>
      <c r="I1357" s="18" t="s">
        <v>1753</v>
      </c>
    </row>
    <row r="1358" spans="1:9" s="33" customFormat="1" ht="90">
      <c r="A1358" s="12">
        <v>43580.702060185184</v>
      </c>
      <c r="B1358" s="13" t="s">
        <v>14190</v>
      </c>
      <c r="C1358" s="14" t="s">
        <v>135</v>
      </c>
      <c r="D1358" s="15" t="s">
        <v>136</v>
      </c>
      <c r="E1358" s="16" t="s">
        <v>13009</v>
      </c>
      <c r="F1358" s="12">
        <v>43142.058877314819</v>
      </c>
      <c r="G1358" s="17" t="s">
        <v>13000</v>
      </c>
      <c r="H1358" s="35" t="s">
        <v>137</v>
      </c>
      <c r="I1358" s="18" t="s">
        <v>138</v>
      </c>
    </row>
    <row r="1359" spans="1:9" s="33" customFormat="1" ht="60">
      <c r="A1359" s="12">
        <v>43568.492581018523</v>
      </c>
      <c r="B1359" s="13" t="s">
        <v>14191</v>
      </c>
      <c r="C1359" s="14" t="s">
        <v>4732</v>
      </c>
      <c r="D1359" s="15" t="s">
        <v>4733</v>
      </c>
      <c r="E1359" s="16" t="s">
        <v>13009</v>
      </c>
      <c r="F1359" s="12">
        <v>40835.69730324074</v>
      </c>
      <c r="G1359" s="17" t="s">
        <v>13000</v>
      </c>
      <c r="H1359" s="35" t="s">
        <v>4734</v>
      </c>
      <c r="I1359" s="18" t="s">
        <v>4735</v>
      </c>
    </row>
    <row r="1360" spans="1:9" s="33" customFormat="1" ht="105">
      <c r="A1360" s="4">
        <v>43559.403148148151</v>
      </c>
      <c r="B1360" s="5" t="s">
        <v>14192</v>
      </c>
      <c r="C1360" s="6" t="s">
        <v>11847</v>
      </c>
      <c r="D1360" s="7" t="s">
        <v>11848</v>
      </c>
      <c r="E1360" s="8" t="s">
        <v>13018</v>
      </c>
      <c r="F1360" s="4">
        <v>41036.322777777779</v>
      </c>
      <c r="G1360" s="17" t="s">
        <v>13000</v>
      </c>
      <c r="H1360" s="35" t="s">
        <v>11849</v>
      </c>
      <c r="I1360" s="10" t="s">
        <v>11850</v>
      </c>
    </row>
    <row r="1361" spans="1:9" s="33" customFormat="1" ht="90">
      <c r="A1361" s="19">
        <v>43550.630567129629</v>
      </c>
      <c r="B1361" s="20" t="s">
        <v>14193</v>
      </c>
      <c r="C1361" s="21" t="s">
        <v>1344</v>
      </c>
      <c r="D1361" s="22" t="s">
        <v>1345</v>
      </c>
      <c r="E1361" s="23" t="s">
        <v>13034</v>
      </c>
      <c r="F1361" s="19">
        <v>41877.566412037035</v>
      </c>
      <c r="G1361" s="17" t="s">
        <v>13000</v>
      </c>
      <c r="H1361" s="35" t="s">
        <v>623</v>
      </c>
      <c r="I1361" s="25" t="s">
        <v>1346</v>
      </c>
    </row>
    <row r="1362" spans="1:9" s="33" customFormat="1" ht="90">
      <c r="A1362" s="19">
        <v>43549.492372685185</v>
      </c>
      <c r="B1362" s="20" t="s">
        <v>14193</v>
      </c>
      <c r="C1362" s="21" t="s">
        <v>1344</v>
      </c>
      <c r="D1362" s="22" t="s">
        <v>1345</v>
      </c>
      <c r="E1362" s="23" t="s">
        <v>13034</v>
      </c>
      <c r="F1362" s="19">
        <v>41877.566412037035</v>
      </c>
      <c r="G1362" s="17" t="s">
        <v>13000</v>
      </c>
      <c r="H1362" s="35" t="s">
        <v>623</v>
      </c>
      <c r="I1362" s="25" t="s">
        <v>1346</v>
      </c>
    </row>
    <row r="1363" spans="1:9" s="33" customFormat="1" ht="90">
      <c r="A1363" s="19">
        <v>43549.254201388889</v>
      </c>
      <c r="B1363" s="20" t="s">
        <v>14193</v>
      </c>
      <c r="C1363" s="21" t="s">
        <v>1344</v>
      </c>
      <c r="D1363" s="22" t="s">
        <v>1377</v>
      </c>
      <c r="E1363" s="23" t="s">
        <v>13034</v>
      </c>
      <c r="F1363" s="19">
        <v>41877.566412037035</v>
      </c>
      <c r="G1363" s="17" t="s">
        <v>13000</v>
      </c>
      <c r="H1363" s="35" t="s">
        <v>623</v>
      </c>
      <c r="I1363" s="25" t="s">
        <v>1346</v>
      </c>
    </row>
    <row r="1364" spans="1:9" s="33" customFormat="1" ht="90">
      <c r="A1364" s="19">
        <v>43548.505127314813</v>
      </c>
      <c r="B1364" s="20" t="s">
        <v>14194</v>
      </c>
      <c r="C1364" s="21" t="s">
        <v>8298</v>
      </c>
      <c r="D1364" s="22" t="s">
        <v>8299</v>
      </c>
      <c r="E1364" s="23" t="s">
        <v>13032</v>
      </c>
      <c r="F1364" s="19">
        <v>39981.567303240743</v>
      </c>
      <c r="G1364" s="17" t="s">
        <v>13000</v>
      </c>
      <c r="H1364" s="35" t="s">
        <v>623</v>
      </c>
      <c r="I1364" s="25" t="s">
        <v>8300</v>
      </c>
    </row>
    <row r="1365" spans="1:9" s="33" customFormat="1" ht="90">
      <c r="A1365" s="19">
        <v>43544.492372685185</v>
      </c>
      <c r="B1365" s="20" t="s">
        <v>14193</v>
      </c>
      <c r="C1365" s="21" t="s">
        <v>1344</v>
      </c>
      <c r="D1365" s="22" t="s">
        <v>1377</v>
      </c>
      <c r="E1365" s="23" t="s">
        <v>13034</v>
      </c>
      <c r="F1365" s="19">
        <v>41877.566412037035</v>
      </c>
      <c r="G1365" s="17" t="s">
        <v>13000</v>
      </c>
      <c r="H1365" s="35" t="s">
        <v>623</v>
      </c>
      <c r="I1365" s="25" t="s">
        <v>1346</v>
      </c>
    </row>
    <row r="1366" spans="1:9" s="33" customFormat="1" ht="90">
      <c r="A1366" s="19">
        <v>43544.365208333329</v>
      </c>
      <c r="B1366" s="20" t="s">
        <v>14195</v>
      </c>
      <c r="C1366" s="21" t="s">
        <v>6050</v>
      </c>
      <c r="D1366" s="22" t="s">
        <v>9494</v>
      </c>
      <c r="E1366" s="23" t="s">
        <v>13009</v>
      </c>
      <c r="F1366" s="19">
        <v>43229.221666666665</v>
      </c>
      <c r="G1366" s="17" t="s">
        <v>13000</v>
      </c>
      <c r="H1366" s="35" t="s">
        <v>623</v>
      </c>
      <c r="I1366" s="25" t="s">
        <v>6052</v>
      </c>
    </row>
    <row r="1367" spans="1:9" s="33" customFormat="1" ht="90">
      <c r="A1367" s="19">
        <v>43544.363981481481</v>
      </c>
      <c r="B1367" s="20" t="s">
        <v>14196</v>
      </c>
      <c r="C1367" s="21" t="s">
        <v>9495</v>
      </c>
      <c r="D1367" s="22" t="s">
        <v>9496</v>
      </c>
      <c r="E1367" s="23" t="s">
        <v>13011</v>
      </c>
      <c r="F1367" s="19">
        <v>39867.29278935185</v>
      </c>
      <c r="G1367" s="17" t="s">
        <v>13000</v>
      </c>
      <c r="H1367" s="35" t="s">
        <v>623</v>
      </c>
      <c r="I1367" s="25" t="s">
        <v>9497</v>
      </c>
    </row>
    <row r="1368" spans="1:9" s="33" customFormat="1" ht="90">
      <c r="A1368" s="19">
        <v>43544.286446759259</v>
      </c>
      <c r="B1368" s="20" t="s">
        <v>14193</v>
      </c>
      <c r="C1368" s="21" t="s">
        <v>1344</v>
      </c>
      <c r="D1368" s="22" t="s">
        <v>1345</v>
      </c>
      <c r="E1368" s="23" t="s">
        <v>13011</v>
      </c>
      <c r="F1368" s="19">
        <v>41877.566412037035</v>
      </c>
      <c r="G1368" s="17" t="s">
        <v>13000</v>
      </c>
      <c r="H1368" s="35" t="s">
        <v>623</v>
      </c>
      <c r="I1368" s="25" t="s">
        <v>1346</v>
      </c>
    </row>
    <row r="1369" spans="1:9" s="33" customFormat="1" ht="165">
      <c r="A1369" s="19">
        <v>43544.263912037037</v>
      </c>
      <c r="B1369" s="20" t="s">
        <v>14195</v>
      </c>
      <c r="C1369" s="21" t="s">
        <v>6050</v>
      </c>
      <c r="D1369" s="22" t="s">
        <v>9563</v>
      </c>
      <c r="E1369" s="23" t="s">
        <v>13009</v>
      </c>
      <c r="F1369" s="19">
        <v>43229.221666666665</v>
      </c>
      <c r="G1369" s="17" t="s">
        <v>13000</v>
      </c>
      <c r="H1369" s="35" t="s">
        <v>623</v>
      </c>
      <c r="I1369" s="25" t="s">
        <v>6052</v>
      </c>
    </row>
    <row r="1370" spans="1:9" s="33" customFormat="1" ht="90">
      <c r="A1370" s="19">
        <v>43543.175023148149</v>
      </c>
      <c r="B1370" s="20" t="s">
        <v>14193</v>
      </c>
      <c r="C1370" s="21" t="s">
        <v>1344</v>
      </c>
      <c r="D1370" s="22" t="s">
        <v>1377</v>
      </c>
      <c r="E1370" s="23" t="s">
        <v>13034</v>
      </c>
      <c r="F1370" s="19">
        <v>41877.566412037035</v>
      </c>
      <c r="G1370" s="17" t="s">
        <v>13000</v>
      </c>
      <c r="H1370" s="35" t="s">
        <v>623</v>
      </c>
      <c r="I1370" s="25" t="s">
        <v>1346</v>
      </c>
    </row>
    <row r="1371" spans="1:9" s="33" customFormat="1" ht="75">
      <c r="A1371" s="19">
        <v>43542.630567129629</v>
      </c>
      <c r="B1371" s="20" t="s">
        <v>14193</v>
      </c>
      <c r="C1371" s="21" t="s">
        <v>1344</v>
      </c>
      <c r="D1371" s="22" t="s">
        <v>10059</v>
      </c>
      <c r="E1371" s="23" t="s">
        <v>13034</v>
      </c>
      <c r="F1371" s="19">
        <v>41877.566412037035</v>
      </c>
      <c r="G1371" s="17" t="s">
        <v>13000</v>
      </c>
      <c r="H1371" s="35" t="s">
        <v>623</v>
      </c>
      <c r="I1371" s="25" t="s">
        <v>1346</v>
      </c>
    </row>
    <row r="1372" spans="1:9" s="33" customFormat="1" ht="90">
      <c r="A1372" s="4">
        <v>43565.637129629627</v>
      </c>
      <c r="B1372" s="5" t="s">
        <v>14197</v>
      </c>
      <c r="C1372" s="6" t="s">
        <v>5978</v>
      </c>
      <c r="D1372" s="7" t="s">
        <v>5979</v>
      </c>
      <c r="E1372" s="8" t="s">
        <v>13032</v>
      </c>
      <c r="F1372" s="4">
        <v>40247.50136574074</v>
      </c>
      <c r="G1372" s="17" t="s">
        <v>13000</v>
      </c>
      <c r="H1372" s="35" t="s">
        <v>623</v>
      </c>
      <c r="I1372" s="10" t="s">
        <v>5980</v>
      </c>
    </row>
    <row r="1373" spans="1:9" s="33" customFormat="1" ht="105">
      <c r="A1373" s="4">
        <v>43565.516319444447</v>
      </c>
      <c r="B1373" s="5" t="s">
        <v>14195</v>
      </c>
      <c r="C1373" s="6" t="s">
        <v>6050</v>
      </c>
      <c r="D1373" s="7" t="s">
        <v>6051</v>
      </c>
      <c r="E1373" s="8" t="s">
        <v>13009</v>
      </c>
      <c r="F1373" s="4">
        <v>43229.221666666665</v>
      </c>
      <c r="G1373" s="17" t="s">
        <v>13000</v>
      </c>
      <c r="H1373" s="35" t="s">
        <v>623</v>
      </c>
      <c r="I1373" s="10" t="s">
        <v>6052</v>
      </c>
    </row>
    <row r="1374" spans="1:9" s="33" customFormat="1" ht="90">
      <c r="A1374" s="4">
        <v>43564.630578703705</v>
      </c>
      <c r="B1374" s="5" t="s">
        <v>14193</v>
      </c>
      <c r="C1374" s="6" t="s">
        <v>1344</v>
      </c>
      <c r="D1374" s="7" t="s">
        <v>1345</v>
      </c>
      <c r="E1374" s="8" t="s">
        <v>13034</v>
      </c>
      <c r="F1374" s="4">
        <v>41877.566412037035</v>
      </c>
      <c r="G1374" s="17" t="s">
        <v>13000</v>
      </c>
      <c r="H1374" s="35" t="s">
        <v>623</v>
      </c>
      <c r="I1374" s="10" t="s">
        <v>1346</v>
      </c>
    </row>
    <row r="1375" spans="1:9" s="33" customFormat="1" ht="90">
      <c r="A1375" s="4">
        <v>43563.254189814819</v>
      </c>
      <c r="B1375" s="5" t="s">
        <v>14193</v>
      </c>
      <c r="C1375" s="6" t="s">
        <v>1344</v>
      </c>
      <c r="D1375" s="7" t="s">
        <v>1345</v>
      </c>
      <c r="E1375" s="8" t="s">
        <v>13034</v>
      </c>
      <c r="F1375" s="4">
        <v>41877.566412037035</v>
      </c>
      <c r="G1375" s="17" t="s">
        <v>13000</v>
      </c>
      <c r="H1375" s="35" t="s">
        <v>623</v>
      </c>
      <c r="I1375" s="10" t="s">
        <v>1346</v>
      </c>
    </row>
    <row r="1376" spans="1:9" s="33" customFormat="1" ht="90">
      <c r="A1376" s="4">
        <v>43562.534363425926</v>
      </c>
      <c r="B1376" s="5" t="s">
        <v>14194</v>
      </c>
      <c r="C1376" s="6" t="s">
        <v>8298</v>
      </c>
      <c r="D1376" s="7" t="s">
        <v>10654</v>
      </c>
      <c r="E1376" s="8" t="s">
        <v>13032</v>
      </c>
      <c r="F1376" s="4">
        <v>39981.567303240743</v>
      </c>
      <c r="G1376" s="17" t="s">
        <v>13000</v>
      </c>
      <c r="H1376" s="35" t="s">
        <v>623</v>
      </c>
      <c r="I1376" s="10" t="s">
        <v>8300</v>
      </c>
    </row>
    <row r="1377" spans="1:9" s="33" customFormat="1" ht="75">
      <c r="A1377" s="4">
        <v>43557.74119212963</v>
      </c>
      <c r="B1377" s="5" t="s">
        <v>14193</v>
      </c>
      <c r="C1377" s="6" t="s">
        <v>1344</v>
      </c>
      <c r="D1377" s="7" t="s">
        <v>5345</v>
      </c>
      <c r="E1377" s="8" t="s">
        <v>13011</v>
      </c>
      <c r="F1377" s="4">
        <v>41877.566412037035</v>
      </c>
      <c r="G1377" s="17" t="s">
        <v>13000</v>
      </c>
      <c r="H1377" s="35" t="s">
        <v>623</v>
      </c>
      <c r="I1377" s="10" t="s">
        <v>1346</v>
      </c>
    </row>
    <row r="1378" spans="1:9" s="33" customFormat="1" ht="75">
      <c r="A1378" s="12">
        <v>43579.486747685187</v>
      </c>
      <c r="B1378" s="13" t="s">
        <v>14198</v>
      </c>
      <c r="C1378" s="14" t="s">
        <v>621</v>
      </c>
      <c r="D1378" s="15" t="s">
        <v>622</v>
      </c>
      <c r="E1378" s="16" t="s">
        <v>13099</v>
      </c>
      <c r="F1378" s="12">
        <v>40026.908414351856</v>
      </c>
      <c r="G1378" s="17" t="s">
        <v>13000</v>
      </c>
      <c r="H1378" s="35" t="s">
        <v>623</v>
      </c>
      <c r="I1378" s="18" t="s">
        <v>624</v>
      </c>
    </row>
    <row r="1379" spans="1:9" s="33" customFormat="1" ht="30">
      <c r="A1379" s="12">
        <v>43578.526504629626</v>
      </c>
      <c r="B1379" s="13" t="s">
        <v>14199</v>
      </c>
      <c r="C1379" s="14" t="s">
        <v>1160</v>
      </c>
      <c r="D1379" s="15" t="s">
        <v>1161</v>
      </c>
      <c r="E1379" s="16" t="s">
        <v>13099</v>
      </c>
      <c r="F1379" s="12">
        <v>39919.326574074075</v>
      </c>
      <c r="G1379" s="17" t="s">
        <v>13000</v>
      </c>
      <c r="H1379" s="35" t="s">
        <v>623</v>
      </c>
      <c r="I1379" s="18" t="s">
        <v>1162</v>
      </c>
    </row>
    <row r="1380" spans="1:9" s="33" customFormat="1" ht="90">
      <c r="A1380" s="12">
        <v>43578.254178240742</v>
      </c>
      <c r="B1380" s="13" t="s">
        <v>14193</v>
      </c>
      <c r="C1380" s="14" t="s">
        <v>1344</v>
      </c>
      <c r="D1380" s="15" t="s">
        <v>1345</v>
      </c>
      <c r="E1380" s="16" t="s">
        <v>13034</v>
      </c>
      <c r="F1380" s="12">
        <v>41877.566412037035</v>
      </c>
      <c r="G1380" s="17" t="s">
        <v>13000</v>
      </c>
      <c r="H1380" s="35" t="s">
        <v>623</v>
      </c>
      <c r="I1380" s="18" t="s">
        <v>1346</v>
      </c>
    </row>
    <row r="1381" spans="1:9" s="33" customFormat="1" ht="90">
      <c r="A1381" s="12">
        <v>43578.175011574072</v>
      </c>
      <c r="B1381" s="13" t="s">
        <v>14193</v>
      </c>
      <c r="C1381" s="14" t="s">
        <v>1344</v>
      </c>
      <c r="D1381" s="15" t="s">
        <v>1377</v>
      </c>
      <c r="E1381" s="16" t="s">
        <v>13034</v>
      </c>
      <c r="F1381" s="12">
        <v>41877.566412037035</v>
      </c>
      <c r="G1381" s="17" t="s">
        <v>13000</v>
      </c>
      <c r="H1381" s="35" t="s">
        <v>623</v>
      </c>
      <c r="I1381" s="18" t="s">
        <v>1346</v>
      </c>
    </row>
    <row r="1382" spans="1:9" s="33" customFormat="1" ht="105">
      <c r="A1382" s="12">
        <v>43577.597870370373</v>
      </c>
      <c r="B1382" s="13" t="s">
        <v>14200</v>
      </c>
      <c r="C1382" s="14" t="s">
        <v>1549</v>
      </c>
      <c r="D1382" s="15" t="s">
        <v>1550</v>
      </c>
      <c r="E1382" s="16" t="s">
        <v>13006</v>
      </c>
      <c r="F1382" s="12">
        <v>39905.252303240741</v>
      </c>
      <c r="G1382" s="17" t="s">
        <v>13000</v>
      </c>
      <c r="H1382" s="35" t="s">
        <v>623</v>
      </c>
      <c r="I1382" s="18" t="s">
        <v>1551</v>
      </c>
    </row>
    <row r="1383" spans="1:9" s="33" customFormat="1" ht="90">
      <c r="A1383" s="12">
        <v>43573.568425925929</v>
      </c>
      <c r="B1383" s="13" t="s">
        <v>14201</v>
      </c>
      <c r="C1383" s="14" t="s">
        <v>2818</v>
      </c>
      <c r="D1383" s="15" t="s">
        <v>2819</v>
      </c>
      <c r="E1383" s="16" t="s">
        <v>13006</v>
      </c>
      <c r="F1383" s="12">
        <v>41898.53969907407</v>
      </c>
      <c r="G1383" s="17" t="s">
        <v>13000</v>
      </c>
      <c r="H1383" s="35" t="s">
        <v>623</v>
      </c>
      <c r="I1383" s="18" t="s">
        <v>2820</v>
      </c>
    </row>
    <row r="1384" spans="1:9" s="33" customFormat="1" ht="60">
      <c r="A1384" s="12">
        <v>43572.879733796297</v>
      </c>
      <c r="B1384" s="13" t="s">
        <v>14202</v>
      </c>
      <c r="C1384" s="14" t="s">
        <v>3069</v>
      </c>
      <c r="D1384" s="15" t="s">
        <v>3070</v>
      </c>
      <c r="E1384" s="16" t="s">
        <v>13013</v>
      </c>
      <c r="F1384" s="12">
        <v>39967.596203703702</v>
      </c>
      <c r="G1384" s="17" t="s">
        <v>13000</v>
      </c>
      <c r="H1384" s="35" t="s">
        <v>623</v>
      </c>
      <c r="I1384" s="18" t="s">
        <v>3071</v>
      </c>
    </row>
    <row r="1385" spans="1:9" s="33" customFormat="1" ht="90">
      <c r="A1385" s="12">
        <v>43572.175011574072</v>
      </c>
      <c r="B1385" s="13" t="s">
        <v>14193</v>
      </c>
      <c r="C1385" s="14" t="s">
        <v>1344</v>
      </c>
      <c r="D1385" s="15" t="s">
        <v>1377</v>
      </c>
      <c r="E1385" s="16" t="s">
        <v>13034</v>
      </c>
      <c r="F1385" s="12">
        <v>41877.566412037035</v>
      </c>
      <c r="G1385" s="17" t="s">
        <v>13000</v>
      </c>
      <c r="H1385" s="35" t="s">
        <v>623</v>
      </c>
      <c r="I1385" s="18" t="s">
        <v>1346</v>
      </c>
    </row>
    <row r="1386" spans="1:9" s="33" customFormat="1" ht="90">
      <c r="A1386" s="12">
        <v>43571.770150462966</v>
      </c>
      <c r="B1386" s="13" t="s">
        <v>14193</v>
      </c>
      <c r="C1386" s="14" t="s">
        <v>1344</v>
      </c>
      <c r="D1386" s="15" t="s">
        <v>1345</v>
      </c>
      <c r="E1386" s="16" t="s">
        <v>13034</v>
      </c>
      <c r="F1386" s="12">
        <v>41877.566412037035</v>
      </c>
      <c r="G1386" s="17" t="s">
        <v>13000</v>
      </c>
      <c r="H1386" s="35" t="s">
        <v>623</v>
      </c>
      <c r="I1386" s="18" t="s">
        <v>1346</v>
      </c>
    </row>
    <row r="1387" spans="1:9" s="33" customFormat="1" ht="60">
      <c r="A1387" s="12">
        <v>43571.500300925924</v>
      </c>
      <c r="B1387" s="13" t="s">
        <v>14202</v>
      </c>
      <c r="C1387" s="14" t="s">
        <v>3069</v>
      </c>
      <c r="D1387" s="15" t="s">
        <v>3659</v>
      </c>
      <c r="E1387" s="16" t="s">
        <v>13013</v>
      </c>
      <c r="F1387" s="12">
        <v>39967.596203703702</v>
      </c>
      <c r="G1387" s="17" t="s">
        <v>13000</v>
      </c>
      <c r="H1387" s="35" t="s">
        <v>623</v>
      </c>
      <c r="I1387" s="18" t="s">
        <v>3071</v>
      </c>
    </row>
    <row r="1388" spans="1:9" s="33" customFormat="1" ht="90">
      <c r="A1388" s="12">
        <v>43571.175023148149</v>
      </c>
      <c r="B1388" s="13" t="s">
        <v>14193</v>
      </c>
      <c r="C1388" s="14" t="s">
        <v>1344</v>
      </c>
      <c r="D1388" s="15" t="s">
        <v>1345</v>
      </c>
      <c r="E1388" s="16" t="s">
        <v>13034</v>
      </c>
      <c r="F1388" s="12">
        <v>41877.566412037035</v>
      </c>
      <c r="G1388" s="17" t="s">
        <v>13000</v>
      </c>
      <c r="H1388" s="35" t="s">
        <v>623</v>
      </c>
      <c r="I1388" s="18" t="s">
        <v>1346</v>
      </c>
    </row>
    <row r="1389" spans="1:9" s="33" customFormat="1" ht="90">
      <c r="A1389" s="12">
        <v>43570.770162037035</v>
      </c>
      <c r="B1389" s="13" t="s">
        <v>14193</v>
      </c>
      <c r="C1389" s="14" t="s">
        <v>1344</v>
      </c>
      <c r="D1389" s="15" t="s">
        <v>1377</v>
      </c>
      <c r="E1389" s="16" t="s">
        <v>13034</v>
      </c>
      <c r="F1389" s="12">
        <v>41877.566412037035</v>
      </c>
      <c r="G1389" s="17" t="s">
        <v>13000</v>
      </c>
      <c r="H1389" s="35" t="s">
        <v>623</v>
      </c>
      <c r="I1389" s="18" t="s">
        <v>1346</v>
      </c>
    </row>
    <row r="1390" spans="1:9" s="33" customFormat="1" ht="105">
      <c r="A1390" s="12">
        <v>43570.398310185185</v>
      </c>
      <c r="B1390" s="13" t="s">
        <v>14203</v>
      </c>
      <c r="C1390" s="14" t="s">
        <v>4179</v>
      </c>
      <c r="D1390" s="15" t="s">
        <v>4180</v>
      </c>
      <c r="E1390" s="16" t="s">
        <v>13032</v>
      </c>
      <c r="F1390" s="12">
        <v>42884.356041666666</v>
      </c>
      <c r="G1390" s="17" t="s">
        <v>13000</v>
      </c>
      <c r="H1390" s="35" t="s">
        <v>623</v>
      </c>
      <c r="I1390" s="18" t="s">
        <v>4181</v>
      </c>
    </row>
    <row r="1391" spans="1:9" s="33" customFormat="1" ht="90">
      <c r="A1391" s="12">
        <v>43568.175011574072</v>
      </c>
      <c r="B1391" s="13" t="s">
        <v>14193</v>
      </c>
      <c r="C1391" s="14" t="s">
        <v>1344</v>
      </c>
      <c r="D1391" s="15" t="s">
        <v>1377</v>
      </c>
      <c r="E1391" s="16" t="s">
        <v>13034</v>
      </c>
      <c r="F1391" s="12">
        <v>41877.566412037035</v>
      </c>
      <c r="G1391" s="17" t="s">
        <v>13000</v>
      </c>
      <c r="H1391" s="35" t="s">
        <v>623</v>
      </c>
      <c r="I1391" s="18" t="s">
        <v>1346</v>
      </c>
    </row>
    <row r="1392" spans="1:9" s="33" customFormat="1" ht="90">
      <c r="A1392" s="12">
        <v>43567.770150462966</v>
      </c>
      <c r="B1392" s="13" t="s">
        <v>14193</v>
      </c>
      <c r="C1392" s="14" t="s">
        <v>1344</v>
      </c>
      <c r="D1392" s="15" t="s">
        <v>1345</v>
      </c>
      <c r="E1392" s="16" t="s">
        <v>13034</v>
      </c>
      <c r="F1392" s="12">
        <v>41877.566412037035</v>
      </c>
      <c r="G1392" s="17" t="s">
        <v>13000</v>
      </c>
      <c r="H1392" s="35" t="s">
        <v>623</v>
      </c>
      <c r="I1392" s="18" t="s">
        <v>1346</v>
      </c>
    </row>
    <row r="1393" spans="1:9" s="33" customFormat="1" ht="75">
      <c r="A1393" s="12">
        <v>43566.770150462966</v>
      </c>
      <c r="B1393" s="13" t="s">
        <v>14193</v>
      </c>
      <c r="C1393" s="14" t="s">
        <v>1344</v>
      </c>
      <c r="D1393" s="15" t="s">
        <v>5345</v>
      </c>
      <c r="E1393" s="16" t="s">
        <v>13034</v>
      </c>
      <c r="F1393" s="12">
        <v>41877.566412037035</v>
      </c>
      <c r="G1393" s="17" t="s">
        <v>13000</v>
      </c>
      <c r="H1393" s="35" t="s">
        <v>623</v>
      </c>
      <c r="I1393" s="18" t="s">
        <v>1346</v>
      </c>
    </row>
    <row r="1394" spans="1:9" s="33" customFormat="1" ht="90">
      <c r="A1394" s="12">
        <v>43566.175011574072</v>
      </c>
      <c r="B1394" s="13" t="s">
        <v>14193</v>
      </c>
      <c r="C1394" s="14" t="s">
        <v>1344</v>
      </c>
      <c r="D1394" s="15" t="s">
        <v>1345</v>
      </c>
      <c r="E1394" s="16" t="s">
        <v>13034</v>
      </c>
      <c r="F1394" s="12">
        <v>41877.566412037035</v>
      </c>
      <c r="G1394" s="17" t="s">
        <v>13000</v>
      </c>
      <c r="H1394" s="35" t="s">
        <v>623</v>
      </c>
      <c r="I1394" s="18" t="s">
        <v>1346</v>
      </c>
    </row>
    <row r="1395" spans="1:9" s="33" customFormat="1" ht="90">
      <c r="A1395" s="4">
        <v>43562.79887731481</v>
      </c>
      <c r="B1395" s="5" t="s">
        <v>14204</v>
      </c>
      <c r="C1395" s="6" t="s">
        <v>10573</v>
      </c>
      <c r="D1395" s="7" t="s">
        <v>10574</v>
      </c>
      <c r="E1395" s="8" t="s">
        <v>13009</v>
      </c>
      <c r="F1395" s="4">
        <v>42599.445011574076</v>
      </c>
      <c r="G1395" s="9" t="s">
        <v>13000</v>
      </c>
      <c r="H1395" s="35" t="s">
        <v>10575</v>
      </c>
      <c r="I1395" s="10" t="s">
        <v>10576</v>
      </c>
    </row>
    <row r="1396" spans="1:9" s="33" customFormat="1" ht="90">
      <c r="A1396" s="19">
        <v>43550.792083333334</v>
      </c>
      <c r="B1396" s="20" t="s">
        <v>14205</v>
      </c>
      <c r="C1396" s="21" t="s">
        <v>6874</v>
      </c>
      <c r="D1396" s="22" t="s">
        <v>7506</v>
      </c>
      <c r="E1396" s="23" t="s">
        <v>13018</v>
      </c>
      <c r="F1396" s="19">
        <v>41085.533067129625</v>
      </c>
      <c r="G1396" s="17" t="s">
        <v>13000</v>
      </c>
      <c r="H1396" s="35" t="s">
        <v>6876</v>
      </c>
      <c r="I1396" s="25" t="s">
        <v>6877</v>
      </c>
    </row>
    <row r="1397" spans="1:9" s="33" customFormat="1" ht="90">
      <c r="A1397" s="4">
        <v>43563.792037037041</v>
      </c>
      <c r="B1397" s="5" t="s">
        <v>14205</v>
      </c>
      <c r="C1397" s="6" t="s">
        <v>6874</v>
      </c>
      <c r="D1397" s="7" t="s">
        <v>6875</v>
      </c>
      <c r="E1397" s="8" t="s">
        <v>13018</v>
      </c>
      <c r="F1397" s="4">
        <v>41085.533067129625</v>
      </c>
      <c r="G1397" s="17" t="s">
        <v>13000</v>
      </c>
      <c r="H1397" s="35" t="s">
        <v>6876</v>
      </c>
      <c r="I1397" s="10" t="s">
        <v>6877</v>
      </c>
    </row>
    <row r="1398" spans="1:9" s="33" customFormat="1" ht="90">
      <c r="A1398" s="19">
        <v>43551.727951388893</v>
      </c>
      <c r="B1398" s="20" t="s">
        <v>14206</v>
      </c>
      <c r="C1398" s="21" t="s">
        <v>7021</v>
      </c>
      <c r="D1398" s="22" t="s">
        <v>7022</v>
      </c>
      <c r="E1398" s="23" t="s">
        <v>13032</v>
      </c>
      <c r="F1398" s="19">
        <v>43322.475590277776</v>
      </c>
      <c r="G1398" s="17" t="s">
        <v>13000</v>
      </c>
      <c r="H1398" s="35" t="s">
        <v>3519</v>
      </c>
      <c r="I1398" s="25" t="s">
        <v>7023</v>
      </c>
    </row>
    <row r="1399" spans="1:9" s="33" customFormat="1" ht="90">
      <c r="A1399" s="19">
        <v>43543.506921296299</v>
      </c>
      <c r="B1399" s="20" t="s">
        <v>14206</v>
      </c>
      <c r="C1399" s="21" t="s">
        <v>7021</v>
      </c>
      <c r="D1399" s="22" t="s">
        <v>9776</v>
      </c>
      <c r="E1399" s="23" t="s">
        <v>13032</v>
      </c>
      <c r="F1399" s="19">
        <v>43322.475590277776</v>
      </c>
      <c r="G1399" s="17" t="s">
        <v>13000</v>
      </c>
      <c r="H1399" s="35" t="s">
        <v>3519</v>
      </c>
      <c r="I1399" s="25" t="s">
        <v>7023</v>
      </c>
    </row>
    <row r="1400" spans="1:9" s="33" customFormat="1" ht="105">
      <c r="A1400" s="12">
        <v>43571.849236111113</v>
      </c>
      <c r="B1400" s="13" t="s">
        <v>14207</v>
      </c>
      <c r="C1400" s="14" t="s">
        <v>3517</v>
      </c>
      <c r="D1400" s="15" t="s">
        <v>3518</v>
      </c>
      <c r="E1400" s="16" t="s">
        <v>13009</v>
      </c>
      <c r="F1400" s="12">
        <v>42153.532766203702</v>
      </c>
      <c r="G1400" s="17" t="s">
        <v>13000</v>
      </c>
      <c r="H1400" s="35" t="s">
        <v>3519</v>
      </c>
      <c r="I1400" s="18" t="s">
        <v>3520</v>
      </c>
    </row>
    <row r="1401" spans="1:9" s="33" customFormat="1" ht="60">
      <c r="A1401" s="12">
        <v>43570.245787037042</v>
      </c>
      <c r="B1401" s="13" t="s">
        <v>14208</v>
      </c>
      <c r="C1401" s="14" t="s">
        <v>4278</v>
      </c>
      <c r="D1401" s="15" t="s">
        <v>4279</v>
      </c>
      <c r="E1401" s="16" t="s">
        <v>13011</v>
      </c>
      <c r="F1401" s="12">
        <v>42461.296701388885</v>
      </c>
      <c r="G1401" s="17" t="s">
        <v>13000</v>
      </c>
      <c r="H1401" s="35" t="s">
        <v>4280</v>
      </c>
      <c r="I1401" s="18" t="s">
        <v>4281</v>
      </c>
    </row>
    <row r="1402" spans="1:9" s="33" customFormat="1" ht="60">
      <c r="A1402" s="19">
        <v>43550.515509259261</v>
      </c>
      <c r="B1402" s="20" t="s">
        <v>14209</v>
      </c>
      <c r="C1402" s="21" t="s">
        <v>1014</v>
      </c>
      <c r="D1402" s="22" t="s">
        <v>7630</v>
      </c>
      <c r="E1402" s="23" t="s">
        <v>13011</v>
      </c>
      <c r="F1402" s="19">
        <v>39733.818773148145</v>
      </c>
      <c r="G1402" s="17" t="s">
        <v>13000</v>
      </c>
      <c r="H1402" s="35" t="s">
        <v>1016</v>
      </c>
      <c r="I1402" s="25" t="s">
        <v>1017</v>
      </c>
    </row>
    <row r="1403" spans="1:9" s="33" customFormat="1" ht="60">
      <c r="A1403" s="19">
        <v>43547.443437499998</v>
      </c>
      <c r="B1403" s="20" t="s">
        <v>14209</v>
      </c>
      <c r="C1403" s="21" t="s">
        <v>1014</v>
      </c>
      <c r="D1403" s="22" t="s">
        <v>8539</v>
      </c>
      <c r="E1403" s="23" t="s">
        <v>13011</v>
      </c>
      <c r="F1403" s="19">
        <v>39733.818773148145</v>
      </c>
      <c r="G1403" s="17" t="s">
        <v>13000</v>
      </c>
      <c r="H1403" s="35" t="s">
        <v>1016</v>
      </c>
      <c r="I1403" s="25" t="s">
        <v>1017</v>
      </c>
    </row>
    <row r="1404" spans="1:9" s="33" customFormat="1" ht="60">
      <c r="A1404" s="19">
        <v>43546.383657407408</v>
      </c>
      <c r="B1404" s="20" t="s">
        <v>14209</v>
      </c>
      <c r="C1404" s="21" t="s">
        <v>1014</v>
      </c>
      <c r="D1404" s="22" t="s">
        <v>8877</v>
      </c>
      <c r="E1404" s="23" t="s">
        <v>13011</v>
      </c>
      <c r="F1404" s="19">
        <v>39733.818773148145</v>
      </c>
      <c r="G1404" s="17" t="s">
        <v>13000</v>
      </c>
      <c r="H1404" s="35" t="s">
        <v>1016</v>
      </c>
      <c r="I1404" s="25" t="s">
        <v>1017</v>
      </c>
    </row>
    <row r="1405" spans="1:9" s="33" customFormat="1" ht="60">
      <c r="A1405" s="4">
        <v>43565.235856481479</v>
      </c>
      <c r="B1405" s="5" t="s">
        <v>14209</v>
      </c>
      <c r="C1405" s="6" t="s">
        <v>1014</v>
      </c>
      <c r="D1405" s="7" t="s">
        <v>6215</v>
      </c>
      <c r="E1405" s="8" t="s">
        <v>13011</v>
      </c>
      <c r="F1405" s="4">
        <v>39733.818773148145</v>
      </c>
      <c r="G1405" s="17" t="s">
        <v>13000</v>
      </c>
      <c r="H1405" s="35" t="s">
        <v>1016</v>
      </c>
      <c r="I1405" s="10" t="s">
        <v>1017</v>
      </c>
    </row>
    <row r="1406" spans="1:9" s="33" customFormat="1" ht="75">
      <c r="A1406" s="4">
        <v>43562.843402777777</v>
      </c>
      <c r="B1406" s="5" t="s">
        <v>14209</v>
      </c>
      <c r="C1406" s="6" t="s">
        <v>1014</v>
      </c>
      <c r="D1406" s="7" t="s">
        <v>10566</v>
      </c>
      <c r="E1406" s="8" t="s">
        <v>13011</v>
      </c>
      <c r="F1406" s="4">
        <v>39733.818773148145</v>
      </c>
      <c r="G1406" s="17" t="s">
        <v>13000</v>
      </c>
      <c r="H1406" s="35" t="s">
        <v>1016</v>
      </c>
      <c r="I1406" s="10" t="s">
        <v>1017</v>
      </c>
    </row>
    <row r="1407" spans="1:9" s="33" customFormat="1" ht="60">
      <c r="A1407" s="4">
        <v>43562.30868055555</v>
      </c>
      <c r="B1407" s="5" t="s">
        <v>14209</v>
      </c>
      <c r="C1407" s="6" t="s">
        <v>1014</v>
      </c>
      <c r="D1407" s="7" t="s">
        <v>10709</v>
      </c>
      <c r="E1407" s="8" t="s">
        <v>13011</v>
      </c>
      <c r="F1407" s="4">
        <v>39733.818773148145</v>
      </c>
      <c r="G1407" s="17" t="s">
        <v>13000</v>
      </c>
      <c r="H1407" s="35" t="s">
        <v>1016</v>
      </c>
      <c r="I1407" s="10" t="s">
        <v>1017</v>
      </c>
    </row>
    <row r="1408" spans="1:9" s="33" customFormat="1" ht="60">
      <c r="A1408" s="4">
        <v>43561.644803240742</v>
      </c>
      <c r="B1408" s="5" t="s">
        <v>14209</v>
      </c>
      <c r="C1408" s="6" t="s">
        <v>1014</v>
      </c>
      <c r="D1408" s="7" t="s">
        <v>10889</v>
      </c>
      <c r="E1408" s="8" t="s">
        <v>13011</v>
      </c>
      <c r="F1408" s="4">
        <v>39733.818773148145</v>
      </c>
      <c r="G1408" s="17" t="s">
        <v>13000</v>
      </c>
      <c r="H1408" s="35" t="s">
        <v>1016</v>
      </c>
      <c r="I1408" s="10" t="s">
        <v>1017</v>
      </c>
    </row>
    <row r="1409" spans="1:9" s="33" customFormat="1" ht="60">
      <c r="A1409" s="4">
        <v>43560.200173611112</v>
      </c>
      <c r="B1409" s="5" t="s">
        <v>14209</v>
      </c>
      <c r="C1409" s="6" t="s">
        <v>1014</v>
      </c>
      <c r="D1409" s="7" t="s">
        <v>11575</v>
      </c>
      <c r="E1409" s="8" t="s">
        <v>13011</v>
      </c>
      <c r="F1409" s="4">
        <v>39733.818773148145</v>
      </c>
      <c r="G1409" s="17" t="s">
        <v>13000</v>
      </c>
      <c r="H1409" s="35" t="s">
        <v>1016</v>
      </c>
      <c r="I1409" s="10" t="s">
        <v>1017</v>
      </c>
    </row>
    <row r="1410" spans="1:9" s="33" customFormat="1" ht="60">
      <c r="A1410" s="4">
        <v>43559.34003472222</v>
      </c>
      <c r="B1410" s="5" t="s">
        <v>14209</v>
      </c>
      <c r="C1410" s="6" t="s">
        <v>1014</v>
      </c>
      <c r="D1410" s="7" t="s">
        <v>11881</v>
      </c>
      <c r="E1410" s="8" t="s">
        <v>13011</v>
      </c>
      <c r="F1410" s="4">
        <v>39733.818773148145</v>
      </c>
      <c r="G1410" s="17" t="s">
        <v>13000</v>
      </c>
      <c r="H1410" s="35" t="s">
        <v>1016</v>
      </c>
      <c r="I1410" s="10" t="s">
        <v>1017</v>
      </c>
    </row>
    <row r="1411" spans="1:9" s="33" customFormat="1" ht="45">
      <c r="A1411" s="4">
        <v>43557.827604166669</v>
      </c>
      <c r="B1411" s="5" t="s">
        <v>14209</v>
      </c>
      <c r="C1411" s="6" t="s">
        <v>1014</v>
      </c>
      <c r="D1411" s="7" t="s">
        <v>12382</v>
      </c>
      <c r="E1411" s="8" t="s">
        <v>13011</v>
      </c>
      <c r="F1411" s="4">
        <v>39733.818773148145</v>
      </c>
      <c r="G1411" s="17" t="s">
        <v>13000</v>
      </c>
      <c r="H1411" s="35" t="s">
        <v>1016</v>
      </c>
      <c r="I1411" s="10" t="s">
        <v>1017</v>
      </c>
    </row>
    <row r="1412" spans="1:9" s="33" customFormat="1" ht="60">
      <c r="A1412" s="4">
        <v>43556.872592592597</v>
      </c>
      <c r="B1412" s="5" t="s">
        <v>14209</v>
      </c>
      <c r="C1412" s="6" t="s">
        <v>1014</v>
      </c>
      <c r="D1412" s="7" t="s">
        <v>12717</v>
      </c>
      <c r="E1412" s="8" t="s">
        <v>13011</v>
      </c>
      <c r="F1412" s="4">
        <v>39733.818773148145</v>
      </c>
      <c r="G1412" s="17" t="s">
        <v>13000</v>
      </c>
      <c r="H1412" s="35" t="s">
        <v>1016</v>
      </c>
      <c r="I1412" s="10" t="s">
        <v>1017</v>
      </c>
    </row>
    <row r="1413" spans="1:9" s="33" customFormat="1" ht="60">
      <c r="A1413" s="12">
        <v>43578.852442129632</v>
      </c>
      <c r="B1413" s="13" t="s">
        <v>14209</v>
      </c>
      <c r="C1413" s="14" t="s">
        <v>1014</v>
      </c>
      <c r="D1413" s="15" t="s">
        <v>1015</v>
      </c>
      <c r="E1413" s="16" t="s">
        <v>13011</v>
      </c>
      <c r="F1413" s="12">
        <v>39733.818773148145</v>
      </c>
      <c r="G1413" s="17" t="s">
        <v>13000</v>
      </c>
      <c r="H1413" s="35" t="s">
        <v>1016</v>
      </c>
      <c r="I1413" s="18" t="s">
        <v>1017</v>
      </c>
    </row>
    <row r="1414" spans="1:9" s="33" customFormat="1" ht="60">
      <c r="A1414" s="12">
        <v>43578.260347222225</v>
      </c>
      <c r="B1414" s="13" t="s">
        <v>14209</v>
      </c>
      <c r="C1414" s="14" t="s">
        <v>1014</v>
      </c>
      <c r="D1414" s="15" t="s">
        <v>1343</v>
      </c>
      <c r="E1414" s="16" t="s">
        <v>13011</v>
      </c>
      <c r="F1414" s="12">
        <v>39733.818773148145</v>
      </c>
      <c r="G1414" s="17" t="s">
        <v>13000</v>
      </c>
      <c r="H1414" s="35" t="s">
        <v>1016</v>
      </c>
      <c r="I1414" s="18" t="s">
        <v>1017</v>
      </c>
    </row>
    <row r="1415" spans="1:9" s="33" customFormat="1" ht="45">
      <c r="A1415" s="12">
        <v>43576.836678240739</v>
      </c>
      <c r="B1415" s="13" t="s">
        <v>14209</v>
      </c>
      <c r="C1415" s="14" t="s">
        <v>1014</v>
      </c>
      <c r="D1415" s="15" t="s">
        <v>1807</v>
      </c>
      <c r="E1415" s="16" t="s">
        <v>13011</v>
      </c>
      <c r="F1415" s="12">
        <v>39733.818773148145</v>
      </c>
      <c r="G1415" s="17" t="s">
        <v>13000</v>
      </c>
      <c r="H1415" s="35" t="s">
        <v>1016</v>
      </c>
      <c r="I1415" s="18" t="s">
        <v>1017</v>
      </c>
    </row>
    <row r="1416" spans="1:9" s="33" customFormat="1" ht="60">
      <c r="A1416" s="12">
        <v>43574.871412037042</v>
      </c>
      <c r="B1416" s="13" t="s">
        <v>14209</v>
      </c>
      <c r="C1416" s="14" t="s">
        <v>1014</v>
      </c>
      <c r="D1416" s="15" t="s">
        <v>2412</v>
      </c>
      <c r="E1416" s="16" t="s">
        <v>13011</v>
      </c>
      <c r="F1416" s="12">
        <v>39733.818773148145</v>
      </c>
      <c r="G1416" s="17" t="s">
        <v>13000</v>
      </c>
      <c r="H1416" s="35" t="s">
        <v>1016</v>
      </c>
      <c r="I1416" s="18" t="s">
        <v>1017</v>
      </c>
    </row>
    <row r="1417" spans="1:9" s="33" customFormat="1" ht="60">
      <c r="A1417" s="12">
        <v>43571.276296296295</v>
      </c>
      <c r="B1417" s="13" t="s">
        <v>14209</v>
      </c>
      <c r="C1417" s="14" t="s">
        <v>1014</v>
      </c>
      <c r="D1417" s="15" t="s">
        <v>3759</v>
      </c>
      <c r="E1417" s="16" t="s">
        <v>13011</v>
      </c>
      <c r="F1417" s="12">
        <v>39733.818773148145</v>
      </c>
      <c r="G1417" s="17" t="s">
        <v>13000</v>
      </c>
      <c r="H1417" s="35" t="s">
        <v>1016</v>
      </c>
      <c r="I1417" s="18" t="s">
        <v>1017</v>
      </c>
    </row>
    <row r="1418" spans="1:9" s="33" customFormat="1" ht="60">
      <c r="A1418" s="12">
        <v>43569.658530092594</v>
      </c>
      <c r="B1418" s="13" t="s">
        <v>14209</v>
      </c>
      <c r="C1418" s="14" t="s">
        <v>1014</v>
      </c>
      <c r="D1418" s="15" t="s">
        <v>4442</v>
      </c>
      <c r="E1418" s="16" t="s">
        <v>13011</v>
      </c>
      <c r="F1418" s="12">
        <v>39733.818773148145</v>
      </c>
      <c r="G1418" s="17" t="s">
        <v>13000</v>
      </c>
      <c r="H1418" s="35" t="s">
        <v>1016</v>
      </c>
      <c r="I1418" s="18" t="s">
        <v>1017</v>
      </c>
    </row>
    <row r="1419" spans="1:9" s="33" customFormat="1" ht="60">
      <c r="A1419" s="12">
        <v>43568.44532407407</v>
      </c>
      <c r="B1419" s="13" t="s">
        <v>14209</v>
      </c>
      <c r="C1419" s="14" t="s">
        <v>1014</v>
      </c>
      <c r="D1419" s="15" t="s">
        <v>4765</v>
      </c>
      <c r="E1419" s="16" t="s">
        <v>13011</v>
      </c>
      <c r="F1419" s="12">
        <v>39733.818773148145</v>
      </c>
      <c r="G1419" s="17" t="s">
        <v>13000</v>
      </c>
      <c r="H1419" s="35" t="s">
        <v>1016</v>
      </c>
      <c r="I1419" s="18" t="s">
        <v>1017</v>
      </c>
    </row>
    <row r="1420" spans="1:9" s="33" customFormat="1" ht="105">
      <c r="A1420" s="12">
        <v>43576.589050925926</v>
      </c>
      <c r="B1420" s="13" t="s">
        <v>14210</v>
      </c>
      <c r="C1420" s="14" t="s">
        <v>1907</v>
      </c>
      <c r="D1420" s="15" t="s">
        <v>1908</v>
      </c>
      <c r="E1420" s="16" t="s">
        <v>13479</v>
      </c>
      <c r="F1420" s="12">
        <v>42856.570972222224</v>
      </c>
      <c r="G1420" s="17" t="s">
        <v>13000</v>
      </c>
      <c r="H1420" s="35" t="s">
        <v>1909</v>
      </c>
      <c r="I1420" s="18" t="s">
        <v>1910</v>
      </c>
    </row>
    <row r="1421" spans="1:9" s="33" customFormat="1" ht="90">
      <c r="A1421" s="19">
        <v>43550.698703703703</v>
      </c>
      <c r="B1421" s="20" t="s">
        <v>14211</v>
      </c>
      <c r="C1421" s="21" t="s">
        <v>7543</v>
      </c>
      <c r="D1421" s="22" t="s">
        <v>7544</v>
      </c>
      <c r="E1421" s="23" t="s">
        <v>13009</v>
      </c>
      <c r="F1421" s="19">
        <v>41891.503287037034</v>
      </c>
      <c r="G1421" s="17" t="s">
        <v>13000</v>
      </c>
      <c r="H1421" s="35" t="s">
        <v>2780</v>
      </c>
      <c r="I1421" s="25" t="s">
        <v>7545</v>
      </c>
    </row>
    <row r="1422" spans="1:9" s="33" customFormat="1" ht="60">
      <c r="A1422" s="19">
        <v>43550.215555555551</v>
      </c>
      <c r="B1422" s="20" t="s">
        <v>14212</v>
      </c>
      <c r="C1422" s="21" t="s">
        <v>7792</v>
      </c>
      <c r="D1422" s="22" t="s">
        <v>7793</v>
      </c>
      <c r="E1422" s="23" t="s">
        <v>13013</v>
      </c>
      <c r="F1422" s="19">
        <v>41807.098726851851</v>
      </c>
      <c r="G1422" s="17" t="s">
        <v>13000</v>
      </c>
      <c r="H1422" s="35" t="s">
        <v>2780</v>
      </c>
      <c r="I1422" s="25" t="s">
        <v>7794</v>
      </c>
    </row>
    <row r="1423" spans="1:9" s="33" customFormat="1" ht="90">
      <c r="A1423" s="12">
        <v>43573.665648148148</v>
      </c>
      <c r="B1423" s="13" t="s">
        <v>14213</v>
      </c>
      <c r="C1423" s="14" t="s">
        <v>2778</v>
      </c>
      <c r="D1423" s="15" t="s">
        <v>2779</v>
      </c>
      <c r="E1423" s="16" t="s">
        <v>13011</v>
      </c>
      <c r="F1423" s="12">
        <v>40775.154467592591</v>
      </c>
      <c r="G1423" s="17" t="s">
        <v>13000</v>
      </c>
      <c r="H1423" s="35" t="s">
        <v>2780</v>
      </c>
      <c r="I1423" s="18" t="s">
        <v>2781</v>
      </c>
    </row>
    <row r="1424" spans="1:9" s="33" customFormat="1" ht="120">
      <c r="A1424" s="4">
        <v>43560.40626157407</v>
      </c>
      <c r="B1424" s="5" t="s">
        <v>14214</v>
      </c>
      <c r="C1424" s="6" t="s">
        <v>11402</v>
      </c>
      <c r="D1424" s="7" t="s">
        <v>11403</v>
      </c>
      <c r="E1424" s="8" t="s">
        <v>13009</v>
      </c>
      <c r="F1424" s="4">
        <v>39932.353032407409</v>
      </c>
      <c r="G1424" s="17" t="s">
        <v>13000</v>
      </c>
      <c r="H1424" s="35" t="s">
        <v>11404</v>
      </c>
      <c r="I1424" s="10" t="s">
        <v>11405</v>
      </c>
    </row>
    <row r="1425" spans="1:9" s="33" customFormat="1" ht="105">
      <c r="A1425" s="12">
        <v>43570.574444444443</v>
      </c>
      <c r="B1425" s="13" t="s">
        <v>14215</v>
      </c>
      <c r="C1425" s="14" t="s">
        <v>4057</v>
      </c>
      <c r="D1425" s="15" t="s">
        <v>4058</v>
      </c>
      <c r="E1425" s="16" t="s">
        <v>13027</v>
      </c>
      <c r="F1425" s="12">
        <v>41621.611493055556</v>
      </c>
      <c r="G1425" s="17" t="s">
        <v>13000</v>
      </c>
      <c r="H1425" s="35" t="s">
        <v>4059</v>
      </c>
      <c r="I1425" s="18" t="s">
        <v>4060</v>
      </c>
    </row>
    <row r="1426" spans="1:9" s="33" customFormat="1" ht="105">
      <c r="A1426" s="12">
        <v>43570.570127314815</v>
      </c>
      <c r="B1426" s="13" t="s">
        <v>14215</v>
      </c>
      <c r="C1426" s="14" t="s">
        <v>4057</v>
      </c>
      <c r="D1426" s="15" t="s">
        <v>4067</v>
      </c>
      <c r="E1426" s="16" t="s">
        <v>13032</v>
      </c>
      <c r="F1426" s="12">
        <v>41621.611493055556</v>
      </c>
      <c r="G1426" s="17" t="s">
        <v>13000</v>
      </c>
      <c r="H1426" s="35" t="s">
        <v>4059</v>
      </c>
      <c r="I1426" s="18" t="s">
        <v>4060</v>
      </c>
    </row>
    <row r="1427" spans="1:9" s="33" customFormat="1" ht="90">
      <c r="A1427" s="4">
        <v>43560.629212962958</v>
      </c>
      <c r="B1427" s="5" t="s">
        <v>14216</v>
      </c>
      <c r="C1427" s="6" t="s">
        <v>11237</v>
      </c>
      <c r="D1427" s="7" t="s">
        <v>11238</v>
      </c>
      <c r="E1427" s="8" t="s">
        <v>13009</v>
      </c>
      <c r="F1427" s="4">
        <v>40013.373877314814</v>
      </c>
      <c r="G1427" s="17" t="s">
        <v>13000</v>
      </c>
      <c r="H1427" s="35" t="s">
        <v>11239</v>
      </c>
      <c r="I1427" s="10" t="s">
        <v>11240</v>
      </c>
    </row>
    <row r="1428" spans="1:9" s="33" customFormat="1" ht="150">
      <c r="A1428" s="4">
        <v>43561.550208333334</v>
      </c>
      <c r="B1428" s="5" t="s">
        <v>14217</v>
      </c>
      <c r="C1428" s="6" t="s">
        <v>10929</v>
      </c>
      <c r="D1428" s="7" t="s">
        <v>10930</v>
      </c>
      <c r="E1428" s="8" t="s">
        <v>13009</v>
      </c>
      <c r="F1428" s="4">
        <v>41646.569641203707</v>
      </c>
      <c r="G1428" s="17" t="s">
        <v>13000</v>
      </c>
      <c r="H1428" s="35" t="s">
        <v>10931</v>
      </c>
      <c r="I1428" s="10" t="s">
        <v>10932</v>
      </c>
    </row>
    <row r="1429" spans="1:9" s="33" customFormat="1" ht="120">
      <c r="A1429" s="19">
        <v>43545.836840277778</v>
      </c>
      <c r="B1429" s="20" t="s">
        <v>14218</v>
      </c>
      <c r="C1429" s="21" t="s">
        <v>9026</v>
      </c>
      <c r="D1429" s="22" t="s">
        <v>9027</v>
      </c>
      <c r="E1429" s="23" t="s">
        <v>13018</v>
      </c>
      <c r="F1429" s="19">
        <v>42542.553865740745</v>
      </c>
      <c r="G1429" s="17" t="s">
        <v>13000</v>
      </c>
      <c r="H1429" s="35" t="s">
        <v>9028</v>
      </c>
      <c r="I1429" s="25" t="s">
        <v>9029</v>
      </c>
    </row>
    <row r="1430" spans="1:9" s="33" customFormat="1" ht="120">
      <c r="A1430" s="19">
        <v>43545.288263888884</v>
      </c>
      <c r="B1430" s="20" t="s">
        <v>14218</v>
      </c>
      <c r="C1430" s="21" t="s">
        <v>9026</v>
      </c>
      <c r="D1430" s="22" t="s">
        <v>9211</v>
      </c>
      <c r="E1430" s="23" t="s">
        <v>13018</v>
      </c>
      <c r="F1430" s="19">
        <v>42542.553865740745</v>
      </c>
      <c r="G1430" s="17" t="s">
        <v>13000</v>
      </c>
      <c r="H1430" s="35" t="s">
        <v>9028</v>
      </c>
      <c r="I1430" s="25" t="s">
        <v>9029</v>
      </c>
    </row>
    <row r="1431" spans="1:9" s="33" customFormat="1" ht="90">
      <c r="A1431" s="19">
        <v>43550.396041666667</v>
      </c>
      <c r="B1431" s="20" t="s">
        <v>14219</v>
      </c>
      <c r="C1431" s="21" t="s">
        <v>7687</v>
      </c>
      <c r="D1431" s="22" t="s">
        <v>7688</v>
      </c>
      <c r="E1431" s="23" t="s">
        <v>13034</v>
      </c>
      <c r="F1431" s="19">
        <v>39611.764004629629</v>
      </c>
      <c r="G1431" s="17" t="s">
        <v>13000</v>
      </c>
      <c r="H1431" s="35" t="s">
        <v>1673</v>
      </c>
      <c r="I1431" s="25" t="s">
        <v>7689</v>
      </c>
    </row>
    <row r="1432" spans="1:9" s="33" customFormat="1" ht="105">
      <c r="A1432" s="19">
        <v>43545.601400462961</v>
      </c>
      <c r="B1432" s="20" t="s">
        <v>14220</v>
      </c>
      <c r="C1432" s="21" t="s">
        <v>9082</v>
      </c>
      <c r="D1432" s="22" t="s">
        <v>9083</v>
      </c>
      <c r="E1432" s="23" t="s">
        <v>13032</v>
      </c>
      <c r="F1432" s="19">
        <v>40101.5316087963</v>
      </c>
      <c r="G1432" s="17" t="s">
        <v>13000</v>
      </c>
      <c r="H1432" s="35" t="s">
        <v>1673</v>
      </c>
      <c r="I1432" s="25" t="s">
        <v>9084</v>
      </c>
    </row>
    <row r="1433" spans="1:9" s="33" customFormat="1" ht="105">
      <c r="A1433" s="4">
        <v>43562.480972222227</v>
      </c>
      <c r="B1433" s="5" t="s">
        <v>14221</v>
      </c>
      <c r="C1433" s="6" t="s">
        <v>10663</v>
      </c>
      <c r="D1433" s="7" t="s">
        <v>10664</v>
      </c>
      <c r="E1433" s="8" t="s">
        <v>13006</v>
      </c>
      <c r="F1433" s="4">
        <v>42018.872187500005</v>
      </c>
      <c r="G1433" s="17" t="s">
        <v>13000</v>
      </c>
      <c r="H1433" s="35" t="s">
        <v>1673</v>
      </c>
      <c r="I1433" s="10" t="s">
        <v>10665</v>
      </c>
    </row>
    <row r="1434" spans="1:9" s="33" customFormat="1" ht="90">
      <c r="A1434" s="4">
        <v>43557.395972222221</v>
      </c>
      <c r="B1434" s="5" t="s">
        <v>14219</v>
      </c>
      <c r="C1434" s="6" t="s">
        <v>7687</v>
      </c>
      <c r="D1434" s="7" t="s">
        <v>12529</v>
      </c>
      <c r="E1434" s="8" t="s">
        <v>13034</v>
      </c>
      <c r="F1434" s="4">
        <v>39611.764004629629</v>
      </c>
      <c r="G1434" s="17" t="s">
        <v>13000</v>
      </c>
      <c r="H1434" s="35" t="s">
        <v>1673</v>
      </c>
      <c r="I1434" s="10" t="s">
        <v>7689</v>
      </c>
    </row>
    <row r="1435" spans="1:9" s="33" customFormat="1" ht="75">
      <c r="A1435" s="12">
        <v>43577.307638888888</v>
      </c>
      <c r="B1435" s="13" t="s">
        <v>14222</v>
      </c>
      <c r="C1435" s="14" t="s">
        <v>1671</v>
      </c>
      <c r="D1435" s="15" t="s">
        <v>1672</v>
      </c>
      <c r="E1435" s="16" t="s">
        <v>13120</v>
      </c>
      <c r="F1435" s="12">
        <v>39854.357314814813</v>
      </c>
      <c r="G1435" s="17" t="s">
        <v>13000</v>
      </c>
      <c r="H1435" s="35" t="s">
        <v>1673</v>
      </c>
      <c r="I1435" s="18" t="s">
        <v>1674</v>
      </c>
    </row>
    <row r="1436" spans="1:9" s="33" customFormat="1" ht="105">
      <c r="A1436" s="19">
        <v>43547.080567129626</v>
      </c>
      <c r="B1436" s="20" t="s">
        <v>14223</v>
      </c>
      <c r="C1436" s="21" t="s">
        <v>8656</v>
      </c>
      <c r="D1436" s="22" t="s">
        <v>8657</v>
      </c>
      <c r="E1436" s="23" t="s">
        <v>13013</v>
      </c>
      <c r="F1436" s="19">
        <v>41460.411226851851</v>
      </c>
      <c r="G1436" s="17" t="s">
        <v>13000</v>
      </c>
      <c r="H1436" s="35" t="s">
        <v>3569</v>
      </c>
      <c r="I1436" s="25" t="s">
        <v>8658</v>
      </c>
    </row>
    <row r="1437" spans="1:9" s="33" customFormat="1" ht="60">
      <c r="A1437" s="19">
        <v>43546.658078703702</v>
      </c>
      <c r="B1437" s="20" t="s">
        <v>14224</v>
      </c>
      <c r="C1437" s="21" t="s">
        <v>8772</v>
      </c>
      <c r="D1437" s="22" t="s">
        <v>8773</v>
      </c>
      <c r="E1437" s="23" t="s">
        <v>13011</v>
      </c>
      <c r="F1437" s="19">
        <v>40365.766006944446</v>
      </c>
      <c r="G1437" s="17" t="s">
        <v>13000</v>
      </c>
      <c r="H1437" s="35" t="s">
        <v>3569</v>
      </c>
      <c r="I1437" s="25" t="s">
        <v>8774</v>
      </c>
    </row>
    <row r="1438" spans="1:9" s="33" customFormat="1" ht="45">
      <c r="A1438" s="4">
        <v>43565.379837962959</v>
      </c>
      <c r="B1438" s="5" t="s">
        <v>14225</v>
      </c>
      <c r="C1438" s="6" t="s">
        <v>6134</v>
      </c>
      <c r="D1438" s="7" t="s">
        <v>6135</v>
      </c>
      <c r="E1438" s="8" t="s">
        <v>13006</v>
      </c>
      <c r="F1438" s="4">
        <v>39876.208703703705</v>
      </c>
      <c r="G1438" s="17" t="s">
        <v>13000</v>
      </c>
      <c r="H1438" s="35" t="s">
        <v>3569</v>
      </c>
      <c r="I1438" s="10" t="s">
        <v>6136</v>
      </c>
    </row>
    <row r="1439" spans="1:9" s="33" customFormat="1" ht="120">
      <c r="A1439" s="4">
        <v>43564.714733796296</v>
      </c>
      <c r="B1439" s="5" t="s">
        <v>14226</v>
      </c>
      <c r="C1439" s="6" t="s">
        <v>6447</v>
      </c>
      <c r="D1439" s="7" t="s">
        <v>6448</v>
      </c>
      <c r="E1439" s="8" t="s">
        <v>13009</v>
      </c>
      <c r="F1439" s="4">
        <v>42638.790243055555</v>
      </c>
      <c r="G1439" s="17" t="s">
        <v>13000</v>
      </c>
      <c r="H1439" s="35" t="s">
        <v>3569</v>
      </c>
      <c r="I1439" s="10" t="s">
        <v>6449</v>
      </c>
    </row>
    <row r="1440" spans="1:9" s="33" customFormat="1" ht="60">
      <c r="A1440" s="4">
        <v>43558.625960648147</v>
      </c>
      <c r="B1440" s="5" t="s">
        <v>14227</v>
      </c>
      <c r="C1440" s="6" t="s">
        <v>12096</v>
      </c>
      <c r="D1440" s="7" t="s">
        <v>12097</v>
      </c>
      <c r="E1440" s="8" t="s">
        <v>13011</v>
      </c>
      <c r="F1440" s="4">
        <v>43436.260393518518</v>
      </c>
      <c r="G1440" s="17" t="s">
        <v>13000</v>
      </c>
      <c r="H1440" s="35" t="s">
        <v>3569</v>
      </c>
      <c r="I1440" s="10" t="s">
        <v>12098</v>
      </c>
    </row>
    <row r="1441" spans="1:9" s="33" customFormat="1" ht="90">
      <c r="A1441" s="12">
        <v>43571.72956018518</v>
      </c>
      <c r="B1441" s="13" t="s">
        <v>14228</v>
      </c>
      <c r="C1441" s="14" t="s">
        <v>3567</v>
      </c>
      <c r="D1441" s="15" t="s">
        <v>3568</v>
      </c>
      <c r="E1441" s="16" t="s">
        <v>13032</v>
      </c>
      <c r="F1441" s="12">
        <v>40961.819074074076</v>
      </c>
      <c r="G1441" s="17" t="s">
        <v>13000</v>
      </c>
      <c r="H1441" s="35" t="s">
        <v>3569</v>
      </c>
      <c r="I1441" s="18" t="s">
        <v>3570</v>
      </c>
    </row>
    <row r="1442" spans="1:9" s="33" customFormat="1" ht="105">
      <c r="A1442" s="4">
        <v>43563.321006944447</v>
      </c>
      <c r="B1442" s="5" t="s">
        <v>14229</v>
      </c>
      <c r="C1442" s="6" t="s">
        <v>10372</v>
      </c>
      <c r="D1442" s="7" t="s">
        <v>10373</v>
      </c>
      <c r="E1442" s="8" t="s">
        <v>14230</v>
      </c>
      <c r="F1442" s="4">
        <v>41711.542245370372</v>
      </c>
      <c r="G1442" s="17" t="s">
        <v>13000</v>
      </c>
      <c r="H1442" s="35" t="s">
        <v>10374</v>
      </c>
      <c r="I1442" s="10" t="s">
        <v>10375</v>
      </c>
    </row>
    <row r="1443" spans="1:9" s="33" customFormat="1" ht="135">
      <c r="A1443" s="19">
        <v>43551.55978009259</v>
      </c>
      <c r="B1443" s="20" t="s">
        <v>14231</v>
      </c>
      <c r="C1443" s="21" t="s">
        <v>7128</v>
      </c>
      <c r="D1443" s="22" t="s">
        <v>7129</v>
      </c>
      <c r="E1443" s="23" t="s">
        <v>13009</v>
      </c>
      <c r="F1443" s="19">
        <v>40750.613368055558</v>
      </c>
      <c r="G1443" s="17" t="s">
        <v>13000</v>
      </c>
      <c r="H1443" s="35" t="s">
        <v>7130</v>
      </c>
      <c r="I1443" s="25" t="s">
        <v>7131</v>
      </c>
    </row>
    <row r="1444" spans="1:9" s="33" customFormat="1" ht="90">
      <c r="A1444" s="19">
        <v>43549.844872685186</v>
      </c>
      <c r="B1444" s="20" t="s">
        <v>14232</v>
      </c>
      <c r="C1444" s="21" t="s">
        <v>4700</v>
      </c>
      <c r="D1444" s="22" t="s">
        <v>7894</v>
      </c>
      <c r="E1444" s="23" t="s">
        <v>13013</v>
      </c>
      <c r="F1444" s="19">
        <v>40043.825937499998</v>
      </c>
      <c r="G1444" s="17" t="s">
        <v>13000</v>
      </c>
      <c r="H1444" s="35" t="s">
        <v>2118</v>
      </c>
      <c r="I1444" s="25" t="s">
        <v>7895</v>
      </c>
    </row>
    <row r="1445" spans="1:9" s="33" customFormat="1" ht="90">
      <c r="A1445" s="19">
        <v>43546.457800925928</v>
      </c>
      <c r="B1445" s="20" t="s">
        <v>14233</v>
      </c>
      <c r="C1445" s="21" t="s">
        <v>5549</v>
      </c>
      <c r="D1445" s="22" t="s">
        <v>8840</v>
      </c>
      <c r="E1445" s="23" t="s">
        <v>13032</v>
      </c>
      <c r="F1445" s="19">
        <v>42592.282106481478</v>
      </c>
      <c r="G1445" s="17" t="s">
        <v>13000</v>
      </c>
      <c r="H1445" s="35" t="s">
        <v>2118</v>
      </c>
      <c r="I1445" s="25" t="s">
        <v>5551</v>
      </c>
    </row>
    <row r="1446" spans="1:9" s="33" customFormat="1" ht="105">
      <c r="A1446" s="4">
        <v>43565.775000000001</v>
      </c>
      <c r="B1446" s="5" t="s">
        <v>14234</v>
      </c>
      <c r="C1446" s="6" t="s">
        <v>3648</v>
      </c>
      <c r="D1446" s="7" t="s">
        <v>3954</v>
      </c>
      <c r="E1446" s="8" t="s">
        <v>13013</v>
      </c>
      <c r="F1446" s="4">
        <v>43024.614687499998</v>
      </c>
      <c r="G1446" s="17" t="s">
        <v>13000</v>
      </c>
      <c r="H1446" s="35" t="s">
        <v>2118</v>
      </c>
      <c r="I1446" s="10" t="s">
        <v>3650</v>
      </c>
    </row>
    <row r="1447" spans="1:9" s="33" customFormat="1" ht="90">
      <c r="A1447" s="4">
        <v>43565.276388888888</v>
      </c>
      <c r="B1447" s="5" t="s">
        <v>14235</v>
      </c>
      <c r="C1447" s="6" t="s">
        <v>10183</v>
      </c>
      <c r="D1447" s="7" t="s">
        <v>10184</v>
      </c>
      <c r="E1447" s="8" t="s">
        <v>13027</v>
      </c>
      <c r="F1447" s="4">
        <v>42655.368101851855</v>
      </c>
      <c r="G1447" s="17" t="s">
        <v>13000</v>
      </c>
      <c r="H1447" s="35" t="s">
        <v>2118</v>
      </c>
      <c r="I1447" s="10" t="s">
        <v>10185</v>
      </c>
    </row>
    <row r="1448" spans="1:9" s="33" customFormat="1" ht="105">
      <c r="A1448" s="4">
        <v>43564.584039351852</v>
      </c>
      <c r="B1448" s="5" t="s">
        <v>14234</v>
      </c>
      <c r="C1448" s="6" t="s">
        <v>3648</v>
      </c>
      <c r="D1448" s="7" t="s">
        <v>3954</v>
      </c>
      <c r="E1448" s="8" t="s">
        <v>13013</v>
      </c>
      <c r="F1448" s="4">
        <v>43024.614687499998</v>
      </c>
      <c r="G1448" s="17" t="s">
        <v>13000</v>
      </c>
      <c r="H1448" s="35" t="s">
        <v>2118</v>
      </c>
      <c r="I1448" s="10" t="s">
        <v>3650</v>
      </c>
    </row>
    <row r="1449" spans="1:9" s="33" customFormat="1" ht="105">
      <c r="A1449" s="4">
        <v>43559.39366898148</v>
      </c>
      <c r="B1449" s="5" t="s">
        <v>14234</v>
      </c>
      <c r="C1449" s="6" t="s">
        <v>3648</v>
      </c>
      <c r="D1449" s="7" t="s">
        <v>11852</v>
      </c>
      <c r="E1449" s="8" t="s">
        <v>13013</v>
      </c>
      <c r="F1449" s="4">
        <v>43024.614687499998</v>
      </c>
      <c r="G1449" s="17" t="s">
        <v>13000</v>
      </c>
      <c r="H1449" s="35" t="s">
        <v>2118</v>
      </c>
      <c r="I1449" s="10" t="s">
        <v>3650</v>
      </c>
    </row>
    <row r="1450" spans="1:9" s="33" customFormat="1" ht="90">
      <c r="A1450" s="4">
        <v>43558.733437499999</v>
      </c>
      <c r="B1450" s="5" t="s">
        <v>14232</v>
      </c>
      <c r="C1450" s="6" t="s">
        <v>4700</v>
      </c>
      <c r="D1450" s="7" t="s">
        <v>12053</v>
      </c>
      <c r="E1450" s="8" t="s">
        <v>13013</v>
      </c>
      <c r="F1450" s="4">
        <v>40043.825937499998</v>
      </c>
      <c r="G1450" s="17" t="s">
        <v>13000</v>
      </c>
      <c r="H1450" s="35" t="s">
        <v>2118</v>
      </c>
      <c r="I1450" s="10" t="s">
        <v>7895</v>
      </c>
    </row>
    <row r="1451" spans="1:9" s="33" customFormat="1" ht="45">
      <c r="A1451" s="12">
        <v>43575.781157407408</v>
      </c>
      <c r="B1451" s="13" t="s">
        <v>14236</v>
      </c>
      <c r="C1451" s="14" t="s">
        <v>2116</v>
      </c>
      <c r="D1451" s="15" t="s">
        <v>2117</v>
      </c>
      <c r="E1451" s="16" t="s">
        <v>13013</v>
      </c>
      <c r="F1451" s="12">
        <v>43310.767962962964</v>
      </c>
      <c r="G1451" s="17" t="s">
        <v>13000</v>
      </c>
      <c r="H1451" s="35" t="s">
        <v>2118</v>
      </c>
      <c r="I1451" s="18" t="s">
        <v>2119</v>
      </c>
    </row>
    <row r="1452" spans="1:9" s="33" customFormat="1" ht="105">
      <c r="A1452" s="12">
        <v>43571.534409722226</v>
      </c>
      <c r="B1452" s="13" t="s">
        <v>14234</v>
      </c>
      <c r="C1452" s="14" t="s">
        <v>3648</v>
      </c>
      <c r="D1452" s="15" t="s">
        <v>3649</v>
      </c>
      <c r="E1452" s="16" t="s">
        <v>13013</v>
      </c>
      <c r="F1452" s="12">
        <v>43024.614687499998</v>
      </c>
      <c r="G1452" s="17" t="s">
        <v>13000</v>
      </c>
      <c r="H1452" s="35" t="s">
        <v>2118</v>
      </c>
      <c r="I1452" s="18" t="s">
        <v>3650</v>
      </c>
    </row>
    <row r="1453" spans="1:9" s="33" customFormat="1" ht="105">
      <c r="A1453" s="12">
        <v>43570.87635416667</v>
      </c>
      <c r="B1453" s="13" t="s">
        <v>14234</v>
      </c>
      <c r="C1453" s="14" t="s">
        <v>3648</v>
      </c>
      <c r="D1453" s="15" t="s">
        <v>3954</v>
      </c>
      <c r="E1453" s="16" t="s">
        <v>13013</v>
      </c>
      <c r="F1453" s="12">
        <v>43024.614687499998</v>
      </c>
      <c r="G1453" s="17" t="s">
        <v>13000</v>
      </c>
      <c r="H1453" s="35" t="s">
        <v>2118</v>
      </c>
      <c r="I1453" s="18" t="s">
        <v>3650</v>
      </c>
    </row>
    <row r="1454" spans="1:9" s="33" customFormat="1" ht="105">
      <c r="A1454" s="12">
        <v>43570.375532407408</v>
      </c>
      <c r="B1454" s="13" t="s">
        <v>14234</v>
      </c>
      <c r="C1454" s="14" t="s">
        <v>3648</v>
      </c>
      <c r="D1454" s="15" t="s">
        <v>3954</v>
      </c>
      <c r="E1454" s="16" t="s">
        <v>13013</v>
      </c>
      <c r="F1454" s="12">
        <v>43024.614687499998</v>
      </c>
      <c r="G1454" s="17" t="s">
        <v>13000</v>
      </c>
      <c r="H1454" s="35" t="s">
        <v>2118</v>
      </c>
      <c r="I1454" s="18" t="s">
        <v>3650</v>
      </c>
    </row>
    <row r="1455" spans="1:9" s="33" customFormat="1" ht="75">
      <c r="A1455" s="12">
        <v>43568.915763888886</v>
      </c>
      <c r="B1455" s="13" t="s">
        <v>14237</v>
      </c>
      <c r="C1455" s="14" t="s">
        <v>4628</v>
      </c>
      <c r="D1455" s="15" t="s">
        <v>4629</v>
      </c>
      <c r="E1455" s="16" t="s">
        <v>13011</v>
      </c>
      <c r="F1455" s="12">
        <v>40909.755925925929</v>
      </c>
      <c r="G1455" s="17" t="s">
        <v>13000</v>
      </c>
      <c r="H1455" s="35" t="s">
        <v>2118</v>
      </c>
      <c r="I1455" s="18" t="s">
        <v>4630</v>
      </c>
    </row>
    <row r="1456" spans="1:9" s="33" customFormat="1" ht="90">
      <c r="A1456" s="12">
        <v>43566.412453703699</v>
      </c>
      <c r="B1456" s="13" t="s">
        <v>14233</v>
      </c>
      <c r="C1456" s="14" t="s">
        <v>5549</v>
      </c>
      <c r="D1456" s="15" t="s">
        <v>5550</v>
      </c>
      <c r="E1456" s="16" t="s">
        <v>13032</v>
      </c>
      <c r="F1456" s="12">
        <v>42592.282106481478</v>
      </c>
      <c r="G1456" s="17" t="s">
        <v>13000</v>
      </c>
      <c r="H1456" s="35" t="s">
        <v>2118</v>
      </c>
      <c r="I1456" s="18" t="s">
        <v>5551</v>
      </c>
    </row>
    <row r="1457" spans="1:9" s="33" customFormat="1" ht="90">
      <c r="A1457" s="19">
        <v>43544.811562499999</v>
      </c>
      <c r="B1457" s="20" t="s">
        <v>14238</v>
      </c>
      <c r="C1457" s="21" t="s">
        <v>9322</v>
      </c>
      <c r="D1457" s="22" t="s">
        <v>9323</v>
      </c>
      <c r="E1457" s="23" t="s">
        <v>13011</v>
      </c>
      <c r="F1457" s="19">
        <v>40776.91982638889</v>
      </c>
      <c r="G1457" s="17" t="s">
        <v>13000</v>
      </c>
      <c r="H1457" s="35" t="s">
        <v>9324</v>
      </c>
      <c r="I1457" s="25" t="s">
        <v>9325</v>
      </c>
    </row>
    <row r="1458" spans="1:9" s="33" customFormat="1" ht="75">
      <c r="A1458" s="19">
        <v>43548.622291666667</v>
      </c>
      <c r="B1458" s="20" t="s">
        <v>14239</v>
      </c>
      <c r="C1458" s="21" t="s">
        <v>3217</v>
      </c>
      <c r="D1458" s="22" t="s">
        <v>8267</v>
      </c>
      <c r="E1458" s="23" t="s">
        <v>13009</v>
      </c>
      <c r="F1458" s="19">
        <v>40122.135706018518</v>
      </c>
      <c r="G1458" s="17" t="s">
        <v>13000</v>
      </c>
      <c r="H1458" s="35" t="s">
        <v>781</v>
      </c>
      <c r="I1458" s="25" t="s">
        <v>8268</v>
      </c>
    </row>
    <row r="1459" spans="1:9" s="33" customFormat="1" ht="105">
      <c r="A1459" s="19">
        <v>43544.46130787037</v>
      </c>
      <c r="B1459" s="20" t="s">
        <v>14240</v>
      </c>
      <c r="C1459" s="21" t="s">
        <v>9453</v>
      </c>
      <c r="D1459" s="22" t="s">
        <v>9454</v>
      </c>
      <c r="E1459" s="23" t="s">
        <v>13013</v>
      </c>
      <c r="F1459" s="19">
        <v>41775.693506944444</v>
      </c>
      <c r="G1459" s="17" t="s">
        <v>13000</v>
      </c>
      <c r="H1459" s="35" t="s">
        <v>781</v>
      </c>
      <c r="I1459" s="25" t="s">
        <v>9455</v>
      </c>
    </row>
    <row r="1460" spans="1:9" s="33" customFormat="1" ht="120">
      <c r="A1460" s="4">
        <v>43565.444432870368</v>
      </c>
      <c r="B1460" s="5" t="s">
        <v>14241</v>
      </c>
      <c r="C1460" s="6" t="s">
        <v>6085</v>
      </c>
      <c r="D1460" s="7" t="s">
        <v>6086</v>
      </c>
      <c r="E1460" s="8" t="s">
        <v>13009</v>
      </c>
      <c r="F1460" s="4">
        <v>40301.494409722218</v>
      </c>
      <c r="G1460" s="17" t="s">
        <v>13000</v>
      </c>
      <c r="H1460" s="35" t="s">
        <v>781</v>
      </c>
      <c r="I1460" s="10" t="s">
        <v>6087</v>
      </c>
    </row>
    <row r="1461" spans="1:9" s="33" customFormat="1" ht="120">
      <c r="A1461" s="4">
        <v>43565.233796296292</v>
      </c>
      <c r="B1461" s="5" t="s">
        <v>14241</v>
      </c>
      <c r="C1461" s="6" t="s">
        <v>6085</v>
      </c>
      <c r="D1461" s="7" t="s">
        <v>6223</v>
      </c>
      <c r="E1461" s="8" t="s">
        <v>13009</v>
      </c>
      <c r="F1461" s="4">
        <v>40301.494409722218</v>
      </c>
      <c r="G1461" s="17" t="s">
        <v>13000</v>
      </c>
      <c r="H1461" s="35" t="s">
        <v>781</v>
      </c>
      <c r="I1461" s="10" t="s">
        <v>6087</v>
      </c>
    </row>
    <row r="1462" spans="1:9" s="33" customFormat="1" ht="120">
      <c r="A1462" s="4">
        <v>43564.638136574074</v>
      </c>
      <c r="B1462" s="5" t="s">
        <v>14242</v>
      </c>
      <c r="C1462" s="6" t="s">
        <v>6478</v>
      </c>
      <c r="D1462" s="7" t="s">
        <v>6479</v>
      </c>
      <c r="E1462" s="8" t="s">
        <v>13011</v>
      </c>
      <c r="F1462" s="4">
        <v>39779.478888888887</v>
      </c>
      <c r="G1462" s="17" t="s">
        <v>13000</v>
      </c>
      <c r="H1462" s="35" t="s">
        <v>781</v>
      </c>
      <c r="I1462" s="10" t="s">
        <v>10208</v>
      </c>
    </row>
    <row r="1463" spans="1:9" s="33" customFormat="1" ht="75">
      <c r="A1463" s="4">
        <v>43563.513541666667</v>
      </c>
      <c r="B1463" s="5" t="s">
        <v>14239</v>
      </c>
      <c r="C1463" s="6" t="s">
        <v>3217</v>
      </c>
      <c r="D1463" s="7" t="s">
        <v>10254</v>
      </c>
      <c r="E1463" s="8" t="s">
        <v>13009</v>
      </c>
      <c r="F1463" s="4">
        <v>40122.135706018518</v>
      </c>
      <c r="G1463" s="17" t="s">
        <v>13000</v>
      </c>
      <c r="H1463" s="35" t="s">
        <v>781</v>
      </c>
      <c r="I1463" s="10" t="s">
        <v>8268</v>
      </c>
    </row>
    <row r="1464" spans="1:9" s="33" customFormat="1" ht="90">
      <c r="A1464" s="4">
        <v>43559.451157407406</v>
      </c>
      <c r="B1464" s="5" t="s">
        <v>14243</v>
      </c>
      <c r="C1464" s="6" t="s">
        <v>11817</v>
      </c>
      <c r="D1464" s="7" t="s">
        <v>11818</v>
      </c>
      <c r="E1464" s="8" t="s">
        <v>13032</v>
      </c>
      <c r="F1464" s="4">
        <v>41442.519074074073</v>
      </c>
      <c r="G1464" s="17" t="s">
        <v>13000</v>
      </c>
      <c r="H1464" s="35" t="s">
        <v>781</v>
      </c>
      <c r="I1464" s="10" t="s">
        <v>11819</v>
      </c>
    </row>
    <row r="1465" spans="1:9" s="33" customFormat="1" ht="135">
      <c r="A1465" s="4">
        <v>43559.251979166671</v>
      </c>
      <c r="B1465" s="5" t="s">
        <v>14244</v>
      </c>
      <c r="C1465" s="6" t="s">
        <v>11903</v>
      </c>
      <c r="D1465" s="7" t="s">
        <v>11904</v>
      </c>
      <c r="E1465" s="8" t="s">
        <v>13032</v>
      </c>
      <c r="F1465" s="4">
        <v>40649.276747685188</v>
      </c>
      <c r="G1465" s="17" t="s">
        <v>13000</v>
      </c>
      <c r="H1465" s="35" t="s">
        <v>11905</v>
      </c>
      <c r="I1465" s="10" t="s">
        <v>11906</v>
      </c>
    </row>
    <row r="1466" spans="1:9" s="33" customFormat="1" ht="135">
      <c r="A1466" s="4">
        <v>43559.25136574074</v>
      </c>
      <c r="B1466" s="5" t="s">
        <v>14244</v>
      </c>
      <c r="C1466" s="6" t="s">
        <v>11903</v>
      </c>
      <c r="D1466" s="7" t="s">
        <v>11907</v>
      </c>
      <c r="E1466" s="8" t="s">
        <v>13032</v>
      </c>
      <c r="F1466" s="4">
        <v>40649.276747685188</v>
      </c>
      <c r="G1466" s="17" t="s">
        <v>13000</v>
      </c>
      <c r="H1466" s="35" t="s">
        <v>11905</v>
      </c>
      <c r="I1466" s="10" t="s">
        <v>11906</v>
      </c>
    </row>
    <row r="1467" spans="1:9" s="33" customFormat="1" ht="90">
      <c r="A1467" s="12">
        <v>43579.309895833328</v>
      </c>
      <c r="B1467" s="13" t="s">
        <v>14245</v>
      </c>
      <c r="C1467" s="14" t="s">
        <v>779</v>
      </c>
      <c r="D1467" s="15" t="s">
        <v>780</v>
      </c>
      <c r="E1467" s="16" t="s">
        <v>13009</v>
      </c>
      <c r="F1467" s="12">
        <v>39966.753148148149</v>
      </c>
      <c r="G1467" s="17" t="s">
        <v>13000</v>
      </c>
      <c r="H1467" s="35" t="s">
        <v>781</v>
      </c>
      <c r="I1467" s="18" t="s">
        <v>782</v>
      </c>
    </row>
    <row r="1468" spans="1:9" s="33" customFormat="1" ht="120">
      <c r="A1468" s="12">
        <v>43575.216805555552</v>
      </c>
      <c r="B1468" s="13" t="s">
        <v>14246</v>
      </c>
      <c r="C1468" s="14" t="s">
        <v>2337</v>
      </c>
      <c r="D1468" s="15" t="s">
        <v>2338</v>
      </c>
      <c r="E1468" s="16" t="s">
        <v>13027</v>
      </c>
      <c r="F1468" s="12">
        <v>41090.418078703704</v>
      </c>
      <c r="G1468" s="17" t="s">
        <v>13000</v>
      </c>
      <c r="H1468" s="35" t="s">
        <v>781</v>
      </c>
      <c r="I1468" s="18" t="s">
        <v>2339</v>
      </c>
    </row>
    <row r="1469" spans="1:9" s="33" customFormat="1" ht="120">
      <c r="A1469" s="12">
        <v>43573.001435185186</v>
      </c>
      <c r="B1469" s="13" t="s">
        <v>14246</v>
      </c>
      <c r="C1469" s="14" t="s">
        <v>2337</v>
      </c>
      <c r="D1469" s="15" t="s">
        <v>3029</v>
      </c>
      <c r="E1469" s="16" t="s">
        <v>13027</v>
      </c>
      <c r="F1469" s="12">
        <v>41090.418078703704</v>
      </c>
      <c r="G1469" s="17" t="s">
        <v>13000</v>
      </c>
      <c r="H1469" s="35" t="s">
        <v>781</v>
      </c>
      <c r="I1469" s="18" t="s">
        <v>2339</v>
      </c>
    </row>
    <row r="1470" spans="1:9" s="33" customFormat="1" ht="90">
      <c r="A1470" s="12">
        <v>43572.495740740742</v>
      </c>
      <c r="B1470" s="13" t="s">
        <v>14239</v>
      </c>
      <c r="C1470" s="14" t="s">
        <v>3217</v>
      </c>
      <c r="D1470" s="15" t="s">
        <v>3218</v>
      </c>
      <c r="E1470" s="16" t="s">
        <v>13009</v>
      </c>
      <c r="F1470" s="12">
        <v>40122.135706018518</v>
      </c>
      <c r="G1470" s="17" t="s">
        <v>13000</v>
      </c>
      <c r="H1470" s="35" t="s">
        <v>781</v>
      </c>
      <c r="I1470" s="18" t="s">
        <v>3219</v>
      </c>
    </row>
    <row r="1471" spans="1:9" s="33" customFormat="1" ht="120">
      <c r="A1471" s="12">
        <v>43564.638136574074</v>
      </c>
      <c r="B1471" s="13" t="s">
        <v>14242</v>
      </c>
      <c r="C1471" s="14" t="s">
        <v>6478</v>
      </c>
      <c r="D1471" s="15" t="s">
        <v>6479</v>
      </c>
      <c r="E1471" s="16" t="s">
        <v>13011</v>
      </c>
      <c r="F1471" s="12">
        <v>39779.478888888887</v>
      </c>
      <c r="G1471" s="17" t="s">
        <v>13000</v>
      </c>
      <c r="H1471" s="35" t="s">
        <v>781</v>
      </c>
      <c r="I1471" s="18" t="s">
        <v>6480</v>
      </c>
    </row>
    <row r="1472" spans="1:9" s="33" customFormat="1" ht="30">
      <c r="A1472" s="4">
        <v>43560.309733796297</v>
      </c>
      <c r="B1472" s="5" t="s">
        <v>14247</v>
      </c>
      <c r="C1472" s="6" t="s">
        <v>11472</v>
      </c>
      <c r="D1472" s="7" t="s">
        <v>11473</v>
      </c>
      <c r="E1472" s="8" t="s">
        <v>13519</v>
      </c>
      <c r="F1472" s="4">
        <v>40089.160601851851</v>
      </c>
      <c r="G1472" s="17" t="s">
        <v>13000</v>
      </c>
      <c r="H1472" s="35" t="s">
        <v>11474</v>
      </c>
      <c r="I1472" s="10" t="s">
        <v>11475</v>
      </c>
    </row>
    <row r="1473" spans="1:9" s="33" customFormat="1" ht="60">
      <c r="A1473" s="12">
        <v>43573.405266203699</v>
      </c>
      <c r="B1473" s="13" t="s">
        <v>14248</v>
      </c>
      <c r="C1473" s="14" t="s">
        <v>2890</v>
      </c>
      <c r="D1473" s="15" t="s">
        <v>2891</v>
      </c>
      <c r="E1473" s="16" t="s">
        <v>13032</v>
      </c>
      <c r="F1473" s="12">
        <v>39969.542141203703</v>
      </c>
      <c r="G1473" s="17" t="s">
        <v>13000</v>
      </c>
      <c r="H1473" s="35" t="s">
        <v>2892</v>
      </c>
      <c r="I1473" s="18" t="s">
        <v>2893</v>
      </c>
    </row>
    <row r="1474" spans="1:9" s="33" customFormat="1" ht="60">
      <c r="A1474" s="12">
        <v>43573.373981481476</v>
      </c>
      <c r="B1474" s="13" t="s">
        <v>14248</v>
      </c>
      <c r="C1474" s="14" t="s">
        <v>2890</v>
      </c>
      <c r="D1474" s="15" t="s">
        <v>2909</v>
      </c>
      <c r="E1474" s="16" t="s">
        <v>13032</v>
      </c>
      <c r="F1474" s="12">
        <v>39969.542141203703</v>
      </c>
      <c r="G1474" s="17" t="s">
        <v>13000</v>
      </c>
      <c r="H1474" s="35" t="s">
        <v>2892</v>
      </c>
      <c r="I1474" s="18" t="s">
        <v>2893</v>
      </c>
    </row>
    <row r="1475" spans="1:9" s="33" customFormat="1" ht="105">
      <c r="A1475" s="19">
        <v>43551.733032407406</v>
      </c>
      <c r="B1475" s="20" t="s">
        <v>14249</v>
      </c>
      <c r="C1475" s="21" t="s">
        <v>7017</v>
      </c>
      <c r="D1475" s="22" t="s">
        <v>7018</v>
      </c>
      <c r="E1475" s="23" t="s">
        <v>13009</v>
      </c>
      <c r="F1475" s="19">
        <v>40000.49386574074</v>
      </c>
      <c r="G1475" s="17" t="s">
        <v>13000</v>
      </c>
      <c r="H1475" s="35" t="s">
        <v>684</v>
      </c>
      <c r="I1475" s="25" t="s">
        <v>7019</v>
      </c>
    </row>
    <row r="1476" spans="1:9" s="33" customFormat="1" ht="105">
      <c r="A1476" s="19">
        <v>43551.350520833337</v>
      </c>
      <c r="B1476" s="20" t="s">
        <v>14250</v>
      </c>
      <c r="C1476" s="21" t="s">
        <v>7286</v>
      </c>
      <c r="D1476" s="22" t="s">
        <v>7287</v>
      </c>
      <c r="E1476" s="23" t="s">
        <v>13009</v>
      </c>
      <c r="F1476" s="19">
        <v>40493.619490740741</v>
      </c>
      <c r="G1476" s="17" t="s">
        <v>13000</v>
      </c>
      <c r="H1476" s="35" t="s">
        <v>684</v>
      </c>
      <c r="I1476" s="25" t="s">
        <v>7288</v>
      </c>
    </row>
    <row r="1477" spans="1:9" s="33" customFormat="1" ht="105">
      <c r="A1477" s="19">
        <v>43550.351875</v>
      </c>
      <c r="B1477" s="20" t="s">
        <v>14251</v>
      </c>
      <c r="C1477" s="21" t="s">
        <v>7710</v>
      </c>
      <c r="D1477" s="22" t="s">
        <v>7711</v>
      </c>
      <c r="E1477" s="23" t="s">
        <v>13011</v>
      </c>
      <c r="F1477" s="19">
        <v>40437.795925925922</v>
      </c>
      <c r="G1477" s="17" t="s">
        <v>13000</v>
      </c>
      <c r="H1477" s="35" t="s">
        <v>684</v>
      </c>
      <c r="I1477" s="25" t="s">
        <v>7712</v>
      </c>
    </row>
    <row r="1478" spans="1:9" s="33" customFormat="1" ht="45">
      <c r="A1478" s="4">
        <v>43562.795914351853</v>
      </c>
      <c r="B1478" s="5" t="s">
        <v>14252</v>
      </c>
      <c r="C1478" s="6" t="s">
        <v>10580</v>
      </c>
      <c r="D1478" s="7" t="s">
        <v>10581</v>
      </c>
      <c r="E1478" s="8" t="s">
        <v>13009</v>
      </c>
      <c r="F1478" s="4">
        <v>39277.511874999997</v>
      </c>
      <c r="G1478" s="17" t="s">
        <v>13000</v>
      </c>
      <c r="H1478" s="35" t="s">
        <v>684</v>
      </c>
      <c r="I1478" s="10" t="s">
        <v>10582</v>
      </c>
    </row>
    <row r="1479" spans="1:9" s="33" customFormat="1" ht="90">
      <c r="A1479" s="12">
        <v>43579.411423611113</v>
      </c>
      <c r="B1479" s="13" t="s">
        <v>14253</v>
      </c>
      <c r="C1479" s="14" t="s">
        <v>682</v>
      </c>
      <c r="D1479" s="15" t="s">
        <v>683</v>
      </c>
      <c r="E1479" s="16" t="s">
        <v>13011</v>
      </c>
      <c r="F1479" s="12">
        <v>40938.331770833334</v>
      </c>
      <c r="G1479" s="17" t="s">
        <v>13000</v>
      </c>
      <c r="H1479" s="35" t="s">
        <v>684</v>
      </c>
      <c r="I1479" s="18" t="s">
        <v>685</v>
      </c>
    </row>
    <row r="1480" spans="1:9" s="33" customFormat="1" ht="90">
      <c r="A1480" s="12">
        <v>43577.25886574074</v>
      </c>
      <c r="B1480" s="13" t="s">
        <v>14253</v>
      </c>
      <c r="C1480" s="14" t="s">
        <v>682</v>
      </c>
      <c r="D1480" s="15" t="s">
        <v>1690</v>
      </c>
      <c r="E1480" s="16" t="s">
        <v>13011</v>
      </c>
      <c r="F1480" s="12">
        <v>40938.331770833334</v>
      </c>
      <c r="G1480" s="17" t="s">
        <v>13000</v>
      </c>
      <c r="H1480" s="35" t="s">
        <v>684</v>
      </c>
      <c r="I1480" s="18" t="s">
        <v>685</v>
      </c>
    </row>
    <row r="1481" spans="1:9" s="33" customFormat="1" ht="45">
      <c r="A1481" s="12">
        <v>43574.756226851852</v>
      </c>
      <c r="B1481" s="13" t="s">
        <v>14254</v>
      </c>
      <c r="C1481" s="14" t="s">
        <v>2458</v>
      </c>
      <c r="D1481" s="15" t="s">
        <v>2459</v>
      </c>
      <c r="E1481" s="16" t="s">
        <v>13032</v>
      </c>
      <c r="F1481" s="12">
        <v>41150.825324074074</v>
      </c>
      <c r="G1481" s="17" t="s">
        <v>13000</v>
      </c>
      <c r="H1481" s="35" t="s">
        <v>684</v>
      </c>
      <c r="I1481" s="18" t="s">
        <v>2460</v>
      </c>
    </row>
    <row r="1482" spans="1:9" s="33" customFormat="1" ht="105">
      <c r="A1482" s="12">
        <v>43572.168923611112</v>
      </c>
      <c r="B1482" s="13" t="s">
        <v>14255</v>
      </c>
      <c r="C1482" s="14" t="s">
        <v>3398</v>
      </c>
      <c r="D1482" s="15" t="s">
        <v>3399</v>
      </c>
      <c r="E1482" s="16" t="s">
        <v>13009</v>
      </c>
      <c r="F1482" s="12">
        <v>41131.793599537035</v>
      </c>
      <c r="G1482" s="17" t="s">
        <v>13000</v>
      </c>
      <c r="H1482" s="35" t="s">
        <v>684</v>
      </c>
      <c r="I1482" s="18" t="s">
        <v>3400</v>
      </c>
    </row>
    <row r="1483" spans="1:9" s="33" customFormat="1" ht="105">
      <c r="A1483" s="12">
        <v>43567.52511574074</v>
      </c>
      <c r="B1483" s="13" t="s">
        <v>14256</v>
      </c>
      <c r="C1483" s="14" t="s">
        <v>5071</v>
      </c>
      <c r="D1483" s="15" t="s">
        <v>5072</v>
      </c>
      <c r="E1483" s="16" t="s">
        <v>13032</v>
      </c>
      <c r="F1483" s="12">
        <v>40237.283645833333</v>
      </c>
      <c r="G1483" s="17" t="s">
        <v>13000</v>
      </c>
      <c r="H1483" s="35" t="s">
        <v>684</v>
      </c>
      <c r="I1483" s="18" t="s">
        <v>5073</v>
      </c>
    </row>
    <row r="1484" spans="1:9" s="33" customFormat="1" ht="105">
      <c r="A1484" s="12">
        <v>43567.523888888885</v>
      </c>
      <c r="B1484" s="13" t="s">
        <v>14256</v>
      </c>
      <c r="C1484" s="14" t="s">
        <v>5071</v>
      </c>
      <c r="D1484" s="15" t="s">
        <v>5074</v>
      </c>
      <c r="E1484" s="16" t="s">
        <v>13032</v>
      </c>
      <c r="F1484" s="12">
        <v>40237.283645833333</v>
      </c>
      <c r="G1484" s="17" t="s">
        <v>13000</v>
      </c>
      <c r="H1484" s="35" t="s">
        <v>684</v>
      </c>
      <c r="I1484" s="18" t="s">
        <v>5073</v>
      </c>
    </row>
    <row r="1485" spans="1:9" s="33" customFormat="1" ht="105">
      <c r="A1485" s="12">
        <v>43567.522766203707</v>
      </c>
      <c r="B1485" s="13" t="s">
        <v>14256</v>
      </c>
      <c r="C1485" s="14" t="s">
        <v>5071</v>
      </c>
      <c r="D1485" s="15" t="s">
        <v>5075</v>
      </c>
      <c r="E1485" s="16" t="s">
        <v>13032</v>
      </c>
      <c r="F1485" s="12">
        <v>40237.283645833333</v>
      </c>
      <c r="G1485" s="17" t="s">
        <v>13000</v>
      </c>
      <c r="H1485" s="35" t="s">
        <v>684</v>
      </c>
      <c r="I1485" s="18" t="s">
        <v>5073</v>
      </c>
    </row>
    <row r="1486" spans="1:9" s="33" customFormat="1" ht="90">
      <c r="A1486" s="4">
        <v>43560.598912037036</v>
      </c>
      <c r="B1486" s="5" t="s">
        <v>14257</v>
      </c>
      <c r="C1486" s="6" t="s">
        <v>11262</v>
      </c>
      <c r="D1486" s="7" t="s">
        <v>11263</v>
      </c>
      <c r="E1486" s="8" t="s">
        <v>13009</v>
      </c>
      <c r="F1486" s="4">
        <v>40487.807500000003</v>
      </c>
      <c r="G1486" s="17" t="s">
        <v>13000</v>
      </c>
      <c r="H1486" s="35" t="s">
        <v>11264</v>
      </c>
      <c r="I1486" s="10" t="s">
        <v>11265</v>
      </c>
    </row>
    <row r="1487" spans="1:9" s="33" customFormat="1" ht="90">
      <c r="A1487" s="12">
        <v>43566.587222222224</v>
      </c>
      <c r="B1487" s="13" t="s">
        <v>14258</v>
      </c>
      <c r="C1487" s="14" t="s">
        <v>5422</v>
      </c>
      <c r="D1487" s="15" t="s">
        <v>12817</v>
      </c>
      <c r="E1487" s="16" t="s">
        <v>13011</v>
      </c>
      <c r="F1487" s="12">
        <v>40025.48642361111</v>
      </c>
      <c r="G1487" s="17" t="s">
        <v>13000</v>
      </c>
      <c r="H1487" s="35" t="s">
        <v>5423</v>
      </c>
      <c r="I1487" s="18" t="s">
        <v>5424</v>
      </c>
    </row>
    <row r="1488" spans="1:9" s="33" customFormat="1" ht="75">
      <c r="A1488" s="12">
        <v>43566.33321759259</v>
      </c>
      <c r="B1488" s="13" t="s">
        <v>14258</v>
      </c>
      <c r="C1488" s="14" t="s">
        <v>5422</v>
      </c>
      <c r="D1488" s="15" t="s">
        <v>12818</v>
      </c>
      <c r="E1488" s="16" t="s">
        <v>13011</v>
      </c>
      <c r="F1488" s="12">
        <v>40025.48642361111</v>
      </c>
      <c r="G1488" s="17" t="s">
        <v>13000</v>
      </c>
      <c r="H1488" s="35" t="s">
        <v>5423</v>
      </c>
      <c r="I1488" s="18" t="s">
        <v>5424</v>
      </c>
    </row>
    <row r="1489" spans="1:9" s="33" customFormat="1" ht="75">
      <c r="A1489" s="4">
        <v>43564.618634259255</v>
      </c>
      <c r="B1489" s="5" t="s">
        <v>14259</v>
      </c>
      <c r="C1489" s="6" t="s">
        <v>6499</v>
      </c>
      <c r="D1489" s="7" t="s">
        <v>6500</v>
      </c>
      <c r="E1489" s="8" t="s">
        <v>13009</v>
      </c>
      <c r="F1489" s="4">
        <v>40819.809895833336</v>
      </c>
      <c r="G1489" s="17" t="s">
        <v>13000</v>
      </c>
      <c r="H1489" s="35" t="s">
        <v>6501</v>
      </c>
      <c r="I1489" s="10" t="s">
        <v>6502</v>
      </c>
    </row>
    <row r="1490" spans="1:9" s="33" customFormat="1" ht="75">
      <c r="A1490" s="12">
        <v>43578.40688657407</v>
      </c>
      <c r="B1490" s="13" t="s">
        <v>14260</v>
      </c>
      <c r="C1490" s="14" t="s">
        <v>1222</v>
      </c>
      <c r="D1490" s="15" t="s">
        <v>1223</v>
      </c>
      <c r="E1490" s="16" t="s">
        <v>13440</v>
      </c>
      <c r="F1490" s="12">
        <v>42248.571701388893</v>
      </c>
      <c r="G1490" s="17" t="s">
        <v>13000</v>
      </c>
      <c r="H1490" s="35" t="s">
        <v>1224</v>
      </c>
      <c r="I1490" s="18" t="s">
        <v>1225</v>
      </c>
    </row>
    <row r="1491" spans="1:9" s="33" customFormat="1" ht="90">
      <c r="A1491" s="4">
        <v>43565.556342592594</v>
      </c>
      <c r="B1491" s="5" t="s">
        <v>14261</v>
      </c>
      <c r="C1491" s="6" t="s">
        <v>3616</v>
      </c>
      <c r="D1491" s="7" t="s">
        <v>6026</v>
      </c>
      <c r="E1491" s="8" t="s">
        <v>13009</v>
      </c>
      <c r="F1491" s="4">
        <v>39934.390243055554</v>
      </c>
      <c r="G1491" s="17" t="s">
        <v>13000</v>
      </c>
      <c r="H1491" s="35" t="s">
        <v>702</v>
      </c>
      <c r="I1491" s="10" t="s">
        <v>3618</v>
      </c>
    </row>
    <row r="1492" spans="1:9" s="33" customFormat="1" ht="90">
      <c r="A1492" s="4">
        <v>43563.394502314812</v>
      </c>
      <c r="B1492" s="5" t="s">
        <v>14262</v>
      </c>
      <c r="C1492" s="6" t="s">
        <v>10317</v>
      </c>
      <c r="D1492" s="7" t="s">
        <v>10318</v>
      </c>
      <c r="E1492" s="8" t="s">
        <v>13027</v>
      </c>
      <c r="F1492" s="4">
        <v>39791.582187499997</v>
      </c>
      <c r="G1492" s="17" t="s">
        <v>13000</v>
      </c>
      <c r="H1492" s="35" t="s">
        <v>702</v>
      </c>
      <c r="I1492" s="10" t="s">
        <v>10319</v>
      </c>
    </row>
    <row r="1493" spans="1:9" s="33" customFormat="1" ht="105">
      <c r="A1493" s="12">
        <v>43579.389317129629</v>
      </c>
      <c r="B1493" s="13" t="s">
        <v>14263</v>
      </c>
      <c r="C1493" s="14" t="s">
        <v>700</v>
      </c>
      <c r="D1493" s="15" t="s">
        <v>701</v>
      </c>
      <c r="E1493" s="16" t="s">
        <v>13018</v>
      </c>
      <c r="F1493" s="12">
        <v>41435.357037037036</v>
      </c>
      <c r="G1493" s="17" t="s">
        <v>13000</v>
      </c>
      <c r="H1493" s="35" t="s">
        <v>702</v>
      </c>
      <c r="I1493" s="18" t="s">
        <v>703</v>
      </c>
    </row>
    <row r="1494" spans="1:9" s="33" customFormat="1" ht="90">
      <c r="A1494" s="12">
        <v>43571.608495370368</v>
      </c>
      <c r="B1494" s="13" t="s">
        <v>14261</v>
      </c>
      <c r="C1494" s="14" t="s">
        <v>3616</v>
      </c>
      <c r="D1494" s="15" t="s">
        <v>3617</v>
      </c>
      <c r="E1494" s="16" t="s">
        <v>13009</v>
      </c>
      <c r="F1494" s="12">
        <v>39934.390243055554</v>
      </c>
      <c r="G1494" s="17" t="s">
        <v>13000</v>
      </c>
      <c r="H1494" s="35" t="s">
        <v>702</v>
      </c>
      <c r="I1494" s="18" t="s">
        <v>3618</v>
      </c>
    </row>
    <row r="1495" spans="1:9" s="33" customFormat="1" ht="120">
      <c r="A1495" s="12">
        <v>43566.404999999999</v>
      </c>
      <c r="B1495" s="13" t="s">
        <v>14264</v>
      </c>
      <c r="C1495" s="14" t="s">
        <v>5554</v>
      </c>
      <c r="D1495" s="15" t="s">
        <v>5555</v>
      </c>
      <c r="E1495" s="16" t="s">
        <v>13006</v>
      </c>
      <c r="F1495" s="12">
        <v>40526.889421296299</v>
      </c>
      <c r="G1495" s="17" t="s">
        <v>13000</v>
      </c>
      <c r="H1495" s="35" t="s">
        <v>702</v>
      </c>
      <c r="I1495" s="18" t="s">
        <v>5556</v>
      </c>
    </row>
    <row r="1496" spans="1:9" s="33" customFormat="1" ht="75">
      <c r="A1496" s="19">
        <v>43551.854212962964</v>
      </c>
      <c r="B1496" s="20" t="s">
        <v>14265</v>
      </c>
      <c r="C1496" s="21" t="s">
        <v>2264</v>
      </c>
      <c r="D1496" s="22" t="s">
        <v>6976</v>
      </c>
      <c r="E1496" s="23" t="s">
        <v>13034</v>
      </c>
      <c r="F1496" s="19">
        <v>43318.641018518523</v>
      </c>
      <c r="G1496" s="17" t="s">
        <v>13000</v>
      </c>
      <c r="H1496" s="35" t="s">
        <v>1629</v>
      </c>
      <c r="I1496" s="25" t="s">
        <v>2266</v>
      </c>
    </row>
    <row r="1497" spans="1:9" s="33" customFormat="1" ht="60">
      <c r="A1497" s="19">
        <v>43550.791747685187</v>
      </c>
      <c r="B1497" s="20" t="s">
        <v>14265</v>
      </c>
      <c r="C1497" s="21" t="s">
        <v>2264</v>
      </c>
      <c r="D1497" s="22" t="s">
        <v>7507</v>
      </c>
      <c r="E1497" s="23" t="s">
        <v>13034</v>
      </c>
      <c r="F1497" s="19">
        <v>43318.641018518523</v>
      </c>
      <c r="G1497" s="17" t="s">
        <v>13000</v>
      </c>
      <c r="H1497" s="35" t="s">
        <v>1629</v>
      </c>
      <c r="I1497" s="25" t="s">
        <v>2266</v>
      </c>
    </row>
    <row r="1498" spans="1:9" s="33" customFormat="1" ht="90">
      <c r="A1498" s="19">
        <v>43550.648333333331</v>
      </c>
      <c r="B1498" s="20" t="s">
        <v>14266</v>
      </c>
      <c r="C1498" s="21" t="s">
        <v>7575</v>
      </c>
      <c r="D1498" s="22" t="s">
        <v>7576</v>
      </c>
      <c r="E1498" s="23" t="s">
        <v>13011</v>
      </c>
      <c r="F1498" s="19">
        <v>41150.552337962959</v>
      </c>
      <c r="G1498" s="17" t="s">
        <v>13000</v>
      </c>
      <c r="H1498" s="35" t="s">
        <v>1629</v>
      </c>
      <c r="I1498" s="25" t="s">
        <v>7577</v>
      </c>
    </row>
    <row r="1499" spans="1:9" s="33" customFormat="1" ht="105">
      <c r="A1499" s="19">
        <v>43550.494849537034</v>
      </c>
      <c r="B1499" s="20" t="s">
        <v>14267</v>
      </c>
      <c r="C1499" s="21" t="s">
        <v>7640</v>
      </c>
      <c r="D1499" s="22" t="s">
        <v>7641</v>
      </c>
      <c r="E1499" s="23" t="s">
        <v>13018</v>
      </c>
      <c r="F1499" s="19">
        <v>39742.762141203704</v>
      </c>
      <c r="G1499" s="17" t="s">
        <v>13000</v>
      </c>
      <c r="H1499" s="35" t="s">
        <v>1629</v>
      </c>
      <c r="I1499" s="25" t="s">
        <v>7642</v>
      </c>
    </row>
    <row r="1500" spans="1:9" s="33" customFormat="1" ht="90">
      <c r="A1500" s="19">
        <v>43550.166874999995</v>
      </c>
      <c r="B1500" s="20" t="s">
        <v>14265</v>
      </c>
      <c r="C1500" s="21" t="s">
        <v>2264</v>
      </c>
      <c r="D1500" s="22" t="s">
        <v>7802</v>
      </c>
      <c r="E1500" s="23" t="s">
        <v>13034</v>
      </c>
      <c r="F1500" s="19">
        <v>43318.641018518523</v>
      </c>
      <c r="G1500" s="17" t="s">
        <v>13000</v>
      </c>
      <c r="H1500" s="35" t="s">
        <v>1629</v>
      </c>
      <c r="I1500" s="25" t="s">
        <v>2266</v>
      </c>
    </row>
    <row r="1501" spans="1:9" s="33" customFormat="1" ht="75">
      <c r="A1501" s="19">
        <v>43550.139293981483</v>
      </c>
      <c r="B1501" s="20" t="s">
        <v>14268</v>
      </c>
      <c r="C1501" s="21" t="s">
        <v>3234</v>
      </c>
      <c r="D1501" s="22" t="s">
        <v>7821</v>
      </c>
      <c r="E1501" s="23" t="s">
        <v>13011</v>
      </c>
      <c r="F1501" s="19">
        <v>43357.448900462958</v>
      </c>
      <c r="G1501" s="17" t="s">
        <v>13000</v>
      </c>
      <c r="H1501" s="35" t="s">
        <v>1629</v>
      </c>
      <c r="I1501" s="25" t="s">
        <v>3234</v>
      </c>
    </row>
    <row r="1502" spans="1:9" s="33" customFormat="1" ht="90">
      <c r="A1502" s="19">
        <v>43548.91684027778</v>
      </c>
      <c r="B1502" s="20" t="s">
        <v>14265</v>
      </c>
      <c r="C1502" s="21" t="s">
        <v>2264</v>
      </c>
      <c r="D1502" s="22" t="s">
        <v>8202</v>
      </c>
      <c r="E1502" s="23" t="s">
        <v>13034</v>
      </c>
      <c r="F1502" s="19">
        <v>43318.641018518523</v>
      </c>
      <c r="G1502" s="17" t="s">
        <v>13000</v>
      </c>
      <c r="H1502" s="35" t="s">
        <v>1629</v>
      </c>
      <c r="I1502" s="25" t="s">
        <v>2266</v>
      </c>
    </row>
    <row r="1503" spans="1:9" s="33" customFormat="1" ht="75">
      <c r="A1503" s="19">
        <v>43548.883530092593</v>
      </c>
      <c r="B1503" s="20" t="s">
        <v>14268</v>
      </c>
      <c r="C1503" s="21" t="s">
        <v>3234</v>
      </c>
      <c r="D1503" s="22" t="s">
        <v>8208</v>
      </c>
      <c r="E1503" s="23" t="s">
        <v>13011</v>
      </c>
      <c r="F1503" s="19">
        <v>43357.448900462958</v>
      </c>
      <c r="G1503" s="17" t="s">
        <v>13000</v>
      </c>
      <c r="H1503" s="35" t="s">
        <v>1629</v>
      </c>
      <c r="I1503" s="25" t="s">
        <v>3234</v>
      </c>
    </row>
    <row r="1504" spans="1:9" s="33" customFormat="1" ht="75">
      <c r="A1504" s="19">
        <v>43548.709016203706</v>
      </c>
      <c r="B1504" s="20" t="s">
        <v>14268</v>
      </c>
      <c r="C1504" s="21" t="s">
        <v>3234</v>
      </c>
      <c r="D1504" s="22" t="s">
        <v>8242</v>
      </c>
      <c r="E1504" s="23" t="s">
        <v>13011</v>
      </c>
      <c r="F1504" s="19">
        <v>43357.448900462958</v>
      </c>
      <c r="G1504" s="17" t="s">
        <v>13000</v>
      </c>
      <c r="H1504" s="35" t="s">
        <v>1629</v>
      </c>
      <c r="I1504" s="25" t="s">
        <v>3234</v>
      </c>
    </row>
    <row r="1505" spans="1:9" s="33" customFormat="1" ht="75">
      <c r="A1505" s="19">
        <v>43548.583472222221</v>
      </c>
      <c r="B1505" s="20" t="s">
        <v>14265</v>
      </c>
      <c r="C1505" s="21" t="s">
        <v>2264</v>
      </c>
      <c r="D1505" s="22" t="s">
        <v>8269</v>
      </c>
      <c r="E1505" s="23" t="s">
        <v>13034</v>
      </c>
      <c r="F1505" s="19">
        <v>43318.641018518523</v>
      </c>
      <c r="G1505" s="17" t="s">
        <v>13000</v>
      </c>
      <c r="H1505" s="35" t="s">
        <v>1629</v>
      </c>
      <c r="I1505" s="25" t="s">
        <v>2266</v>
      </c>
    </row>
    <row r="1506" spans="1:9" s="33" customFormat="1" ht="60">
      <c r="A1506" s="19">
        <v>43548.561979166669</v>
      </c>
      <c r="B1506" s="20" t="s">
        <v>14269</v>
      </c>
      <c r="C1506" s="21" t="s">
        <v>8276</v>
      </c>
      <c r="D1506" s="22" t="s">
        <v>8277</v>
      </c>
      <c r="E1506" s="23" t="s">
        <v>13011</v>
      </c>
      <c r="F1506" s="19">
        <v>40663.990891203706</v>
      </c>
      <c r="G1506" s="17" t="s">
        <v>13000</v>
      </c>
      <c r="H1506" s="35" t="s">
        <v>1629</v>
      </c>
      <c r="I1506" s="25" t="s">
        <v>8278</v>
      </c>
    </row>
    <row r="1507" spans="1:9" s="33" customFormat="1" ht="75">
      <c r="A1507" s="19">
        <v>43548.458530092597</v>
      </c>
      <c r="B1507" s="20" t="s">
        <v>14265</v>
      </c>
      <c r="C1507" s="21" t="s">
        <v>2264</v>
      </c>
      <c r="D1507" s="22" t="s">
        <v>8308</v>
      </c>
      <c r="E1507" s="23" t="s">
        <v>13034</v>
      </c>
      <c r="F1507" s="19">
        <v>43318.641018518523</v>
      </c>
      <c r="G1507" s="17" t="s">
        <v>13000</v>
      </c>
      <c r="H1507" s="35" t="s">
        <v>1629</v>
      </c>
      <c r="I1507" s="25" t="s">
        <v>2266</v>
      </c>
    </row>
    <row r="1508" spans="1:9" s="33" customFormat="1" ht="120">
      <c r="A1508" s="19">
        <v>43548.458136574074</v>
      </c>
      <c r="B1508" s="20" t="s">
        <v>14270</v>
      </c>
      <c r="C1508" s="21" t="s">
        <v>8309</v>
      </c>
      <c r="D1508" s="22" t="s">
        <v>8310</v>
      </c>
      <c r="E1508" s="23" t="s">
        <v>13032</v>
      </c>
      <c r="F1508" s="19">
        <v>40293.692627314813</v>
      </c>
      <c r="G1508" s="17" t="s">
        <v>13000</v>
      </c>
      <c r="H1508" s="35" t="s">
        <v>1629</v>
      </c>
      <c r="I1508" s="25" t="s">
        <v>8311</v>
      </c>
    </row>
    <row r="1509" spans="1:9" s="33" customFormat="1" ht="75">
      <c r="A1509" s="19">
        <v>43548.333483796298</v>
      </c>
      <c r="B1509" s="20" t="s">
        <v>14265</v>
      </c>
      <c r="C1509" s="21" t="s">
        <v>2264</v>
      </c>
      <c r="D1509" s="22" t="s">
        <v>8349</v>
      </c>
      <c r="E1509" s="23" t="s">
        <v>13034</v>
      </c>
      <c r="F1509" s="19">
        <v>43318.641018518523</v>
      </c>
      <c r="G1509" s="17" t="s">
        <v>13000</v>
      </c>
      <c r="H1509" s="35" t="s">
        <v>1629</v>
      </c>
      <c r="I1509" s="25" t="s">
        <v>2266</v>
      </c>
    </row>
    <row r="1510" spans="1:9" s="33" customFormat="1" ht="75">
      <c r="A1510" s="19">
        <v>43548.229317129633</v>
      </c>
      <c r="B1510" s="20" t="s">
        <v>14265</v>
      </c>
      <c r="C1510" s="21" t="s">
        <v>2264</v>
      </c>
      <c r="D1510" s="22" t="s">
        <v>8385</v>
      </c>
      <c r="E1510" s="23" t="s">
        <v>13034</v>
      </c>
      <c r="F1510" s="19">
        <v>43318.641018518523</v>
      </c>
      <c r="G1510" s="17" t="s">
        <v>13000</v>
      </c>
      <c r="H1510" s="35" t="s">
        <v>1629</v>
      </c>
      <c r="I1510" s="25" t="s">
        <v>2266</v>
      </c>
    </row>
    <row r="1511" spans="1:9" s="33" customFormat="1" ht="120">
      <c r="A1511" s="19">
        <v>43547.789837962962</v>
      </c>
      <c r="B1511" s="20" t="s">
        <v>14270</v>
      </c>
      <c r="C1511" s="21" t="s">
        <v>8309</v>
      </c>
      <c r="D1511" s="22" t="s">
        <v>8474</v>
      </c>
      <c r="E1511" s="23" t="s">
        <v>13032</v>
      </c>
      <c r="F1511" s="19">
        <v>40293.692627314813</v>
      </c>
      <c r="G1511" s="17" t="s">
        <v>13000</v>
      </c>
      <c r="H1511" s="35" t="s">
        <v>1629</v>
      </c>
      <c r="I1511" s="25" t="s">
        <v>8311</v>
      </c>
    </row>
    <row r="1512" spans="1:9" s="33" customFormat="1" ht="120">
      <c r="A1512" s="19">
        <v>43547.776296296295</v>
      </c>
      <c r="B1512" s="20" t="s">
        <v>14270</v>
      </c>
      <c r="C1512" s="21" t="s">
        <v>8309</v>
      </c>
      <c r="D1512" s="22" t="s">
        <v>8475</v>
      </c>
      <c r="E1512" s="23" t="s">
        <v>13032</v>
      </c>
      <c r="F1512" s="19">
        <v>40293.692627314813</v>
      </c>
      <c r="G1512" s="17" t="s">
        <v>13000</v>
      </c>
      <c r="H1512" s="35" t="s">
        <v>1629</v>
      </c>
      <c r="I1512" s="25" t="s">
        <v>8311</v>
      </c>
    </row>
    <row r="1513" spans="1:9" s="33" customFormat="1" ht="90">
      <c r="A1513" s="19">
        <v>43547.37872685185</v>
      </c>
      <c r="B1513" s="20" t="s">
        <v>14268</v>
      </c>
      <c r="C1513" s="21" t="s">
        <v>3234</v>
      </c>
      <c r="D1513" s="22" t="s">
        <v>8574</v>
      </c>
      <c r="E1513" s="23" t="s">
        <v>13011</v>
      </c>
      <c r="F1513" s="19">
        <v>43357.448900462958</v>
      </c>
      <c r="G1513" s="17" t="s">
        <v>13000</v>
      </c>
      <c r="H1513" s="35" t="s">
        <v>1629</v>
      </c>
      <c r="I1513" s="25" t="s">
        <v>3234</v>
      </c>
    </row>
    <row r="1514" spans="1:9" s="33" customFormat="1" ht="75">
      <c r="A1514" s="19">
        <v>43546.958356481482</v>
      </c>
      <c r="B1514" s="20" t="s">
        <v>14265</v>
      </c>
      <c r="C1514" s="21" t="s">
        <v>2264</v>
      </c>
      <c r="D1514" s="22" t="s">
        <v>5429</v>
      </c>
      <c r="E1514" s="23" t="s">
        <v>13034</v>
      </c>
      <c r="F1514" s="19">
        <v>43318.641018518523</v>
      </c>
      <c r="G1514" s="17" t="s">
        <v>13000</v>
      </c>
      <c r="H1514" s="35" t="s">
        <v>1629</v>
      </c>
      <c r="I1514" s="25" t="s">
        <v>2266</v>
      </c>
    </row>
    <row r="1515" spans="1:9" s="33" customFormat="1" ht="60">
      <c r="A1515" s="19">
        <v>43546.833402777775</v>
      </c>
      <c r="B1515" s="20" t="s">
        <v>14265</v>
      </c>
      <c r="C1515" s="21" t="s">
        <v>2264</v>
      </c>
      <c r="D1515" s="22" t="s">
        <v>7507</v>
      </c>
      <c r="E1515" s="23" t="s">
        <v>13034</v>
      </c>
      <c r="F1515" s="19">
        <v>43318.641018518523</v>
      </c>
      <c r="G1515" s="17" t="s">
        <v>13000</v>
      </c>
      <c r="H1515" s="35" t="s">
        <v>1629</v>
      </c>
      <c r="I1515" s="25" t="s">
        <v>2266</v>
      </c>
    </row>
    <row r="1516" spans="1:9" s="33" customFormat="1" ht="90">
      <c r="A1516" s="19">
        <v>43546.708680555559</v>
      </c>
      <c r="B1516" s="20" t="s">
        <v>14265</v>
      </c>
      <c r="C1516" s="21" t="s">
        <v>2264</v>
      </c>
      <c r="D1516" s="22" t="s">
        <v>8751</v>
      </c>
      <c r="E1516" s="23" t="s">
        <v>13034</v>
      </c>
      <c r="F1516" s="19">
        <v>43318.641018518523</v>
      </c>
      <c r="G1516" s="17" t="s">
        <v>13000</v>
      </c>
      <c r="H1516" s="35" t="s">
        <v>1629</v>
      </c>
      <c r="I1516" s="25" t="s">
        <v>2266</v>
      </c>
    </row>
    <row r="1517" spans="1:9" s="33" customFormat="1" ht="75">
      <c r="A1517" s="19">
        <v>43546.604398148149</v>
      </c>
      <c r="B1517" s="20" t="s">
        <v>14265</v>
      </c>
      <c r="C1517" s="21" t="s">
        <v>2264</v>
      </c>
      <c r="D1517" s="22" t="s">
        <v>8792</v>
      </c>
      <c r="E1517" s="23" t="s">
        <v>13034</v>
      </c>
      <c r="F1517" s="19">
        <v>43318.641018518523</v>
      </c>
      <c r="G1517" s="17" t="s">
        <v>13000</v>
      </c>
      <c r="H1517" s="35" t="s">
        <v>1629</v>
      </c>
      <c r="I1517" s="25" t="s">
        <v>2266</v>
      </c>
    </row>
    <row r="1518" spans="1:9" s="33" customFormat="1" ht="75">
      <c r="A1518" s="19">
        <v>43546.593414351853</v>
      </c>
      <c r="B1518" s="20" t="s">
        <v>14265</v>
      </c>
      <c r="C1518" s="21" t="s">
        <v>2264</v>
      </c>
      <c r="D1518" s="22" t="s">
        <v>8793</v>
      </c>
      <c r="E1518" s="23" t="s">
        <v>13034</v>
      </c>
      <c r="F1518" s="19">
        <v>43318.641018518523</v>
      </c>
      <c r="G1518" s="17" t="s">
        <v>13000</v>
      </c>
      <c r="H1518" s="35" t="s">
        <v>1629</v>
      </c>
      <c r="I1518" s="25" t="s">
        <v>2266</v>
      </c>
    </row>
    <row r="1519" spans="1:9" s="33" customFormat="1" ht="75">
      <c r="A1519" s="19">
        <v>43546.584236111114</v>
      </c>
      <c r="B1519" s="20" t="s">
        <v>14268</v>
      </c>
      <c r="C1519" s="21" t="s">
        <v>3234</v>
      </c>
      <c r="D1519" s="22" t="s">
        <v>8794</v>
      </c>
      <c r="E1519" s="23" t="s">
        <v>13011</v>
      </c>
      <c r="F1519" s="19">
        <v>43357.448900462958</v>
      </c>
      <c r="G1519" s="17" t="s">
        <v>13000</v>
      </c>
      <c r="H1519" s="35" t="s">
        <v>1629</v>
      </c>
      <c r="I1519" s="25" t="s">
        <v>3234</v>
      </c>
    </row>
    <row r="1520" spans="1:9" s="33" customFormat="1" ht="75">
      <c r="A1520" s="19">
        <v>43545.916979166665</v>
      </c>
      <c r="B1520" s="20" t="s">
        <v>14265</v>
      </c>
      <c r="C1520" s="21" t="s">
        <v>2264</v>
      </c>
      <c r="D1520" s="22" t="s">
        <v>8999</v>
      </c>
      <c r="E1520" s="23" t="s">
        <v>13034</v>
      </c>
      <c r="F1520" s="19">
        <v>43318.641018518523</v>
      </c>
      <c r="G1520" s="17" t="s">
        <v>13000</v>
      </c>
      <c r="H1520" s="35" t="s">
        <v>1629</v>
      </c>
      <c r="I1520" s="25" t="s">
        <v>2266</v>
      </c>
    </row>
    <row r="1521" spans="1:9" s="33" customFormat="1" ht="120">
      <c r="A1521" s="19">
        <v>43545.863807870366</v>
      </c>
      <c r="B1521" s="20" t="s">
        <v>14271</v>
      </c>
      <c r="C1521" s="21" t="s">
        <v>9019</v>
      </c>
      <c r="D1521" s="22" t="s">
        <v>9016</v>
      </c>
      <c r="E1521" s="23" t="s">
        <v>13352</v>
      </c>
      <c r="F1521" s="19">
        <v>43218.771412037036</v>
      </c>
      <c r="G1521" s="17" t="s">
        <v>13000</v>
      </c>
      <c r="H1521" s="35" t="s">
        <v>1629</v>
      </c>
      <c r="I1521" s="25" t="s">
        <v>9020</v>
      </c>
    </row>
    <row r="1522" spans="1:9" s="33" customFormat="1" ht="60">
      <c r="A1522" s="19">
        <v>43545.840486111112</v>
      </c>
      <c r="B1522" s="20" t="s">
        <v>14268</v>
      </c>
      <c r="C1522" s="21" t="s">
        <v>3234</v>
      </c>
      <c r="D1522" s="22" t="s">
        <v>9024</v>
      </c>
      <c r="E1522" s="23" t="s">
        <v>13011</v>
      </c>
      <c r="F1522" s="19">
        <v>43357.448900462958</v>
      </c>
      <c r="G1522" s="17" t="s">
        <v>13000</v>
      </c>
      <c r="H1522" s="35" t="s">
        <v>1629</v>
      </c>
      <c r="I1522" s="25" t="s">
        <v>3234</v>
      </c>
    </row>
    <row r="1523" spans="1:9" s="33" customFormat="1" ht="75">
      <c r="A1523" s="19">
        <v>43544.753483796296</v>
      </c>
      <c r="B1523" s="20" t="s">
        <v>14268</v>
      </c>
      <c r="C1523" s="21" t="s">
        <v>3234</v>
      </c>
      <c r="D1523" s="22" t="s">
        <v>9355</v>
      </c>
      <c r="E1523" s="23" t="s">
        <v>13011</v>
      </c>
      <c r="F1523" s="19">
        <v>43357.448900462958</v>
      </c>
      <c r="G1523" s="17" t="s">
        <v>13000</v>
      </c>
      <c r="H1523" s="35" t="s">
        <v>1629</v>
      </c>
      <c r="I1523" s="25" t="s">
        <v>3234</v>
      </c>
    </row>
    <row r="1524" spans="1:9" s="33" customFormat="1" ht="90">
      <c r="A1524" s="19">
        <v>43544.724999999999</v>
      </c>
      <c r="B1524" s="20" t="s">
        <v>14272</v>
      </c>
      <c r="C1524" s="21" t="s">
        <v>9361</v>
      </c>
      <c r="D1524" s="22" t="s">
        <v>9362</v>
      </c>
      <c r="E1524" s="23" t="s">
        <v>13032</v>
      </c>
      <c r="F1524" s="19">
        <v>40194.77952546296</v>
      </c>
      <c r="G1524" s="17" t="s">
        <v>13000</v>
      </c>
      <c r="H1524" s="35" t="s">
        <v>1629</v>
      </c>
      <c r="I1524" s="25" t="s">
        <v>9363</v>
      </c>
    </row>
    <row r="1525" spans="1:9" s="33" customFormat="1" ht="90">
      <c r="A1525" s="19">
        <v>43544.375613425931</v>
      </c>
      <c r="B1525" s="20" t="s">
        <v>14265</v>
      </c>
      <c r="C1525" s="21" t="s">
        <v>2264</v>
      </c>
      <c r="D1525" s="22" t="s">
        <v>9489</v>
      </c>
      <c r="E1525" s="23" t="s">
        <v>13034</v>
      </c>
      <c r="F1525" s="19">
        <v>43318.641018518523</v>
      </c>
      <c r="G1525" s="17" t="s">
        <v>13000</v>
      </c>
      <c r="H1525" s="35" t="s">
        <v>1629</v>
      </c>
      <c r="I1525" s="25" t="s">
        <v>2266</v>
      </c>
    </row>
    <row r="1526" spans="1:9" s="33" customFormat="1" ht="60">
      <c r="A1526" s="19">
        <v>43543.914375</v>
      </c>
      <c r="B1526" s="20" t="s">
        <v>14268</v>
      </c>
      <c r="C1526" s="21" t="s">
        <v>3234</v>
      </c>
      <c r="D1526" s="22" t="s">
        <v>6391</v>
      </c>
      <c r="E1526" s="23" t="s">
        <v>13011</v>
      </c>
      <c r="F1526" s="19">
        <v>43357.448900462958</v>
      </c>
      <c r="G1526" s="17" t="s">
        <v>13000</v>
      </c>
      <c r="H1526" s="35" t="s">
        <v>1629</v>
      </c>
      <c r="I1526" s="25" t="s">
        <v>3234</v>
      </c>
    </row>
    <row r="1527" spans="1:9" s="33" customFormat="1" ht="90">
      <c r="A1527" s="19">
        <v>43543.791678240741</v>
      </c>
      <c r="B1527" s="20" t="s">
        <v>14265</v>
      </c>
      <c r="C1527" s="21" t="s">
        <v>2264</v>
      </c>
      <c r="D1527" s="22" t="s">
        <v>9683</v>
      </c>
      <c r="E1527" s="23" t="s">
        <v>13034</v>
      </c>
      <c r="F1527" s="19">
        <v>43318.641018518523</v>
      </c>
      <c r="G1527" s="17" t="s">
        <v>13000</v>
      </c>
      <c r="H1527" s="35" t="s">
        <v>1629</v>
      </c>
      <c r="I1527" s="25" t="s">
        <v>2266</v>
      </c>
    </row>
    <row r="1528" spans="1:9" s="33" customFormat="1" ht="75">
      <c r="A1528" s="19">
        <v>43543.666747685187</v>
      </c>
      <c r="B1528" s="20" t="s">
        <v>14265</v>
      </c>
      <c r="C1528" s="21" t="s">
        <v>2264</v>
      </c>
      <c r="D1528" s="22" t="s">
        <v>9712</v>
      </c>
      <c r="E1528" s="23" t="s">
        <v>13034</v>
      </c>
      <c r="F1528" s="19">
        <v>43318.641018518523</v>
      </c>
      <c r="G1528" s="17" t="s">
        <v>13000</v>
      </c>
      <c r="H1528" s="35" t="s">
        <v>1629</v>
      </c>
      <c r="I1528" s="25" t="s">
        <v>2266</v>
      </c>
    </row>
    <row r="1529" spans="1:9" s="33" customFormat="1" ht="105">
      <c r="A1529" s="19">
        <v>43543.241782407407</v>
      </c>
      <c r="B1529" s="20" t="s">
        <v>14273</v>
      </c>
      <c r="C1529" s="21" t="s">
        <v>9889</v>
      </c>
      <c r="D1529" s="22" t="s">
        <v>9890</v>
      </c>
      <c r="E1529" s="23" t="s">
        <v>13011</v>
      </c>
      <c r="F1529" s="19">
        <v>42398.59778935185</v>
      </c>
      <c r="G1529" s="17" t="s">
        <v>13000</v>
      </c>
      <c r="H1529" s="35" t="s">
        <v>1629</v>
      </c>
      <c r="I1529" s="25" t="s">
        <v>9891</v>
      </c>
    </row>
    <row r="1530" spans="1:9" s="33" customFormat="1" ht="75">
      <c r="A1530" s="19">
        <v>43542.875127314815</v>
      </c>
      <c r="B1530" s="20" t="s">
        <v>14265</v>
      </c>
      <c r="C1530" s="21" t="s">
        <v>2264</v>
      </c>
      <c r="D1530" s="22" t="s">
        <v>10001</v>
      </c>
      <c r="E1530" s="23" t="s">
        <v>13034</v>
      </c>
      <c r="F1530" s="19">
        <v>43318.641018518523</v>
      </c>
      <c r="G1530" s="17" t="s">
        <v>13000</v>
      </c>
      <c r="H1530" s="35" t="s">
        <v>1629</v>
      </c>
      <c r="I1530" s="25" t="s">
        <v>2266</v>
      </c>
    </row>
    <row r="1531" spans="1:9" s="33" customFormat="1" ht="75">
      <c r="A1531" s="19">
        <v>43542.750138888892</v>
      </c>
      <c r="B1531" s="20" t="s">
        <v>14265</v>
      </c>
      <c r="C1531" s="21" t="s">
        <v>2264</v>
      </c>
      <c r="D1531" s="22" t="s">
        <v>5429</v>
      </c>
      <c r="E1531" s="23" t="s">
        <v>13034</v>
      </c>
      <c r="F1531" s="19">
        <v>43318.641018518523</v>
      </c>
      <c r="G1531" s="17" t="s">
        <v>13000</v>
      </c>
      <c r="H1531" s="35" t="s">
        <v>1629</v>
      </c>
      <c r="I1531" s="25" t="s">
        <v>2266</v>
      </c>
    </row>
    <row r="1532" spans="1:9" s="33" customFormat="1" ht="105">
      <c r="A1532" s="19">
        <v>43542.605787037042</v>
      </c>
      <c r="B1532" s="20" t="s">
        <v>14274</v>
      </c>
      <c r="C1532" s="21" t="s">
        <v>10077</v>
      </c>
      <c r="D1532" s="22" t="s">
        <v>10078</v>
      </c>
      <c r="E1532" s="23" t="s">
        <v>13015</v>
      </c>
      <c r="F1532" s="19">
        <v>43498.084363425922</v>
      </c>
      <c r="G1532" s="17" t="s">
        <v>13000</v>
      </c>
      <c r="H1532" s="35" t="s">
        <v>1629</v>
      </c>
      <c r="I1532" s="25" t="s">
        <v>10079</v>
      </c>
    </row>
    <row r="1533" spans="1:9" s="33" customFormat="1" ht="60">
      <c r="A1533" s="4">
        <v>43565.837037037039</v>
      </c>
      <c r="B1533" s="5" t="s">
        <v>14275</v>
      </c>
      <c r="C1533" s="6" t="s">
        <v>5879</v>
      </c>
      <c r="D1533" s="7" t="s">
        <v>5880</v>
      </c>
      <c r="E1533" s="8" t="s">
        <v>13011</v>
      </c>
      <c r="F1533" s="4">
        <v>41708.946354166663</v>
      </c>
      <c r="G1533" s="17" t="s">
        <v>13000</v>
      </c>
      <c r="H1533" s="35" t="s">
        <v>1629</v>
      </c>
      <c r="I1533" s="10" t="s">
        <v>5881</v>
      </c>
    </row>
    <row r="1534" spans="1:9" s="33" customFormat="1" ht="75">
      <c r="A1534" s="4">
        <v>43565.770891203705</v>
      </c>
      <c r="B1534" s="5" t="s">
        <v>14265</v>
      </c>
      <c r="C1534" s="6" t="s">
        <v>2264</v>
      </c>
      <c r="D1534" s="7" t="s">
        <v>5911</v>
      </c>
      <c r="E1534" s="8" t="s">
        <v>13034</v>
      </c>
      <c r="F1534" s="4">
        <v>43318.641018518523</v>
      </c>
      <c r="G1534" s="17" t="s">
        <v>13000</v>
      </c>
      <c r="H1534" s="35" t="s">
        <v>1629</v>
      </c>
      <c r="I1534" s="10" t="s">
        <v>2266</v>
      </c>
    </row>
    <row r="1535" spans="1:9" s="33" customFormat="1" ht="75">
      <c r="A1535" s="4">
        <v>43565.645960648151</v>
      </c>
      <c r="B1535" s="5" t="s">
        <v>14265</v>
      </c>
      <c r="C1535" s="6" t="s">
        <v>2264</v>
      </c>
      <c r="D1535" s="7" t="s">
        <v>5969</v>
      </c>
      <c r="E1535" s="8" t="s">
        <v>13034</v>
      </c>
      <c r="F1535" s="4">
        <v>43318.641018518523</v>
      </c>
      <c r="G1535" s="17" t="s">
        <v>13000</v>
      </c>
      <c r="H1535" s="35" t="s">
        <v>1629</v>
      </c>
      <c r="I1535" s="10" t="s">
        <v>2266</v>
      </c>
    </row>
    <row r="1536" spans="1:9" s="33" customFormat="1" ht="75">
      <c r="A1536" s="4">
        <v>43565.520844907413</v>
      </c>
      <c r="B1536" s="5" t="s">
        <v>14265</v>
      </c>
      <c r="C1536" s="6" t="s">
        <v>2264</v>
      </c>
      <c r="D1536" s="7" t="s">
        <v>6046</v>
      </c>
      <c r="E1536" s="8" t="s">
        <v>13034</v>
      </c>
      <c r="F1536" s="4">
        <v>43318.641018518523</v>
      </c>
      <c r="G1536" s="17" t="s">
        <v>13000</v>
      </c>
      <c r="H1536" s="35" t="s">
        <v>1629</v>
      </c>
      <c r="I1536" s="10" t="s">
        <v>2266</v>
      </c>
    </row>
    <row r="1537" spans="1:9" s="33" customFormat="1" ht="45">
      <c r="A1537" s="4">
        <v>43565.509675925925</v>
      </c>
      <c r="B1537" s="5" t="s">
        <v>14276</v>
      </c>
      <c r="C1537" s="6" t="s">
        <v>6053</v>
      </c>
      <c r="D1537" s="7" t="s">
        <v>6054</v>
      </c>
      <c r="E1537" s="8" t="s">
        <v>13009</v>
      </c>
      <c r="F1537" s="4">
        <v>39877.488726851851</v>
      </c>
      <c r="G1537" s="17" t="s">
        <v>13000</v>
      </c>
      <c r="H1537" s="35" t="s">
        <v>1629</v>
      </c>
      <c r="I1537" s="10" t="s">
        <v>6055</v>
      </c>
    </row>
    <row r="1538" spans="1:9" s="33" customFormat="1" ht="75">
      <c r="A1538" s="4">
        <v>43565.396261574075</v>
      </c>
      <c r="B1538" s="5" t="s">
        <v>14265</v>
      </c>
      <c r="C1538" s="6" t="s">
        <v>2264</v>
      </c>
      <c r="D1538" s="7" t="s">
        <v>6118</v>
      </c>
      <c r="E1538" s="8" t="s">
        <v>13034</v>
      </c>
      <c r="F1538" s="4">
        <v>43318.641018518523</v>
      </c>
      <c r="G1538" s="17" t="s">
        <v>13000</v>
      </c>
      <c r="H1538" s="35" t="s">
        <v>1629</v>
      </c>
      <c r="I1538" s="10" t="s">
        <v>2266</v>
      </c>
    </row>
    <row r="1539" spans="1:9" s="33" customFormat="1" ht="90">
      <c r="A1539" s="4">
        <v>43565.270949074074</v>
      </c>
      <c r="B1539" s="5" t="s">
        <v>14265</v>
      </c>
      <c r="C1539" s="6" t="s">
        <v>2264</v>
      </c>
      <c r="D1539" s="7" t="s">
        <v>6199</v>
      </c>
      <c r="E1539" s="8" t="s">
        <v>13034</v>
      </c>
      <c r="F1539" s="4">
        <v>43318.641018518523</v>
      </c>
      <c r="G1539" s="17" t="s">
        <v>13000</v>
      </c>
      <c r="H1539" s="35" t="s">
        <v>1629</v>
      </c>
      <c r="I1539" s="10" t="s">
        <v>2266</v>
      </c>
    </row>
    <row r="1540" spans="1:9" s="33" customFormat="1" ht="75">
      <c r="A1540" s="4">
        <v>43565.041944444441</v>
      </c>
      <c r="B1540" s="5" t="s">
        <v>14265</v>
      </c>
      <c r="C1540" s="6" t="s">
        <v>2264</v>
      </c>
      <c r="D1540" s="7" t="s">
        <v>6334</v>
      </c>
      <c r="E1540" s="8" t="s">
        <v>13034</v>
      </c>
      <c r="F1540" s="4">
        <v>43318.641018518523</v>
      </c>
      <c r="G1540" s="17" t="s">
        <v>13000</v>
      </c>
      <c r="H1540" s="35" t="s">
        <v>1629</v>
      </c>
      <c r="I1540" s="10" t="s">
        <v>2266</v>
      </c>
    </row>
    <row r="1541" spans="1:9" s="33" customFormat="1" ht="75">
      <c r="A1541" s="4">
        <v>43564.916932870372</v>
      </c>
      <c r="B1541" s="5" t="s">
        <v>14265</v>
      </c>
      <c r="C1541" s="6" t="s">
        <v>2264</v>
      </c>
      <c r="D1541" s="7" t="s">
        <v>6385</v>
      </c>
      <c r="E1541" s="8" t="s">
        <v>13034</v>
      </c>
      <c r="F1541" s="4">
        <v>43318.641018518523</v>
      </c>
      <c r="G1541" s="17" t="s">
        <v>13000</v>
      </c>
      <c r="H1541" s="35" t="s">
        <v>1629</v>
      </c>
      <c r="I1541" s="10" t="s">
        <v>2266</v>
      </c>
    </row>
    <row r="1542" spans="1:9" s="33" customFormat="1" ht="60">
      <c r="A1542" s="4">
        <v>43564.791701388887</v>
      </c>
      <c r="B1542" s="5" t="s">
        <v>14265</v>
      </c>
      <c r="C1542" s="6" t="s">
        <v>2264</v>
      </c>
      <c r="D1542" s="7" t="s">
        <v>6409</v>
      </c>
      <c r="E1542" s="8" t="s">
        <v>13034</v>
      </c>
      <c r="F1542" s="4">
        <v>43318.641018518523</v>
      </c>
      <c r="G1542" s="17" t="s">
        <v>13000</v>
      </c>
      <c r="H1542" s="35" t="s">
        <v>1629</v>
      </c>
      <c r="I1542" s="10" t="s">
        <v>2266</v>
      </c>
    </row>
    <row r="1543" spans="1:9" s="33" customFormat="1" ht="120">
      <c r="A1543" s="4">
        <v>43564.725543981476</v>
      </c>
      <c r="B1543" s="5" t="s">
        <v>14277</v>
      </c>
      <c r="C1543" s="6" t="s">
        <v>6443</v>
      </c>
      <c r="D1543" s="7" t="s">
        <v>6444</v>
      </c>
      <c r="E1543" s="8" t="s">
        <v>13015</v>
      </c>
      <c r="F1543" s="4">
        <v>42486.373067129629</v>
      </c>
      <c r="G1543" s="17" t="s">
        <v>13000</v>
      </c>
      <c r="H1543" s="35" t="s">
        <v>1629</v>
      </c>
      <c r="I1543" s="10" t="s">
        <v>10199</v>
      </c>
    </row>
    <row r="1544" spans="1:9" s="33" customFormat="1" ht="75">
      <c r="A1544" s="4">
        <v>43564.666874999995</v>
      </c>
      <c r="B1544" s="5" t="s">
        <v>14265</v>
      </c>
      <c r="C1544" s="6" t="s">
        <v>2264</v>
      </c>
      <c r="D1544" s="7" t="s">
        <v>5429</v>
      </c>
      <c r="E1544" s="8" t="s">
        <v>13034</v>
      </c>
      <c r="F1544" s="4">
        <v>43318.641018518523</v>
      </c>
      <c r="G1544" s="17" t="s">
        <v>13000</v>
      </c>
      <c r="H1544" s="35" t="s">
        <v>1629</v>
      </c>
      <c r="I1544" s="10" t="s">
        <v>2266</v>
      </c>
    </row>
    <row r="1545" spans="1:9" s="33" customFormat="1" ht="60">
      <c r="A1545" s="4">
        <v>43564.542037037041</v>
      </c>
      <c r="B1545" s="5" t="s">
        <v>14265</v>
      </c>
      <c r="C1545" s="6" t="s">
        <v>2264</v>
      </c>
      <c r="D1545" s="7" t="s">
        <v>6566</v>
      </c>
      <c r="E1545" s="8" t="s">
        <v>13034</v>
      </c>
      <c r="F1545" s="4">
        <v>43318.641018518523</v>
      </c>
      <c r="G1545" s="17" t="s">
        <v>13000</v>
      </c>
      <c r="H1545" s="35" t="s">
        <v>1629</v>
      </c>
      <c r="I1545" s="10" t="s">
        <v>2266</v>
      </c>
    </row>
    <row r="1546" spans="1:9" s="33" customFormat="1" ht="75">
      <c r="A1546" s="4">
        <v>43564.416678240741</v>
      </c>
      <c r="B1546" s="5" t="s">
        <v>14265</v>
      </c>
      <c r="C1546" s="6" t="s">
        <v>2264</v>
      </c>
      <c r="D1546" s="7" t="s">
        <v>6385</v>
      </c>
      <c r="E1546" s="8" t="s">
        <v>13034</v>
      </c>
      <c r="F1546" s="4">
        <v>43318.641018518523</v>
      </c>
      <c r="G1546" s="17" t="s">
        <v>13000</v>
      </c>
      <c r="H1546" s="35" t="s">
        <v>1629</v>
      </c>
      <c r="I1546" s="10" t="s">
        <v>2266</v>
      </c>
    </row>
    <row r="1547" spans="1:9" s="33" customFormat="1" ht="90">
      <c r="A1547" s="4">
        <v>43564.320266203707</v>
      </c>
      <c r="B1547" s="5" t="s">
        <v>14278</v>
      </c>
      <c r="C1547" s="6" t="s">
        <v>6690</v>
      </c>
      <c r="D1547" s="7" t="s">
        <v>6691</v>
      </c>
      <c r="E1547" s="8" t="s">
        <v>13034</v>
      </c>
      <c r="F1547" s="4">
        <v>41035.670590277776</v>
      </c>
      <c r="G1547" s="17" t="s">
        <v>13000</v>
      </c>
      <c r="H1547" s="35" t="s">
        <v>1629</v>
      </c>
      <c r="I1547" s="10" t="s">
        <v>6692</v>
      </c>
    </row>
    <row r="1548" spans="1:9" s="33" customFormat="1" ht="105">
      <c r="A1548" s="4">
        <v>43564.311874999999</v>
      </c>
      <c r="B1548" s="5" t="s">
        <v>14279</v>
      </c>
      <c r="C1548" s="6" t="s">
        <v>6695</v>
      </c>
      <c r="D1548" s="7" t="s">
        <v>6696</v>
      </c>
      <c r="E1548" s="8" t="s">
        <v>13009</v>
      </c>
      <c r="F1548" s="4">
        <v>39978.249942129631</v>
      </c>
      <c r="G1548" s="17" t="s">
        <v>13000</v>
      </c>
      <c r="H1548" s="35" t="s">
        <v>1629</v>
      </c>
      <c r="I1548" s="10" t="s">
        <v>6697</v>
      </c>
    </row>
    <row r="1549" spans="1:9" s="33" customFormat="1" ht="90">
      <c r="A1549" s="4">
        <v>43564.267754629633</v>
      </c>
      <c r="B1549" s="5" t="s">
        <v>14268</v>
      </c>
      <c r="C1549" s="6" t="s">
        <v>3234</v>
      </c>
      <c r="D1549" s="7" t="s">
        <v>6707</v>
      </c>
      <c r="E1549" s="8" t="s">
        <v>13011</v>
      </c>
      <c r="F1549" s="4">
        <v>43357.448900462958</v>
      </c>
      <c r="G1549" s="17" t="s">
        <v>13000</v>
      </c>
      <c r="H1549" s="35" t="s">
        <v>1629</v>
      </c>
      <c r="I1549" s="10" t="s">
        <v>3234</v>
      </c>
    </row>
    <row r="1550" spans="1:9" s="33" customFormat="1" ht="75">
      <c r="A1550" s="4">
        <v>43563.770902777775</v>
      </c>
      <c r="B1550" s="5" t="s">
        <v>14265</v>
      </c>
      <c r="C1550" s="6" t="s">
        <v>2264</v>
      </c>
      <c r="D1550" s="7" t="s">
        <v>6886</v>
      </c>
      <c r="E1550" s="8" t="s">
        <v>13034</v>
      </c>
      <c r="F1550" s="4">
        <v>43318.641018518523</v>
      </c>
      <c r="G1550" s="17" t="s">
        <v>13000</v>
      </c>
      <c r="H1550" s="35" t="s">
        <v>1629</v>
      </c>
      <c r="I1550" s="10" t="s">
        <v>2266</v>
      </c>
    </row>
    <row r="1551" spans="1:9" s="33" customFormat="1" ht="60">
      <c r="A1551" s="4">
        <v>43563.68751157407</v>
      </c>
      <c r="B1551" s="5" t="s">
        <v>14265</v>
      </c>
      <c r="C1551" s="6" t="s">
        <v>2264</v>
      </c>
      <c r="D1551" s="7" t="s">
        <v>6919</v>
      </c>
      <c r="E1551" s="8" t="s">
        <v>13034</v>
      </c>
      <c r="F1551" s="4">
        <v>43318.641018518523</v>
      </c>
      <c r="G1551" s="17" t="s">
        <v>13000</v>
      </c>
      <c r="H1551" s="35" t="s">
        <v>1629</v>
      </c>
      <c r="I1551" s="10" t="s">
        <v>2266</v>
      </c>
    </row>
    <row r="1552" spans="1:9" s="33" customFormat="1" ht="60">
      <c r="A1552" s="4">
        <v>43563.640405092592</v>
      </c>
      <c r="B1552" s="5" t="s">
        <v>14280</v>
      </c>
      <c r="C1552" s="6" t="s">
        <v>10216</v>
      </c>
      <c r="D1552" s="7" t="s">
        <v>10217</v>
      </c>
      <c r="E1552" s="8" t="s">
        <v>13032</v>
      </c>
      <c r="F1552" s="4">
        <v>40332.385520833333</v>
      </c>
      <c r="G1552" s="17" t="s">
        <v>13000</v>
      </c>
      <c r="H1552" s="35" t="s">
        <v>1629</v>
      </c>
      <c r="I1552" s="10"/>
    </row>
    <row r="1553" spans="1:9" s="33" customFormat="1" ht="75">
      <c r="A1553" s="4">
        <v>43563.45548611111</v>
      </c>
      <c r="B1553" s="5" t="s">
        <v>14268</v>
      </c>
      <c r="C1553" s="6" t="s">
        <v>3234</v>
      </c>
      <c r="D1553" s="7" t="s">
        <v>10280</v>
      </c>
      <c r="E1553" s="8" t="s">
        <v>13011</v>
      </c>
      <c r="F1553" s="4">
        <v>43357.448900462958</v>
      </c>
      <c r="G1553" s="17" t="s">
        <v>13000</v>
      </c>
      <c r="H1553" s="35" t="s">
        <v>1629</v>
      </c>
      <c r="I1553" s="10" t="s">
        <v>3234</v>
      </c>
    </row>
    <row r="1554" spans="1:9" s="33" customFormat="1" ht="75">
      <c r="A1554" s="4">
        <v>43563.250509259262</v>
      </c>
      <c r="B1554" s="5" t="s">
        <v>14265</v>
      </c>
      <c r="C1554" s="6" t="s">
        <v>2264</v>
      </c>
      <c r="D1554" s="7" t="s">
        <v>10421</v>
      </c>
      <c r="E1554" s="8" t="s">
        <v>13034</v>
      </c>
      <c r="F1554" s="4">
        <v>43318.641018518523</v>
      </c>
      <c r="G1554" s="17" t="s">
        <v>13000</v>
      </c>
      <c r="H1554" s="35" t="s">
        <v>1629</v>
      </c>
      <c r="I1554" s="10" t="s">
        <v>2266</v>
      </c>
    </row>
    <row r="1555" spans="1:9" s="33" customFormat="1" ht="75">
      <c r="A1555" s="4">
        <v>43563.125393518523</v>
      </c>
      <c r="B1555" s="5" t="s">
        <v>14265</v>
      </c>
      <c r="C1555" s="6" t="s">
        <v>2264</v>
      </c>
      <c r="D1555" s="7" t="s">
        <v>10454</v>
      </c>
      <c r="E1555" s="8" t="s">
        <v>13034</v>
      </c>
      <c r="F1555" s="4">
        <v>43318.641018518523</v>
      </c>
      <c r="G1555" s="17" t="s">
        <v>13000</v>
      </c>
      <c r="H1555" s="35" t="s">
        <v>1629</v>
      </c>
      <c r="I1555" s="10" t="s">
        <v>2266</v>
      </c>
    </row>
    <row r="1556" spans="1:9" s="33" customFormat="1" ht="75">
      <c r="A1556" s="4">
        <v>43563.000196759254</v>
      </c>
      <c r="B1556" s="5" t="s">
        <v>14265</v>
      </c>
      <c r="C1556" s="6" t="s">
        <v>2264</v>
      </c>
      <c r="D1556" s="7" t="s">
        <v>10514</v>
      </c>
      <c r="E1556" s="8" t="s">
        <v>13034</v>
      </c>
      <c r="F1556" s="4">
        <v>43318.641018518523</v>
      </c>
      <c r="G1556" s="17" t="s">
        <v>13000</v>
      </c>
      <c r="H1556" s="35" t="s">
        <v>1629</v>
      </c>
      <c r="I1556" s="10" t="s">
        <v>2266</v>
      </c>
    </row>
    <row r="1557" spans="1:9" s="33" customFormat="1" ht="75">
      <c r="A1557" s="4">
        <v>43562.875</v>
      </c>
      <c r="B1557" s="5" t="s">
        <v>14265</v>
      </c>
      <c r="C1557" s="6" t="s">
        <v>2264</v>
      </c>
      <c r="D1557" s="7" t="s">
        <v>10557</v>
      </c>
      <c r="E1557" s="8" t="s">
        <v>13034</v>
      </c>
      <c r="F1557" s="4">
        <v>43318.641018518523</v>
      </c>
      <c r="G1557" s="17" t="s">
        <v>13000</v>
      </c>
      <c r="H1557" s="35" t="s">
        <v>1629</v>
      </c>
      <c r="I1557" s="10" t="s">
        <v>2266</v>
      </c>
    </row>
    <row r="1558" spans="1:9" s="33" customFormat="1" ht="90">
      <c r="A1558" s="4">
        <v>43562.862962962958</v>
      </c>
      <c r="B1558" s="5" t="s">
        <v>14268</v>
      </c>
      <c r="C1558" s="6" t="s">
        <v>3234</v>
      </c>
      <c r="D1558" s="7" t="s">
        <v>10558</v>
      </c>
      <c r="E1558" s="8" t="s">
        <v>13011</v>
      </c>
      <c r="F1558" s="4">
        <v>43357.448900462958</v>
      </c>
      <c r="G1558" s="17" t="s">
        <v>13000</v>
      </c>
      <c r="H1558" s="35" t="s">
        <v>1629</v>
      </c>
      <c r="I1558" s="10" t="s">
        <v>3234</v>
      </c>
    </row>
    <row r="1559" spans="1:9" s="33" customFormat="1" ht="105">
      <c r="A1559" s="4">
        <v>43562.643379629633</v>
      </c>
      <c r="B1559" s="5" t="s">
        <v>14273</v>
      </c>
      <c r="C1559" s="6" t="s">
        <v>9889</v>
      </c>
      <c r="D1559" s="7" t="s">
        <v>10630</v>
      </c>
      <c r="E1559" s="8" t="s">
        <v>13011</v>
      </c>
      <c r="F1559" s="4">
        <v>42398.59778935185</v>
      </c>
      <c r="G1559" s="17" t="s">
        <v>13000</v>
      </c>
      <c r="H1559" s="35" t="s">
        <v>1629</v>
      </c>
      <c r="I1559" s="10" t="s">
        <v>9891</v>
      </c>
    </row>
    <row r="1560" spans="1:9" s="33" customFormat="1" ht="75">
      <c r="A1560" s="4">
        <v>43562.270844907413</v>
      </c>
      <c r="B1560" s="5" t="s">
        <v>14265</v>
      </c>
      <c r="C1560" s="6" t="s">
        <v>2264</v>
      </c>
      <c r="D1560" s="7" t="s">
        <v>5429</v>
      </c>
      <c r="E1560" s="8" t="s">
        <v>13034</v>
      </c>
      <c r="F1560" s="4">
        <v>43318.641018518523</v>
      </c>
      <c r="G1560" s="17" t="s">
        <v>13000</v>
      </c>
      <c r="H1560" s="35" t="s">
        <v>1629</v>
      </c>
      <c r="I1560" s="10" t="s">
        <v>2266</v>
      </c>
    </row>
    <row r="1561" spans="1:9" s="33" customFormat="1" ht="75">
      <c r="A1561" s="4">
        <v>43562.145914351851</v>
      </c>
      <c r="B1561" s="5" t="s">
        <v>14265</v>
      </c>
      <c r="C1561" s="6" t="s">
        <v>2264</v>
      </c>
      <c r="D1561" s="7" t="s">
        <v>6859</v>
      </c>
      <c r="E1561" s="8" t="s">
        <v>13034</v>
      </c>
      <c r="F1561" s="4">
        <v>43318.641018518523</v>
      </c>
      <c r="G1561" s="17" t="s">
        <v>13000</v>
      </c>
      <c r="H1561" s="35" t="s">
        <v>1629</v>
      </c>
      <c r="I1561" s="10" t="s">
        <v>2266</v>
      </c>
    </row>
    <row r="1562" spans="1:9" s="33" customFormat="1" ht="75">
      <c r="A1562" s="4">
        <v>43562.020925925928</v>
      </c>
      <c r="B1562" s="5" t="s">
        <v>14265</v>
      </c>
      <c r="C1562" s="6" t="s">
        <v>2264</v>
      </c>
      <c r="D1562" s="7" t="s">
        <v>10774</v>
      </c>
      <c r="E1562" s="8" t="s">
        <v>13034</v>
      </c>
      <c r="F1562" s="4">
        <v>43318.641018518523</v>
      </c>
      <c r="G1562" s="17" t="s">
        <v>13000</v>
      </c>
      <c r="H1562" s="35" t="s">
        <v>1629</v>
      </c>
      <c r="I1562" s="10" t="s">
        <v>2266</v>
      </c>
    </row>
    <row r="1563" spans="1:9" s="33" customFormat="1" ht="90">
      <c r="A1563" s="4">
        <v>43561.868472222224</v>
      </c>
      <c r="B1563" s="5" t="s">
        <v>14268</v>
      </c>
      <c r="C1563" s="6" t="s">
        <v>3234</v>
      </c>
      <c r="D1563" s="7" t="s">
        <v>10813</v>
      </c>
      <c r="E1563" s="8" t="s">
        <v>13011</v>
      </c>
      <c r="F1563" s="4">
        <v>43357.448900462958</v>
      </c>
      <c r="G1563" s="17" t="s">
        <v>13000</v>
      </c>
      <c r="H1563" s="35" t="s">
        <v>1629</v>
      </c>
      <c r="I1563" s="10" t="s">
        <v>3234</v>
      </c>
    </row>
    <row r="1564" spans="1:9" s="33" customFormat="1" ht="75">
      <c r="A1564" s="4">
        <v>43560.687557870369</v>
      </c>
      <c r="B1564" s="5" t="s">
        <v>14265</v>
      </c>
      <c r="C1564" s="6" t="s">
        <v>2264</v>
      </c>
      <c r="D1564" s="7" t="s">
        <v>11223</v>
      </c>
      <c r="E1564" s="8" t="s">
        <v>13034</v>
      </c>
      <c r="F1564" s="4">
        <v>43318.641018518523</v>
      </c>
      <c r="G1564" s="17" t="s">
        <v>13000</v>
      </c>
      <c r="H1564" s="35" t="s">
        <v>1629</v>
      </c>
      <c r="I1564" s="10" t="s">
        <v>2266</v>
      </c>
    </row>
    <row r="1565" spans="1:9" s="33" customFormat="1" ht="90">
      <c r="A1565" s="4">
        <v>43560.338263888887</v>
      </c>
      <c r="B1565" s="5" t="s">
        <v>14268</v>
      </c>
      <c r="C1565" s="6" t="s">
        <v>3234</v>
      </c>
      <c r="D1565" s="7" t="s">
        <v>11439</v>
      </c>
      <c r="E1565" s="8" t="s">
        <v>13011</v>
      </c>
      <c r="F1565" s="4">
        <v>43357.448900462958</v>
      </c>
      <c r="G1565" s="17" t="s">
        <v>13000</v>
      </c>
      <c r="H1565" s="35" t="s">
        <v>1629</v>
      </c>
      <c r="I1565" s="10" t="s">
        <v>3234</v>
      </c>
    </row>
    <row r="1566" spans="1:9" s="33" customFormat="1" ht="90">
      <c r="A1566" s="4">
        <v>43559.950381944444</v>
      </c>
      <c r="B1566" s="5" t="s">
        <v>14281</v>
      </c>
      <c r="C1566" s="6" t="s">
        <v>4410</v>
      </c>
      <c r="D1566" s="7" t="s">
        <v>11650</v>
      </c>
      <c r="E1566" s="8" t="s">
        <v>13034</v>
      </c>
      <c r="F1566" s="4">
        <v>43535.304594907408</v>
      </c>
      <c r="G1566" s="17" t="s">
        <v>13000</v>
      </c>
      <c r="H1566" s="35" t="s">
        <v>1629</v>
      </c>
      <c r="I1566" s="10" t="s">
        <v>4412</v>
      </c>
    </row>
    <row r="1567" spans="1:9" s="33" customFormat="1" ht="75">
      <c r="A1567" s="4">
        <v>43559.645983796298</v>
      </c>
      <c r="B1567" s="5" t="s">
        <v>14265</v>
      </c>
      <c r="C1567" s="6" t="s">
        <v>2264</v>
      </c>
      <c r="D1567" s="7" t="s">
        <v>11717</v>
      </c>
      <c r="E1567" s="8" t="s">
        <v>13034</v>
      </c>
      <c r="F1567" s="4">
        <v>43318.641018518523</v>
      </c>
      <c r="G1567" s="17" t="s">
        <v>13000</v>
      </c>
      <c r="H1567" s="35" t="s">
        <v>1629</v>
      </c>
      <c r="I1567" s="10" t="s">
        <v>2266</v>
      </c>
    </row>
    <row r="1568" spans="1:9" s="33" customFormat="1" ht="75">
      <c r="A1568" s="4">
        <v>43559.607962962968</v>
      </c>
      <c r="B1568" s="5" t="s">
        <v>14268</v>
      </c>
      <c r="C1568" s="6" t="s">
        <v>3234</v>
      </c>
      <c r="D1568" s="7" t="s">
        <v>11740</v>
      </c>
      <c r="E1568" s="8" t="s">
        <v>13011</v>
      </c>
      <c r="F1568" s="4">
        <v>43357.448900462958</v>
      </c>
      <c r="G1568" s="17" t="s">
        <v>13000</v>
      </c>
      <c r="H1568" s="35" t="s">
        <v>1629</v>
      </c>
      <c r="I1568" s="10" t="s">
        <v>3234</v>
      </c>
    </row>
    <row r="1569" spans="1:9" s="33" customFormat="1" ht="75">
      <c r="A1569" s="4">
        <v>43559.604166666672</v>
      </c>
      <c r="B1569" s="5" t="s">
        <v>14265</v>
      </c>
      <c r="C1569" s="6" t="s">
        <v>2264</v>
      </c>
      <c r="D1569" s="7" t="s">
        <v>5340</v>
      </c>
      <c r="E1569" s="8" t="s">
        <v>13034</v>
      </c>
      <c r="F1569" s="4">
        <v>43318.641018518523</v>
      </c>
      <c r="G1569" s="17" t="s">
        <v>13000</v>
      </c>
      <c r="H1569" s="35" t="s">
        <v>1629</v>
      </c>
      <c r="I1569" s="10" t="s">
        <v>2266</v>
      </c>
    </row>
    <row r="1570" spans="1:9" s="33" customFormat="1" ht="45">
      <c r="A1570" s="4">
        <v>43559.460185185184</v>
      </c>
      <c r="B1570" s="5" t="s">
        <v>14282</v>
      </c>
      <c r="C1570" s="6" t="s">
        <v>11806</v>
      </c>
      <c r="D1570" s="7" t="s">
        <v>11807</v>
      </c>
      <c r="E1570" s="8" t="s">
        <v>13009</v>
      </c>
      <c r="F1570" s="4">
        <v>39861.518425925926</v>
      </c>
      <c r="G1570" s="17" t="s">
        <v>13000</v>
      </c>
      <c r="H1570" s="35" t="s">
        <v>1629</v>
      </c>
      <c r="I1570" s="10" t="s">
        <v>11808</v>
      </c>
    </row>
    <row r="1571" spans="1:9" s="33" customFormat="1" ht="90">
      <c r="A1571" s="4">
        <v>43559.193865740745</v>
      </c>
      <c r="B1571" s="5" t="s">
        <v>14268</v>
      </c>
      <c r="C1571" s="6" t="s">
        <v>3234</v>
      </c>
      <c r="D1571" s="7" t="s">
        <v>11913</v>
      </c>
      <c r="E1571" s="8" t="s">
        <v>13011</v>
      </c>
      <c r="F1571" s="4">
        <v>43357.448900462958</v>
      </c>
      <c r="G1571" s="17" t="s">
        <v>13000</v>
      </c>
      <c r="H1571" s="35" t="s">
        <v>1629</v>
      </c>
      <c r="I1571" s="10" t="s">
        <v>3234</v>
      </c>
    </row>
    <row r="1572" spans="1:9" s="33" customFormat="1" ht="75">
      <c r="A1572" s="4">
        <v>43558.791747685187</v>
      </c>
      <c r="B1572" s="5" t="s">
        <v>14265</v>
      </c>
      <c r="C1572" s="6" t="s">
        <v>2264</v>
      </c>
      <c r="D1572" s="7" t="s">
        <v>5429</v>
      </c>
      <c r="E1572" s="8" t="s">
        <v>13034</v>
      </c>
      <c r="F1572" s="4">
        <v>43318.641018518523</v>
      </c>
      <c r="G1572" s="17" t="s">
        <v>13000</v>
      </c>
      <c r="H1572" s="35" t="s">
        <v>1629</v>
      </c>
      <c r="I1572" s="10" t="s">
        <v>2266</v>
      </c>
    </row>
    <row r="1573" spans="1:9" s="33" customFormat="1" ht="75">
      <c r="A1573" s="4">
        <v>43558.66678240741</v>
      </c>
      <c r="B1573" s="5" t="s">
        <v>14265</v>
      </c>
      <c r="C1573" s="6" t="s">
        <v>2264</v>
      </c>
      <c r="D1573" s="7" t="s">
        <v>12084</v>
      </c>
      <c r="E1573" s="8" t="s">
        <v>13034</v>
      </c>
      <c r="F1573" s="4">
        <v>43318.641018518523</v>
      </c>
      <c r="G1573" s="17" t="s">
        <v>13000</v>
      </c>
      <c r="H1573" s="35" t="s">
        <v>1629</v>
      </c>
      <c r="I1573" s="10" t="s">
        <v>2266</v>
      </c>
    </row>
    <row r="1574" spans="1:9" s="33" customFormat="1" ht="90">
      <c r="A1574" s="4">
        <v>43558.541805555556</v>
      </c>
      <c r="B1574" s="5" t="s">
        <v>14265</v>
      </c>
      <c r="C1574" s="6" t="s">
        <v>2264</v>
      </c>
      <c r="D1574" s="7" t="s">
        <v>12137</v>
      </c>
      <c r="E1574" s="8" t="s">
        <v>13034</v>
      </c>
      <c r="F1574" s="4">
        <v>43318.641018518523</v>
      </c>
      <c r="G1574" s="17" t="s">
        <v>13000</v>
      </c>
      <c r="H1574" s="35" t="s">
        <v>1629</v>
      </c>
      <c r="I1574" s="10" t="s">
        <v>2266</v>
      </c>
    </row>
    <row r="1575" spans="1:9" s="33" customFormat="1" ht="90">
      <c r="A1575" s="4">
        <v>43558.437650462962</v>
      </c>
      <c r="B1575" s="5" t="s">
        <v>14265</v>
      </c>
      <c r="C1575" s="6" t="s">
        <v>2264</v>
      </c>
      <c r="D1575" s="7" t="s">
        <v>12189</v>
      </c>
      <c r="E1575" s="8" t="s">
        <v>13034</v>
      </c>
      <c r="F1575" s="4">
        <v>43318.641018518523</v>
      </c>
      <c r="G1575" s="17" t="s">
        <v>13000</v>
      </c>
      <c r="H1575" s="35" t="s">
        <v>1629</v>
      </c>
      <c r="I1575" s="10" t="s">
        <v>2266</v>
      </c>
    </row>
    <row r="1576" spans="1:9" s="33" customFormat="1" ht="75">
      <c r="A1576" s="4">
        <v>43558.409872685181</v>
      </c>
      <c r="B1576" s="5" t="s">
        <v>14268</v>
      </c>
      <c r="C1576" s="6" t="s">
        <v>3234</v>
      </c>
      <c r="D1576" s="7" t="s">
        <v>12206</v>
      </c>
      <c r="E1576" s="8" t="s">
        <v>13011</v>
      </c>
      <c r="F1576" s="4">
        <v>43357.448900462958</v>
      </c>
      <c r="G1576" s="17" t="s">
        <v>13000</v>
      </c>
      <c r="H1576" s="35" t="s">
        <v>1629</v>
      </c>
      <c r="I1576" s="10" t="s">
        <v>3234</v>
      </c>
    </row>
    <row r="1577" spans="1:9" s="33" customFormat="1" ht="90">
      <c r="A1577" s="4">
        <v>43557.731967592597</v>
      </c>
      <c r="B1577" s="5" t="s">
        <v>14281</v>
      </c>
      <c r="C1577" s="6" t="s">
        <v>4410</v>
      </c>
      <c r="D1577" s="7" t="s">
        <v>12401</v>
      </c>
      <c r="E1577" s="8" t="s">
        <v>13034</v>
      </c>
      <c r="F1577" s="4">
        <v>43535.304594907408</v>
      </c>
      <c r="G1577" s="17" t="s">
        <v>13000</v>
      </c>
      <c r="H1577" s="35" t="s">
        <v>1629</v>
      </c>
      <c r="I1577" s="10" t="s">
        <v>4412</v>
      </c>
    </row>
    <row r="1578" spans="1:9" s="33" customFormat="1" ht="60">
      <c r="A1578" s="12">
        <v>43577.459513888884</v>
      </c>
      <c r="B1578" s="13" t="s">
        <v>14283</v>
      </c>
      <c r="C1578" s="14" t="s">
        <v>1627</v>
      </c>
      <c r="D1578" s="15" t="s">
        <v>1628</v>
      </c>
      <c r="E1578" s="16" t="s">
        <v>13018</v>
      </c>
      <c r="F1578" s="12">
        <v>41490.334849537037</v>
      </c>
      <c r="G1578" s="17" t="s">
        <v>13000</v>
      </c>
      <c r="H1578" s="35" t="s">
        <v>1629</v>
      </c>
      <c r="I1578" s="18" t="s">
        <v>1630</v>
      </c>
    </row>
    <row r="1579" spans="1:9" s="33" customFormat="1" ht="60">
      <c r="A1579" s="12">
        <v>43577.160300925927</v>
      </c>
      <c r="B1579" s="13" t="s">
        <v>14284</v>
      </c>
      <c r="C1579" s="14" t="s">
        <v>1732</v>
      </c>
      <c r="D1579" s="15" t="s">
        <v>1733</v>
      </c>
      <c r="E1579" s="16" t="s">
        <v>13011</v>
      </c>
      <c r="F1579" s="12">
        <v>42192.42224537037</v>
      </c>
      <c r="G1579" s="17" t="s">
        <v>13000</v>
      </c>
      <c r="H1579" s="35" t="s">
        <v>1629</v>
      </c>
      <c r="I1579" s="18" t="s">
        <v>1734</v>
      </c>
    </row>
    <row r="1580" spans="1:9" s="33" customFormat="1" ht="75">
      <c r="A1580" s="12">
        <v>43576.669016203705</v>
      </c>
      <c r="B1580" s="13" t="s">
        <v>14285</v>
      </c>
      <c r="C1580" s="14" t="s">
        <v>1874</v>
      </c>
      <c r="D1580" s="15" t="s">
        <v>1875</v>
      </c>
      <c r="E1580" s="16" t="s">
        <v>13032</v>
      </c>
      <c r="F1580" s="12">
        <v>40412.596921296295</v>
      </c>
      <c r="G1580" s="17" t="s">
        <v>13000</v>
      </c>
      <c r="H1580" s="35" t="s">
        <v>1629</v>
      </c>
      <c r="I1580" s="18" t="s">
        <v>1876</v>
      </c>
    </row>
    <row r="1581" spans="1:9" s="33" customFormat="1" ht="75">
      <c r="A1581" s="12">
        <v>43575.354328703703</v>
      </c>
      <c r="B1581" s="13" t="s">
        <v>14265</v>
      </c>
      <c r="C1581" s="14" t="s">
        <v>2264</v>
      </c>
      <c r="D1581" s="15" t="s">
        <v>2265</v>
      </c>
      <c r="E1581" s="16" t="s">
        <v>13034</v>
      </c>
      <c r="F1581" s="12">
        <v>43318.641018518523</v>
      </c>
      <c r="G1581" s="17" t="s">
        <v>13000</v>
      </c>
      <c r="H1581" s="35" t="s">
        <v>1629</v>
      </c>
      <c r="I1581" s="18" t="s">
        <v>2266</v>
      </c>
    </row>
    <row r="1582" spans="1:9" s="33" customFormat="1" ht="135">
      <c r="A1582" s="12">
        <v>43573.586851851855</v>
      </c>
      <c r="B1582" s="13" t="s">
        <v>14286</v>
      </c>
      <c r="C1582" s="14" t="s">
        <v>2809</v>
      </c>
      <c r="D1582" s="15" t="s">
        <v>2810</v>
      </c>
      <c r="E1582" s="16" t="s">
        <v>13034</v>
      </c>
      <c r="F1582" s="12">
        <v>39529.596053240741</v>
      </c>
      <c r="G1582" s="17" t="s">
        <v>13000</v>
      </c>
      <c r="H1582" s="35" t="s">
        <v>1629</v>
      </c>
      <c r="I1582" s="18" t="s">
        <v>2811</v>
      </c>
    </row>
    <row r="1583" spans="1:9" s="33" customFormat="1" ht="120">
      <c r="A1583" s="12">
        <v>43573.418796296297</v>
      </c>
      <c r="B1583" s="13" t="s">
        <v>14287</v>
      </c>
      <c r="C1583" s="14" t="s">
        <v>2875</v>
      </c>
      <c r="D1583" s="15" t="s">
        <v>2810</v>
      </c>
      <c r="E1583" s="16" t="s">
        <v>13034</v>
      </c>
      <c r="F1583" s="12">
        <v>43073.325474537036</v>
      </c>
      <c r="G1583" s="17" t="s">
        <v>13000</v>
      </c>
      <c r="H1583" s="35" t="s">
        <v>1629</v>
      </c>
      <c r="I1583" s="18" t="s">
        <v>2876</v>
      </c>
    </row>
    <row r="1584" spans="1:9" s="33" customFormat="1" ht="90">
      <c r="A1584" s="12">
        <v>43573.087013888886</v>
      </c>
      <c r="B1584" s="13" t="s">
        <v>14288</v>
      </c>
      <c r="C1584" s="14" t="s">
        <v>3011</v>
      </c>
      <c r="D1584" s="15" t="s">
        <v>3012</v>
      </c>
      <c r="E1584" s="16" t="s">
        <v>13009</v>
      </c>
      <c r="F1584" s="12">
        <v>41024.882037037038</v>
      </c>
      <c r="G1584" s="17" t="s">
        <v>13000</v>
      </c>
      <c r="H1584" s="35" t="s">
        <v>1629</v>
      </c>
      <c r="I1584" s="18" t="s">
        <v>3013</v>
      </c>
    </row>
    <row r="1585" spans="1:9" s="33" customFormat="1" ht="90">
      <c r="A1585" s="12">
        <v>43572.455925925926</v>
      </c>
      <c r="B1585" s="13" t="s">
        <v>14268</v>
      </c>
      <c r="C1585" s="14" t="s">
        <v>3234</v>
      </c>
      <c r="D1585" s="15" t="s">
        <v>3235</v>
      </c>
      <c r="E1585" s="16" t="s">
        <v>13011</v>
      </c>
      <c r="F1585" s="12">
        <v>43357.448900462958</v>
      </c>
      <c r="G1585" s="17" t="s">
        <v>13000</v>
      </c>
      <c r="H1585" s="35" t="s">
        <v>1629</v>
      </c>
      <c r="I1585" s="18" t="s">
        <v>3234</v>
      </c>
    </row>
    <row r="1586" spans="1:9" s="33" customFormat="1" ht="75">
      <c r="A1586" s="12">
        <v>43571.770902777775</v>
      </c>
      <c r="B1586" s="13" t="s">
        <v>14265</v>
      </c>
      <c r="C1586" s="14" t="s">
        <v>2264</v>
      </c>
      <c r="D1586" s="15" t="s">
        <v>3557</v>
      </c>
      <c r="E1586" s="16" t="s">
        <v>13034</v>
      </c>
      <c r="F1586" s="12">
        <v>43318.641018518523</v>
      </c>
      <c r="G1586" s="17" t="s">
        <v>13000</v>
      </c>
      <c r="H1586" s="35" t="s">
        <v>1629</v>
      </c>
      <c r="I1586" s="18" t="s">
        <v>2266</v>
      </c>
    </row>
    <row r="1587" spans="1:9" s="33" customFormat="1" ht="75">
      <c r="A1587" s="12">
        <v>43571.645856481482</v>
      </c>
      <c r="B1587" s="13" t="s">
        <v>14265</v>
      </c>
      <c r="C1587" s="14" t="s">
        <v>2264</v>
      </c>
      <c r="D1587" s="15" t="s">
        <v>3600</v>
      </c>
      <c r="E1587" s="16" t="s">
        <v>13034</v>
      </c>
      <c r="F1587" s="12">
        <v>43318.641018518523</v>
      </c>
      <c r="G1587" s="17" t="s">
        <v>13000</v>
      </c>
      <c r="H1587" s="35" t="s">
        <v>1629</v>
      </c>
      <c r="I1587" s="18" t="s">
        <v>2266</v>
      </c>
    </row>
    <row r="1588" spans="1:9" s="33" customFormat="1" ht="45">
      <c r="A1588" s="12">
        <v>43571.541805555556</v>
      </c>
      <c r="B1588" s="13" t="s">
        <v>14289</v>
      </c>
      <c r="C1588" s="14" t="s">
        <v>3645</v>
      </c>
      <c r="D1588" s="15" t="s">
        <v>3646</v>
      </c>
      <c r="E1588" s="16" t="s">
        <v>13114</v>
      </c>
      <c r="F1588" s="12">
        <v>39162.445451388892</v>
      </c>
      <c r="G1588" s="17" t="s">
        <v>13000</v>
      </c>
      <c r="H1588" s="35" t="s">
        <v>1629</v>
      </c>
      <c r="I1588" s="18" t="s">
        <v>3647</v>
      </c>
    </row>
    <row r="1589" spans="1:9" s="33" customFormat="1" ht="75">
      <c r="A1589" s="12">
        <v>43571.520914351851</v>
      </c>
      <c r="B1589" s="13" t="s">
        <v>14265</v>
      </c>
      <c r="C1589" s="14" t="s">
        <v>2264</v>
      </c>
      <c r="D1589" s="15" t="s">
        <v>3656</v>
      </c>
      <c r="E1589" s="16" t="s">
        <v>13034</v>
      </c>
      <c r="F1589" s="12">
        <v>43318.641018518523</v>
      </c>
      <c r="G1589" s="17" t="s">
        <v>13000</v>
      </c>
      <c r="H1589" s="35" t="s">
        <v>1629</v>
      </c>
      <c r="I1589" s="18" t="s">
        <v>2266</v>
      </c>
    </row>
    <row r="1590" spans="1:9" s="33" customFormat="1" ht="75">
      <c r="A1590" s="12">
        <v>43571.395995370374</v>
      </c>
      <c r="B1590" s="13" t="s">
        <v>14265</v>
      </c>
      <c r="C1590" s="14" t="s">
        <v>2264</v>
      </c>
      <c r="D1590" s="15" t="s">
        <v>3691</v>
      </c>
      <c r="E1590" s="16" t="s">
        <v>13034</v>
      </c>
      <c r="F1590" s="12">
        <v>43318.641018518523</v>
      </c>
      <c r="G1590" s="17" t="s">
        <v>13000</v>
      </c>
      <c r="H1590" s="35" t="s">
        <v>1629</v>
      </c>
      <c r="I1590" s="18" t="s">
        <v>2266</v>
      </c>
    </row>
    <row r="1591" spans="1:9" s="33" customFormat="1" ht="75">
      <c r="A1591" s="12">
        <v>43571.271215277782</v>
      </c>
      <c r="B1591" s="13" t="s">
        <v>14265</v>
      </c>
      <c r="C1591" s="14" t="s">
        <v>2264</v>
      </c>
      <c r="D1591" s="15" t="s">
        <v>3760</v>
      </c>
      <c r="E1591" s="16" t="s">
        <v>13034</v>
      </c>
      <c r="F1591" s="12">
        <v>43318.641018518523</v>
      </c>
      <c r="G1591" s="17" t="s">
        <v>13000</v>
      </c>
      <c r="H1591" s="35" t="s">
        <v>1629</v>
      </c>
      <c r="I1591" s="18" t="s">
        <v>2266</v>
      </c>
    </row>
    <row r="1592" spans="1:9" s="33" customFormat="1" ht="105">
      <c r="A1592" s="12">
        <v>43570.354270833333</v>
      </c>
      <c r="B1592" s="13" t="s">
        <v>14290</v>
      </c>
      <c r="C1592" s="14" t="s">
        <v>4211</v>
      </c>
      <c r="D1592" s="15" t="s">
        <v>4212</v>
      </c>
      <c r="E1592" s="16" t="s">
        <v>13411</v>
      </c>
      <c r="F1592" s="12">
        <v>39829.525729166664</v>
      </c>
      <c r="G1592" s="17" t="s">
        <v>13000</v>
      </c>
      <c r="H1592" s="35" t="s">
        <v>1629</v>
      </c>
      <c r="I1592" s="18" t="s">
        <v>4213</v>
      </c>
    </row>
    <row r="1593" spans="1:9" s="33" customFormat="1" ht="75">
      <c r="A1593" s="12">
        <v>43570.1715162037</v>
      </c>
      <c r="B1593" s="13" t="s">
        <v>14291</v>
      </c>
      <c r="C1593" s="14" t="s">
        <v>4309</v>
      </c>
      <c r="D1593" s="15" t="s">
        <v>4310</v>
      </c>
      <c r="E1593" s="16" t="s">
        <v>13443</v>
      </c>
      <c r="F1593" s="12">
        <v>41162.977500000001</v>
      </c>
      <c r="G1593" s="17" t="s">
        <v>13000</v>
      </c>
      <c r="H1593" s="35" t="s">
        <v>1629</v>
      </c>
      <c r="I1593" s="18" t="s">
        <v>4311</v>
      </c>
    </row>
    <row r="1594" spans="1:9" s="33" customFormat="1" ht="90">
      <c r="A1594" s="12">
        <v>43569.782662037032</v>
      </c>
      <c r="B1594" s="13" t="s">
        <v>14281</v>
      </c>
      <c r="C1594" s="14" t="s">
        <v>4410</v>
      </c>
      <c r="D1594" s="15" t="s">
        <v>4411</v>
      </c>
      <c r="E1594" s="16" t="s">
        <v>13034</v>
      </c>
      <c r="F1594" s="12">
        <v>43535.304594907408</v>
      </c>
      <c r="G1594" s="17" t="s">
        <v>13000</v>
      </c>
      <c r="H1594" s="35" t="s">
        <v>1629</v>
      </c>
      <c r="I1594" s="18" t="s">
        <v>4412</v>
      </c>
    </row>
    <row r="1595" spans="1:9" s="33" customFormat="1" ht="120">
      <c r="A1595" s="12">
        <v>43569.524976851855</v>
      </c>
      <c r="B1595" s="13" t="s">
        <v>14292</v>
      </c>
      <c r="C1595" s="14" t="s">
        <v>4492</v>
      </c>
      <c r="D1595" s="15" t="s">
        <v>4491</v>
      </c>
      <c r="E1595" s="16" t="s">
        <v>14293</v>
      </c>
      <c r="F1595" s="12">
        <v>39794.393541666665</v>
      </c>
      <c r="G1595" s="17" t="s">
        <v>13000</v>
      </c>
      <c r="H1595" s="35" t="s">
        <v>1629</v>
      </c>
      <c r="I1595" s="18" t="s">
        <v>4493</v>
      </c>
    </row>
    <row r="1596" spans="1:9" s="33" customFormat="1" ht="120">
      <c r="A1596" s="12">
        <v>43569.325902777782</v>
      </c>
      <c r="B1596" s="13" t="s">
        <v>14294</v>
      </c>
      <c r="C1596" s="14" t="s">
        <v>4552</v>
      </c>
      <c r="D1596" s="15" t="s">
        <v>4553</v>
      </c>
      <c r="E1596" s="16" t="s">
        <v>13032</v>
      </c>
      <c r="F1596" s="12">
        <v>42115.520497685182</v>
      </c>
      <c r="G1596" s="17" t="s">
        <v>13000</v>
      </c>
      <c r="H1596" s="35" t="s">
        <v>1629</v>
      </c>
      <c r="I1596" s="18" t="s">
        <v>4554</v>
      </c>
    </row>
    <row r="1597" spans="1:9" s="33" customFormat="1" ht="75">
      <c r="A1597" s="12">
        <v>43568.579907407402</v>
      </c>
      <c r="B1597" s="13" t="s">
        <v>14291</v>
      </c>
      <c r="C1597" s="14" t="s">
        <v>4309</v>
      </c>
      <c r="D1597" s="15" t="s">
        <v>4695</v>
      </c>
      <c r="E1597" s="16" t="s">
        <v>13443</v>
      </c>
      <c r="F1597" s="12">
        <v>41162.977500000001</v>
      </c>
      <c r="G1597" s="17" t="s">
        <v>13000</v>
      </c>
      <c r="H1597" s="35" t="s">
        <v>1629</v>
      </c>
      <c r="I1597" s="18" t="s">
        <v>4311</v>
      </c>
    </row>
    <row r="1598" spans="1:9" s="33" customFormat="1" ht="120">
      <c r="A1598" s="12">
        <v>43568.488854166666</v>
      </c>
      <c r="B1598" s="13" t="s">
        <v>14295</v>
      </c>
      <c r="C1598" s="14" t="s">
        <v>4736</v>
      </c>
      <c r="D1598" s="15" t="s">
        <v>4737</v>
      </c>
      <c r="E1598" s="16" t="s">
        <v>13011</v>
      </c>
      <c r="F1598" s="12">
        <v>43561.640740740739</v>
      </c>
      <c r="G1598" s="17" t="s">
        <v>13000</v>
      </c>
      <c r="H1598" s="35" t="s">
        <v>1629</v>
      </c>
      <c r="I1598" s="18" t="s">
        <v>4738</v>
      </c>
    </row>
    <row r="1599" spans="1:9" s="33" customFormat="1" ht="75">
      <c r="A1599" s="12">
        <v>43567.687569444446</v>
      </c>
      <c r="B1599" s="13" t="s">
        <v>14265</v>
      </c>
      <c r="C1599" s="14" t="s">
        <v>2264</v>
      </c>
      <c r="D1599" s="15" t="s">
        <v>5001</v>
      </c>
      <c r="E1599" s="16" t="s">
        <v>13034</v>
      </c>
      <c r="F1599" s="12">
        <v>43318.641018518523</v>
      </c>
      <c r="G1599" s="17" t="s">
        <v>13000</v>
      </c>
      <c r="H1599" s="35" t="s">
        <v>1629</v>
      </c>
      <c r="I1599" s="18" t="s">
        <v>2266</v>
      </c>
    </row>
    <row r="1600" spans="1:9" s="33" customFormat="1" ht="105">
      <c r="A1600" s="12">
        <v>43567.514293981483</v>
      </c>
      <c r="B1600" s="13" t="s">
        <v>14296</v>
      </c>
      <c r="C1600" s="14" t="s">
        <v>5078</v>
      </c>
      <c r="D1600" s="15" t="s">
        <v>5079</v>
      </c>
      <c r="E1600" s="16" t="s">
        <v>13009</v>
      </c>
      <c r="F1600" s="12">
        <v>43026.813298611116</v>
      </c>
      <c r="G1600" s="17" t="s">
        <v>13000</v>
      </c>
      <c r="H1600" s="35" t="s">
        <v>1629</v>
      </c>
      <c r="I1600" s="18" t="s">
        <v>5080</v>
      </c>
    </row>
    <row r="1601" spans="1:9" s="33" customFormat="1" ht="75">
      <c r="A1601" s="12">
        <v>43566.791770833333</v>
      </c>
      <c r="B1601" s="13" t="s">
        <v>14265</v>
      </c>
      <c r="C1601" s="14" t="s">
        <v>2264</v>
      </c>
      <c r="D1601" s="15" t="s">
        <v>5340</v>
      </c>
      <c r="E1601" s="16" t="s">
        <v>13034</v>
      </c>
      <c r="F1601" s="12">
        <v>43318.641018518523</v>
      </c>
      <c r="G1601" s="17" t="s">
        <v>13000</v>
      </c>
      <c r="H1601" s="35" t="s">
        <v>1629</v>
      </c>
      <c r="I1601" s="18" t="s">
        <v>2266</v>
      </c>
    </row>
    <row r="1602" spans="1:9" s="33" customFormat="1" ht="75">
      <c r="A1602" s="12">
        <v>43566.666898148149</v>
      </c>
      <c r="B1602" s="13" t="s">
        <v>14265</v>
      </c>
      <c r="C1602" s="14" t="s">
        <v>2264</v>
      </c>
      <c r="D1602" s="15" t="s">
        <v>5377</v>
      </c>
      <c r="E1602" s="16" t="s">
        <v>13034</v>
      </c>
      <c r="F1602" s="12">
        <v>43318.641018518523</v>
      </c>
      <c r="G1602" s="17" t="s">
        <v>13000</v>
      </c>
      <c r="H1602" s="35" t="s">
        <v>1629</v>
      </c>
      <c r="I1602" s="18" t="s">
        <v>2266</v>
      </c>
    </row>
    <row r="1603" spans="1:9" s="33" customFormat="1" ht="60">
      <c r="A1603" s="12">
        <v>43566.54178240741</v>
      </c>
      <c r="B1603" s="13" t="s">
        <v>14265</v>
      </c>
      <c r="C1603" s="14" t="s">
        <v>2264</v>
      </c>
      <c r="D1603" s="15" t="s">
        <v>5454</v>
      </c>
      <c r="E1603" s="16" t="s">
        <v>13034</v>
      </c>
      <c r="F1603" s="12">
        <v>43318.641018518523</v>
      </c>
      <c r="G1603" s="17" t="s">
        <v>13000</v>
      </c>
      <c r="H1603" s="35" t="s">
        <v>1629</v>
      </c>
      <c r="I1603" s="18" t="s">
        <v>2266</v>
      </c>
    </row>
    <row r="1604" spans="1:9" s="33" customFormat="1" ht="75">
      <c r="A1604" s="12">
        <v>43566.417233796295</v>
      </c>
      <c r="B1604" s="13" t="s">
        <v>14265</v>
      </c>
      <c r="C1604" s="14" t="s">
        <v>2264</v>
      </c>
      <c r="D1604" s="15" t="s">
        <v>5548</v>
      </c>
      <c r="E1604" s="16" t="s">
        <v>13034</v>
      </c>
      <c r="F1604" s="12">
        <v>43318.641018518523</v>
      </c>
      <c r="G1604" s="17" t="s">
        <v>13000</v>
      </c>
      <c r="H1604" s="35" t="s">
        <v>1629</v>
      </c>
      <c r="I1604" s="18" t="s">
        <v>2266</v>
      </c>
    </row>
    <row r="1605" spans="1:9" s="33" customFormat="1" ht="75">
      <c r="A1605" s="12">
        <v>43566.292268518519</v>
      </c>
      <c r="B1605" s="13" t="s">
        <v>14265</v>
      </c>
      <c r="C1605" s="14" t="s">
        <v>2264</v>
      </c>
      <c r="D1605" s="15" t="s">
        <v>5678</v>
      </c>
      <c r="E1605" s="16" t="s">
        <v>13034</v>
      </c>
      <c r="F1605" s="12">
        <v>43318.641018518523</v>
      </c>
      <c r="G1605" s="17" t="s">
        <v>13000</v>
      </c>
      <c r="H1605" s="35" t="s">
        <v>1629</v>
      </c>
      <c r="I1605" s="18" t="s">
        <v>2266</v>
      </c>
    </row>
    <row r="1606" spans="1:9" s="33" customFormat="1" ht="90">
      <c r="A1606" s="12">
        <v>43566.191666666666</v>
      </c>
      <c r="B1606" s="13" t="s">
        <v>14297</v>
      </c>
      <c r="C1606" s="14" t="s">
        <v>5735</v>
      </c>
      <c r="D1606" s="15" t="s">
        <v>5736</v>
      </c>
      <c r="E1606" s="16" t="s">
        <v>13034</v>
      </c>
      <c r="F1606" s="12">
        <v>40009.464641203704</v>
      </c>
      <c r="G1606" s="17" t="s">
        <v>13000</v>
      </c>
      <c r="H1606" s="35" t="s">
        <v>1629</v>
      </c>
      <c r="I1606" s="18" t="s">
        <v>5737</v>
      </c>
    </row>
    <row r="1607" spans="1:9" s="33" customFormat="1" ht="120">
      <c r="A1607" s="12">
        <v>43564.725543981476</v>
      </c>
      <c r="B1607" s="13" t="s">
        <v>14277</v>
      </c>
      <c r="C1607" s="14" t="s">
        <v>6443</v>
      </c>
      <c r="D1607" s="15" t="s">
        <v>6444</v>
      </c>
      <c r="E1607" s="16" t="s">
        <v>13015</v>
      </c>
      <c r="F1607" s="12">
        <v>42486.373067129629</v>
      </c>
      <c r="G1607" s="17" t="s">
        <v>13000</v>
      </c>
      <c r="H1607" s="35" t="s">
        <v>1629</v>
      </c>
      <c r="I1607" s="18" t="s">
        <v>6445</v>
      </c>
    </row>
    <row r="1608" spans="1:9" s="33" customFormat="1" ht="90">
      <c r="A1608" s="12">
        <v>43567.042523148149</v>
      </c>
      <c r="B1608" s="13" t="s">
        <v>14298</v>
      </c>
      <c r="C1608" s="14" t="s">
        <v>5259</v>
      </c>
      <c r="D1608" s="15" t="s">
        <v>5260</v>
      </c>
      <c r="E1608" s="16" t="s">
        <v>13011</v>
      </c>
      <c r="F1608" s="12">
        <v>39902.839212962965</v>
      </c>
      <c r="G1608" s="17" t="s">
        <v>13000</v>
      </c>
      <c r="H1608" s="35" t="s">
        <v>5261</v>
      </c>
      <c r="I1608" s="18" t="s">
        <v>5262</v>
      </c>
    </row>
    <row r="1609" spans="1:9" s="33" customFormat="1" ht="120">
      <c r="A1609" s="4">
        <v>43563.04519675926</v>
      </c>
      <c r="B1609" s="5" t="s">
        <v>14299</v>
      </c>
      <c r="C1609" s="6" t="s">
        <v>10487</v>
      </c>
      <c r="D1609" s="7" t="s">
        <v>10488</v>
      </c>
      <c r="E1609" s="8" t="s">
        <v>13018</v>
      </c>
      <c r="F1609" s="4">
        <v>41649.500520833331</v>
      </c>
      <c r="G1609" s="17" t="s">
        <v>13000</v>
      </c>
      <c r="H1609" s="35" t="s">
        <v>10489</v>
      </c>
      <c r="I1609" s="10" t="s">
        <v>10490</v>
      </c>
    </row>
    <row r="1610" spans="1:9" s="33" customFormat="1" ht="75">
      <c r="A1610" s="19">
        <v>43545.285208333335</v>
      </c>
      <c r="B1610" s="20" t="s">
        <v>14300</v>
      </c>
      <c r="C1610" s="21" t="s">
        <v>9212</v>
      </c>
      <c r="D1610" s="22" t="s">
        <v>9213</v>
      </c>
      <c r="E1610" s="23" t="s">
        <v>13018</v>
      </c>
      <c r="F1610" s="19">
        <v>41696.075208333335</v>
      </c>
      <c r="G1610" s="17" t="s">
        <v>13000</v>
      </c>
      <c r="H1610" s="35" t="s">
        <v>664</v>
      </c>
      <c r="I1610" s="25" t="s">
        <v>9214</v>
      </c>
    </row>
    <row r="1611" spans="1:9" s="33" customFormat="1" ht="60">
      <c r="A1611" s="19">
        <v>43545.285115740742</v>
      </c>
      <c r="B1611" s="20" t="s">
        <v>14301</v>
      </c>
      <c r="C1611" s="21" t="s">
        <v>9215</v>
      </c>
      <c r="D1611" s="22" t="s">
        <v>9213</v>
      </c>
      <c r="E1611" s="23" t="s">
        <v>13018</v>
      </c>
      <c r="F1611" s="19">
        <v>41279.455879629633</v>
      </c>
      <c r="G1611" s="17" t="s">
        <v>13000</v>
      </c>
      <c r="H1611" s="35" t="s">
        <v>664</v>
      </c>
      <c r="I1611" s="25" t="s">
        <v>9216</v>
      </c>
    </row>
    <row r="1612" spans="1:9" s="33" customFormat="1" ht="135">
      <c r="A1612" s="4">
        <v>43565.569062499999</v>
      </c>
      <c r="B1612" s="5" t="s">
        <v>14302</v>
      </c>
      <c r="C1612" s="6" t="s">
        <v>6019</v>
      </c>
      <c r="D1612" s="7" t="s">
        <v>6020</v>
      </c>
      <c r="E1612" s="8" t="s">
        <v>13009</v>
      </c>
      <c r="F1612" s="4">
        <v>40600.662442129629</v>
      </c>
      <c r="G1612" s="17" t="s">
        <v>13000</v>
      </c>
      <c r="H1612" s="35" t="s">
        <v>664</v>
      </c>
      <c r="I1612" s="10" t="s">
        <v>6021</v>
      </c>
    </row>
    <row r="1613" spans="1:9" s="33" customFormat="1" ht="45">
      <c r="A1613" s="4">
        <v>43563.39607638889</v>
      </c>
      <c r="B1613" s="5" t="s">
        <v>14303</v>
      </c>
      <c r="C1613" s="6" t="s">
        <v>10314</v>
      </c>
      <c r="D1613" s="7" t="s">
        <v>10315</v>
      </c>
      <c r="E1613" s="8" t="s">
        <v>13009</v>
      </c>
      <c r="F1613" s="4">
        <v>40766.355034722219</v>
      </c>
      <c r="G1613" s="17" t="s">
        <v>13000</v>
      </c>
      <c r="H1613" s="35" t="s">
        <v>664</v>
      </c>
      <c r="I1613" s="10" t="s">
        <v>10316</v>
      </c>
    </row>
    <row r="1614" spans="1:9" s="33" customFormat="1" ht="75">
      <c r="A1614" s="4">
        <v>43563.285937499997</v>
      </c>
      <c r="B1614" s="5" t="s">
        <v>14304</v>
      </c>
      <c r="C1614" s="6" t="s">
        <v>10403</v>
      </c>
      <c r="D1614" s="7" t="s">
        <v>10404</v>
      </c>
      <c r="E1614" s="8" t="s">
        <v>13011</v>
      </c>
      <c r="F1614" s="4">
        <v>43559.607083333336</v>
      </c>
      <c r="G1614" s="17" t="s">
        <v>13000</v>
      </c>
      <c r="H1614" s="35" t="s">
        <v>664</v>
      </c>
      <c r="I1614" s="10" t="s">
        <v>10405</v>
      </c>
    </row>
    <row r="1615" spans="1:9" s="33" customFormat="1" ht="90">
      <c r="A1615" s="4">
        <v>43562.252280092594</v>
      </c>
      <c r="B1615" s="5" t="s">
        <v>14305</v>
      </c>
      <c r="C1615" s="6" t="s">
        <v>10720</v>
      </c>
      <c r="D1615" s="7" t="s">
        <v>10721</v>
      </c>
      <c r="E1615" s="8" t="s">
        <v>13011</v>
      </c>
      <c r="F1615" s="4">
        <v>43037.355150462958</v>
      </c>
      <c r="G1615" s="17" t="s">
        <v>13000</v>
      </c>
      <c r="H1615" s="35" t="s">
        <v>664</v>
      </c>
      <c r="I1615" s="10" t="s">
        <v>10722</v>
      </c>
    </row>
    <row r="1616" spans="1:9" s="33" customFormat="1" ht="90">
      <c r="A1616" s="4">
        <v>43558.600752314815</v>
      </c>
      <c r="B1616" s="5" t="s">
        <v>14306</v>
      </c>
      <c r="C1616" s="6" t="s">
        <v>12111</v>
      </c>
      <c r="D1616" s="7" t="s">
        <v>12112</v>
      </c>
      <c r="E1616" s="8" t="s">
        <v>13027</v>
      </c>
      <c r="F1616" s="4">
        <v>43115.463287037041</v>
      </c>
      <c r="G1616" s="17" t="s">
        <v>13000</v>
      </c>
      <c r="H1616" s="35" t="s">
        <v>664</v>
      </c>
      <c r="I1616" s="10" t="s">
        <v>12113</v>
      </c>
    </row>
    <row r="1617" spans="1:9" s="33" customFormat="1" ht="90">
      <c r="A1617" s="12">
        <v>43579.445798611108</v>
      </c>
      <c r="B1617" s="13" t="s">
        <v>14307</v>
      </c>
      <c r="C1617" s="14" t="s">
        <v>662</v>
      </c>
      <c r="D1617" s="15" t="s">
        <v>663</v>
      </c>
      <c r="E1617" s="16" t="s">
        <v>13009</v>
      </c>
      <c r="F1617" s="12">
        <v>42485.170289351852</v>
      </c>
      <c r="G1617" s="17" t="s">
        <v>13000</v>
      </c>
      <c r="H1617" s="35" t="s">
        <v>664</v>
      </c>
      <c r="I1617" s="18" t="s">
        <v>665</v>
      </c>
    </row>
    <row r="1618" spans="1:9" s="33" customFormat="1" ht="30">
      <c r="A1618" s="12">
        <v>43567.441261574073</v>
      </c>
      <c r="B1618" s="13" t="s">
        <v>14308</v>
      </c>
      <c r="C1618" s="14" t="s">
        <v>5103</v>
      </c>
      <c r="D1618" s="15" t="s">
        <v>5104</v>
      </c>
      <c r="E1618" s="16" t="s">
        <v>13009</v>
      </c>
      <c r="F1618" s="12">
        <v>43203.345625000002</v>
      </c>
      <c r="G1618" s="17" t="s">
        <v>13000</v>
      </c>
      <c r="H1618" s="35" t="s">
        <v>664</v>
      </c>
      <c r="I1618" s="18" t="s">
        <v>5105</v>
      </c>
    </row>
    <row r="1619" spans="1:9" s="33" customFormat="1" ht="120">
      <c r="A1619" s="12">
        <v>43567.352662037039</v>
      </c>
      <c r="B1619" s="13" t="s">
        <v>14309</v>
      </c>
      <c r="C1619" s="14" t="s">
        <v>5142</v>
      </c>
      <c r="D1619" s="15" t="s">
        <v>5143</v>
      </c>
      <c r="E1619" s="16" t="s">
        <v>5142</v>
      </c>
      <c r="F1619" s="12">
        <v>42607.509583333333</v>
      </c>
      <c r="G1619" s="17" t="s">
        <v>13000</v>
      </c>
      <c r="H1619" s="35" t="s">
        <v>664</v>
      </c>
      <c r="I1619" s="18" t="s">
        <v>5144</v>
      </c>
    </row>
    <row r="1620" spans="1:9" s="33" customFormat="1" ht="75">
      <c r="A1620" s="12">
        <v>43566.372754629629</v>
      </c>
      <c r="B1620" s="13" t="s">
        <v>14310</v>
      </c>
      <c r="C1620" s="14" t="s">
        <v>5595</v>
      </c>
      <c r="D1620" s="15" t="s">
        <v>5596</v>
      </c>
      <c r="E1620" s="16" t="s">
        <v>13032</v>
      </c>
      <c r="F1620" s="12">
        <v>40404.472175925926</v>
      </c>
      <c r="G1620" s="17" t="s">
        <v>13000</v>
      </c>
      <c r="H1620" s="35" t="s">
        <v>664</v>
      </c>
      <c r="I1620" s="18" t="s">
        <v>5597</v>
      </c>
    </row>
    <row r="1621" spans="1:9" s="33" customFormat="1" ht="75">
      <c r="A1621" s="12">
        <v>43578.610821759255</v>
      </c>
      <c r="B1621" s="13" t="s">
        <v>14311</v>
      </c>
      <c r="C1621" s="14" t="s">
        <v>1134</v>
      </c>
      <c r="D1621" s="15" t="s">
        <v>1135</v>
      </c>
      <c r="E1621" s="16" t="s">
        <v>13032</v>
      </c>
      <c r="F1621" s="12">
        <v>39848.472314814819</v>
      </c>
      <c r="G1621" s="17" t="s">
        <v>13000</v>
      </c>
      <c r="H1621" s="35" t="s">
        <v>1136</v>
      </c>
      <c r="I1621" s="18" t="s">
        <v>1137</v>
      </c>
    </row>
    <row r="1622" spans="1:9" s="33" customFormat="1" ht="45">
      <c r="A1622" s="12">
        <v>43567.473796296297</v>
      </c>
      <c r="B1622" s="13" t="s">
        <v>14312</v>
      </c>
      <c r="C1622" s="14" t="s">
        <v>5099</v>
      </c>
      <c r="D1622" s="15" t="s">
        <v>5100</v>
      </c>
      <c r="E1622" s="16" t="s">
        <v>13013</v>
      </c>
      <c r="F1622" s="12">
        <v>43050.607546296298</v>
      </c>
      <c r="G1622" s="17" t="s">
        <v>13000</v>
      </c>
      <c r="H1622" s="35" t="s">
        <v>5101</v>
      </c>
      <c r="I1622" s="18"/>
    </row>
    <row r="1623" spans="1:9" s="33" customFormat="1" ht="60">
      <c r="A1623" s="4">
        <v>43560.748356481483</v>
      </c>
      <c r="B1623" s="5" t="s">
        <v>14313</v>
      </c>
      <c r="C1623" s="6" t="s">
        <v>11190</v>
      </c>
      <c r="D1623" s="7" t="s">
        <v>11191</v>
      </c>
      <c r="E1623" s="8" t="s">
        <v>13011</v>
      </c>
      <c r="F1623" s="4">
        <v>41613.24931712963</v>
      </c>
      <c r="G1623" s="17" t="s">
        <v>13000</v>
      </c>
      <c r="H1623" s="35" t="s">
        <v>11192</v>
      </c>
      <c r="I1623" s="10" t="s">
        <v>11193</v>
      </c>
    </row>
    <row r="1624" spans="1:9" s="33" customFormat="1" ht="30">
      <c r="A1624" s="4">
        <v>43560.747476851851</v>
      </c>
      <c r="B1624" s="5" t="s">
        <v>14314</v>
      </c>
      <c r="C1624" s="6" t="s">
        <v>11196</v>
      </c>
      <c r="D1624" s="7" t="s">
        <v>11197</v>
      </c>
      <c r="E1624" s="8" t="s">
        <v>13011</v>
      </c>
      <c r="F1624" s="4">
        <v>41455.378310185188</v>
      </c>
      <c r="G1624" s="17" t="s">
        <v>13000</v>
      </c>
      <c r="H1624" s="35" t="s">
        <v>11198</v>
      </c>
      <c r="I1624" s="10"/>
    </row>
    <row r="1625" spans="1:9" s="33" customFormat="1" ht="60">
      <c r="A1625" s="19">
        <v>43547.79859953704</v>
      </c>
      <c r="B1625" s="20" t="s">
        <v>14315</v>
      </c>
      <c r="C1625" s="21" t="s">
        <v>8471</v>
      </c>
      <c r="D1625" s="22" t="s">
        <v>8472</v>
      </c>
      <c r="E1625" s="23" t="s">
        <v>13032</v>
      </c>
      <c r="F1625" s="19">
        <v>43360.49596064815</v>
      </c>
      <c r="G1625" s="17" t="s">
        <v>13000</v>
      </c>
      <c r="H1625" s="35" t="s">
        <v>1696</v>
      </c>
      <c r="I1625" s="25" t="s">
        <v>8473</v>
      </c>
    </row>
    <row r="1626" spans="1:9" s="33" customFormat="1" ht="120">
      <c r="A1626" s="12">
        <v>43577.234201388885</v>
      </c>
      <c r="B1626" s="13" t="s">
        <v>14316</v>
      </c>
      <c r="C1626" s="14" t="s">
        <v>1694</v>
      </c>
      <c r="D1626" s="15" t="s">
        <v>1695</v>
      </c>
      <c r="E1626" s="16" t="s">
        <v>13013</v>
      </c>
      <c r="F1626" s="12">
        <v>39930.239814814813</v>
      </c>
      <c r="G1626" s="17" t="s">
        <v>13000</v>
      </c>
      <c r="H1626" s="35" t="s">
        <v>1696</v>
      </c>
      <c r="I1626" s="18" t="s">
        <v>1697</v>
      </c>
    </row>
    <row r="1627" spans="1:9" s="33" customFormat="1" ht="75">
      <c r="A1627" s="4">
        <v>43561.396736111114</v>
      </c>
      <c r="B1627" s="5" t="s">
        <v>14317</v>
      </c>
      <c r="C1627" s="6" t="s">
        <v>10984</v>
      </c>
      <c r="D1627" s="7" t="s">
        <v>10985</v>
      </c>
      <c r="E1627" s="8" t="s">
        <v>13006</v>
      </c>
      <c r="F1627" s="4">
        <v>43010.519826388889</v>
      </c>
      <c r="G1627" s="9" t="s">
        <v>13000</v>
      </c>
      <c r="H1627" s="35" t="s">
        <v>10986</v>
      </c>
      <c r="I1627" s="10" t="s">
        <v>10987</v>
      </c>
    </row>
    <row r="1628" spans="1:9" s="33" customFormat="1" ht="90">
      <c r="A1628" s="4">
        <v>43557.521296296298</v>
      </c>
      <c r="B1628" s="5" t="s">
        <v>14317</v>
      </c>
      <c r="C1628" s="6" t="s">
        <v>10984</v>
      </c>
      <c r="D1628" s="7" t="s">
        <v>12483</v>
      </c>
      <c r="E1628" s="8" t="s">
        <v>13006</v>
      </c>
      <c r="F1628" s="4">
        <v>43010.519826388889</v>
      </c>
      <c r="G1628" s="9" t="s">
        <v>13000</v>
      </c>
      <c r="H1628" s="35" t="s">
        <v>10986</v>
      </c>
      <c r="I1628" s="10" t="s">
        <v>10987</v>
      </c>
    </row>
    <row r="1629" spans="1:9" s="33" customFormat="1" ht="90">
      <c r="A1629" s="12">
        <v>43574.794178240743</v>
      </c>
      <c r="B1629" s="13" t="s">
        <v>14318</v>
      </c>
      <c r="C1629" s="14" t="s">
        <v>2442</v>
      </c>
      <c r="D1629" s="15" t="s">
        <v>2443</v>
      </c>
      <c r="E1629" s="16" t="s">
        <v>13011</v>
      </c>
      <c r="F1629" s="12">
        <v>42542.652812500004</v>
      </c>
      <c r="G1629" s="17" t="s">
        <v>13000</v>
      </c>
      <c r="H1629" s="35" t="s">
        <v>2444</v>
      </c>
      <c r="I1629" s="18" t="s">
        <v>2445</v>
      </c>
    </row>
    <row r="1630" spans="1:9" s="33" customFormat="1" ht="60">
      <c r="A1630" s="4">
        <v>43562.807604166665</v>
      </c>
      <c r="B1630" s="5" t="s">
        <v>14319</v>
      </c>
      <c r="C1630" s="6" t="s">
        <v>10569</v>
      </c>
      <c r="D1630" s="7" t="s">
        <v>10570</v>
      </c>
      <c r="E1630" s="8" t="s">
        <v>13130</v>
      </c>
      <c r="F1630" s="4">
        <v>39816.292314814811</v>
      </c>
      <c r="G1630" s="17" t="s">
        <v>13000</v>
      </c>
      <c r="H1630" s="35" t="s">
        <v>10571</v>
      </c>
      <c r="I1630" s="10" t="s">
        <v>10572</v>
      </c>
    </row>
    <row r="1631" spans="1:9" s="33" customFormat="1" ht="60">
      <c r="A1631" s="12">
        <v>43578.275208333333</v>
      </c>
      <c r="B1631" s="13" t="s">
        <v>14320</v>
      </c>
      <c r="C1631" s="14" t="s">
        <v>1328</v>
      </c>
      <c r="D1631" s="15" t="s">
        <v>12985</v>
      </c>
      <c r="E1631" s="16" t="s">
        <v>13027</v>
      </c>
      <c r="F1631" s="12">
        <v>42306.00503472222</v>
      </c>
      <c r="G1631" s="17" t="s">
        <v>13000</v>
      </c>
      <c r="H1631" s="35" t="s">
        <v>1330</v>
      </c>
      <c r="I1631" s="18" t="s">
        <v>12986</v>
      </c>
    </row>
    <row r="1632" spans="1:9" s="33" customFormat="1" ht="60">
      <c r="A1632" s="12">
        <v>43571.849699074075</v>
      </c>
      <c r="B1632" s="13" t="s">
        <v>14320</v>
      </c>
      <c r="C1632" s="14" t="s">
        <v>1328</v>
      </c>
      <c r="D1632" s="15" t="s">
        <v>12987</v>
      </c>
      <c r="E1632" s="16" t="s">
        <v>13027</v>
      </c>
      <c r="F1632" s="12">
        <v>42306.00503472222</v>
      </c>
      <c r="G1632" s="17" t="s">
        <v>13000</v>
      </c>
      <c r="H1632" s="35" t="s">
        <v>1330</v>
      </c>
      <c r="I1632" s="18" t="s">
        <v>12986</v>
      </c>
    </row>
    <row r="1633" spans="1:9" s="33" customFormat="1" ht="75">
      <c r="A1633" s="4">
        <v>43562.713287037041</v>
      </c>
      <c r="B1633" s="5" t="s">
        <v>14321</v>
      </c>
      <c r="C1633" s="6" t="s">
        <v>10605</v>
      </c>
      <c r="D1633" s="7" t="s">
        <v>12988</v>
      </c>
      <c r="E1633" s="8" t="s">
        <v>13011</v>
      </c>
      <c r="F1633" s="4">
        <v>39743.391921296294</v>
      </c>
      <c r="G1633" s="9" t="s">
        <v>13000</v>
      </c>
      <c r="H1633" s="35" t="s">
        <v>10606</v>
      </c>
      <c r="I1633" s="10" t="s">
        <v>10607</v>
      </c>
    </row>
    <row r="1634" spans="1:9" s="33" customFormat="1" ht="45">
      <c r="A1634" s="19">
        <v>43545.197881944448</v>
      </c>
      <c r="B1634" s="20" t="s">
        <v>14322</v>
      </c>
      <c r="C1634" s="21" t="s">
        <v>9260</v>
      </c>
      <c r="D1634" s="22" t="s">
        <v>12989</v>
      </c>
      <c r="E1634" s="23" t="s">
        <v>13011</v>
      </c>
      <c r="F1634" s="19">
        <v>41442.674212962964</v>
      </c>
      <c r="G1634" s="9" t="s">
        <v>13000</v>
      </c>
      <c r="H1634" s="35" t="s">
        <v>9261</v>
      </c>
      <c r="I1634" s="25"/>
    </row>
    <row r="1635" spans="1:9" s="33" customFormat="1" ht="90">
      <c r="A1635" s="4">
        <v>43563.354571759264</v>
      </c>
      <c r="B1635" s="5" t="s">
        <v>14323</v>
      </c>
      <c r="C1635" s="6" t="s">
        <v>10340</v>
      </c>
      <c r="D1635" s="7" t="s">
        <v>12990</v>
      </c>
      <c r="E1635" s="8" t="s">
        <v>13013</v>
      </c>
      <c r="F1635" s="4">
        <v>42509.984930555554</v>
      </c>
      <c r="G1635" s="9" t="s">
        <v>13000</v>
      </c>
      <c r="H1635" s="35" t="s">
        <v>9261</v>
      </c>
      <c r="I1635" s="10" t="s">
        <v>12991</v>
      </c>
    </row>
    <row r="1636" spans="1:9" s="33" customFormat="1" ht="105">
      <c r="A1636" s="12">
        <v>43577.625335648147</v>
      </c>
      <c r="B1636" s="13" t="s">
        <v>14324</v>
      </c>
      <c r="C1636" s="14" t="s">
        <v>1539</v>
      </c>
      <c r="D1636" s="15" t="s">
        <v>12993</v>
      </c>
      <c r="E1636" s="16" t="s">
        <v>13018</v>
      </c>
      <c r="F1636" s="12">
        <v>40824.800428240742</v>
      </c>
      <c r="G1636" s="17" t="s">
        <v>13000</v>
      </c>
      <c r="H1636" s="35" t="s">
        <v>1540</v>
      </c>
      <c r="I1636" s="18" t="s">
        <v>12994</v>
      </c>
    </row>
    <row r="1637" spans="1:9" s="33" customFormat="1">
      <c r="A1637" s="4">
        <v>43560.54314814815</v>
      </c>
      <c r="B1637" s="5" t="s">
        <v>14325</v>
      </c>
      <c r="C1637" s="6" t="s">
        <v>11300</v>
      </c>
      <c r="D1637" s="7" t="s">
        <v>12995</v>
      </c>
      <c r="E1637" s="8" t="s">
        <v>13032</v>
      </c>
      <c r="F1637" s="4">
        <v>41989.324456018519</v>
      </c>
      <c r="G1637" s="9" t="s">
        <v>13000</v>
      </c>
      <c r="H1637" s="35" t="s">
        <v>80</v>
      </c>
      <c r="I1637" s="10" t="s">
        <v>11301</v>
      </c>
    </row>
    <row r="1638" spans="1:9" s="33" customFormat="1" ht="120">
      <c r="A1638" s="12">
        <v>43580.779768518521</v>
      </c>
      <c r="B1638" s="13" t="s">
        <v>14326</v>
      </c>
      <c r="C1638" s="14" t="s">
        <v>79</v>
      </c>
      <c r="D1638" s="15" t="s">
        <v>12996</v>
      </c>
      <c r="E1638" s="16" t="s">
        <v>13009</v>
      </c>
      <c r="F1638" s="12">
        <v>41467.719050925924</v>
      </c>
      <c r="G1638" s="9" t="s">
        <v>13000</v>
      </c>
      <c r="H1638" s="35" t="s">
        <v>80</v>
      </c>
      <c r="I1638" s="18" t="s">
        <v>81</v>
      </c>
    </row>
    <row r="1639" spans="1:9" s="33" customFormat="1" ht="105">
      <c r="A1639" s="12">
        <v>43567.793090277773</v>
      </c>
      <c r="B1639" s="13" t="s">
        <v>14327</v>
      </c>
      <c r="C1639" s="14" t="s">
        <v>4951</v>
      </c>
      <c r="D1639" s="15" t="s">
        <v>12997</v>
      </c>
      <c r="E1639" s="16" t="s">
        <v>13011</v>
      </c>
      <c r="F1639" s="12">
        <v>40523.864374999997</v>
      </c>
      <c r="G1639" s="17" t="s">
        <v>13000</v>
      </c>
      <c r="H1639" s="35" t="s">
        <v>4952</v>
      </c>
      <c r="I1639" s="18" t="s">
        <v>4953</v>
      </c>
    </row>
    <row r="1640" spans="1:9" s="33" customFormat="1" ht="30">
      <c r="A1640" s="4">
        <v>43562.652615740742</v>
      </c>
      <c r="B1640" s="5" t="s">
        <v>14328</v>
      </c>
      <c r="C1640" s="6" t="s">
        <v>10624</v>
      </c>
      <c r="D1640" s="7" t="s">
        <v>10625</v>
      </c>
      <c r="E1640" s="8" t="s">
        <v>13011</v>
      </c>
      <c r="F1640" s="4">
        <v>40776.019247685181</v>
      </c>
      <c r="G1640" s="9" t="s">
        <v>13000</v>
      </c>
      <c r="H1640" s="35" t="s">
        <v>10626</v>
      </c>
      <c r="I1640" s="10" t="s">
        <v>10627</v>
      </c>
    </row>
    <row r="1641" spans="1:9" s="33" customFormat="1" ht="90">
      <c r="A1641" s="19">
        <v>43545.384016203709</v>
      </c>
      <c r="B1641" s="20" t="s">
        <v>14329</v>
      </c>
      <c r="C1641" s="21" t="s">
        <v>9159</v>
      </c>
      <c r="D1641" s="22" t="s">
        <v>9160</v>
      </c>
      <c r="E1641" s="23" t="s">
        <v>13013</v>
      </c>
      <c r="F1641" s="19">
        <v>39555.714837962965</v>
      </c>
      <c r="G1641" s="24" t="s">
        <v>13000</v>
      </c>
      <c r="H1641" s="35" t="s">
        <v>9161</v>
      </c>
      <c r="I1641" s="25" t="s">
        <v>9162</v>
      </c>
    </row>
    <row r="1642" spans="1:9" s="33" customFormat="1" ht="45">
      <c r="A1642" s="4">
        <v>43560.533125000002</v>
      </c>
      <c r="B1642" s="5" t="s">
        <v>14330</v>
      </c>
      <c r="C1642" s="6" t="s">
        <v>11320</v>
      </c>
      <c r="D1642" s="7" t="s">
        <v>11321</v>
      </c>
      <c r="E1642" s="8" t="s">
        <v>13114</v>
      </c>
      <c r="F1642" s="4">
        <v>39927.262685185182</v>
      </c>
      <c r="G1642" s="24" t="s">
        <v>13000</v>
      </c>
      <c r="H1642" s="35" t="s">
        <v>9161</v>
      </c>
      <c r="I1642" s="10" t="s">
        <v>11322</v>
      </c>
    </row>
    <row r="1643" spans="1:9" s="33" customFormat="1" ht="135">
      <c r="A1643" s="19">
        <v>43545.792546296296</v>
      </c>
      <c r="B1643" s="20" t="s">
        <v>14331</v>
      </c>
      <c r="C1643" s="21" t="s">
        <v>9051</v>
      </c>
      <c r="D1643" s="22" t="s">
        <v>9052</v>
      </c>
      <c r="E1643" s="23" t="s">
        <v>13011</v>
      </c>
      <c r="F1643" s="19">
        <v>41646.54074074074</v>
      </c>
      <c r="G1643" s="24" t="s">
        <v>13000</v>
      </c>
      <c r="H1643" s="35" t="s">
        <v>9053</v>
      </c>
      <c r="I1643" s="25" t="s">
        <v>9054</v>
      </c>
    </row>
    <row r="1644" spans="1:9" s="33" customFormat="1" ht="90">
      <c r="A1644" s="12">
        <v>43574.827094907407</v>
      </c>
      <c r="B1644" s="13" t="s">
        <v>14332</v>
      </c>
      <c r="C1644" s="14" t="s">
        <v>2426</v>
      </c>
      <c r="D1644" s="15" t="s">
        <v>12791</v>
      </c>
      <c r="E1644" s="16" t="s">
        <v>13027</v>
      </c>
      <c r="F1644" s="12">
        <v>41744.676469907405</v>
      </c>
      <c r="G1644" s="17" t="s">
        <v>13000</v>
      </c>
      <c r="H1644" s="35" t="s">
        <v>2427</v>
      </c>
      <c r="I1644" s="18" t="s">
        <v>2428</v>
      </c>
    </row>
    <row r="1645" spans="1:9" s="33" customFormat="1" ht="75">
      <c r="A1645" s="19">
        <v>43549.683124999996</v>
      </c>
      <c r="B1645" s="20" t="s">
        <v>14333</v>
      </c>
      <c r="C1645" s="21" t="s">
        <v>7950</v>
      </c>
      <c r="D1645" s="22" t="s">
        <v>12825</v>
      </c>
      <c r="E1645" s="23" t="s">
        <v>13013</v>
      </c>
      <c r="F1645" s="19">
        <v>42637.78707175926</v>
      </c>
      <c r="G1645" s="24" t="s">
        <v>13000</v>
      </c>
      <c r="H1645" s="35" t="s">
        <v>7951</v>
      </c>
      <c r="I1645" s="25" t="s">
        <v>7952</v>
      </c>
    </row>
    <row r="1646" spans="1:9" s="33" customFormat="1" ht="135">
      <c r="A1646" s="12">
        <v>43574.814745370371</v>
      </c>
      <c r="B1646" s="13" t="s">
        <v>14334</v>
      </c>
      <c r="C1646" s="14" t="s">
        <v>2433</v>
      </c>
      <c r="D1646" s="15" t="s">
        <v>12879</v>
      </c>
      <c r="E1646" s="16" t="s">
        <v>13018</v>
      </c>
      <c r="F1646" s="12">
        <v>42104.321921296301</v>
      </c>
      <c r="G1646" s="17" t="s">
        <v>13000</v>
      </c>
      <c r="H1646" s="35" t="s">
        <v>2434</v>
      </c>
      <c r="I1646" s="18" t="s">
        <v>2435</v>
      </c>
    </row>
    <row r="1647" spans="1:9" s="33" customFormat="1" ht="60">
      <c r="A1647" s="19">
        <v>43543.168576388889</v>
      </c>
      <c r="B1647" s="20" t="s">
        <v>14335</v>
      </c>
      <c r="C1647" s="21" t="s">
        <v>9912</v>
      </c>
      <c r="D1647" s="22" t="s">
        <v>12920</v>
      </c>
      <c r="E1647" s="23" t="s">
        <v>13032</v>
      </c>
      <c r="F1647" s="19">
        <v>42421.441909722227</v>
      </c>
      <c r="G1647" s="24" t="s">
        <v>13000</v>
      </c>
      <c r="H1647" s="35" t="s">
        <v>9913</v>
      </c>
      <c r="I1647" s="25" t="s">
        <v>9914</v>
      </c>
    </row>
    <row r="1648" spans="1:9" s="33" customFormat="1" ht="60">
      <c r="A1648" s="12">
        <v>43571.372754629629</v>
      </c>
      <c r="B1648" s="13" t="s">
        <v>14336</v>
      </c>
      <c r="C1648" s="14" t="s">
        <v>3704</v>
      </c>
      <c r="D1648" s="15" t="s">
        <v>12925</v>
      </c>
      <c r="E1648" s="16" t="s">
        <v>13009</v>
      </c>
      <c r="F1648" s="12">
        <v>43474.421168981484</v>
      </c>
      <c r="G1648" s="17" t="s">
        <v>13000</v>
      </c>
      <c r="H1648" s="35" t="s">
        <v>3705</v>
      </c>
      <c r="I1648" s="18" t="s">
        <v>12926</v>
      </c>
    </row>
    <row r="1649" spans="1:9" s="33" customFormat="1" ht="45">
      <c r="A1649" s="12">
        <v>43569.693379629629</v>
      </c>
      <c r="B1649" s="13" t="s">
        <v>14337</v>
      </c>
      <c r="C1649" s="14" t="s">
        <v>4431</v>
      </c>
      <c r="D1649" s="15" t="s">
        <v>12927</v>
      </c>
      <c r="E1649" s="16" t="s">
        <v>13011</v>
      </c>
      <c r="F1649" s="12">
        <v>39857.489942129629</v>
      </c>
      <c r="G1649" s="17" t="s">
        <v>13000</v>
      </c>
      <c r="H1649" s="35" t="s">
        <v>3705</v>
      </c>
      <c r="I1649" s="18" t="s">
        <v>4432</v>
      </c>
    </row>
    <row r="1650" spans="1:9" s="33" customFormat="1" ht="105">
      <c r="A1650" s="12">
        <v>43579.739675925928</v>
      </c>
      <c r="B1650" s="13" t="s">
        <v>14338</v>
      </c>
      <c r="C1650" s="14" t="s">
        <v>477</v>
      </c>
      <c r="D1650" s="15" t="s">
        <v>12932</v>
      </c>
      <c r="E1650" s="16" t="s">
        <v>13018</v>
      </c>
      <c r="F1650" s="12">
        <v>41405.396053240736</v>
      </c>
      <c r="G1650" s="17" t="s">
        <v>13000</v>
      </c>
      <c r="H1650" s="35" t="s">
        <v>478</v>
      </c>
      <c r="I1650" s="18" t="s">
        <v>479</v>
      </c>
    </row>
    <row r="1651" spans="1:9" s="33" customFormat="1" ht="75">
      <c r="A1651" s="4">
        <v>43559.554131944446</v>
      </c>
      <c r="B1651" s="5" t="s">
        <v>14339</v>
      </c>
      <c r="C1651" s="6" t="s">
        <v>11767</v>
      </c>
      <c r="D1651" s="7" t="s">
        <v>12933</v>
      </c>
      <c r="E1651" s="8" t="s">
        <v>13011</v>
      </c>
      <c r="F1651" s="4">
        <v>42791.671307870369</v>
      </c>
      <c r="G1651" s="9" t="s">
        <v>13000</v>
      </c>
      <c r="H1651" s="35" t="s">
        <v>3689</v>
      </c>
      <c r="I1651" s="10" t="s">
        <v>11768</v>
      </c>
    </row>
    <row r="1652" spans="1:9" s="33" customFormat="1" ht="75">
      <c r="A1652" s="12">
        <v>43571.396678240737</v>
      </c>
      <c r="B1652" s="13" t="s">
        <v>14339</v>
      </c>
      <c r="C1652" s="14" t="s">
        <v>3688</v>
      </c>
      <c r="D1652" s="15" t="s">
        <v>12934</v>
      </c>
      <c r="E1652" s="16" t="s">
        <v>13011</v>
      </c>
      <c r="F1652" s="12">
        <v>42791.671307870369</v>
      </c>
      <c r="G1652" s="9" t="s">
        <v>13000</v>
      </c>
      <c r="H1652" s="35" t="s">
        <v>3689</v>
      </c>
      <c r="I1652" s="18" t="s">
        <v>3690</v>
      </c>
    </row>
    <row r="1653" spans="1:9" s="33" customFormat="1" ht="75">
      <c r="A1653" s="12">
        <v>43567.28061342593</v>
      </c>
      <c r="B1653" s="13" t="s">
        <v>14339</v>
      </c>
      <c r="C1653" s="14" t="s">
        <v>3688</v>
      </c>
      <c r="D1653" s="15" t="s">
        <v>12935</v>
      </c>
      <c r="E1653" s="16" t="s">
        <v>13011</v>
      </c>
      <c r="F1653" s="12">
        <v>42791.671307870369</v>
      </c>
      <c r="G1653" s="9" t="s">
        <v>13000</v>
      </c>
      <c r="H1653" s="35" t="s">
        <v>3689</v>
      </c>
      <c r="I1653" s="18" t="s">
        <v>3690</v>
      </c>
    </row>
    <row r="1654" spans="1:9" s="33" customFormat="1" ht="120">
      <c r="A1654" s="12">
        <v>43578.240543981483</v>
      </c>
      <c r="B1654" s="13" t="s">
        <v>14340</v>
      </c>
      <c r="C1654" s="14" t="s">
        <v>1347</v>
      </c>
      <c r="D1654" s="15" t="s">
        <v>12937</v>
      </c>
      <c r="E1654" s="16" t="s">
        <v>13027</v>
      </c>
      <c r="F1654" s="12">
        <v>40745.360173611109</v>
      </c>
      <c r="G1654" s="17" t="s">
        <v>13000</v>
      </c>
      <c r="H1654" s="35" t="s">
        <v>1348</v>
      </c>
      <c r="I1654" s="18" t="s">
        <v>1349</v>
      </c>
    </row>
    <row r="1655" spans="1:9" s="33" customFormat="1" ht="75">
      <c r="A1655" s="4">
        <v>43565.290509259255</v>
      </c>
      <c r="B1655" s="5" t="s">
        <v>14341</v>
      </c>
      <c r="C1655" s="6" t="s">
        <v>4837</v>
      </c>
      <c r="D1655" s="7" t="s">
        <v>12938</v>
      </c>
      <c r="E1655" s="8" t="s">
        <v>13009</v>
      </c>
      <c r="F1655" s="4">
        <v>43484.654027777782</v>
      </c>
      <c r="G1655" s="17" t="s">
        <v>13000</v>
      </c>
      <c r="H1655" s="35" t="s">
        <v>4838</v>
      </c>
      <c r="I1655" s="10" t="s">
        <v>4839</v>
      </c>
    </row>
    <row r="1656" spans="1:9" s="33" customFormat="1" ht="60">
      <c r="A1656" s="12">
        <v>43568.235636574071</v>
      </c>
      <c r="B1656" s="13" t="s">
        <v>14341</v>
      </c>
      <c r="C1656" s="14" t="s">
        <v>4837</v>
      </c>
      <c r="D1656" s="15" t="s">
        <v>12939</v>
      </c>
      <c r="E1656" s="16" t="s">
        <v>13009</v>
      </c>
      <c r="F1656" s="12">
        <v>43484.654027777782</v>
      </c>
      <c r="G1656" s="17" t="s">
        <v>13000</v>
      </c>
      <c r="H1656" s="35" t="s">
        <v>4838</v>
      </c>
      <c r="I1656" s="18" t="s">
        <v>4839</v>
      </c>
    </row>
    <row r="1657" spans="1:9" s="33" customFormat="1" ht="105">
      <c r="A1657" s="19">
        <v>43551.592557870375</v>
      </c>
      <c r="B1657" s="20" t="s">
        <v>14342</v>
      </c>
      <c r="C1657" s="21" t="s">
        <v>571</v>
      </c>
      <c r="D1657" s="22" t="s">
        <v>12954</v>
      </c>
      <c r="E1657" s="23" t="s">
        <v>14230</v>
      </c>
      <c r="F1657" s="19">
        <v>43329.80333333333</v>
      </c>
      <c r="G1657" s="24" t="s">
        <v>13000</v>
      </c>
      <c r="H1657" s="35" t="s">
        <v>572</v>
      </c>
      <c r="I1657" s="25" t="s">
        <v>573</v>
      </c>
    </row>
    <row r="1658" spans="1:9" s="33" customFormat="1" ht="105">
      <c r="A1658" s="19">
        <v>43547.432453703703</v>
      </c>
      <c r="B1658" s="20" t="s">
        <v>14342</v>
      </c>
      <c r="C1658" s="21" t="s">
        <v>571</v>
      </c>
      <c r="D1658" s="22" t="s">
        <v>12955</v>
      </c>
      <c r="E1658" s="23" t="s">
        <v>13034</v>
      </c>
      <c r="F1658" s="19">
        <v>43329.80333333333</v>
      </c>
      <c r="G1658" s="24" t="s">
        <v>13000</v>
      </c>
      <c r="H1658" s="35" t="s">
        <v>572</v>
      </c>
      <c r="I1658" s="25" t="s">
        <v>573</v>
      </c>
    </row>
    <row r="1659" spans="1:9" s="33" customFormat="1" ht="105">
      <c r="A1659" s="19">
        <v>43545.601527777777</v>
      </c>
      <c r="B1659" s="20" t="s">
        <v>14342</v>
      </c>
      <c r="C1659" s="21" t="s">
        <v>571</v>
      </c>
      <c r="D1659" s="22" t="s">
        <v>12956</v>
      </c>
      <c r="E1659" s="23" t="s">
        <v>14230</v>
      </c>
      <c r="F1659" s="19">
        <v>43329.80333333333</v>
      </c>
      <c r="G1659" s="24" t="s">
        <v>13000</v>
      </c>
      <c r="H1659" s="35" t="s">
        <v>572</v>
      </c>
      <c r="I1659" s="25" t="s">
        <v>573</v>
      </c>
    </row>
    <row r="1660" spans="1:9" s="33" customFormat="1" ht="105">
      <c r="A1660" s="19">
        <v>43544.809212962966</v>
      </c>
      <c r="B1660" s="20" t="s">
        <v>14342</v>
      </c>
      <c r="C1660" s="21" t="s">
        <v>571</v>
      </c>
      <c r="D1660" s="22" t="s">
        <v>12957</v>
      </c>
      <c r="E1660" s="23" t="s">
        <v>14230</v>
      </c>
      <c r="F1660" s="19">
        <v>43329.80333333333</v>
      </c>
      <c r="G1660" s="24" t="s">
        <v>13000</v>
      </c>
      <c r="H1660" s="35" t="s">
        <v>572</v>
      </c>
      <c r="I1660" s="25" t="s">
        <v>573</v>
      </c>
    </row>
    <row r="1661" spans="1:9" s="33" customFormat="1" ht="105">
      <c r="A1661" s="19">
        <v>43542.94913194445</v>
      </c>
      <c r="B1661" s="20" t="s">
        <v>14342</v>
      </c>
      <c r="C1661" s="21" t="s">
        <v>571</v>
      </c>
      <c r="D1661" s="22" t="s">
        <v>12958</v>
      </c>
      <c r="E1661" s="23" t="s">
        <v>13032</v>
      </c>
      <c r="F1661" s="19">
        <v>43329.80333333333</v>
      </c>
      <c r="G1661" s="24" t="s">
        <v>13000</v>
      </c>
      <c r="H1661" s="35" t="s">
        <v>572</v>
      </c>
      <c r="I1661" s="25" t="s">
        <v>573</v>
      </c>
    </row>
    <row r="1662" spans="1:9" s="33" customFormat="1" ht="105">
      <c r="A1662" s="12">
        <v>43579.573703703703</v>
      </c>
      <c r="B1662" s="13" t="s">
        <v>14342</v>
      </c>
      <c r="C1662" s="14" t="s">
        <v>571</v>
      </c>
      <c r="D1662" s="15" t="s">
        <v>12959</v>
      </c>
      <c r="E1662" s="16" t="s">
        <v>14230</v>
      </c>
      <c r="F1662" s="12">
        <v>43329.80333333333</v>
      </c>
      <c r="G1662" s="24" t="s">
        <v>13000</v>
      </c>
      <c r="H1662" s="35" t="s">
        <v>572</v>
      </c>
      <c r="I1662" s="18" t="s">
        <v>573</v>
      </c>
    </row>
    <row r="1663" spans="1:9" s="33" customFormat="1" ht="105">
      <c r="A1663" s="12">
        <v>43573.867789351847</v>
      </c>
      <c r="B1663" s="13" t="s">
        <v>14342</v>
      </c>
      <c r="C1663" s="14" t="s">
        <v>571</v>
      </c>
      <c r="D1663" s="15" t="s">
        <v>12960</v>
      </c>
      <c r="E1663" s="16" t="s">
        <v>13032</v>
      </c>
      <c r="F1663" s="12">
        <v>43329.80333333333</v>
      </c>
      <c r="G1663" s="24" t="s">
        <v>13000</v>
      </c>
      <c r="H1663" s="35" t="s">
        <v>572</v>
      </c>
      <c r="I1663" s="18" t="s">
        <v>573</v>
      </c>
    </row>
    <row r="1664" spans="1:9" s="33" customFormat="1" ht="105">
      <c r="A1664" s="12">
        <v>43572.725451388891</v>
      </c>
      <c r="B1664" s="13" t="s">
        <v>14342</v>
      </c>
      <c r="C1664" s="14" t="s">
        <v>571</v>
      </c>
      <c r="D1664" s="15" t="s">
        <v>12961</v>
      </c>
      <c r="E1664" s="16" t="s">
        <v>13032</v>
      </c>
      <c r="F1664" s="12">
        <v>43329.80333333333</v>
      </c>
      <c r="G1664" s="24" t="s">
        <v>13000</v>
      </c>
      <c r="H1664" s="35" t="s">
        <v>572</v>
      </c>
      <c r="I1664" s="18" t="s">
        <v>573</v>
      </c>
    </row>
    <row r="1665" spans="1:9" s="33" customFormat="1" ht="105">
      <c r="A1665" s="12">
        <v>43567.589074074072</v>
      </c>
      <c r="B1665" s="13" t="s">
        <v>14342</v>
      </c>
      <c r="C1665" s="14" t="s">
        <v>571</v>
      </c>
      <c r="D1665" s="15" t="s">
        <v>12962</v>
      </c>
      <c r="E1665" s="16" t="s">
        <v>14230</v>
      </c>
      <c r="F1665" s="12">
        <v>43329.80333333333</v>
      </c>
      <c r="G1665" s="24" t="s">
        <v>13000</v>
      </c>
      <c r="H1665" s="35" t="s">
        <v>572</v>
      </c>
      <c r="I1665" s="18" t="s">
        <v>573</v>
      </c>
    </row>
    <row r="1666" spans="1:9" s="33" customFormat="1" ht="90">
      <c r="A1666" s="19">
        <v>43550.404178240744</v>
      </c>
      <c r="B1666" s="20" t="s">
        <v>14343</v>
      </c>
      <c r="C1666" s="21" t="s">
        <v>6627</v>
      </c>
      <c r="D1666" s="22" t="s">
        <v>12963</v>
      </c>
      <c r="E1666" s="23" t="s">
        <v>13411</v>
      </c>
      <c r="F1666" s="19">
        <v>43172.632881944446</v>
      </c>
      <c r="G1666" s="24" t="s">
        <v>13000</v>
      </c>
      <c r="H1666" s="35" t="s">
        <v>6628</v>
      </c>
      <c r="I1666" s="25"/>
    </row>
    <row r="1667" spans="1:9" s="33" customFormat="1" ht="75">
      <c r="A1667" s="4">
        <v>43564.410520833335</v>
      </c>
      <c r="B1667" s="5" t="s">
        <v>14343</v>
      </c>
      <c r="C1667" s="6" t="s">
        <v>6627</v>
      </c>
      <c r="D1667" s="7" t="s">
        <v>12964</v>
      </c>
      <c r="E1667" s="8" t="s">
        <v>13411</v>
      </c>
      <c r="F1667" s="4">
        <v>43172.632881944446</v>
      </c>
      <c r="G1667" s="24" t="s">
        <v>13000</v>
      </c>
      <c r="H1667" s="35" t="s">
        <v>6628</v>
      </c>
      <c r="I1667" s="10"/>
    </row>
    <row r="1668" spans="1:9" s="33" customFormat="1" ht="90">
      <c r="A1668" s="4">
        <v>43557.491701388892</v>
      </c>
      <c r="B1668" s="5" t="s">
        <v>14343</v>
      </c>
      <c r="C1668" s="6" t="s">
        <v>6627</v>
      </c>
      <c r="D1668" s="7" t="s">
        <v>12965</v>
      </c>
      <c r="E1668" s="8" t="s">
        <v>13411</v>
      </c>
      <c r="F1668" s="4">
        <v>43172.632881944446</v>
      </c>
      <c r="G1668" s="24" t="s">
        <v>13000</v>
      </c>
      <c r="H1668" s="35" t="s">
        <v>6628</v>
      </c>
      <c r="I1668" s="10"/>
    </row>
    <row r="1669" spans="1:9" s="33" customFormat="1" ht="60">
      <c r="A1669" s="12">
        <v>43579.235798611116</v>
      </c>
      <c r="B1669" s="13" t="s">
        <v>14344</v>
      </c>
      <c r="C1669" s="14" t="s">
        <v>830</v>
      </c>
      <c r="D1669" s="15" t="s">
        <v>12981</v>
      </c>
      <c r="E1669" s="16" t="s">
        <v>13011</v>
      </c>
      <c r="F1669" s="12">
        <v>41324.911354166667</v>
      </c>
      <c r="G1669" s="17" t="s">
        <v>13000</v>
      </c>
      <c r="H1669" s="35" t="s">
        <v>831</v>
      </c>
      <c r="I1669" s="18" t="s">
        <v>12982</v>
      </c>
    </row>
    <row r="1670" spans="1:9" s="33" customFormat="1" ht="105">
      <c r="A1670" s="4">
        <v>43558.585173611107</v>
      </c>
      <c r="B1670" s="5" t="s">
        <v>14345</v>
      </c>
      <c r="C1670" s="6" t="s">
        <v>12117</v>
      </c>
      <c r="D1670" s="7" t="s">
        <v>12820</v>
      </c>
      <c r="E1670" s="8" t="s">
        <v>13009</v>
      </c>
      <c r="F1670" s="4">
        <v>41817.214548611111</v>
      </c>
      <c r="G1670" s="9" t="s">
        <v>13000</v>
      </c>
      <c r="H1670" s="35" t="s">
        <v>12118</v>
      </c>
      <c r="I1670" s="10" t="s">
        <v>12119</v>
      </c>
    </row>
    <row r="1671" spans="1:9" s="33" customFormat="1" ht="105">
      <c r="A1671" s="19">
        <v>43551.896493055552</v>
      </c>
      <c r="B1671" s="20" t="s">
        <v>14346</v>
      </c>
      <c r="C1671" s="21" t="s">
        <v>6962</v>
      </c>
      <c r="D1671" s="22" t="s">
        <v>6963</v>
      </c>
      <c r="E1671" s="23" t="s">
        <v>13120</v>
      </c>
      <c r="F1671" s="19">
        <v>40342.50917824074</v>
      </c>
      <c r="G1671" s="9" t="s">
        <v>13000</v>
      </c>
      <c r="H1671" s="35" t="s">
        <v>6964</v>
      </c>
      <c r="I1671" s="25" t="s">
        <v>6965</v>
      </c>
    </row>
    <row r="1672" spans="1:9" s="33" customFormat="1" ht="90">
      <c r="A1672" s="19">
        <v>43551.838171296295</v>
      </c>
      <c r="B1672" s="20" t="s">
        <v>14347</v>
      </c>
      <c r="C1672" s="21" t="s">
        <v>3181</v>
      </c>
      <c r="D1672" s="22" t="s">
        <v>6985</v>
      </c>
      <c r="E1672" s="23" t="s">
        <v>13011</v>
      </c>
      <c r="F1672" s="19">
        <v>41060.424768518518</v>
      </c>
      <c r="G1672" s="9" t="s">
        <v>13000</v>
      </c>
      <c r="H1672" s="35" t="s">
        <v>3183</v>
      </c>
      <c r="I1672" s="25"/>
    </row>
    <row r="1673" spans="1:9" s="33" customFormat="1" ht="75">
      <c r="A1673" s="19">
        <v>43549.402939814812</v>
      </c>
      <c r="B1673" s="20" t="s">
        <v>14347</v>
      </c>
      <c r="C1673" s="21" t="s">
        <v>3181</v>
      </c>
      <c r="D1673" s="22" t="s">
        <v>8054</v>
      </c>
      <c r="E1673" s="23" t="s">
        <v>13011</v>
      </c>
      <c r="F1673" s="19">
        <v>41060.424768518518</v>
      </c>
      <c r="G1673" s="9" t="s">
        <v>13000</v>
      </c>
      <c r="H1673" s="35" t="s">
        <v>3183</v>
      </c>
      <c r="I1673" s="25"/>
    </row>
    <row r="1674" spans="1:9" s="33" customFormat="1" ht="75">
      <c r="A1674" s="19">
        <v>43548.202245370368</v>
      </c>
      <c r="B1674" s="20" t="s">
        <v>14347</v>
      </c>
      <c r="C1674" s="21" t="s">
        <v>3181</v>
      </c>
      <c r="D1674" s="22" t="s">
        <v>8386</v>
      </c>
      <c r="E1674" s="23" t="s">
        <v>13011</v>
      </c>
      <c r="F1674" s="19">
        <v>41060.424768518518</v>
      </c>
      <c r="G1674" s="9" t="s">
        <v>13000</v>
      </c>
      <c r="H1674" s="35" t="s">
        <v>3183</v>
      </c>
      <c r="I1674" s="25"/>
    </row>
    <row r="1675" spans="1:9" s="33" customFormat="1" ht="75">
      <c r="A1675" s="19">
        <v>43546.507372685184</v>
      </c>
      <c r="B1675" s="20" t="s">
        <v>14347</v>
      </c>
      <c r="C1675" s="21" t="s">
        <v>3181</v>
      </c>
      <c r="D1675" s="22" t="s">
        <v>8822</v>
      </c>
      <c r="E1675" s="23" t="s">
        <v>13011</v>
      </c>
      <c r="F1675" s="19">
        <v>41060.424768518518</v>
      </c>
      <c r="G1675" s="9" t="s">
        <v>13000</v>
      </c>
      <c r="H1675" s="35" t="s">
        <v>3183</v>
      </c>
      <c r="I1675" s="25"/>
    </row>
    <row r="1676" spans="1:9" s="33" customFormat="1" ht="60">
      <c r="A1676" s="19">
        <v>43543.33315972222</v>
      </c>
      <c r="B1676" s="20" t="s">
        <v>14347</v>
      </c>
      <c r="C1676" s="21" t="s">
        <v>3181</v>
      </c>
      <c r="D1676" s="22" t="s">
        <v>9865</v>
      </c>
      <c r="E1676" s="23" t="s">
        <v>13011</v>
      </c>
      <c r="F1676" s="19">
        <v>41060.424768518518</v>
      </c>
      <c r="G1676" s="9" t="s">
        <v>13000</v>
      </c>
      <c r="H1676" s="35" t="s">
        <v>3183</v>
      </c>
      <c r="I1676" s="25"/>
    </row>
    <row r="1677" spans="1:9" s="33" customFormat="1" ht="75">
      <c r="A1677" s="19">
        <v>43542.820393518516</v>
      </c>
      <c r="B1677" s="20" t="s">
        <v>14347</v>
      </c>
      <c r="C1677" s="21" t="s">
        <v>3181</v>
      </c>
      <c r="D1677" s="22" t="s">
        <v>5340</v>
      </c>
      <c r="E1677" s="23" t="s">
        <v>13011</v>
      </c>
      <c r="F1677" s="19">
        <v>41060.424768518518</v>
      </c>
      <c r="G1677" s="9" t="s">
        <v>13000</v>
      </c>
      <c r="H1677" s="35" t="s">
        <v>3183</v>
      </c>
      <c r="I1677" s="25"/>
    </row>
    <row r="1678" spans="1:9" s="33" customFormat="1" ht="60">
      <c r="A1678" s="4">
        <v>43564.408043981486</v>
      </c>
      <c r="B1678" s="5" t="s">
        <v>14347</v>
      </c>
      <c r="C1678" s="6" t="s">
        <v>3181</v>
      </c>
      <c r="D1678" s="7" t="s">
        <v>6629</v>
      </c>
      <c r="E1678" s="8" t="s">
        <v>13011</v>
      </c>
      <c r="F1678" s="4">
        <v>41060.424768518518</v>
      </c>
      <c r="G1678" s="9" t="s">
        <v>13000</v>
      </c>
      <c r="H1678" s="35" t="s">
        <v>3183</v>
      </c>
      <c r="I1678" s="10"/>
    </row>
    <row r="1679" spans="1:9" s="33" customFormat="1" ht="90">
      <c r="A1679" s="4">
        <v>43564.367638888885</v>
      </c>
      <c r="B1679" s="5" t="s">
        <v>14347</v>
      </c>
      <c r="C1679" s="6" t="s">
        <v>3181</v>
      </c>
      <c r="D1679" s="7" t="s">
        <v>6661</v>
      </c>
      <c r="E1679" s="8" t="s">
        <v>13011</v>
      </c>
      <c r="F1679" s="4">
        <v>41060.424768518518</v>
      </c>
      <c r="G1679" s="9" t="s">
        <v>13000</v>
      </c>
      <c r="H1679" s="35" t="s">
        <v>3183</v>
      </c>
      <c r="I1679" s="10"/>
    </row>
    <row r="1680" spans="1:9" s="33" customFormat="1" ht="90">
      <c r="A1680" s="4">
        <v>43563.647164351853</v>
      </c>
      <c r="B1680" s="5" t="s">
        <v>14347</v>
      </c>
      <c r="C1680" s="6" t="s">
        <v>3181</v>
      </c>
      <c r="D1680" s="7" t="s">
        <v>6926</v>
      </c>
      <c r="E1680" s="8" t="s">
        <v>13011</v>
      </c>
      <c r="F1680" s="4">
        <v>41060.424768518518</v>
      </c>
      <c r="G1680" s="9" t="s">
        <v>13000</v>
      </c>
      <c r="H1680" s="35" t="s">
        <v>3183</v>
      </c>
      <c r="I1680" s="10"/>
    </row>
    <row r="1681" spans="1:9" s="33" customFormat="1" ht="90">
      <c r="A1681" s="4">
        <v>43562.408125000002</v>
      </c>
      <c r="B1681" s="5" t="s">
        <v>14347</v>
      </c>
      <c r="C1681" s="6" t="s">
        <v>3181</v>
      </c>
      <c r="D1681" s="7" t="s">
        <v>10687</v>
      </c>
      <c r="E1681" s="8" t="s">
        <v>13011</v>
      </c>
      <c r="F1681" s="4">
        <v>41060.424768518518</v>
      </c>
      <c r="G1681" s="9" t="s">
        <v>13000</v>
      </c>
      <c r="H1681" s="35" t="s">
        <v>3183</v>
      </c>
      <c r="I1681" s="10"/>
    </row>
    <row r="1682" spans="1:9" s="33" customFormat="1" ht="90">
      <c r="A1682" s="4">
        <v>43561.33902777778</v>
      </c>
      <c r="B1682" s="5" t="s">
        <v>14347</v>
      </c>
      <c r="C1682" s="6" t="s">
        <v>3181</v>
      </c>
      <c r="D1682" s="7" t="s">
        <v>11005</v>
      </c>
      <c r="E1682" s="8" t="s">
        <v>13011</v>
      </c>
      <c r="F1682" s="4">
        <v>41060.424768518518</v>
      </c>
      <c r="G1682" s="9" t="s">
        <v>13000</v>
      </c>
      <c r="H1682" s="35" t="s">
        <v>3183</v>
      </c>
      <c r="I1682" s="10"/>
    </row>
    <row r="1683" spans="1:9" s="33" customFormat="1" ht="90">
      <c r="A1683" s="4">
        <v>43561.250335648147</v>
      </c>
      <c r="B1683" s="5" t="s">
        <v>14347</v>
      </c>
      <c r="C1683" s="6" t="s">
        <v>3181</v>
      </c>
      <c r="D1683" s="7" t="s">
        <v>11015</v>
      </c>
      <c r="E1683" s="8" t="s">
        <v>13011</v>
      </c>
      <c r="F1683" s="4">
        <v>41060.424768518518</v>
      </c>
      <c r="G1683" s="9" t="s">
        <v>13000</v>
      </c>
      <c r="H1683" s="35" t="s">
        <v>3183</v>
      </c>
      <c r="I1683" s="10"/>
    </row>
    <row r="1684" spans="1:9" s="33" customFormat="1" ht="75">
      <c r="A1684" s="12">
        <v>43572.532685185186</v>
      </c>
      <c r="B1684" s="13" t="s">
        <v>14347</v>
      </c>
      <c r="C1684" s="14" t="s">
        <v>3181</v>
      </c>
      <c r="D1684" s="15" t="s">
        <v>3182</v>
      </c>
      <c r="E1684" s="16" t="s">
        <v>13011</v>
      </c>
      <c r="F1684" s="12">
        <v>41060.424768518518</v>
      </c>
      <c r="G1684" s="9" t="s">
        <v>13000</v>
      </c>
      <c r="H1684" s="35" t="s">
        <v>3183</v>
      </c>
      <c r="I1684" s="18"/>
    </row>
    <row r="1685" spans="1:9" s="33" customFormat="1" ht="75">
      <c r="A1685" s="12">
        <v>43572.532442129625</v>
      </c>
      <c r="B1685" s="13" t="s">
        <v>14347</v>
      </c>
      <c r="C1685" s="14" t="s">
        <v>3181</v>
      </c>
      <c r="D1685" s="15" t="s">
        <v>3184</v>
      </c>
      <c r="E1685" s="16" t="s">
        <v>13011</v>
      </c>
      <c r="F1685" s="12">
        <v>41060.424768518518</v>
      </c>
      <c r="G1685" s="9" t="s">
        <v>13000</v>
      </c>
      <c r="H1685" s="35" t="s">
        <v>3183</v>
      </c>
      <c r="I1685" s="18"/>
    </row>
    <row r="1686" spans="1:9" s="33" customFormat="1" ht="90">
      <c r="A1686" s="12">
        <v>43571.181944444441</v>
      </c>
      <c r="B1686" s="13" t="s">
        <v>14347</v>
      </c>
      <c r="C1686" s="14" t="s">
        <v>3181</v>
      </c>
      <c r="D1686" s="15" t="s">
        <v>3808</v>
      </c>
      <c r="E1686" s="16" t="s">
        <v>13011</v>
      </c>
      <c r="F1686" s="12">
        <v>41060.424768518518</v>
      </c>
      <c r="G1686" s="9" t="s">
        <v>13000</v>
      </c>
      <c r="H1686" s="35" t="s">
        <v>3183</v>
      </c>
      <c r="I1686" s="18"/>
    </row>
    <row r="1687" spans="1:9" s="33" customFormat="1" ht="90">
      <c r="A1687" s="12">
        <v>43570.228877314818</v>
      </c>
      <c r="B1687" s="13" t="s">
        <v>14347</v>
      </c>
      <c r="C1687" s="14" t="s">
        <v>3181</v>
      </c>
      <c r="D1687" s="15" t="s">
        <v>4289</v>
      </c>
      <c r="E1687" s="16" t="s">
        <v>13011</v>
      </c>
      <c r="F1687" s="12">
        <v>41060.424768518518</v>
      </c>
      <c r="G1687" s="9" t="s">
        <v>13000</v>
      </c>
      <c r="H1687" s="35" t="s">
        <v>3183</v>
      </c>
      <c r="I1687" s="18"/>
    </row>
    <row r="1688" spans="1:9" s="33" customFormat="1" ht="60">
      <c r="A1688" s="12">
        <v>43567.290173611109</v>
      </c>
      <c r="B1688" s="13" t="s">
        <v>14347</v>
      </c>
      <c r="C1688" s="14" t="s">
        <v>3181</v>
      </c>
      <c r="D1688" s="15" t="s">
        <v>5183</v>
      </c>
      <c r="E1688" s="16" t="s">
        <v>13011</v>
      </c>
      <c r="F1688" s="12">
        <v>41060.424768518518</v>
      </c>
      <c r="G1688" s="9" t="s">
        <v>13000</v>
      </c>
      <c r="H1688" s="35" t="s">
        <v>3183</v>
      </c>
      <c r="I1688" s="18"/>
    </row>
    <row r="1689" spans="1:9" s="33" customFormat="1" ht="90">
      <c r="A1689" s="12">
        <v>43566.267581018517</v>
      </c>
      <c r="B1689" s="13" t="s">
        <v>14347</v>
      </c>
      <c r="C1689" s="14" t="s">
        <v>3181</v>
      </c>
      <c r="D1689" s="15" t="s">
        <v>5700</v>
      </c>
      <c r="E1689" s="16" t="s">
        <v>13011</v>
      </c>
      <c r="F1689" s="12">
        <v>41060.424768518518</v>
      </c>
      <c r="G1689" s="9" t="s">
        <v>13000</v>
      </c>
      <c r="H1689" s="35" t="s">
        <v>3183</v>
      </c>
      <c r="I1689" s="18"/>
    </row>
    <row r="1690" spans="1:9" s="33" customFormat="1" ht="90">
      <c r="A1690" s="19">
        <v>43547.409699074073</v>
      </c>
      <c r="B1690" s="20" t="s">
        <v>14348</v>
      </c>
      <c r="C1690" s="21" t="s">
        <v>8562</v>
      </c>
      <c r="D1690" s="22" t="s">
        <v>8563</v>
      </c>
      <c r="E1690" s="23" t="s">
        <v>13011</v>
      </c>
      <c r="F1690" s="19">
        <v>42350.791990740741</v>
      </c>
      <c r="G1690" s="9" t="s">
        <v>13000</v>
      </c>
      <c r="H1690" s="35" t="s">
        <v>8564</v>
      </c>
      <c r="I1690" s="25" t="s">
        <v>8565</v>
      </c>
    </row>
    <row r="1691" spans="1:9" s="33" customFormat="1" ht="30">
      <c r="A1691" s="4">
        <v>43558.247187500005</v>
      </c>
      <c r="B1691" s="5" t="s">
        <v>14349</v>
      </c>
      <c r="C1691" s="6" t="s">
        <v>12264</v>
      </c>
      <c r="D1691" s="7" t="s">
        <v>12865</v>
      </c>
      <c r="E1691" s="8" t="s">
        <v>13011</v>
      </c>
      <c r="F1691" s="4">
        <v>41946.550324074073</v>
      </c>
      <c r="G1691" s="9" t="s">
        <v>13000</v>
      </c>
      <c r="H1691" s="35" t="s">
        <v>12265</v>
      </c>
      <c r="I1691" s="10"/>
    </row>
    <row r="1692" spans="1:9" s="33" customFormat="1" ht="75">
      <c r="A1692" s="4">
        <v>43557.021284722221</v>
      </c>
      <c r="B1692" s="5" t="s">
        <v>14349</v>
      </c>
      <c r="C1692" s="6" t="s">
        <v>12264</v>
      </c>
      <c r="D1692" s="7" t="s">
        <v>12866</v>
      </c>
      <c r="E1692" s="8" t="s">
        <v>13011</v>
      </c>
      <c r="F1692" s="4">
        <v>41946.550324074073</v>
      </c>
      <c r="G1692" s="9" t="s">
        <v>13000</v>
      </c>
      <c r="H1692" s="35" t="s">
        <v>12265</v>
      </c>
      <c r="I1692" s="10"/>
    </row>
    <row r="1693" spans="1:9" s="33" customFormat="1" ht="90">
      <c r="A1693" s="12">
        <v>43568.175162037034</v>
      </c>
      <c r="B1693" s="13" t="s">
        <v>14350</v>
      </c>
      <c r="C1693" s="14" t="s">
        <v>4855</v>
      </c>
      <c r="D1693" s="15" t="s">
        <v>12868</v>
      </c>
      <c r="E1693" s="16" t="s">
        <v>13032</v>
      </c>
      <c r="F1693" s="12">
        <v>40002.259050925924</v>
      </c>
      <c r="G1693" s="17" t="s">
        <v>13000</v>
      </c>
      <c r="H1693" s="35" t="s">
        <v>4856</v>
      </c>
      <c r="I1693" s="18" t="s">
        <v>4857</v>
      </c>
    </row>
    <row r="1694" spans="1:9" s="33" customFormat="1" ht="75">
      <c r="A1694" s="12">
        <v>43570.572222222225</v>
      </c>
      <c r="B1694" s="13" t="s">
        <v>14351</v>
      </c>
      <c r="C1694" s="14" t="s">
        <v>2849</v>
      </c>
      <c r="D1694" s="15" t="s">
        <v>12869</v>
      </c>
      <c r="E1694" s="16" t="s">
        <v>13120</v>
      </c>
      <c r="F1694" s="12">
        <v>41956.335682870369</v>
      </c>
      <c r="G1694" s="17" t="s">
        <v>13000</v>
      </c>
      <c r="H1694" s="35" t="s">
        <v>4065</v>
      </c>
      <c r="I1694" s="18" t="s">
        <v>4066</v>
      </c>
    </row>
    <row r="1695" spans="1:9" s="33" customFormat="1" ht="75">
      <c r="A1695" s="12">
        <v>43566.571527777778</v>
      </c>
      <c r="B1695" s="13" t="s">
        <v>14351</v>
      </c>
      <c r="C1695" s="14" t="s">
        <v>2849</v>
      </c>
      <c r="D1695" s="15" t="s">
        <v>12870</v>
      </c>
      <c r="E1695" s="16" t="s">
        <v>13120</v>
      </c>
      <c r="F1695" s="12">
        <v>41956.335682870369</v>
      </c>
      <c r="G1695" s="17" t="s">
        <v>13000</v>
      </c>
      <c r="H1695" s="35" t="s">
        <v>4065</v>
      </c>
      <c r="I1695" s="18" t="s">
        <v>4066</v>
      </c>
    </row>
    <row r="1696" spans="1:9" s="33" customFormat="1" ht="105">
      <c r="A1696" s="4">
        <v>43558.799745370372</v>
      </c>
      <c r="B1696" s="5" t="s">
        <v>14352</v>
      </c>
      <c r="C1696" s="6" t="s">
        <v>12033</v>
      </c>
      <c r="D1696" s="7" t="s">
        <v>12871</v>
      </c>
      <c r="E1696" s="8" t="s">
        <v>13032</v>
      </c>
      <c r="F1696" s="4">
        <v>42110.428344907406</v>
      </c>
      <c r="G1696" s="17" t="s">
        <v>13000</v>
      </c>
      <c r="H1696" s="35" t="s">
        <v>12034</v>
      </c>
      <c r="I1696" s="10" t="s">
        <v>12872</v>
      </c>
    </row>
    <row r="1697" spans="1:9" s="33" customFormat="1" ht="75">
      <c r="A1697" s="12">
        <v>43574.233159722222</v>
      </c>
      <c r="B1697" s="13" t="s">
        <v>14353</v>
      </c>
      <c r="C1697" s="14" t="s">
        <v>2644</v>
      </c>
      <c r="D1697" s="15" t="s">
        <v>12873</v>
      </c>
      <c r="E1697" s="16" t="s">
        <v>13462</v>
      </c>
      <c r="F1697" s="12">
        <v>41163.26</v>
      </c>
      <c r="G1697" s="17" t="s">
        <v>13000</v>
      </c>
      <c r="H1697" s="35" t="s">
        <v>2645</v>
      </c>
      <c r="I1697" s="18" t="s">
        <v>2646</v>
      </c>
    </row>
    <row r="1698" spans="1:9" s="33" customFormat="1" ht="75">
      <c r="A1698" s="12">
        <v>43570.23237268519</v>
      </c>
      <c r="B1698" s="13" t="s">
        <v>14353</v>
      </c>
      <c r="C1698" s="14" t="s">
        <v>2644</v>
      </c>
      <c r="D1698" s="15" t="s">
        <v>12874</v>
      </c>
      <c r="E1698" s="16" t="s">
        <v>13462</v>
      </c>
      <c r="F1698" s="12">
        <v>41163.26</v>
      </c>
      <c r="G1698" s="17" t="s">
        <v>13000</v>
      </c>
      <c r="H1698" s="35" t="s">
        <v>2645</v>
      </c>
      <c r="I1698" s="18" t="s">
        <v>2646</v>
      </c>
    </row>
    <row r="1699" spans="1:9" s="33" customFormat="1" ht="75">
      <c r="A1699" s="12">
        <v>43567.348414351851</v>
      </c>
      <c r="B1699" s="13" t="s">
        <v>14353</v>
      </c>
      <c r="C1699" s="14" t="s">
        <v>2644</v>
      </c>
      <c r="D1699" s="15" t="s">
        <v>12875</v>
      </c>
      <c r="E1699" s="16" t="s">
        <v>13462</v>
      </c>
      <c r="F1699" s="12">
        <v>41163.26</v>
      </c>
      <c r="G1699" s="17" t="s">
        <v>13000</v>
      </c>
      <c r="H1699" s="35" t="s">
        <v>2645</v>
      </c>
      <c r="I1699" s="18" t="s">
        <v>2646</v>
      </c>
    </row>
    <row r="1700" spans="1:9" s="33" customFormat="1" ht="90">
      <c r="A1700" s="4">
        <v>43557.322048611109</v>
      </c>
      <c r="B1700" s="5" t="s">
        <v>14354</v>
      </c>
      <c r="C1700" s="6" t="s">
        <v>12557</v>
      </c>
      <c r="D1700" s="7" t="s">
        <v>12880</v>
      </c>
      <c r="E1700" s="8" t="s">
        <v>13009</v>
      </c>
      <c r="F1700" s="4">
        <v>41256.494467592594</v>
      </c>
      <c r="G1700" s="9" t="s">
        <v>13000</v>
      </c>
      <c r="H1700" s="35" t="s">
        <v>12881</v>
      </c>
      <c r="I1700" s="10" t="s">
        <v>12558</v>
      </c>
    </row>
    <row r="1701" spans="1:9" s="33" customFormat="1" ht="45">
      <c r="A1701" s="12">
        <v>43573.648009259261</v>
      </c>
      <c r="B1701" s="13" t="s">
        <v>14355</v>
      </c>
      <c r="C1701" s="14" t="s">
        <v>2791</v>
      </c>
      <c r="D1701" s="15" t="s">
        <v>12887</v>
      </c>
      <c r="E1701" s="16" t="s">
        <v>13032</v>
      </c>
      <c r="F1701" s="12">
        <v>40968.497511574074</v>
      </c>
      <c r="G1701" s="17" t="s">
        <v>13000</v>
      </c>
      <c r="H1701" s="35" t="s">
        <v>2792</v>
      </c>
      <c r="I1701" s="18" t="s">
        <v>2793</v>
      </c>
    </row>
    <row r="1702" spans="1:9" s="33" customFormat="1" ht="75">
      <c r="A1702" s="4">
        <v>43559.928981481484</v>
      </c>
      <c r="B1702" s="5" t="s">
        <v>14356</v>
      </c>
      <c r="C1702" s="6" t="s">
        <v>1460</v>
      </c>
      <c r="D1702" s="7" t="s">
        <v>12901</v>
      </c>
      <c r="E1702" s="8" t="s">
        <v>13009</v>
      </c>
      <c r="F1702" s="4">
        <v>43544.42591435185</v>
      </c>
      <c r="G1702" s="9" t="s">
        <v>13000</v>
      </c>
      <c r="H1702" s="35" t="s">
        <v>1461</v>
      </c>
      <c r="I1702" s="10" t="s">
        <v>1462</v>
      </c>
    </row>
    <row r="1703" spans="1:9" s="33" customFormat="1" ht="75">
      <c r="A1703" s="4">
        <v>43556.937361111108</v>
      </c>
      <c r="B1703" s="5" t="s">
        <v>14356</v>
      </c>
      <c r="C1703" s="6" t="s">
        <v>1460</v>
      </c>
      <c r="D1703" s="7" t="s">
        <v>12902</v>
      </c>
      <c r="E1703" s="8" t="s">
        <v>13009</v>
      </c>
      <c r="F1703" s="4">
        <v>43544.42591435185</v>
      </c>
      <c r="G1703" s="9" t="s">
        <v>13000</v>
      </c>
      <c r="H1703" s="35" t="s">
        <v>1461</v>
      </c>
      <c r="I1703" s="10" t="s">
        <v>1462</v>
      </c>
    </row>
    <row r="1704" spans="1:9" s="33" customFormat="1" ht="90">
      <c r="A1704" s="12">
        <v>43577.914722222224</v>
      </c>
      <c r="B1704" s="13" t="s">
        <v>14356</v>
      </c>
      <c r="C1704" s="14" t="s">
        <v>1460</v>
      </c>
      <c r="D1704" s="15" t="s">
        <v>12903</v>
      </c>
      <c r="E1704" s="16" t="s">
        <v>13009</v>
      </c>
      <c r="F1704" s="12">
        <v>43544.42591435185</v>
      </c>
      <c r="G1704" s="9" t="s">
        <v>13000</v>
      </c>
      <c r="H1704" s="35" t="s">
        <v>1461</v>
      </c>
      <c r="I1704" s="18" t="s">
        <v>1462</v>
      </c>
    </row>
    <row r="1705" spans="1:9" s="33" customFormat="1" ht="105">
      <c r="A1705" s="12">
        <v>43573.429166666669</v>
      </c>
      <c r="B1705" s="13" t="s">
        <v>14357</v>
      </c>
      <c r="C1705" s="14" t="s">
        <v>2870</v>
      </c>
      <c r="D1705" s="15" t="s">
        <v>12951</v>
      </c>
      <c r="E1705" s="16" t="s">
        <v>13120</v>
      </c>
      <c r="F1705" s="12">
        <v>40042.372650462959</v>
      </c>
      <c r="G1705" s="17" t="s">
        <v>13000</v>
      </c>
      <c r="H1705" s="35" t="s">
        <v>2871</v>
      </c>
      <c r="I1705" s="18" t="s">
        <v>2872</v>
      </c>
    </row>
    <row r="1706" spans="1:9" s="33" customFormat="1" ht="105">
      <c r="A1706" s="12">
        <v>43572.429166666669</v>
      </c>
      <c r="B1706" s="13" t="s">
        <v>14357</v>
      </c>
      <c r="C1706" s="14" t="s">
        <v>2870</v>
      </c>
      <c r="D1706" s="15" t="s">
        <v>12952</v>
      </c>
      <c r="E1706" s="16" t="s">
        <v>13120</v>
      </c>
      <c r="F1706" s="12">
        <v>40042.372650462959</v>
      </c>
      <c r="G1706" s="17" t="s">
        <v>13000</v>
      </c>
      <c r="H1706" s="35" t="s">
        <v>2871</v>
      </c>
      <c r="I1706" s="18" t="s">
        <v>2872</v>
      </c>
    </row>
    <row r="1707" spans="1:9" s="33" customFormat="1" ht="105">
      <c r="A1707" s="4">
        <v>43564.306331018517</v>
      </c>
      <c r="B1707" s="5" t="s">
        <v>14358</v>
      </c>
      <c r="C1707" s="6" t="s">
        <v>6699</v>
      </c>
      <c r="D1707" s="7" t="s">
        <v>12953</v>
      </c>
      <c r="E1707" s="8" t="s">
        <v>13006</v>
      </c>
      <c r="F1707" s="4">
        <v>40564.496238425927</v>
      </c>
      <c r="G1707" s="17" t="s">
        <v>13000</v>
      </c>
      <c r="H1707" s="35" t="s">
        <v>6700</v>
      </c>
      <c r="I1707" s="10" t="s">
        <v>6701</v>
      </c>
    </row>
    <row r="1708" spans="1:9" s="33" customFormat="1" ht="75">
      <c r="A1708" s="19">
        <v>43547.906342592592</v>
      </c>
      <c r="B1708" s="20" t="s">
        <v>14359</v>
      </c>
      <c r="C1708" s="21" t="s">
        <v>6096</v>
      </c>
      <c r="D1708" s="22" t="s">
        <v>12967</v>
      </c>
      <c r="E1708" s="23" t="s">
        <v>13006</v>
      </c>
      <c r="F1708" s="19">
        <v>39603.528831018521</v>
      </c>
      <c r="G1708" s="9" t="s">
        <v>13000</v>
      </c>
      <c r="H1708" s="35" t="s">
        <v>6097</v>
      </c>
      <c r="I1708" s="25" t="s">
        <v>6098</v>
      </c>
    </row>
    <row r="1709" spans="1:9" s="33" customFormat="1" ht="75">
      <c r="A1709" s="4">
        <v>43565.426273148143</v>
      </c>
      <c r="B1709" s="5" t="s">
        <v>14359</v>
      </c>
      <c r="C1709" s="6" t="s">
        <v>6096</v>
      </c>
      <c r="D1709" s="7" t="s">
        <v>12968</v>
      </c>
      <c r="E1709" s="8" t="s">
        <v>13006</v>
      </c>
      <c r="F1709" s="4">
        <v>39603.528831018521</v>
      </c>
      <c r="G1709" s="9" t="s">
        <v>13000</v>
      </c>
      <c r="H1709" s="35" t="s">
        <v>6097</v>
      </c>
      <c r="I1709" s="10" t="s">
        <v>6098</v>
      </c>
    </row>
    <row r="1710" spans="1:9" s="33" customFormat="1" ht="45">
      <c r="A1710" s="19">
        <v>43544.79515046296</v>
      </c>
      <c r="B1710" s="20" t="s">
        <v>14360</v>
      </c>
      <c r="C1710" s="21" t="s">
        <v>2446</v>
      </c>
      <c r="D1710" s="22" t="s">
        <v>12969</v>
      </c>
      <c r="E1710" s="23" t="s">
        <v>13034</v>
      </c>
      <c r="F1710" s="19">
        <v>39982.873993055553</v>
      </c>
      <c r="G1710" s="9" t="s">
        <v>13000</v>
      </c>
      <c r="H1710" s="35" t="s">
        <v>2447</v>
      </c>
      <c r="I1710" s="25" t="s">
        <v>2448</v>
      </c>
    </row>
    <row r="1711" spans="1:9" s="33" customFormat="1" ht="45">
      <c r="A1711" s="19">
        <v>43542.79515046296</v>
      </c>
      <c r="B1711" s="20" t="s">
        <v>14360</v>
      </c>
      <c r="C1711" s="21" t="s">
        <v>2446</v>
      </c>
      <c r="D1711" s="22" t="s">
        <v>12969</v>
      </c>
      <c r="E1711" s="23" t="s">
        <v>13034</v>
      </c>
      <c r="F1711" s="19">
        <v>39982.873993055553</v>
      </c>
      <c r="G1711" s="9" t="s">
        <v>13000</v>
      </c>
      <c r="H1711" s="35" t="s">
        <v>2447</v>
      </c>
      <c r="I1711" s="25" t="s">
        <v>2448</v>
      </c>
    </row>
    <row r="1712" spans="1:9" s="33" customFormat="1" ht="45">
      <c r="A1712" s="4">
        <v>43565.628506944442</v>
      </c>
      <c r="B1712" s="5" t="s">
        <v>14360</v>
      </c>
      <c r="C1712" s="6" t="s">
        <v>2446</v>
      </c>
      <c r="D1712" s="7" t="s">
        <v>12969</v>
      </c>
      <c r="E1712" s="8" t="s">
        <v>13034</v>
      </c>
      <c r="F1712" s="4">
        <v>39982.873993055553</v>
      </c>
      <c r="G1712" s="9" t="s">
        <v>13000</v>
      </c>
      <c r="H1712" s="35" t="s">
        <v>2447</v>
      </c>
      <c r="I1712" s="10" t="s">
        <v>2448</v>
      </c>
    </row>
    <row r="1713" spans="1:9" s="33" customFormat="1" ht="45">
      <c r="A1713" s="4">
        <v>43564.333680555559</v>
      </c>
      <c r="B1713" s="5" t="s">
        <v>14360</v>
      </c>
      <c r="C1713" s="6" t="s">
        <v>2446</v>
      </c>
      <c r="D1713" s="7" t="s">
        <v>12970</v>
      </c>
      <c r="E1713" s="8" t="s">
        <v>13034</v>
      </c>
      <c r="F1713" s="4">
        <v>39982.873993055553</v>
      </c>
      <c r="G1713" s="9" t="s">
        <v>13000</v>
      </c>
      <c r="H1713" s="35" t="s">
        <v>2447</v>
      </c>
      <c r="I1713" s="10" t="s">
        <v>2448</v>
      </c>
    </row>
    <row r="1714" spans="1:9" s="33" customFormat="1" ht="45">
      <c r="A1714" s="4">
        <v>43563.458356481482</v>
      </c>
      <c r="B1714" s="5" t="s">
        <v>14360</v>
      </c>
      <c r="C1714" s="6" t="s">
        <v>2446</v>
      </c>
      <c r="D1714" s="7" t="s">
        <v>12970</v>
      </c>
      <c r="E1714" s="8" t="s">
        <v>13034</v>
      </c>
      <c r="F1714" s="4">
        <v>39982.873993055553</v>
      </c>
      <c r="G1714" s="9" t="s">
        <v>13000</v>
      </c>
      <c r="H1714" s="35" t="s">
        <v>2447</v>
      </c>
      <c r="I1714" s="10" t="s">
        <v>2448</v>
      </c>
    </row>
    <row r="1715" spans="1:9" s="33" customFormat="1" ht="45">
      <c r="A1715" s="4">
        <v>43562.375289351854</v>
      </c>
      <c r="B1715" s="5" t="s">
        <v>14360</v>
      </c>
      <c r="C1715" s="6" t="s">
        <v>2446</v>
      </c>
      <c r="D1715" s="7" t="s">
        <v>12970</v>
      </c>
      <c r="E1715" s="8" t="s">
        <v>13034</v>
      </c>
      <c r="F1715" s="4">
        <v>39982.873993055553</v>
      </c>
      <c r="G1715" s="9" t="s">
        <v>13000</v>
      </c>
      <c r="H1715" s="35" t="s">
        <v>2447</v>
      </c>
      <c r="I1715" s="10" t="s">
        <v>2448</v>
      </c>
    </row>
    <row r="1716" spans="1:9" s="33" customFormat="1" ht="45">
      <c r="A1716" s="4">
        <v>43561.336817129632</v>
      </c>
      <c r="B1716" s="5" t="s">
        <v>14360</v>
      </c>
      <c r="C1716" s="6" t="s">
        <v>2446</v>
      </c>
      <c r="D1716" s="7" t="s">
        <v>12970</v>
      </c>
      <c r="E1716" s="8" t="s">
        <v>13034</v>
      </c>
      <c r="F1716" s="4">
        <v>39982.873993055553</v>
      </c>
      <c r="G1716" s="9" t="s">
        <v>13000</v>
      </c>
      <c r="H1716" s="35" t="s">
        <v>2447</v>
      </c>
      <c r="I1716" s="10" t="s">
        <v>2448</v>
      </c>
    </row>
    <row r="1717" spans="1:9" s="33" customFormat="1" ht="45">
      <c r="A1717" s="4">
        <v>43559.29515046296</v>
      </c>
      <c r="B1717" s="5" t="s">
        <v>14360</v>
      </c>
      <c r="C1717" s="6" t="s">
        <v>2446</v>
      </c>
      <c r="D1717" s="7" t="s">
        <v>12970</v>
      </c>
      <c r="E1717" s="8" t="s">
        <v>13034</v>
      </c>
      <c r="F1717" s="4">
        <v>39982.873993055553</v>
      </c>
      <c r="G1717" s="9" t="s">
        <v>13000</v>
      </c>
      <c r="H1717" s="35" t="s">
        <v>2447</v>
      </c>
      <c r="I1717" s="10" t="s">
        <v>2448</v>
      </c>
    </row>
    <row r="1718" spans="1:9" s="33" customFormat="1" ht="45">
      <c r="A1718" s="4">
        <v>43556.667071759264</v>
      </c>
      <c r="B1718" s="5" t="s">
        <v>14360</v>
      </c>
      <c r="C1718" s="6" t="s">
        <v>2446</v>
      </c>
      <c r="D1718" s="7" t="s">
        <v>12970</v>
      </c>
      <c r="E1718" s="8" t="s">
        <v>13034</v>
      </c>
      <c r="F1718" s="4">
        <v>39982.873993055553</v>
      </c>
      <c r="G1718" s="9" t="s">
        <v>13000</v>
      </c>
      <c r="H1718" s="35" t="s">
        <v>2447</v>
      </c>
      <c r="I1718" s="10" t="s">
        <v>2448</v>
      </c>
    </row>
    <row r="1719" spans="1:9" s="33" customFormat="1" ht="45">
      <c r="A1719" s="12">
        <v>43574.792013888888</v>
      </c>
      <c r="B1719" s="13" t="s">
        <v>14360</v>
      </c>
      <c r="C1719" s="14" t="s">
        <v>2446</v>
      </c>
      <c r="D1719" s="15" t="s">
        <v>12970</v>
      </c>
      <c r="E1719" s="16" t="s">
        <v>13034</v>
      </c>
      <c r="F1719" s="12">
        <v>39982.873993055553</v>
      </c>
      <c r="G1719" s="9" t="s">
        <v>13000</v>
      </c>
      <c r="H1719" s="35" t="s">
        <v>2447</v>
      </c>
      <c r="I1719" s="18" t="s">
        <v>2448</v>
      </c>
    </row>
    <row r="1720" spans="1:9" s="33" customFormat="1" ht="45">
      <c r="A1720" s="12">
        <v>43570.708680555559</v>
      </c>
      <c r="B1720" s="13" t="s">
        <v>14360</v>
      </c>
      <c r="C1720" s="14" t="s">
        <v>2446</v>
      </c>
      <c r="D1720" s="15" t="s">
        <v>12970</v>
      </c>
      <c r="E1720" s="16" t="s">
        <v>13034</v>
      </c>
      <c r="F1720" s="12">
        <v>39982.873993055553</v>
      </c>
      <c r="G1720" s="9" t="s">
        <v>13000</v>
      </c>
      <c r="H1720" s="35" t="s">
        <v>2447</v>
      </c>
      <c r="I1720" s="18" t="s">
        <v>2448</v>
      </c>
    </row>
    <row r="1721" spans="1:9" s="33" customFormat="1" ht="105">
      <c r="A1721" s="19">
        <v>43546.708402777775</v>
      </c>
      <c r="B1721" s="20" t="s">
        <v>14361</v>
      </c>
      <c r="C1721" s="21" t="s">
        <v>2474</v>
      </c>
      <c r="D1721" s="22" t="s">
        <v>2475</v>
      </c>
      <c r="E1721" s="23" t="s">
        <v>13027</v>
      </c>
      <c r="F1721" s="19">
        <v>39882.843842592592</v>
      </c>
      <c r="G1721" s="17" t="s">
        <v>13000</v>
      </c>
      <c r="H1721" s="35" t="s">
        <v>2476</v>
      </c>
      <c r="I1721" s="25" t="s">
        <v>2477</v>
      </c>
    </row>
    <row r="1722" spans="1:9" s="33" customFormat="1" ht="105">
      <c r="A1722" s="4">
        <v>43560.709340277783</v>
      </c>
      <c r="B1722" s="5" t="s">
        <v>14361</v>
      </c>
      <c r="C1722" s="6" t="s">
        <v>2474</v>
      </c>
      <c r="D1722" s="7" t="s">
        <v>2475</v>
      </c>
      <c r="E1722" s="8" t="s">
        <v>13027</v>
      </c>
      <c r="F1722" s="4">
        <v>39882.843842592592</v>
      </c>
      <c r="G1722" s="17" t="s">
        <v>13000</v>
      </c>
      <c r="H1722" s="35" t="s">
        <v>2476</v>
      </c>
      <c r="I1722" s="10" t="s">
        <v>2477</v>
      </c>
    </row>
    <row r="1723" spans="1:9" s="33" customFormat="1" ht="105">
      <c r="A1723" s="12">
        <v>43574.708761574075</v>
      </c>
      <c r="B1723" s="13" t="s">
        <v>14361</v>
      </c>
      <c r="C1723" s="14" t="s">
        <v>2474</v>
      </c>
      <c r="D1723" s="15" t="s">
        <v>2475</v>
      </c>
      <c r="E1723" s="16" t="s">
        <v>13027</v>
      </c>
      <c r="F1723" s="12">
        <v>39882.843842592592</v>
      </c>
      <c r="G1723" s="17" t="s">
        <v>13000</v>
      </c>
      <c r="H1723" s="35" t="s">
        <v>2476</v>
      </c>
      <c r="I1723" s="18" t="s">
        <v>2477</v>
      </c>
    </row>
    <row r="1724" spans="1:9" s="33" customFormat="1" ht="105">
      <c r="A1724" s="12">
        <v>43567.708483796298</v>
      </c>
      <c r="B1724" s="13" t="s">
        <v>14361</v>
      </c>
      <c r="C1724" s="14" t="s">
        <v>2474</v>
      </c>
      <c r="D1724" s="15" t="s">
        <v>2475</v>
      </c>
      <c r="E1724" s="16" t="s">
        <v>13027</v>
      </c>
      <c r="F1724" s="12">
        <v>39882.843842592592</v>
      </c>
      <c r="G1724" s="17" t="s">
        <v>13000</v>
      </c>
      <c r="H1724" s="35" t="s">
        <v>2476</v>
      </c>
      <c r="I1724" s="18" t="s">
        <v>2477</v>
      </c>
    </row>
    <row r="1725" spans="1:9" s="33" customFormat="1" ht="75">
      <c r="A1725" s="19">
        <v>43551.583506944444</v>
      </c>
      <c r="B1725" s="20" t="s">
        <v>14362</v>
      </c>
      <c r="C1725" s="21" t="s">
        <v>3605</v>
      </c>
      <c r="D1725" s="22" t="s">
        <v>7101</v>
      </c>
      <c r="E1725" s="23" t="s">
        <v>13018</v>
      </c>
      <c r="F1725" s="19">
        <v>43360.491898148146</v>
      </c>
      <c r="G1725" s="17" t="s">
        <v>13000</v>
      </c>
      <c r="H1725" s="35" t="s">
        <v>1607</v>
      </c>
      <c r="I1725" s="25" t="s">
        <v>3607</v>
      </c>
    </row>
    <row r="1726" spans="1:9" s="33" customFormat="1" ht="60">
      <c r="A1726" s="19">
        <v>43550.33394675926</v>
      </c>
      <c r="B1726" s="20" t="s">
        <v>14362</v>
      </c>
      <c r="C1726" s="21" t="s">
        <v>3605</v>
      </c>
      <c r="D1726" s="22" t="s">
        <v>7733</v>
      </c>
      <c r="E1726" s="23" t="s">
        <v>13018</v>
      </c>
      <c r="F1726" s="19">
        <v>43360.491898148146</v>
      </c>
      <c r="G1726" s="17" t="s">
        <v>13000</v>
      </c>
      <c r="H1726" s="35" t="s">
        <v>1607</v>
      </c>
      <c r="I1726" s="25" t="s">
        <v>3607</v>
      </c>
    </row>
    <row r="1727" spans="1:9" s="33" customFormat="1" ht="45">
      <c r="A1727" s="19">
        <v>43549.541956018518</v>
      </c>
      <c r="B1727" s="20" t="s">
        <v>14362</v>
      </c>
      <c r="C1727" s="21" t="s">
        <v>3605</v>
      </c>
      <c r="D1727" s="22" t="s">
        <v>7991</v>
      </c>
      <c r="E1727" s="23" t="s">
        <v>13018</v>
      </c>
      <c r="F1727" s="19">
        <v>43360.491898148146</v>
      </c>
      <c r="G1727" s="17" t="s">
        <v>13000</v>
      </c>
      <c r="H1727" s="35" t="s">
        <v>1607</v>
      </c>
      <c r="I1727" s="25" t="s">
        <v>3607</v>
      </c>
    </row>
    <row r="1728" spans="1:9" s="33" customFormat="1" ht="60">
      <c r="A1728" s="19">
        <v>43546.458692129629</v>
      </c>
      <c r="B1728" s="20" t="s">
        <v>14362</v>
      </c>
      <c r="C1728" s="21" t="s">
        <v>3605</v>
      </c>
      <c r="D1728" s="22" t="s">
        <v>8839</v>
      </c>
      <c r="E1728" s="23" t="s">
        <v>13018</v>
      </c>
      <c r="F1728" s="19">
        <v>43360.491898148146</v>
      </c>
      <c r="G1728" s="17" t="s">
        <v>13000</v>
      </c>
      <c r="H1728" s="35" t="s">
        <v>1607</v>
      </c>
      <c r="I1728" s="25" t="s">
        <v>3607</v>
      </c>
    </row>
    <row r="1729" spans="1:9" s="33" customFormat="1" ht="90">
      <c r="A1729" s="19">
        <v>43544.779664351852</v>
      </c>
      <c r="B1729" s="20" t="s">
        <v>14363</v>
      </c>
      <c r="C1729" s="21" t="s">
        <v>9338</v>
      </c>
      <c r="D1729" s="22" t="s">
        <v>9339</v>
      </c>
      <c r="E1729" s="23" t="s">
        <v>13032</v>
      </c>
      <c r="F1729" s="19">
        <v>42233.894120370373</v>
      </c>
      <c r="G1729" s="17" t="s">
        <v>13000</v>
      </c>
      <c r="H1729" s="35" t="s">
        <v>1607</v>
      </c>
      <c r="I1729" s="25" t="s">
        <v>9340</v>
      </c>
    </row>
    <row r="1730" spans="1:9" s="33" customFormat="1" ht="60">
      <c r="A1730" s="19">
        <v>43544.541874999995</v>
      </c>
      <c r="B1730" s="20" t="s">
        <v>14362</v>
      </c>
      <c r="C1730" s="21" t="s">
        <v>3605</v>
      </c>
      <c r="D1730" s="22" t="s">
        <v>9420</v>
      </c>
      <c r="E1730" s="23" t="s">
        <v>13018</v>
      </c>
      <c r="F1730" s="19">
        <v>43360.491898148146</v>
      </c>
      <c r="G1730" s="17" t="s">
        <v>13000</v>
      </c>
      <c r="H1730" s="35" t="s">
        <v>1607</v>
      </c>
      <c r="I1730" s="25" t="s">
        <v>3607</v>
      </c>
    </row>
    <row r="1731" spans="1:9" s="33" customFormat="1" ht="45">
      <c r="A1731" s="19">
        <v>43543.33388888889</v>
      </c>
      <c r="B1731" s="20" t="s">
        <v>14362</v>
      </c>
      <c r="C1731" s="21" t="s">
        <v>3605</v>
      </c>
      <c r="D1731" s="22" t="s">
        <v>9864</v>
      </c>
      <c r="E1731" s="23" t="s">
        <v>13018</v>
      </c>
      <c r="F1731" s="19">
        <v>43360.491898148146</v>
      </c>
      <c r="G1731" s="17" t="s">
        <v>13000</v>
      </c>
      <c r="H1731" s="35" t="s">
        <v>1607</v>
      </c>
      <c r="I1731" s="25" t="s">
        <v>3607</v>
      </c>
    </row>
    <row r="1732" spans="1:9" s="33" customFormat="1" ht="75">
      <c r="A1732" s="19">
        <v>43542.541874999995</v>
      </c>
      <c r="B1732" s="20" t="s">
        <v>14362</v>
      </c>
      <c r="C1732" s="21" t="s">
        <v>3605</v>
      </c>
      <c r="D1732" s="22" t="s">
        <v>10116</v>
      </c>
      <c r="E1732" s="23" t="s">
        <v>13018</v>
      </c>
      <c r="F1732" s="19">
        <v>43360.491898148146</v>
      </c>
      <c r="G1732" s="17" t="s">
        <v>13000</v>
      </c>
      <c r="H1732" s="35" t="s">
        <v>1607</v>
      </c>
      <c r="I1732" s="25" t="s">
        <v>3607</v>
      </c>
    </row>
    <row r="1733" spans="1:9" s="33" customFormat="1" ht="45">
      <c r="A1733" s="4">
        <v>43565.458680555559</v>
      </c>
      <c r="B1733" s="5" t="s">
        <v>14362</v>
      </c>
      <c r="C1733" s="6" t="s">
        <v>3605</v>
      </c>
      <c r="D1733" s="7" t="s">
        <v>6076</v>
      </c>
      <c r="E1733" s="8" t="s">
        <v>13018</v>
      </c>
      <c r="F1733" s="4">
        <v>43360.491898148146</v>
      </c>
      <c r="G1733" s="17" t="s">
        <v>13000</v>
      </c>
      <c r="H1733" s="35" t="s">
        <v>1607</v>
      </c>
      <c r="I1733" s="10" t="s">
        <v>3607</v>
      </c>
    </row>
    <row r="1734" spans="1:9" s="33" customFormat="1" ht="60">
      <c r="A1734" s="4">
        <v>43564.625219907408</v>
      </c>
      <c r="B1734" s="5" t="s">
        <v>14362</v>
      </c>
      <c r="C1734" s="6" t="s">
        <v>3605</v>
      </c>
      <c r="D1734" s="7" t="s">
        <v>6490</v>
      </c>
      <c r="E1734" s="8" t="s">
        <v>13018</v>
      </c>
      <c r="F1734" s="4">
        <v>43360.491898148146</v>
      </c>
      <c r="G1734" s="17" t="s">
        <v>13000</v>
      </c>
      <c r="H1734" s="35" t="s">
        <v>1607</v>
      </c>
      <c r="I1734" s="10" t="s">
        <v>3607</v>
      </c>
    </row>
    <row r="1735" spans="1:9" s="33" customFormat="1" ht="105">
      <c r="A1735" s="4">
        <v>43564.218055555553</v>
      </c>
      <c r="B1735" s="5" t="s">
        <v>14364</v>
      </c>
      <c r="C1735" s="6" t="s">
        <v>6728</v>
      </c>
      <c r="D1735" s="7" t="s">
        <v>6729</v>
      </c>
      <c r="E1735" s="8" t="s">
        <v>13009</v>
      </c>
      <c r="F1735" s="4">
        <v>41300.603564814817</v>
      </c>
      <c r="G1735" s="17" t="s">
        <v>13000</v>
      </c>
      <c r="H1735" s="35" t="s">
        <v>1607</v>
      </c>
      <c r="I1735" s="10" t="s">
        <v>6730</v>
      </c>
    </row>
    <row r="1736" spans="1:9" s="33" customFormat="1" ht="60">
      <c r="A1736" s="4">
        <v>43563.541886574079</v>
      </c>
      <c r="B1736" s="5" t="s">
        <v>14362</v>
      </c>
      <c r="C1736" s="6" t="s">
        <v>3605</v>
      </c>
      <c r="D1736" s="7" t="s">
        <v>10241</v>
      </c>
      <c r="E1736" s="8" t="s">
        <v>13018</v>
      </c>
      <c r="F1736" s="4">
        <v>43360.491898148146</v>
      </c>
      <c r="G1736" s="17" t="s">
        <v>13000</v>
      </c>
      <c r="H1736" s="35" t="s">
        <v>1607</v>
      </c>
      <c r="I1736" s="10" t="s">
        <v>3607</v>
      </c>
    </row>
    <row r="1737" spans="1:9" s="33" customFormat="1" ht="45">
      <c r="A1737" s="4">
        <v>43560.542465277773</v>
      </c>
      <c r="B1737" s="5" t="s">
        <v>14362</v>
      </c>
      <c r="C1737" s="6" t="s">
        <v>3605</v>
      </c>
      <c r="D1737" s="7" t="s">
        <v>11302</v>
      </c>
      <c r="E1737" s="8" t="s">
        <v>13018</v>
      </c>
      <c r="F1737" s="4">
        <v>43360.491898148146</v>
      </c>
      <c r="G1737" s="17" t="s">
        <v>13000</v>
      </c>
      <c r="H1737" s="35" t="s">
        <v>1607</v>
      </c>
      <c r="I1737" s="10" t="s">
        <v>3607</v>
      </c>
    </row>
    <row r="1738" spans="1:9" s="33" customFormat="1" ht="45">
      <c r="A1738" s="4">
        <v>43558.458518518513</v>
      </c>
      <c r="B1738" s="5" t="s">
        <v>14362</v>
      </c>
      <c r="C1738" s="6" t="s">
        <v>3605</v>
      </c>
      <c r="D1738" s="7" t="s">
        <v>12173</v>
      </c>
      <c r="E1738" s="8" t="s">
        <v>13018</v>
      </c>
      <c r="F1738" s="4">
        <v>43360.491898148146</v>
      </c>
      <c r="G1738" s="17" t="s">
        <v>13000</v>
      </c>
      <c r="H1738" s="35" t="s">
        <v>1607</v>
      </c>
      <c r="I1738" s="10" t="s">
        <v>3607</v>
      </c>
    </row>
    <row r="1739" spans="1:9" s="33" customFormat="1" ht="90">
      <c r="A1739" s="4">
        <v>43558.252245370371</v>
      </c>
      <c r="B1739" s="5" t="s">
        <v>14365</v>
      </c>
      <c r="C1739" s="6" t="s">
        <v>12260</v>
      </c>
      <c r="D1739" s="7" t="s">
        <v>12261</v>
      </c>
      <c r="E1739" s="8" t="s">
        <v>13013</v>
      </c>
      <c r="F1739" s="4">
        <v>43468.503368055557</v>
      </c>
      <c r="G1739" s="17" t="s">
        <v>13000</v>
      </c>
      <c r="H1739" s="35" t="s">
        <v>1607</v>
      </c>
      <c r="I1739" s="10" t="s">
        <v>12262</v>
      </c>
    </row>
    <row r="1740" spans="1:9" s="33" customFormat="1" ht="60">
      <c r="A1740" s="4">
        <v>43557.625243055554</v>
      </c>
      <c r="B1740" s="5" t="s">
        <v>14362</v>
      </c>
      <c r="C1740" s="6" t="s">
        <v>3605</v>
      </c>
      <c r="D1740" s="7" t="s">
        <v>12435</v>
      </c>
      <c r="E1740" s="8" t="s">
        <v>13018</v>
      </c>
      <c r="F1740" s="4">
        <v>43360.491898148146</v>
      </c>
      <c r="G1740" s="17" t="s">
        <v>13000</v>
      </c>
      <c r="H1740" s="35" t="s">
        <v>1607</v>
      </c>
      <c r="I1740" s="10" t="s">
        <v>3607</v>
      </c>
    </row>
    <row r="1741" spans="1:9" s="33" customFormat="1" ht="90">
      <c r="A1741" s="12">
        <v>43577.478171296301</v>
      </c>
      <c r="B1741" s="13" t="s">
        <v>14366</v>
      </c>
      <c r="C1741" s="14" t="s">
        <v>1605</v>
      </c>
      <c r="D1741" s="15" t="s">
        <v>1606</v>
      </c>
      <c r="E1741" s="16" t="s">
        <v>13011</v>
      </c>
      <c r="F1741" s="12">
        <v>43452.997523148151</v>
      </c>
      <c r="G1741" s="17" t="s">
        <v>13000</v>
      </c>
      <c r="H1741" s="35" t="s">
        <v>1607</v>
      </c>
      <c r="I1741" s="18" t="s">
        <v>1608</v>
      </c>
    </row>
    <row r="1742" spans="1:9" s="33" customFormat="1" ht="120">
      <c r="A1742" s="12">
        <v>43577.431377314817</v>
      </c>
      <c r="B1742" s="13" t="s">
        <v>14367</v>
      </c>
      <c r="C1742" s="14" t="s">
        <v>1636</v>
      </c>
      <c r="D1742" s="15" t="s">
        <v>1637</v>
      </c>
      <c r="E1742" s="16" t="s">
        <v>13009</v>
      </c>
      <c r="F1742" s="12">
        <v>40098.525810185187</v>
      </c>
      <c r="G1742" s="17" t="s">
        <v>13000</v>
      </c>
      <c r="H1742" s="35" t="s">
        <v>1607</v>
      </c>
      <c r="I1742" s="18" t="s">
        <v>1638</v>
      </c>
    </row>
    <row r="1743" spans="1:9" s="33" customFormat="1" ht="60">
      <c r="A1743" s="12">
        <v>43571.625231481477</v>
      </c>
      <c r="B1743" s="13" t="s">
        <v>14362</v>
      </c>
      <c r="C1743" s="14" t="s">
        <v>3605</v>
      </c>
      <c r="D1743" s="15" t="s">
        <v>3606</v>
      </c>
      <c r="E1743" s="16" t="s">
        <v>13018</v>
      </c>
      <c r="F1743" s="12">
        <v>43360.491898148146</v>
      </c>
      <c r="G1743" s="17" t="s">
        <v>13000</v>
      </c>
      <c r="H1743" s="35" t="s">
        <v>1607</v>
      </c>
      <c r="I1743" s="18" t="s">
        <v>3607</v>
      </c>
    </row>
    <row r="1744" spans="1:9" s="33" customFormat="1" ht="45">
      <c r="A1744" s="12">
        <v>43567.542615740742</v>
      </c>
      <c r="B1744" s="13" t="s">
        <v>14362</v>
      </c>
      <c r="C1744" s="14" t="s">
        <v>3605</v>
      </c>
      <c r="D1744" s="15" t="s">
        <v>5057</v>
      </c>
      <c r="E1744" s="16" t="s">
        <v>13018</v>
      </c>
      <c r="F1744" s="12">
        <v>43360.491898148146</v>
      </c>
      <c r="G1744" s="17" t="s">
        <v>13000</v>
      </c>
      <c r="H1744" s="35" t="s">
        <v>1607</v>
      </c>
      <c r="I1744" s="18" t="s">
        <v>3607</v>
      </c>
    </row>
    <row r="1745" spans="1:9" s="33" customFormat="1" ht="60">
      <c r="A1745" s="12">
        <v>43566.334062499998</v>
      </c>
      <c r="B1745" s="13" t="s">
        <v>14362</v>
      </c>
      <c r="C1745" s="14" t="s">
        <v>3605</v>
      </c>
      <c r="D1745" s="15" t="s">
        <v>5647</v>
      </c>
      <c r="E1745" s="16" t="s">
        <v>13018</v>
      </c>
      <c r="F1745" s="12">
        <v>43360.491898148146</v>
      </c>
      <c r="G1745" s="17" t="s">
        <v>13000</v>
      </c>
      <c r="H1745" s="35" t="s">
        <v>1607</v>
      </c>
      <c r="I1745" s="18" t="s">
        <v>3607</v>
      </c>
    </row>
    <row r="1746" spans="1:9" s="33" customFormat="1" ht="105">
      <c r="A1746" s="12">
        <v>43573.831134259264</v>
      </c>
      <c r="B1746" s="13" t="s">
        <v>14368</v>
      </c>
      <c r="C1746" s="14" t="s">
        <v>2723</v>
      </c>
      <c r="D1746" s="15" t="s">
        <v>2724</v>
      </c>
      <c r="E1746" s="16" t="s">
        <v>13011</v>
      </c>
      <c r="F1746" s="12">
        <v>41997.689618055556</v>
      </c>
      <c r="G1746" s="17" t="s">
        <v>13000</v>
      </c>
      <c r="H1746" s="35" t="s">
        <v>2725</v>
      </c>
      <c r="I1746" s="18" t="s">
        <v>2726</v>
      </c>
    </row>
    <row r="1747" spans="1:9" s="33" customFormat="1" ht="105">
      <c r="A1747" s="12">
        <v>43571.414861111116</v>
      </c>
      <c r="B1747" s="13" t="s">
        <v>14369</v>
      </c>
      <c r="C1747" s="14" t="s">
        <v>3677</v>
      </c>
      <c r="D1747" s="15" t="s">
        <v>3678</v>
      </c>
      <c r="E1747" s="16" t="s">
        <v>14370</v>
      </c>
      <c r="F1747" s="12">
        <v>39944.575914351852</v>
      </c>
      <c r="G1747" s="17" t="s">
        <v>13000</v>
      </c>
      <c r="H1747" s="35" t="s">
        <v>3679</v>
      </c>
      <c r="I1747" s="18" t="s">
        <v>3680</v>
      </c>
    </row>
    <row r="1748" spans="1:9" s="33" customFormat="1" ht="105">
      <c r="A1748" s="4">
        <v>43559.443749999999</v>
      </c>
      <c r="B1748" s="5" t="s">
        <v>14371</v>
      </c>
      <c r="C1748" s="6" t="s">
        <v>11834</v>
      </c>
      <c r="D1748" s="7" t="s">
        <v>11835</v>
      </c>
      <c r="E1748" s="8" t="s">
        <v>13120</v>
      </c>
      <c r="F1748" s="4">
        <v>40068.75372685185</v>
      </c>
      <c r="G1748" s="24" t="s">
        <v>13000</v>
      </c>
      <c r="H1748" s="35" t="s">
        <v>11836</v>
      </c>
      <c r="I1748" s="10" t="s">
        <v>11837</v>
      </c>
    </row>
    <row r="1749" spans="1:9" s="33" customFormat="1" ht="105">
      <c r="A1749" s="4">
        <v>43558.443749999999</v>
      </c>
      <c r="B1749" s="5" t="s">
        <v>14371</v>
      </c>
      <c r="C1749" s="6" t="s">
        <v>11834</v>
      </c>
      <c r="D1749" s="7" t="s">
        <v>12188</v>
      </c>
      <c r="E1749" s="8" t="s">
        <v>13120</v>
      </c>
      <c r="F1749" s="4">
        <v>40068.75372685185</v>
      </c>
      <c r="G1749" s="24" t="s">
        <v>13000</v>
      </c>
      <c r="H1749" s="35" t="s">
        <v>11836</v>
      </c>
      <c r="I1749" s="10" t="s">
        <v>11837</v>
      </c>
    </row>
    <row r="1750" spans="1:9" s="33" customFormat="1" ht="105">
      <c r="A1750" s="19">
        <v>43550.37222222222</v>
      </c>
      <c r="B1750" s="20" t="s">
        <v>14372</v>
      </c>
      <c r="C1750" s="21" t="s">
        <v>7701</v>
      </c>
      <c r="D1750" s="22" t="s">
        <v>7702</v>
      </c>
      <c r="E1750" s="23" t="s">
        <v>13120</v>
      </c>
      <c r="F1750" s="19">
        <v>40069.443969907406</v>
      </c>
      <c r="G1750" s="24" t="s">
        <v>13000</v>
      </c>
      <c r="H1750" s="35" t="s">
        <v>7703</v>
      </c>
      <c r="I1750" s="25" t="s">
        <v>7704</v>
      </c>
    </row>
    <row r="1751" spans="1:9" s="33" customFormat="1" ht="120">
      <c r="A1751" s="4">
        <v>43559.604861111111</v>
      </c>
      <c r="B1751" s="5" t="s">
        <v>14373</v>
      </c>
      <c r="C1751" s="6" t="s">
        <v>11745</v>
      </c>
      <c r="D1751" s="7" t="s">
        <v>11746</v>
      </c>
      <c r="E1751" s="8" t="s">
        <v>13120</v>
      </c>
      <c r="F1751" s="4">
        <v>40069.41479166667</v>
      </c>
      <c r="G1751" s="24" t="s">
        <v>13000</v>
      </c>
      <c r="H1751" s="35" t="s">
        <v>11747</v>
      </c>
      <c r="I1751" s="10" t="s">
        <v>11748</v>
      </c>
    </row>
    <row r="1752" spans="1:9" s="33" customFormat="1" ht="120">
      <c r="A1752" s="4">
        <v>43558.604861111111</v>
      </c>
      <c r="B1752" s="5" t="s">
        <v>14373</v>
      </c>
      <c r="C1752" s="6" t="s">
        <v>11745</v>
      </c>
      <c r="D1752" s="7" t="s">
        <v>12102</v>
      </c>
      <c r="E1752" s="8" t="s">
        <v>13120</v>
      </c>
      <c r="F1752" s="4">
        <v>40069.41479166667</v>
      </c>
      <c r="G1752" s="24" t="s">
        <v>13000</v>
      </c>
      <c r="H1752" s="35" t="s">
        <v>11747</v>
      </c>
      <c r="I1752" s="10" t="s">
        <v>11748</v>
      </c>
    </row>
    <row r="1753" spans="1:9" s="33" customFormat="1" ht="120">
      <c r="A1753" s="19">
        <v>43547.4375</v>
      </c>
      <c r="B1753" s="20" t="s">
        <v>14374</v>
      </c>
      <c r="C1753" s="21" t="s">
        <v>8544</v>
      </c>
      <c r="D1753" s="22" t="s">
        <v>8545</v>
      </c>
      <c r="E1753" s="23" t="s">
        <v>13032</v>
      </c>
      <c r="F1753" s="19">
        <v>42605.804247685184</v>
      </c>
      <c r="G1753" s="24" t="s">
        <v>13000</v>
      </c>
      <c r="H1753" s="35" t="s">
        <v>8546</v>
      </c>
      <c r="I1753" s="25" t="s">
        <v>8547</v>
      </c>
    </row>
    <row r="1754" spans="1:9" s="33" customFormat="1" ht="105">
      <c r="A1754" s="4">
        <v>43563.598437499997</v>
      </c>
      <c r="B1754" s="5" t="s">
        <v>14375</v>
      </c>
      <c r="C1754" s="6" t="s">
        <v>6946</v>
      </c>
      <c r="D1754" s="7" t="s">
        <v>6947</v>
      </c>
      <c r="E1754" s="8" t="s">
        <v>13009</v>
      </c>
      <c r="F1754" s="4">
        <v>42537.458680555559</v>
      </c>
      <c r="G1754" s="24" t="s">
        <v>13000</v>
      </c>
      <c r="H1754" s="35" t="s">
        <v>6948</v>
      </c>
      <c r="I1754" s="10" t="s">
        <v>6949</v>
      </c>
    </row>
    <row r="1755" spans="1:9" s="33" customFormat="1" ht="45">
      <c r="A1755" s="19">
        <v>43551.741886574076</v>
      </c>
      <c r="B1755" s="20" t="s">
        <v>14376</v>
      </c>
      <c r="C1755" s="21" t="s">
        <v>7012</v>
      </c>
      <c r="D1755" s="22" t="s">
        <v>7013</v>
      </c>
      <c r="E1755" s="23" t="s">
        <v>13032</v>
      </c>
      <c r="F1755" s="19">
        <v>39757.874606481484</v>
      </c>
      <c r="G1755" s="24" t="s">
        <v>13000</v>
      </c>
      <c r="H1755" s="35" t="s">
        <v>7014</v>
      </c>
      <c r="I1755" s="25" t="s">
        <v>7015</v>
      </c>
    </row>
    <row r="1756" spans="1:9" s="33" customFormat="1" ht="90">
      <c r="A1756" s="19">
        <v>43547.233680555553</v>
      </c>
      <c r="B1756" s="20" t="s">
        <v>14377</v>
      </c>
      <c r="C1756" s="21" t="s">
        <v>8621</v>
      </c>
      <c r="D1756" s="22" t="s">
        <v>8622</v>
      </c>
      <c r="E1756" s="23" t="s">
        <v>13032</v>
      </c>
      <c r="F1756" s="19">
        <v>39743.513252314813</v>
      </c>
      <c r="G1756" s="24" t="s">
        <v>13000</v>
      </c>
      <c r="H1756" s="35" t="s">
        <v>8623</v>
      </c>
      <c r="I1756" s="25" t="s">
        <v>8624</v>
      </c>
    </row>
    <row r="1757" spans="1:9" s="33" customFormat="1" ht="75">
      <c r="A1757" s="4">
        <v>43561.122037037036</v>
      </c>
      <c r="B1757" s="5" t="s">
        <v>14378</v>
      </c>
      <c r="C1757" s="6" t="s">
        <v>11060</v>
      </c>
      <c r="D1757" s="7" t="s">
        <v>11061</v>
      </c>
      <c r="E1757" s="8" t="s">
        <v>13009</v>
      </c>
      <c r="F1757" s="4">
        <v>41586.823182870372</v>
      </c>
      <c r="G1757" s="9" t="s">
        <v>13000</v>
      </c>
      <c r="H1757" s="35" t="s">
        <v>11062</v>
      </c>
      <c r="I1757" s="10" t="s">
        <v>11063</v>
      </c>
    </row>
    <row r="1758" spans="1:9" s="33" customFormat="1" ht="90">
      <c r="A1758" s="12">
        <v>43573.796539351853</v>
      </c>
      <c r="B1758" s="13" t="s">
        <v>14379</v>
      </c>
      <c r="C1758" s="14" t="s">
        <v>2738</v>
      </c>
      <c r="D1758" s="15" t="s">
        <v>2739</v>
      </c>
      <c r="E1758" s="16" t="s">
        <v>13034</v>
      </c>
      <c r="F1758" s="12">
        <v>40920.28365740741</v>
      </c>
      <c r="G1758" s="17" t="s">
        <v>13000</v>
      </c>
      <c r="H1758" s="35" t="s">
        <v>2740</v>
      </c>
      <c r="I1758" s="18" t="s">
        <v>2741</v>
      </c>
    </row>
    <row r="1759" spans="1:9" s="33" customFormat="1" ht="90">
      <c r="A1759" s="12">
        <v>43569.796550925923</v>
      </c>
      <c r="B1759" s="13" t="s">
        <v>14379</v>
      </c>
      <c r="C1759" s="14" t="s">
        <v>2738</v>
      </c>
      <c r="D1759" s="15" t="s">
        <v>4409</v>
      </c>
      <c r="E1759" s="16" t="s">
        <v>13034</v>
      </c>
      <c r="F1759" s="12">
        <v>40920.28365740741</v>
      </c>
      <c r="G1759" s="17" t="s">
        <v>13000</v>
      </c>
      <c r="H1759" s="35" t="s">
        <v>2740</v>
      </c>
      <c r="I1759" s="18" t="s">
        <v>2741</v>
      </c>
    </row>
    <row r="1760" spans="1:9" s="33" customFormat="1" ht="105">
      <c r="A1760" s="12">
        <v>43571.381944444445</v>
      </c>
      <c r="B1760" s="13" t="s">
        <v>14380</v>
      </c>
      <c r="C1760" s="14" t="s">
        <v>3699</v>
      </c>
      <c r="D1760" s="15" t="s">
        <v>3700</v>
      </c>
      <c r="E1760" s="16" t="s">
        <v>13443</v>
      </c>
      <c r="F1760" s="12">
        <v>40364.481712962966</v>
      </c>
      <c r="G1760" s="17" t="s">
        <v>13000</v>
      </c>
      <c r="H1760" s="35" t="s">
        <v>3701</v>
      </c>
      <c r="I1760" s="18" t="s">
        <v>3702</v>
      </c>
    </row>
    <row r="1761" spans="1:9" s="33" customFormat="1" ht="120">
      <c r="A1761" s="12">
        <v>43568.287546296298</v>
      </c>
      <c r="B1761" s="13" t="s">
        <v>14381</v>
      </c>
      <c r="C1761" s="14" t="s">
        <v>4819</v>
      </c>
      <c r="D1761" s="15" t="s">
        <v>4820</v>
      </c>
      <c r="E1761" s="16" t="s">
        <v>13009</v>
      </c>
      <c r="F1761" s="12">
        <v>40183.832627314812</v>
      </c>
      <c r="G1761" s="9" t="s">
        <v>13000</v>
      </c>
      <c r="H1761" s="35" t="s">
        <v>4821</v>
      </c>
      <c r="I1761" s="18" t="s">
        <v>4822</v>
      </c>
    </row>
    <row r="1762" spans="1:9" s="33" customFormat="1" ht="90">
      <c r="A1762" s="4">
        <v>43556.70175925926</v>
      </c>
      <c r="B1762" s="5" t="s">
        <v>14382</v>
      </c>
      <c r="C1762" s="6" t="s">
        <v>12767</v>
      </c>
      <c r="D1762" s="7" t="s">
        <v>12768</v>
      </c>
      <c r="E1762" s="8" t="s">
        <v>13011</v>
      </c>
      <c r="F1762" s="4">
        <v>43239.653182870374</v>
      </c>
      <c r="G1762" s="9" t="s">
        <v>13000</v>
      </c>
      <c r="H1762" s="35" t="s">
        <v>12769</v>
      </c>
      <c r="I1762" s="10" t="s">
        <v>12770</v>
      </c>
    </row>
    <row r="1763" spans="1:9" s="33" customFormat="1" ht="90">
      <c r="A1763" s="12">
        <v>43570.429409722223</v>
      </c>
      <c r="B1763" s="13" t="s">
        <v>14383</v>
      </c>
      <c r="C1763" s="14" t="s">
        <v>4155</v>
      </c>
      <c r="D1763" s="15" t="s">
        <v>4156</v>
      </c>
      <c r="E1763" s="16" t="s">
        <v>13099</v>
      </c>
      <c r="F1763" s="12">
        <v>39921.349444444444</v>
      </c>
      <c r="G1763" s="17" t="s">
        <v>13000</v>
      </c>
      <c r="H1763" s="35" t="s">
        <v>4157</v>
      </c>
      <c r="I1763" s="18" t="s">
        <v>4158</v>
      </c>
    </row>
    <row r="1764" spans="1:9" s="33" customFormat="1" ht="45">
      <c r="A1764" s="4">
        <v>43560.314236111109</v>
      </c>
      <c r="B1764" s="5" t="s">
        <v>14384</v>
      </c>
      <c r="C1764" s="6" t="s">
        <v>11454</v>
      </c>
      <c r="D1764" s="7" t="s">
        <v>11455</v>
      </c>
      <c r="E1764" s="8" t="s">
        <v>13009</v>
      </c>
      <c r="F1764" s="4">
        <v>43557.694988425923</v>
      </c>
      <c r="G1764" s="17" t="s">
        <v>13000</v>
      </c>
      <c r="H1764" s="35" t="s">
        <v>11456</v>
      </c>
      <c r="I1764" s="10" t="s">
        <v>11457</v>
      </c>
    </row>
    <row r="1765" spans="1:9" s="33" customFormat="1" ht="150">
      <c r="A1765" s="12">
        <v>43566.363865740743</v>
      </c>
      <c r="B1765" s="13" t="s">
        <v>14385</v>
      </c>
      <c r="C1765" s="14" t="s">
        <v>5612</v>
      </c>
      <c r="D1765" s="15" t="s">
        <v>5613</v>
      </c>
      <c r="E1765" s="16" t="s">
        <v>13013</v>
      </c>
      <c r="F1765" s="12">
        <v>40793.545995370368</v>
      </c>
      <c r="G1765" s="17" t="s">
        <v>13000</v>
      </c>
      <c r="H1765" s="35" t="s">
        <v>5614</v>
      </c>
      <c r="I1765" s="18" t="s">
        <v>5615</v>
      </c>
    </row>
    <row r="1766" spans="1:9" s="33" customFormat="1" ht="105">
      <c r="A1766" s="19">
        <v>43549.406377314815</v>
      </c>
      <c r="B1766" s="20" t="s">
        <v>14386</v>
      </c>
      <c r="C1766" s="21" t="s">
        <v>8051</v>
      </c>
      <c r="D1766" s="22" t="s">
        <v>8052</v>
      </c>
      <c r="E1766" s="23" t="s">
        <v>13018</v>
      </c>
      <c r="F1766" s="19">
        <v>40886.346875000003</v>
      </c>
      <c r="G1766" s="17" t="s">
        <v>13000</v>
      </c>
      <c r="H1766" s="35" t="s">
        <v>10</v>
      </c>
      <c r="I1766" s="25" t="s">
        <v>8053</v>
      </c>
    </row>
    <row r="1767" spans="1:9" s="33" customFormat="1" ht="60">
      <c r="A1767" s="4">
        <v>43562.791365740741</v>
      </c>
      <c r="B1767" s="5" t="s">
        <v>14387</v>
      </c>
      <c r="C1767" s="6" t="s">
        <v>1821</v>
      </c>
      <c r="D1767" s="7" t="s">
        <v>10583</v>
      </c>
      <c r="E1767" s="8" t="s">
        <v>13013</v>
      </c>
      <c r="F1767" s="4">
        <v>43540.598298611112</v>
      </c>
      <c r="G1767" s="17" t="s">
        <v>13000</v>
      </c>
      <c r="H1767" s="35" t="s">
        <v>10</v>
      </c>
      <c r="I1767" s="10" t="s">
        <v>1823</v>
      </c>
    </row>
    <row r="1768" spans="1:9" s="33" customFormat="1" ht="120">
      <c r="A1768" s="4">
        <v>43560.795798611114</v>
      </c>
      <c r="B1768" s="5" t="s">
        <v>14388</v>
      </c>
      <c r="C1768" s="6" t="s">
        <v>3521</v>
      </c>
      <c r="D1768" s="7" t="s">
        <v>11159</v>
      </c>
      <c r="E1768" s="8" t="s">
        <v>13011</v>
      </c>
      <c r="F1768" s="4">
        <v>40610.769074074073</v>
      </c>
      <c r="G1768" s="17" t="s">
        <v>13000</v>
      </c>
      <c r="H1768" s="35" t="s">
        <v>10</v>
      </c>
      <c r="I1768" s="10" t="s">
        <v>3523</v>
      </c>
    </row>
    <row r="1769" spans="1:9" s="33" customFormat="1" ht="105">
      <c r="A1769" s="4">
        <v>43560.781030092592</v>
      </c>
      <c r="B1769" s="5" t="s">
        <v>14389</v>
      </c>
      <c r="C1769" s="6" t="s">
        <v>11163</v>
      </c>
      <c r="D1769" s="7" t="s">
        <v>11164</v>
      </c>
      <c r="E1769" s="8" t="s">
        <v>13011</v>
      </c>
      <c r="F1769" s="4">
        <v>39831.783078703702</v>
      </c>
      <c r="G1769" s="17" t="s">
        <v>13000</v>
      </c>
      <c r="H1769" s="35" t="s">
        <v>10</v>
      </c>
      <c r="I1769" s="10" t="s">
        <v>11165</v>
      </c>
    </row>
    <row r="1770" spans="1:9" s="33" customFormat="1" ht="60">
      <c r="A1770" s="4">
        <v>43560.745601851857</v>
      </c>
      <c r="B1770" s="5" t="s">
        <v>14387</v>
      </c>
      <c r="C1770" s="6" t="s">
        <v>1821</v>
      </c>
      <c r="D1770" s="7" t="s">
        <v>11204</v>
      </c>
      <c r="E1770" s="8" t="s">
        <v>13013</v>
      </c>
      <c r="F1770" s="4">
        <v>43540.598298611112</v>
      </c>
      <c r="G1770" s="17" t="s">
        <v>13000</v>
      </c>
      <c r="H1770" s="35" t="s">
        <v>10</v>
      </c>
      <c r="I1770" s="10" t="s">
        <v>1823</v>
      </c>
    </row>
    <row r="1771" spans="1:9" s="33" customFormat="1" ht="75">
      <c r="A1771" s="4">
        <v>43559.709398148145</v>
      </c>
      <c r="B1771" s="5" t="s">
        <v>14390</v>
      </c>
      <c r="C1771" s="6" t="s">
        <v>11707</v>
      </c>
      <c r="D1771" s="7" t="s">
        <v>11708</v>
      </c>
      <c r="E1771" s="8" t="s">
        <v>13011</v>
      </c>
      <c r="F1771" s="4">
        <v>39875.273530092592</v>
      </c>
      <c r="G1771" s="17" t="s">
        <v>13000</v>
      </c>
      <c r="H1771" s="35" t="s">
        <v>10</v>
      </c>
      <c r="I1771" s="10" t="s">
        <v>11709</v>
      </c>
    </row>
    <row r="1772" spans="1:9" s="33" customFormat="1" ht="60">
      <c r="A1772" s="4">
        <v>43557.811041666668</v>
      </c>
      <c r="B1772" s="5" t="s">
        <v>14387</v>
      </c>
      <c r="C1772" s="6" t="s">
        <v>1821</v>
      </c>
      <c r="D1772" s="7" t="s">
        <v>12389</v>
      </c>
      <c r="E1772" s="8" t="s">
        <v>13013</v>
      </c>
      <c r="F1772" s="4">
        <v>43540.598298611112</v>
      </c>
      <c r="G1772" s="17" t="s">
        <v>13000</v>
      </c>
      <c r="H1772" s="35" t="s">
        <v>10</v>
      </c>
      <c r="I1772" s="10" t="s">
        <v>1823</v>
      </c>
    </row>
    <row r="1773" spans="1:9" s="33" customFormat="1" ht="75">
      <c r="A1773" s="12">
        <v>43580.859525462962</v>
      </c>
      <c r="B1773" s="13" t="s">
        <v>14391</v>
      </c>
      <c r="C1773" s="14" t="s">
        <v>8</v>
      </c>
      <c r="D1773" s="15" t="s">
        <v>9</v>
      </c>
      <c r="E1773" s="16" t="s">
        <v>13013</v>
      </c>
      <c r="F1773" s="12">
        <v>39876.634143518517</v>
      </c>
      <c r="G1773" s="17" t="s">
        <v>13000</v>
      </c>
      <c r="H1773" s="35" t="s">
        <v>10</v>
      </c>
      <c r="I1773" s="18" t="s">
        <v>11</v>
      </c>
    </row>
    <row r="1774" spans="1:9" s="33" customFormat="1" ht="90">
      <c r="A1774" s="12">
        <v>43576.821493055555</v>
      </c>
      <c r="B1774" s="13" t="s">
        <v>14387</v>
      </c>
      <c r="C1774" s="14" t="s">
        <v>1821</v>
      </c>
      <c r="D1774" s="15" t="s">
        <v>1822</v>
      </c>
      <c r="E1774" s="16" t="s">
        <v>13013</v>
      </c>
      <c r="F1774" s="12">
        <v>43540.598298611112</v>
      </c>
      <c r="G1774" s="17" t="s">
        <v>13000</v>
      </c>
      <c r="H1774" s="35" t="s">
        <v>10</v>
      </c>
      <c r="I1774" s="18" t="s">
        <v>1823</v>
      </c>
    </row>
    <row r="1775" spans="1:9" s="33" customFormat="1" ht="120">
      <c r="A1775" s="12">
        <v>43571.848240740743</v>
      </c>
      <c r="B1775" s="13" t="s">
        <v>14388</v>
      </c>
      <c r="C1775" s="14" t="s">
        <v>3521</v>
      </c>
      <c r="D1775" s="15" t="s">
        <v>3522</v>
      </c>
      <c r="E1775" s="16" t="s">
        <v>13011</v>
      </c>
      <c r="F1775" s="12">
        <v>40610.769074074073</v>
      </c>
      <c r="G1775" s="17" t="s">
        <v>13000</v>
      </c>
      <c r="H1775" s="35" t="s">
        <v>10</v>
      </c>
      <c r="I1775" s="18" t="s">
        <v>3523</v>
      </c>
    </row>
    <row r="1776" spans="1:9" s="33" customFormat="1" ht="90">
      <c r="A1776" s="12">
        <v>43568.673321759255</v>
      </c>
      <c r="B1776" s="13" t="s">
        <v>14392</v>
      </c>
      <c r="C1776" s="14" t="s">
        <v>4668</v>
      </c>
      <c r="D1776" s="15" t="s">
        <v>4669</v>
      </c>
      <c r="E1776" s="16" t="s">
        <v>13009</v>
      </c>
      <c r="F1776" s="12">
        <v>42921.869039351848</v>
      </c>
      <c r="G1776" s="17" t="s">
        <v>13000</v>
      </c>
      <c r="H1776" s="35" t="s">
        <v>10</v>
      </c>
      <c r="I1776" s="18" t="s">
        <v>4670</v>
      </c>
    </row>
    <row r="1777" spans="1:9" s="33" customFormat="1" ht="120">
      <c r="A1777" s="12">
        <v>43567.285810185189</v>
      </c>
      <c r="B1777" s="13" t="s">
        <v>14393</v>
      </c>
      <c r="C1777" s="14" t="s">
        <v>5184</v>
      </c>
      <c r="D1777" s="15" t="s">
        <v>5185</v>
      </c>
      <c r="E1777" s="16" t="s">
        <v>13011</v>
      </c>
      <c r="F1777" s="12">
        <v>40753.377013888887</v>
      </c>
      <c r="G1777" s="17" t="s">
        <v>13000</v>
      </c>
      <c r="H1777" s="35" t="s">
        <v>10</v>
      </c>
      <c r="I1777" s="18" t="s">
        <v>5186</v>
      </c>
    </row>
    <row r="1778" spans="1:9" s="33" customFormat="1" ht="60">
      <c r="A1778" s="19">
        <v>43545.794583333336</v>
      </c>
      <c r="B1778" s="20" t="s">
        <v>14394</v>
      </c>
      <c r="C1778" s="21" t="s">
        <v>9047</v>
      </c>
      <c r="D1778" s="22" t="s">
        <v>9048</v>
      </c>
      <c r="E1778" s="23" t="s">
        <v>13011</v>
      </c>
      <c r="F1778" s="19">
        <v>40564.936608796299</v>
      </c>
      <c r="G1778" s="17" t="s">
        <v>13000</v>
      </c>
      <c r="H1778" s="35" t="s">
        <v>9049</v>
      </c>
      <c r="I1778" s="25" t="s">
        <v>9050</v>
      </c>
    </row>
    <row r="1779" spans="1:9" s="33" customFormat="1" ht="75">
      <c r="A1779" s="12">
        <v>43575.62600694444</v>
      </c>
      <c r="B1779" s="13" t="s">
        <v>14395</v>
      </c>
      <c r="C1779" s="14" t="s">
        <v>2157</v>
      </c>
      <c r="D1779" s="15" t="s">
        <v>2158</v>
      </c>
      <c r="E1779" s="16" t="s">
        <v>13011</v>
      </c>
      <c r="F1779" s="12">
        <v>39886.694976851853</v>
      </c>
      <c r="G1779" s="17" t="s">
        <v>13000</v>
      </c>
      <c r="H1779" s="35" t="s">
        <v>2159</v>
      </c>
      <c r="I1779" s="18" t="s">
        <v>2160</v>
      </c>
    </row>
    <row r="1780" spans="1:9" s="33" customFormat="1" ht="105">
      <c r="A1780" s="12">
        <v>43569.362349537041</v>
      </c>
      <c r="B1780" s="13" t="s">
        <v>14396</v>
      </c>
      <c r="C1780" s="14" t="s">
        <v>4537</v>
      </c>
      <c r="D1780" s="15" t="s">
        <v>4538</v>
      </c>
      <c r="E1780" s="16" t="s">
        <v>13011</v>
      </c>
      <c r="F1780" s="12">
        <v>39751.746527777781</v>
      </c>
      <c r="G1780" s="17" t="s">
        <v>13000</v>
      </c>
      <c r="H1780" s="35" t="s">
        <v>4539</v>
      </c>
      <c r="I1780" s="18" t="s">
        <v>4540</v>
      </c>
    </row>
    <row r="1781" spans="1:9" s="33" customFormat="1" ht="105">
      <c r="A1781" s="12">
        <v>43567.424884259264</v>
      </c>
      <c r="B1781" s="13" t="s">
        <v>14396</v>
      </c>
      <c r="C1781" s="14" t="s">
        <v>4537</v>
      </c>
      <c r="D1781" s="15" t="s">
        <v>5107</v>
      </c>
      <c r="E1781" s="16" t="s">
        <v>13011</v>
      </c>
      <c r="F1781" s="12">
        <v>39751.746527777781</v>
      </c>
      <c r="G1781" s="17" t="s">
        <v>13000</v>
      </c>
      <c r="H1781" s="35" t="s">
        <v>4539</v>
      </c>
      <c r="I1781" s="18" t="s">
        <v>4540</v>
      </c>
    </row>
    <row r="1782" spans="1:9" s="33" customFormat="1" ht="60">
      <c r="A1782" s="12">
        <v>43577.671736111108</v>
      </c>
      <c r="B1782" s="13" t="s">
        <v>14397</v>
      </c>
      <c r="C1782" s="14" t="s">
        <v>1527</v>
      </c>
      <c r="D1782" s="15" t="s">
        <v>1528</v>
      </c>
      <c r="E1782" s="16" t="s">
        <v>13011</v>
      </c>
      <c r="F1782" s="12">
        <v>39192.705324074072</v>
      </c>
      <c r="G1782" s="17" t="s">
        <v>13000</v>
      </c>
      <c r="H1782" s="35" t="s">
        <v>1529</v>
      </c>
      <c r="I1782" s="18" t="s">
        <v>1530</v>
      </c>
    </row>
    <row r="1783" spans="1:9" s="33" customFormat="1" ht="75">
      <c r="A1783" s="19">
        <v>43551.271481481483</v>
      </c>
      <c r="B1783" s="20" t="s">
        <v>14398</v>
      </c>
      <c r="C1783" s="21" t="s">
        <v>7362</v>
      </c>
      <c r="D1783" s="22" t="s">
        <v>7363</v>
      </c>
      <c r="E1783" s="23" t="s">
        <v>13013</v>
      </c>
      <c r="F1783" s="19">
        <v>40985.849212962959</v>
      </c>
      <c r="G1783" s="17" t="s">
        <v>13000</v>
      </c>
      <c r="H1783" s="35" t="s">
        <v>4127</v>
      </c>
      <c r="I1783" s="25" t="s">
        <v>7364</v>
      </c>
    </row>
    <row r="1784" spans="1:9" s="33" customFormat="1" ht="90">
      <c r="A1784" s="19">
        <v>43549.895694444444</v>
      </c>
      <c r="B1784" s="20" t="s">
        <v>14399</v>
      </c>
      <c r="C1784" s="21" t="s">
        <v>7877</v>
      </c>
      <c r="D1784" s="22" t="s">
        <v>7878</v>
      </c>
      <c r="E1784" s="23" t="s">
        <v>13009</v>
      </c>
      <c r="F1784" s="19">
        <v>42486.417858796296</v>
      </c>
      <c r="G1784" s="17" t="s">
        <v>13000</v>
      </c>
      <c r="H1784" s="35" t="s">
        <v>4127</v>
      </c>
      <c r="I1784" s="25" t="s">
        <v>7879</v>
      </c>
    </row>
    <row r="1785" spans="1:9" s="33" customFormat="1" ht="105">
      <c r="A1785" s="19">
        <v>43545.436307870375</v>
      </c>
      <c r="B1785" s="20" t="s">
        <v>14400</v>
      </c>
      <c r="C1785" s="21" t="s">
        <v>9131</v>
      </c>
      <c r="D1785" s="22" t="s">
        <v>9132</v>
      </c>
      <c r="E1785" s="23" t="s">
        <v>13009</v>
      </c>
      <c r="F1785" s="19">
        <v>41680.774675925924</v>
      </c>
      <c r="G1785" s="17" t="s">
        <v>13000</v>
      </c>
      <c r="H1785" s="35" t="s">
        <v>4127</v>
      </c>
      <c r="I1785" s="25" t="s">
        <v>9133</v>
      </c>
    </row>
    <row r="1786" spans="1:9" s="33" customFormat="1" ht="75">
      <c r="A1786" s="19">
        <v>43543.62709490741</v>
      </c>
      <c r="B1786" s="20" t="s">
        <v>14401</v>
      </c>
      <c r="C1786" s="21" t="s">
        <v>9729</v>
      </c>
      <c r="D1786" s="22" t="s">
        <v>9730</v>
      </c>
      <c r="E1786" s="23" t="s">
        <v>13034</v>
      </c>
      <c r="F1786" s="19">
        <v>43279.689108796301</v>
      </c>
      <c r="G1786" s="17" t="s">
        <v>13000</v>
      </c>
      <c r="H1786" s="35" t="s">
        <v>4127</v>
      </c>
      <c r="I1786" s="25" t="s">
        <v>9731</v>
      </c>
    </row>
    <row r="1787" spans="1:9" s="33" customFormat="1" ht="105">
      <c r="A1787" s="4">
        <v>43559.616875</v>
      </c>
      <c r="B1787" s="5" t="s">
        <v>14402</v>
      </c>
      <c r="C1787" s="6" t="s">
        <v>11733</v>
      </c>
      <c r="D1787" s="7" t="s">
        <v>11734</v>
      </c>
      <c r="E1787" s="8" t="s">
        <v>13009</v>
      </c>
      <c r="F1787" s="4">
        <v>41297.641284722224</v>
      </c>
      <c r="G1787" s="17" t="s">
        <v>13000</v>
      </c>
      <c r="H1787" s="35" t="s">
        <v>4127</v>
      </c>
      <c r="I1787" s="10" t="s">
        <v>11735</v>
      </c>
    </row>
    <row r="1788" spans="1:9" s="33" customFormat="1" ht="30">
      <c r="A1788" s="12">
        <v>43570.467905092592</v>
      </c>
      <c r="B1788" s="13" t="s">
        <v>14403</v>
      </c>
      <c r="C1788" s="14" t="s">
        <v>4125</v>
      </c>
      <c r="D1788" s="15" t="s">
        <v>4126</v>
      </c>
      <c r="E1788" s="16" t="s">
        <v>13011</v>
      </c>
      <c r="F1788" s="12">
        <v>40729.828657407408</v>
      </c>
      <c r="G1788" s="17" t="s">
        <v>13000</v>
      </c>
      <c r="H1788" s="35" t="s">
        <v>4127</v>
      </c>
      <c r="I1788" s="18" t="s">
        <v>4128</v>
      </c>
    </row>
    <row r="1789" spans="1:9" s="33" customFormat="1" ht="45">
      <c r="A1789" s="12">
        <v>43565.759039351848</v>
      </c>
      <c r="B1789" s="13" t="s">
        <v>14404</v>
      </c>
      <c r="C1789" s="14" t="s">
        <v>5912</v>
      </c>
      <c r="D1789" s="15" t="s">
        <v>5913</v>
      </c>
      <c r="E1789" s="16" t="s">
        <v>13009</v>
      </c>
      <c r="F1789" s="12">
        <v>40119.269282407404</v>
      </c>
      <c r="G1789" s="17" t="s">
        <v>13000</v>
      </c>
      <c r="H1789" s="35" t="s">
        <v>5914</v>
      </c>
      <c r="I1789" s="18" t="s">
        <v>5915</v>
      </c>
    </row>
    <row r="1790" spans="1:9" s="33" customFormat="1" ht="105">
      <c r="A1790" s="12">
        <v>43578.739907407406</v>
      </c>
      <c r="B1790" s="13" t="s">
        <v>14405</v>
      </c>
      <c r="C1790" s="14" t="s">
        <v>1053</v>
      </c>
      <c r="D1790" s="15" t="s">
        <v>1054</v>
      </c>
      <c r="E1790" s="16" t="s">
        <v>13006</v>
      </c>
      <c r="F1790" s="12">
        <v>41328.514293981483</v>
      </c>
      <c r="G1790" s="17" t="s">
        <v>13000</v>
      </c>
      <c r="H1790" s="35" t="s">
        <v>1055</v>
      </c>
      <c r="I1790" s="18" t="s">
        <v>1056</v>
      </c>
    </row>
    <row r="1791" spans="1:9" s="33" customFormat="1" ht="105">
      <c r="A1791" s="12">
        <v>43568.500914351855</v>
      </c>
      <c r="B1791" s="13" t="s">
        <v>14405</v>
      </c>
      <c r="C1791" s="14" t="s">
        <v>1053</v>
      </c>
      <c r="D1791" s="15" t="s">
        <v>4725</v>
      </c>
      <c r="E1791" s="16" t="s">
        <v>13006</v>
      </c>
      <c r="F1791" s="12">
        <v>41328.514293981483</v>
      </c>
      <c r="G1791" s="17" t="s">
        <v>13000</v>
      </c>
      <c r="H1791" s="35" t="s">
        <v>1055</v>
      </c>
      <c r="I1791" s="18" t="s">
        <v>1056</v>
      </c>
    </row>
    <row r="1792" spans="1:9" s="33" customFormat="1" ht="105">
      <c r="A1792" s="12">
        <v>43566.323495370365</v>
      </c>
      <c r="B1792" s="13" t="s">
        <v>14405</v>
      </c>
      <c r="C1792" s="14" t="s">
        <v>1053</v>
      </c>
      <c r="D1792" s="15" t="s">
        <v>5664</v>
      </c>
      <c r="E1792" s="16" t="s">
        <v>13006</v>
      </c>
      <c r="F1792" s="12">
        <v>41328.514293981483</v>
      </c>
      <c r="G1792" s="17" t="s">
        <v>13000</v>
      </c>
      <c r="H1792" s="35" t="s">
        <v>1055</v>
      </c>
      <c r="I1792" s="18" t="s">
        <v>1056</v>
      </c>
    </row>
    <row r="1793" spans="1:9" s="33" customFormat="1" ht="90">
      <c r="A1793" s="12">
        <v>43566.31967592593</v>
      </c>
      <c r="B1793" s="13" t="s">
        <v>14406</v>
      </c>
      <c r="C1793" s="14" t="s">
        <v>5665</v>
      </c>
      <c r="D1793" s="15" t="s">
        <v>5666</v>
      </c>
      <c r="E1793" s="16" t="s">
        <v>13013</v>
      </c>
      <c r="F1793" s="12">
        <v>39939.39644675926</v>
      </c>
      <c r="G1793" s="17" t="s">
        <v>13000</v>
      </c>
      <c r="H1793" s="35" t="s">
        <v>1055</v>
      </c>
      <c r="I1793" s="18" t="s">
        <v>5667</v>
      </c>
    </row>
    <row r="1794" spans="1:9" s="33" customFormat="1" ht="120">
      <c r="A1794" s="4">
        <v>43557.255162037036</v>
      </c>
      <c r="B1794" s="5" t="s">
        <v>14407</v>
      </c>
      <c r="C1794" s="6" t="s">
        <v>12599</v>
      </c>
      <c r="D1794" s="7" t="s">
        <v>12600</v>
      </c>
      <c r="E1794" s="8" t="s">
        <v>13009</v>
      </c>
      <c r="F1794" s="4">
        <v>43364.34648148148</v>
      </c>
      <c r="G1794" s="17" t="s">
        <v>13000</v>
      </c>
      <c r="H1794" s="35" t="s">
        <v>12601</v>
      </c>
      <c r="I1794" s="10" t="s">
        <v>12602</v>
      </c>
    </row>
    <row r="1795" spans="1:9" s="33" customFormat="1" ht="75">
      <c r="A1795" s="4">
        <v>43561.645057870366</v>
      </c>
      <c r="B1795" s="5" t="s">
        <v>14408</v>
      </c>
      <c r="C1795" s="6" t="s">
        <v>10885</v>
      </c>
      <c r="D1795" s="7" t="s">
        <v>10886</v>
      </c>
      <c r="E1795" s="8" t="s">
        <v>13032</v>
      </c>
      <c r="F1795" s="4">
        <v>40541.273854166662</v>
      </c>
      <c r="G1795" s="17" t="s">
        <v>13000</v>
      </c>
      <c r="H1795" s="35" t="s">
        <v>10887</v>
      </c>
      <c r="I1795" s="10" t="s">
        <v>10888</v>
      </c>
    </row>
    <row r="1796" spans="1:9" s="33" customFormat="1" ht="75">
      <c r="A1796" s="4">
        <v>43561.641388888893</v>
      </c>
      <c r="B1796" s="5" t="s">
        <v>14408</v>
      </c>
      <c r="C1796" s="6" t="s">
        <v>10885</v>
      </c>
      <c r="D1796" s="7" t="s">
        <v>10890</v>
      </c>
      <c r="E1796" s="8" t="s">
        <v>13006</v>
      </c>
      <c r="F1796" s="4">
        <v>40541.273854166662</v>
      </c>
      <c r="G1796" s="17" t="s">
        <v>13000</v>
      </c>
      <c r="H1796" s="35" t="s">
        <v>10887</v>
      </c>
      <c r="I1796" s="10" t="s">
        <v>10888</v>
      </c>
    </row>
    <row r="1797" spans="1:9" s="33" customFormat="1" ht="90">
      <c r="A1797" s="19">
        <v>43546.732094907406</v>
      </c>
      <c r="B1797" s="20" t="s">
        <v>14409</v>
      </c>
      <c r="C1797" s="21" t="s">
        <v>8744</v>
      </c>
      <c r="D1797" s="22" t="s">
        <v>8745</v>
      </c>
      <c r="E1797" s="23" t="s">
        <v>13032</v>
      </c>
      <c r="F1797" s="19">
        <v>42270.652268518519</v>
      </c>
      <c r="G1797" s="17" t="s">
        <v>13000</v>
      </c>
      <c r="H1797" s="35" t="s">
        <v>8746</v>
      </c>
      <c r="I1797" s="25" t="s">
        <v>8747</v>
      </c>
    </row>
    <row r="1798" spans="1:9" s="33" customFormat="1" ht="90">
      <c r="A1798" s="4">
        <v>43560.817280092597</v>
      </c>
      <c r="B1798" s="5" t="s">
        <v>14410</v>
      </c>
      <c r="C1798" s="6" t="s">
        <v>11152</v>
      </c>
      <c r="D1798" s="7" t="s">
        <v>11153</v>
      </c>
      <c r="E1798" s="8" t="s">
        <v>13011</v>
      </c>
      <c r="F1798" s="4">
        <v>41712.73746527778</v>
      </c>
      <c r="G1798" s="17" t="s">
        <v>13000</v>
      </c>
      <c r="H1798" s="35" t="s">
        <v>8746</v>
      </c>
      <c r="I1798" s="10" t="s">
        <v>11154</v>
      </c>
    </row>
    <row r="1799" spans="1:9" s="33" customFormat="1" ht="120">
      <c r="A1799" s="12">
        <v>43577.270543981482</v>
      </c>
      <c r="B1799" s="13" t="s">
        <v>14411</v>
      </c>
      <c r="C1799" s="14" t="s">
        <v>1685</v>
      </c>
      <c r="D1799" s="15" t="s">
        <v>1686</v>
      </c>
      <c r="E1799" s="16" t="s">
        <v>14412</v>
      </c>
      <c r="F1799" s="12">
        <v>39170.941261574073</v>
      </c>
      <c r="G1799" s="17" t="s">
        <v>13000</v>
      </c>
      <c r="H1799" s="35" t="s">
        <v>1687</v>
      </c>
      <c r="I1799" s="18" t="s">
        <v>1688</v>
      </c>
    </row>
    <row r="1800" spans="1:9" s="33" customFormat="1" ht="30">
      <c r="A1800" s="19">
        <v>43542.587118055555</v>
      </c>
      <c r="B1800" s="20" t="s">
        <v>14413</v>
      </c>
      <c r="C1800" s="21" t="s">
        <v>10084</v>
      </c>
      <c r="D1800" s="22" t="s">
        <v>30</v>
      </c>
      <c r="E1800" s="23" t="s">
        <v>13479</v>
      </c>
      <c r="F1800" s="19">
        <v>39920.604884259257</v>
      </c>
      <c r="G1800" s="9" t="s">
        <v>13000</v>
      </c>
      <c r="H1800" s="35" t="s">
        <v>10085</v>
      </c>
      <c r="I1800" s="25"/>
    </row>
    <row r="1801" spans="1:9" s="33" customFormat="1" ht="45">
      <c r="A1801" s="12">
        <v>43570.583541666667</v>
      </c>
      <c r="B1801" s="13" t="s">
        <v>14414</v>
      </c>
      <c r="C1801" s="14" t="s">
        <v>4050</v>
      </c>
      <c r="D1801" s="15" t="s">
        <v>4051</v>
      </c>
      <c r="E1801" s="16" t="s">
        <v>13011</v>
      </c>
      <c r="F1801" s="12">
        <v>40994.635451388887</v>
      </c>
      <c r="G1801" s="9" t="s">
        <v>13000</v>
      </c>
      <c r="H1801" s="35" t="s">
        <v>4052</v>
      </c>
      <c r="I1801" s="18" t="s">
        <v>4053</v>
      </c>
    </row>
    <row r="1802" spans="1:9" s="33" customFormat="1" ht="30">
      <c r="A1802" s="12">
        <v>43568.216585648144</v>
      </c>
      <c r="B1802" s="13" t="s">
        <v>14415</v>
      </c>
      <c r="C1802" s="14" t="s">
        <v>4840</v>
      </c>
      <c r="D1802" s="15" t="s">
        <v>4841</v>
      </c>
      <c r="E1802" s="16" t="s">
        <v>13011</v>
      </c>
      <c r="F1802" s="12">
        <v>39816.66673611111</v>
      </c>
      <c r="G1802" s="9" t="s">
        <v>13000</v>
      </c>
      <c r="H1802" s="35" t="s">
        <v>4842</v>
      </c>
      <c r="I1802" s="18" t="s">
        <v>4843</v>
      </c>
    </row>
    <row r="1803" spans="1:9" s="33" customFormat="1" ht="90">
      <c r="A1803" s="19">
        <v>43545.345960648148</v>
      </c>
      <c r="B1803" s="20" t="s">
        <v>14416</v>
      </c>
      <c r="C1803" s="21" t="s">
        <v>9182</v>
      </c>
      <c r="D1803" s="22" t="s">
        <v>9183</v>
      </c>
      <c r="E1803" s="23" t="s">
        <v>13009</v>
      </c>
      <c r="F1803" s="19">
        <v>38996.55709490741</v>
      </c>
      <c r="G1803" s="9" t="s">
        <v>13000</v>
      </c>
      <c r="H1803" s="35" t="s">
        <v>9184</v>
      </c>
      <c r="I1803" s="25" t="s">
        <v>9185</v>
      </c>
    </row>
    <row r="1804" spans="1:9" s="33" customFormat="1" ht="90">
      <c r="A1804" s="4">
        <v>43565.322233796294</v>
      </c>
      <c r="B1804" s="5" t="s">
        <v>14417</v>
      </c>
      <c r="C1804" s="6" t="s">
        <v>6171</v>
      </c>
      <c r="D1804" s="7" t="s">
        <v>6172</v>
      </c>
      <c r="E1804" s="8" t="s">
        <v>13009</v>
      </c>
      <c r="F1804" s="4">
        <v>40550.473298611112</v>
      </c>
      <c r="G1804" s="9" t="s">
        <v>13000</v>
      </c>
      <c r="H1804" s="35" t="s">
        <v>6173</v>
      </c>
      <c r="I1804" s="10" t="s">
        <v>6174</v>
      </c>
    </row>
    <row r="1805" spans="1:9" s="33" customFormat="1" ht="30">
      <c r="A1805" s="4">
        <v>43557.723773148144</v>
      </c>
      <c r="B1805" s="5" t="s">
        <v>14418</v>
      </c>
      <c r="C1805" s="6" t="s">
        <v>12402</v>
      </c>
      <c r="D1805" s="7" t="s">
        <v>12403</v>
      </c>
      <c r="E1805" s="8" t="s">
        <v>13011</v>
      </c>
      <c r="F1805" s="4">
        <v>40066.787152777775</v>
      </c>
      <c r="G1805" s="9" t="s">
        <v>13000</v>
      </c>
      <c r="H1805" s="35" t="s">
        <v>12404</v>
      </c>
      <c r="I1805" s="10" t="s">
        <v>12405</v>
      </c>
    </row>
    <row r="1806" spans="1:9" s="33" customFormat="1" ht="105">
      <c r="A1806" s="19">
        <v>43547.689710648148</v>
      </c>
      <c r="B1806" s="20" t="s">
        <v>14419</v>
      </c>
      <c r="C1806" s="21" t="s">
        <v>8485</v>
      </c>
      <c r="D1806" s="22" t="s">
        <v>8486</v>
      </c>
      <c r="E1806" s="23" t="s">
        <v>13006</v>
      </c>
      <c r="F1806" s="19">
        <v>39700.243275462963</v>
      </c>
      <c r="G1806" s="9" t="s">
        <v>13000</v>
      </c>
      <c r="H1806" s="35" t="s">
        <v>4501</v>
      </c>
      <c r="I1806" s="25" t="s">
        <v>8487</v>
      </c>
    </row>
    <row r="1807" spans="1:9" s="33" customFormat="1" ht="75">
      <c r="A1807" s="19">
        <v>43546.7890625</v>
      </c>
      <c r="B1807" s="20" t="s">
        <v>14420</v>
      </c>
      <c r="C1807" s="21" t="s">
        <v>8730</v>
      </c>
      <c r="D1807" s="22" t="s">
        <v>8731</v>
      </c>
      <c r="E1807" s="23" t="s">
        <v>13009</v>
      </c>
      <c r="F1807" s="19">
        <v>41936.319039351853</v>
      </c>
      <c r="G1807" s="9" t="s">
        <v>13000</v>
      </c>
      <c r="H1807" s="35" t="s">
        <v>4501</v>
      </c>
      <c r="I1807" s="25" t="s">
        <v>8732</v>
      </c>
    </row>
    <row r="1808" spans="1:9" s="33" customFormat="1" ht="105">
      <c r="A1808" s="19">
        <v>43543.792384259257</v>
      </c>
      <c r="B1808" s="20" t="s">
        <v>14419</v>
      </c>
      <c r="C1808" s="21" t="s">
        <v>8485</v>
      </c>
      <c r="D1808" s="22" t="s">
        <v>9682</v>
      </c>
      <c r="E1808" s="23" t="s">
        <v>13034</v>
      </c>
      <c r="F1808" s="19">
        <v>39700.243275462963</v>
      </c>
      <c r="G1808" s="9" t="s">
        <v>13000</v>
      </c>
      <c r="H1808" s="35" t="s">
        <v>4501</v>
      </c>
      <c r="I1808" s="25" t="s">
        <v>8487</v>
      </c>
    </row>
    <row r="1809" spans="1:9" s="33" customFormat="1" ht="105">
      <c r="A1809" s="4">
        <v>43561.427430555559</v>
      </c>
      <c r="B1809" s="5" t="s">
        <v>14421</v>
      </c>
      <c r="C1809" s="6" t="s">
        <v>10977</v>
      </c>
      <c r="D1809" s="7" t="s">
        <v>10978</v>
      </c>
      <c r="E1809" s="8" t="s">
        <v>13282</v>
      </c>
      <c r="F1809" s="4">
        <v>40301.525439814817</v>
      </c>
      <c r="G1809" s="9" t="s">
        <v>13000</v>
      </c>
      <c r="H1809" s="35" t="s">
        <v>4501</v>
      </c>
      <c r="I1809" s="10" t="s">
        <v>10979</v>
      </c>
    </row>
    <row r="1810" spans="1:9" s="33" customFormat="1" ht="90">
      <c r="A1810" s="4">
        <v>43557.208530092597</v>
      </c>
      <c r="B1810" s="5" t="s">
        <v>14422</v>
      </c>
      <c r="C1810" s="6" t="s">
        <v>12616</v>
      </c>
      <c r="D1810" s="7" t="s">
        <v>12617</v>
      </c>
      <c r="E1810" s="8" t="s">
        <v>13034</v>
      </c>
      <c r="F1810" s="4">
        <v>41452.257523148146</v>
      </c>
      <c r="G1810" s="9" t="s">
        <v>13000</v>
      </c>
      <c r="H1810" s="35" t="s">
        <v>4501</v>
      </c>
      <c r="I1810" s="10" t="s">
        <v>12618</v>
      </c>
    </row>
    <row r="1811" spans="1:9" s="33" customFormat="1" ht="75">
      <c r="A1811" s="12">
        <v>43569.501064814816</v>
      </c>
      <c r="B1811" s="13" t="s">
        <v>14423</v>
      </c>
      <c r="C1811" s="14" t="s">
        <v>4499</v>
      </c>
      <c r="D1811" s="15" t="s">
        <v>4500</v>
      </c>
      <c r="E1811" s="16" t="s">
        <v>13011</v>
      </c>
      <c r="F1811" s="12">
        <v>42816.670439814814</v>
      </c>
      <c r="G1811" s="9" t="s">
        <v>13000</v>
      </c>
      <c r="H1811" s="35" t="s">
        <v>4501</v>
      </c>
      <c r="I1811" s="18" t="s">
        <v>4502</v>
      </c>
    </row>
    <row r="1812" spans="1:9" s="33" customFormat="1" ht="90">
      <c r="A1812" s="12">
        <v>43567.709965277776</v>
      </c>
      <c r="B1812" s="13" t="s">
        <v>14424</v>
      </c>
      <c r="C1812" s="14" t="s">
        <v>4987</v>
      </c>
      <c r="D1812" s="15" t="s">
        <v>4988</v>
      </c>
      <c r="E1812" s="16" t="s">
        <v>13032</v>
      </c>
      <c r="F1812" s="12">
        <v>39834.429513888885</v>
      </c>
      <c r="G1812" s="9" t="s">
        <v>13000</v>
      </c>
      <c r="H1812" s="35" t="s">
        <v>4989</v>
      </c>
      <c r="I1812" s="18" t="s">
        <v>4990</v>
      </c>
    </row>
    <row r="1813" spans="1:9" s="33" customFormat="1" ht="105">
      <c r="A1813" s="4">
        <v>43559.446481481486</v>
      </c>
      <c r="B1813" s="5" t="s">
        <v>14425</v>
      </c>
      <c r="C1813" s="6" t="s">
        <v>11830</v>
      </c>
      <c r="D1813" s="7" t="s">
        <v>11831</v>
      </c>
      <c r="E1813" s="8" t="s">
        <v>13018</v>
      </c>
      <c r="F1813" s="4">
        <v>41929.343368055554</v>
      </c>
      <c r="G1813" s="9" t="s">
        <v>13000</v>
      </c>
      <c r="H1813" s="35" t="s">
        <v>11832</v>
      </c>
      <c r="I1813" s="10" t="s">
        <v>11833</v>
      </c>
    </row>
    <row r="1814" spans="1:9" s="33" customFormat="1" ht="105">
      <c r="A1814" s="4">
        <v>43564.500601851847</v>
      </c>
      <c r="B1814" s="5" t="s">
        <v>14426</v>
      </c>
      <c r="C1814" s="6" t="s">
        <v>6576</v>
      </c>
      <c r="D1814" s="7" t="s">
        <v>6577</v>
      </c>
      <c r="E1814" s="8" t="s">
        <v>13034</v>
      </c>
      <c r="F1814" s="4">
        <v>39800.331504629634</v>
      </c>
      <c r="G1814" s="9" t="s">
        <v>13000</v>
      </c>
      <c r="H1814" s="35" t="s">
        <v>6578</v>
      </c>
      <c r="I1814" s="10" t="s">
        <v>6579</v>
      </c>
    </row>
    <row r="1815" spans="1:9" s="33" customFormat="1" ht="120">
      <c r="A1815" s="19">
        <v>43551.398009259261</v>
      </c>
      <c r="B1815" s="20" t="s">
        <v>14427</v>
      </c>
      <c r="C1815" s="21" t="s">
        <v>7236</v>
      </c>
      <c r="D1815" s="22" t="s">
        <v>7237</v>
      </c>
      <c r="E1815" s="23" t="s">
        <v>13130</v>
      </c>
      <c r="F1815" s="19">
        <v>39884.379537037035</v>
      </c>
      <c r="G1815" s="9" t="s">
        <v>13000</v>
      </c>
      <c r="H1815" s="35" t="s">
        <v>7238</v>
      </c>
      <c r="I1815" s="25" t="s">
        <v>7239</v>
      </c>
    </row>
    <row r="1816" spans="1:9" s="33" customFormat="1" ht="45">
      <c r="A1816" s="19">
        <v>43547.532962962963</v>
      </c>
      <c r="B1816" s="20" t="s">
        <v>14428</v>
      </c>
      <c r="C1816" s="21" t="s">
        <v>8516</v>
      </c>
      <c r="D1816" s="22" t="s">
        <v>8517</v>
      </c>
      <c r="E1816" s="23" t="s">
        <v>13015</v>
      </c>
      <c r="F1816" s="19">
        <v>42388.789513888885</v>
      </c>
      <c r="G1816" s="9" t="s">
        <v>13000</v>
      </c>
      <c r="H1816" s="35" t="s">
        <v>8518</v>
      </c>
      <c r="I1816" s="25" t="s">
        <v>8519</v>
      </c>
    </row>
    <row r="1817" spans="1:9" s="33" customFormat="1" ht="90">
      <c r="A1817" s="19">
        <v>43551.701458333337</v>
      </c>
      <c r="B1817" s="20" t="s">
        <v>14429</v>
      </c>
      <c r="C1817" s="21" t="s">
        <v>7034</v>
      </c>
      <c r="D1817" s="22" t="s">
        <v>7035</v>
      </c>
      <c r="E1817" s="23" t="s">
        <v>13018</v>
      </c>
      <c r="F1817" s="19">
        <v>41752.6484375</v>
      </c>
      <c r="G1817" s="9" t="s">
        <v>13000</v>
      </c>
      <c r="H1817" s="35" t="s">
        <v>7036</v>
      </c>
      <c r="I1817" s="25" t="s">
        <v>7037</v>
      </c>
    </row>
    <row r="1818" spans="1:9" s="33" customFormat="1" ht="90">
      <c r="A1818" s="19">
        <v>43545.422696759255</v>
      </c>
      <c r="B1818" s="20" t="s">
        <v>14430</v>
      </c>
      <c r="C1818" s="21" t="s">
        <v>9143</v>
      </c>
      <c r="D1818" s="22" t="s">
        <v>9144</v>
      </c>
      <c r="E1818" s="23" t="s">
        <v>13826</v>
      </c>
      <c r="F1818" s="19">
        <v>43462.566631944443</v>
      </c>
      <c r="G1818" s="9" t="s">
        <v>13000</v>
      </c>
      <c r="H1818" s="35" t="s">
        <v>9145</v>
      </c>
      <c r="I1818" s="25" t="s">
        <v>9146</v>
      </c>
    </row>
    <row r="1819" spans="1:9" s="33" customFormat="1" ht="90">
      <c r="A1819" s="19">
        <v>43542.489571759259</v>
      </c>
      <c r="B1819" s="20" t="s">
        <v>14430</v>
      </c>
      <c r="C1819" s="21" t="s">
        <v>9143</v>
      </c>
      <c r="D1819" s="22" t="s">
        <v>9144</v>
      </c>
      <c r="E1819" s="23" t="s">
        <v>13826</v>
      </c>
      <c r="F1819" s="19">
        <v>43462.566631944443</v>
      </c>
      <c r="G1819" s="9" t="s">
        <v>13000</v>
      </c>
      <c r="H1819" s="35" t="s">
        <v>9145</v>
      </c>
      <c r="I1819" s="25" t="s">
        <v>9146</v>
      </c>
    </row>
    <row r="1820" spans="1:9" s="33" customFormat="1" ht="60">
      <c r="A1820" s="4">
        <v>43560.603090277778</v>
      </c>
      <c r="B1820" s="5" t="s">
        <v>14431</v>
      </c>
      <c r="C1820" s="6" t="s">
        <v>11259</v>
      </c>
      <c r="D1820" s="7" t="s">
        <v>11260</v>
      </c>
      <c r="E1820" s="8" t="s">
        <v>13009</v>
      </c>
      <c r="F1820" s="4">
        <v>43398.577361111107</v>
      </c>
      <c r="G1820" s="9" t="s">
        <v>13000</v>
      </c>
      <c r="H1820" s="35" t="s">
        <v>9145</v>
      </c>
      <c r="I1820" s="10" t="s">
        <v>11261</v>
      </c>
    </row>
    <row r="1821" spans="1:9" s="33" customFormat="1" ht="75">
      <c r="A1821" s="19">
        <v>43543.212141203709</v>
      </c>
      <c r="B1821" s="20" t="s">
        <v>14432</v>
      </c>
      <c r="C1821" s="21" t="s">
        <v>2647</v>
      </c>
      <c r="D1821" s="22" t="s">
        <v>9901</v>
      </c>
      <c r="E1821" s="23" t="s">
        <v>13009</v>
      </c>
      <c r="F1821" s="19">
        <v>40849.6799537037</v>
      </c>
      <c r="G1821" s="9" t="s">
        <v>13000</v>
      </c>
      <c r="H1821" s="35" t="s">
        <v>2649</v>
      </c>
      <c r="I1821" s="25" t="s">
        <v>2650</v>
      </c>
    </row>
    <row r="1822" spans="1:9" s="33" customFormat="1" ht="75">
      <c r="A1822" s="4">
        <v>43563.538252314815</v>
      </c>
      <c r="B1822" s="5" t="s">
        <v>14432</v>
      </c>
      <c r="C1822" s="6" t="s">
        <v>2647</v>
      </c>
      <c r="D1822" s="7" t="s">
        <v>10245</v>
      </c>
      <c r="E1822" s="8" t="s">
        <v>13009</v>
      </c>
      <c r="F1822" s="4">
        <v>40849.6799537037</v>
      </c>
      <c r="G1822" s="9" t="s">
        <v>13000</v>
      </c>
      <c r="H1822" s="35" t="s">
        <v>2649</v>
      </c>
      <c r="I1822" s="10" t="s">
        <v>2650</v>
      </c>
    </row>
    <row r="1823" spans="1:9" s="33" customFormat="1" ht="75">
      <c r="A1823" s="12">
        <v>43574.225740740745</v>
      </c>
      <c r="B1823" s="13" t="s">
        <v>14432</v>
      </c>
      <c r="C1823" s="14" t="s">
        <v>2647</v>
      </c>
      <c r="D1823" s="15" t="s">
        <v>2648</v>
      </c>
      <c r="E1823" s="16" t="s">
        <v>13009</v>
      </c>
      <c r="F1823" s="12">
        <v>40849.6799537037</v>
      </c>
      <c r="G1823" s="9" t="s">
        <v>13000</v>
      </c>
      <c r="H1823" s="35" t="s">
        <v>2649</v>
      </c>
      <c r="I1823" s="18" t="s">
        <v>2650</v>
      </c>
    </row>
    <row r="1824" spans="1:9" s="33" customFormat="1" ht="90">
      <c r="A1824" s="12">
        <v>43579.239583333328</v>
      </c>
      <c r="B1824" s="13" t="s">
        <v>14433</v>
      </c>
      <c r="C1824" s="14" t="s">
        <v>826</v>
      </c>
      <c r="D1824" s="15" t="s">
        <v>827</v>
      </c>
      <c r="E1824" s="16" t="s">
        <v>13120</v>
      </c>
      <c r="F1824" s="12">
        <v>39668.540150462963</v>
      </c>
      <c r="G1824" s="9" t="s">
        <v>13000</v>
      </c>
      <c r="H1824" s="35" t="s">
        <v>828</v>
      </c>
      <c r="I1824" s="18" t="s">
        <v>829</v>
      </c>
    </row>
    <row r="1825" spans="1:9" s="33" customFormat="1" ht="90">
      <c r="A1825" s="4">
        <v>43564.454710648148</v>
      </c>
      <c r="B1825" s="5" t="s">
        <v>14434</v>
      </c>
      <c r="C1825" s="6" t="s">
        <v>2530</v>
      </c>
      <c r="D1825" s="7" t="s">
        <v>6602</v>
      </c>
      <c r="E1825" s="8" t="s">
        <v>14435</v>
      </c>
      <c r="F1825" s="4">
        <v>41701.302129629628</v>
      </c>
      <c r="G1825" s="9" t="s">
        <v>13000</v>
      </c>
      <c r="H1825" s="35" t="s">
        <v>2520</v>
      </c>
      <c r="I1825" s="10" t="s">
        <v>2532</v>
      </c>
    </row>
    <row r="1826" spans="1:9" s="33" customFormat="1" ht="90">
      <c r="A1826" s="4">
        <v>43563.454861111109</v>
      </c>
      <c r="B1826" s="5" t="s">
        <v>14436</v>
      </c>
      <c r="C1826" s="6" t="s">
        <v>10281</v>
      </c>
      <c r="D1826" s="7" t="s">
        <v>10282</v>
      </c>
      <c r="E1826" s="8" t="s">
        <v>14021</v>
      </c>
      <c r="F1826" s="4">
        <v>39794.447858796295</v>
      </c>
      <c r="G1826" s="9" t="s">
        <v>13000</v>
      </c>
      <c r="H1826" s="35" t="s">
        <v>2520</v>
      </c>
      <c r="I1826" s="10" t="s">
        <v>10283</v>
      </c>
    </row>
    <row r="1827" spans="1:9" s="33" customFormat="1" ht="45">
      <c r="A1827" s="12">
        <v>43574.556342592594</v>
      </c>
      <c r="B1827" s="13" t="s">
        <v>14437</v>
      </c>
      <c r="C1827" s="14" t="s">
        <v>2518</v>
      </c>
      <c r="D1827" s="15" t="s">
        <v>2519</v>
      </c>
      <c r="E1827" s="16" t="s">
        <v>13009</v>
      </c>
      <c r="F1827" s="12">
        <v>39750.51939814815</v>
      </c>
      <c r="G1827" s="9" t="s">
        <v>13000</v>
      </c>
      <c r="H1827" s="35" t="s">
        <v>2520</v>
      </c>
      <c r="I1827" s="18" t="s">
        <v>2521</v>
      </c>
    </row>
    <row r="1828" spans="1:9" s="33" customFormat="1" ht="75">
      <c r="A1828" s="12">
        <v>43574.482361111106</v>
      </c>
      <c r="B1828" s="13" t="s">
        <v>14434</v>
      </c>
      <c r="C1828" s="14" t="s">
        <v>2530</v>
      </c>
      <c r="D1828" s="15" t="s">
        <v>2531</v>
      </c>
      <c r="E1828" s="16" t="s">
        <v>14435</v>
      </c>
      <c r="F1828" s="12">
        <v>41701.302129629628</v>
      </c>
      <c r="G1828" s="9" t="s">
        <v>13000</v>
      </c>
      <c r="H1828" s="35" t="s">
        <v>2520</v>
      </c>
      <c r="I1828" s="18" t="s">
        <v>2532</v>
      </c>
    </row>
    <row r="1829" spans="1:9" s="33" customFormat="1" ht="90">
      <c r="A1829" s="12">
        <v>43570.460150462968</v>
      </c>
      <c r="B1829" s="13" t="s">
        <v>14438</v>
      </c>
      <c r="C1829" s="14" t="s">
        <v>4129</v>
      </c>
      <c r="D1829" s="15" t="s">
        <v>4130</v>
      </c>
      <c r="E1829" s="16" t="s">
        <v>13011</v>
      </c>
      <c r="F1829" s="12">
        <v>42481.380740740744</v>
      </c>
      <c r="G1829" s="9" t="s">
        <v>13000</v>
      </c>
      <c r="H1829" s="35" t="s">
        <v>2520</v>
      </c>
      <c r="I1829" s="18" t="s">
        <v>4131</v>
      </c>
    </row>
    <row r="1830" spans="1:9" s="33" customFormat="1" ht="90">
      <c r="A1830" s="12">
        <v>43567.598912037036</v>
      </c>
      <c r="B1830" s="13" t="s">
        <v>14438</v>
      </c>
      <c r="C1830" s="14" t="s">
        <v>4129</v>
      </c>
      <c r="D1830" s="15" t="s">
        <v>5034</v>
      </c>
      <c r="E1830" s="16" t="s">
        <v>13011</v>
      </c>
      <c r="F1830" s="12">
        <v>42481.380740740744</v>
      </c>
      <c r="G1830" s="9" t="s">
        <v>13000</v>
      </c>
      <c r="H1830" s="35" t="s">
        <v>2520</v>
      </c>
      <c r="I1830" s="18" t="s">
        <v>4131</v>
      </c>
    </row>
    <row r="1831" spans="1:9" s="33" customFormat="1" ht="90">
      <c r="A1831" s="12">
        <v>43566.512523148151</v>
      </c>
      <c r="B1831" s="13" t="s">
        <v>14438</v>
      </c>
      <c r="C1831" s="14" t="s">
        <v>4129</v>
      </c>
      <c r="D1831" s="15" t="s">
        <v>5471</v>
      </c>
      <c r="E1831" s="16" t="s">
        <v>13011</v>
      </c>
      <c r="F1831" s="12">
        <v>42481.380740740744</v>
      </c>
      <c r="G1831" s="9" t="s">
        <v>13000</v>
      </c>
      <c r="H1831" s="35" t="s">
        <v>2520</v>
      </c>
      <c r="I1831" s="18" t="s">
        <v>4131</v>
      </c>
    </row>
    <row r="1832" spans="1:9" s="33" customFormat="1" ht="105">
      <c r="A1832" s="4">
        <v>43562.354502314818</v>
      </c>
      <c r="B1832" s="5" t="s">
        <v>14439</v>
      </c>
      <c r="C1832" s="6" t="s">
        <v>10696</v>
      </c>
      <c r="D1832" s="7" t="s">
        <v>10697</v>
      </c>
      <c r="E1832" s="8" t="s">
        <v>13018</v>
      </c>
      <c r="F1832" s="4">
        <v>41666.28392361111</v>
      </c>
      <c r="G1832" s="9" t="s">
        <v>13000</v>
      </c>
      <c r="H1832" s="35" t="s">
        <v>10698</v>
      </c>
      <c r="I1832" s="10" t="s">
        <v>10699</v>
      </c>
    </row>
    <row r="1833" spans="1:9" s="33" customFormat="1" ht="90">
      <c r="A1833" s="12">
        <v>43578.324606481481</v>
      </c>
      <c r="B1833" s="13" t="s">
        <v>14440</v>
      </c>
      <c r="C1833" s="14" t="s">
        <v>1288</v>
      </c>
      <c r="D1833" s="15" t="s">
        <v>1289</v>
      </c>
      <c r="E1833" s="16" t="s">
        <v>13009</v>
      </c>
      <c r="F1833" s="12">
        <v>41427.72755787037</v>
      </c>
      <c r="G1833" s="17" t="s">
        <v>13000</v>
      </c>
      <c r="H1833" s="35" t="s">
        <v>1290</v>
      </c>
      <c r="I1833" s="18" t="s">
        <v>1291</v>
      </c>
    </row>
    <row r="1834" spans="1:9" s="33" customFormat="1" ht="105">
      <c r="A1834" s="12">
        <v>43573.464606481481</v>
      </c>
      <c r="B1834" s="13" t="s">
        <v>14441</v>
      </c>
      <c r="C1834" s="14" t="s">
        <v>2842</v>
      </c>
      <c r="D1834" s="15" t="s">
        <v>2843</v>
      </c>
      <c r="E1834" s="16" t="s">
        <v>13013</v>
      </c>
      <c r="F1834" s="12">
        <v>40136.525289351848</v>
      </c>
      <c r="G1834" s="17" t="s">
        <v>13000</v>
      </c>
      <c r="H1834" s="35" t="s">
        <v>1290</v>
      </c>
      <c r="I1834" s="18" t="s">
        <v>2844</v>
      </c>
    </row>
    <row r="1835" spans="1:9" s="33" customFormat="1" ht="75">
      <c r="A1835" s="19">
        <v>43551.40556712963</v>
      </c>
      <c r="B1835" s="20" t="s">
        <v>14442</v>
      </c>
      <c r="C1835" s="21" t="s">
        <v>7224</v>
      </c>
      <c r="D1835" s="22" t="s">
        <v>7225</v>
      </c>
      <c r="E1835" s="23" t="s">
        <v>13013</v>
      </c>
      <c r="F1835" s="19">
        <v>40341.640405092592</v>
      </c>
      <c r="G1835" s="17" t="s">
        <v>13000</v>
      </c>
      <c r="H1835" s="35" t="s">
        <v>4755</v>
      </c>
      <c r="I1835" s="25" t="s">
        <v>7226</v>
      </c>
    </row>
    <row r="1836" spans="1:9" s="33" customFormat="1" ht="75">
      <c r="A1836" s="19">
        <v>43544.588136574079</v>
      </c>
      <c r="B1836" s="20" t="s">
        <v>14443</v>
      </c>
      <c r="C1836" s="21" t="s">
        <v>9405</v>
      </c>
      <c r="D1836" s="22" t="s">
        <v>9406</v>
      </c>
      <c r="E1836" s="23" t="s">
        <v>13015</v>
      </c>
      <c r="F1836" s="19">
        <v>42502.475798611107</v>
      </c>
      <c r="G1836" s="17" t="s">
        <v>13000</v>
      </c>
      <c r="H1836" s="35" t="s">
        <v>4755</v>
      </c>
      <c r="I1836" s="25" t="s">
        <v>9407</v>
      </c>
    </row>
    <row r="1837" spans="1:9" s="33" customFormat="1" ht="90">
      <c r="A1837" s="19">
        <v>43543.675011574072</v>
      </c>
      <c r="B1837" s="20" t="s">
        <v>14444</v>
      </c>
      <c r="C1837" s="21" t="s">
        <v>9709</v>
      </c>
      <c r="D1837" s="22" t="s">
        <v>9710</v>
      </c>
      <c r="E1837" s="23" t="s">
        <v>13011</v>
      </c>
      <c r="F1837" s="19">
        <v>42630.78628472222</v>
      </c>
      <c r="G1837" s="17" t="s">
        <v>13000</v>
      </c>
      <c r="H1837" s="35" t="s">
        <v>4755</v>
      </c>
      <c r="I1837" s="25" t="s">
        <v>9711</v>
      </c>
    </row>
    <row r="1838" spans="1:9" s="33" customFormat="1" ht="75">
      <c r="A1838" s="19">
        <v>43543.247754629629</v>
      </c>
      <c r="B1838" s="20" t="s">
        <v>14445</v>
      </c>
      <c r="C1838" s="21" t="s">
        <v>9883</v>
      </c>
      <c r="D1838" s="22" t="s">
        <v>9884</v>
      </c>
      <c r="E1838" s="23" t="s">
        <v>13011</v>
      </c>
      <c r="F1838" s="19">
        <v>40066.36917824074</v>
      </c>
      <c r="G1838" s="17" t="s">
        <v>13000</v>
      </c>
      <c r="H1838" s="35" t="s">
        <v>4755</v>
      </c>
      <c r="I1838" s="25" t="s">
        <v>9885</v>
      </c>
    </row>
    <row r="1839" spans="1:9" s="33" customFormat="1" ht="105">
      <c r="A1839" s="4">
        <v>43565.263182870374</v>
      </c>
      <c r="B1839" s="5" t="s">
        <v>14446</v>
      </c>
      <c r="C1839" s="6" t="s">
        <v>6204</v>
      </c>
      <c r="D1839" s="7" t="s">
        <v>6205</v>
      </c>
      <c r="E1839" s="8" t="s">
        <v>13009</v>
      </c>
      <c r="F1839" s="4">
        <v>42851.260393518518</v>
      </c>
      <c r="G1839" s="17" t="s">
        <v>13000</v>
      </c>
      <c r="H1839" s="35" t="s">
        <v>4755</v>
      </c>
      <c r="I1839" s="10" t="s">
        <v>6206</v>
      </c>
    </row>
    <row r="1840" spans="1:9" s="33" customFormat="1" ht="105">
      <c r="A1840" s="4">
        <v>43564.586770833332</v>
      </c>
      <c r="B1840" s="5" t="s">
        <v>14446</v>
      </c>
      <c r="C1840" s="6" t="s">
        <v>6204</v>
      </c>
      <c r="D1840" s="7" t="s">
        <v>6527</v>
      </c>
      <c r="E1840" s="8" t="s">
        <v>13009</v>
      </c>
      <c r="F1840" s="4">
        <v>42851.260393518518</v>
      </c>
      <c r="G1840" s="17" t="s">
        <v>13000</v>
      </c>
      <c r="H1840" s="35" t="s">
        <v>4755</v>
      </c>
      <c r="I1840" s="10" t="s">
        <v>6206</v>
      </c>
    </row>
    <row r="1841" spans="1:9" s="33" customFormat="1" ht="105">
      <c r="A1841" s="4">
        <v>43564.284282407403</v>
      </c>
      <c r="B1841" s="5" t="s">
        <v>14446</v>
      </c>
      <c r="C1841" s="6" t="s">
        <v>6204</v>
      </c>
      <c r="D1841" s="7" t="s">
        <v>6705</v>
      </c>
      <c r="E1841" s="8" t="s">
        <v>13009</v>
      </c>
      <c r="F1841" s="4">
        <v>42851.260393518518</v>
      </c>
      <c r="G1841" s="17" t="s">
        <v>13000</v>
      </c>
      <c r="H1841" s="35" t="s">
        <v>4755</v>
      </c>
      <c r="I1841" s="10" t="s">
        <v>6206</v>
      </c>
    </row>
    <row r="1842" spans="1:9" s="33" customFormat="1" ht="105">
      <c r="A1842" s="4">
        <v>43563.254155092596</v>
      </c>
      <c r="B1842" s="5" t="s">
        <v>14446</v>
      </c>
      <c r="C1842" s="6" t="s">
        <v>6204</v>
      </c>
      <c r="D1842" s="7" t="s">
        <v>10420</v>
      </c>
      <c r="E1842" s="8" t="s">
        <v>13009</v>
      </c>
      <c r="F1842" s="4">
        <v>42851.260393518518</v>
      </c>
      <c r="G1842" s="17" t="s">
        <v>13000</v>
      </c>
      <c r="H1842" s="35" t="s">
        <v>4755</v>
      </c>
      <c r="I1842" s="10" t="s">
        <v>6206</v>
      </c>
    </row>
    <row r="1843" spans="1:9" s="33" customFormat="1" ht="135">
      <c r="A1843" s="4">
        <v>43561.728414351848</v>
      </c>
      <c r="B1843" s="5" t="s">
        <v>14446</v>
      </c>
      <c r="C1843" s="6" t="s">
        <v>6204</v>
      </c>
      <c r="D1843" s="7" t="s">
        <v>10849</v>
      </c>
      <c r="E1843" s="8" t="s">
        <v>13011</v>
      </c>
      <c r="F1843" s="4">
        <v>42851.260393518518</v>
      </c>
      <c r="G1843" s="17" t="s">
        <v>13000</v>
      </c>
      <c r="H1843" s="35" t="s">
        <v>4755</v>
      </c>
      <c r="I1843" s="10" t="s">
        <v>6206</v>
      </c>
    </row>
    <row r="1844" spans="1:9" s="33" customFormat="1" ht="120">
      <c r="A1844" s="4">
        <v>43561.124745370369</v>
      </c>
      <c r="B1844" s="5" t="s">
        <v>14447</v>
      </c>
      <c r="C1844" s="6" t="s">
        <v>11057</v>
      </c>
      <c r="D1844" s="7" t="s">
        <v>11058</v>
      </c>
      <c r="E1844" s="8" t="s">
        <v>13009</v>
      </c>
      <c r="F1844" s="4">
        <v>41474.172627314816</v>
      </c>
      <c r="G1844" s="17" t="s">
        <v>13000</v>
      </c>
      <c r="H1844" s="35" t="s">
        <v>4755</v>
      </c>
      <c r="I1844" s="10" t="s">
        <v>11059</v>
      </c>
    </row>
    <row r="1845" spans="1:9" s="33" customFormat="1" ht="105">
      <c r="A1845" s="4">
        <v>43557.248252314814</v>
      </c>
      <c r="B1845" s="5" t="s">
        <v>14446</v>
      </c>
      <c r="C1845" s="6" t="s">
        <v>6204</v>
      </c>
      <c r="D1845" s="7" t="s">
        <v>12607</v>
      </c>
      <c r="E1845" s="8" t="s">
        <v>13009</v>
      </c>
      <c r="F1845" s="4">
        <v>42851.260393518518</v>
      </c>
      <c r="G1845" s="17" t="s">
        <v>13000</v>
      </c>
      <c r="H1845" s="35" t="s">
        <v>4755</v>
      </c>
      <c r="I1845" s="10" t="s">
        <v>6206</v>
      </c>
    </row>
    <row r="1846" spans="1:9" s="33" customFormat="1" ht="120">
      <c r="A1846" s="12">
        <v>43568.463865740741</v>
      </c>
      <c r="B1846" s="13" t="s">
        <v>14448</v>
      </c>
      <c r="C1846" s="14" t="s">
        <v>4753</v>
      </c>
      <c r="D1846" s="15" t="s">
        <v>4754</v>
      </c>
      <c r="E1846" s="16" t="s">
        <v>13032</v>
      </c>
      <c r="F1846" s="12">
        <v>43100.941944444443</v>
      </c>
      <c r="G1846" s="17" t="s">
        <v>13000</v>
      </c>
      <c r="H1846" s="35" t="s">
        <v>4755</v>
      </c>
      <c r="I1846" s="18" t="s">
        <v>4756</v>
      </c>
    </row>
    <row r="1847" spans="1:9" s="33" customFormat="1" ht="105">
      <c r="A1847" s="12">
        <v>43566.603958333333</v>
      </c>
      <c r="B1847" s="13" t="s">
        <v>14449</v>
      </c>
      <c r="C1847" s="14" t="s">
        <v>5407</v>
      </c>
      <c r="D1847" s="15" t="s">
        <v>5408</v>
      </c>
      <c r="E1847" s="16" t="s">
        <v>13013</v>
      </c>
      <c r="F1847" s="12">
        <v>43532.79074074074</v>
      </c>
      <c r="G1847" s="17" t="s">
        <v>13000</v>
      </c>
      <c r="H1847" s="35" t="s">
        <v>4755</v>
      </c>
      <c r="I1847" s="18" t="s">
        <v>5409</v>
      </c>
    </row>
    <row r="1848" spans="1:9" s="33" customFormat="1" ht="105">
      <c r="A1848" s="12">
        <v>43578.777650462958</v>
      </c>
      <c r="B1848" s="13" t="s">
        <v>14450</v>
      </c>
      <c r="C1848" s="14" t="s">
        <v>1034</v>
      </c>
      <c r="D1848" s="15" t="s">
        <v>1035</v>
      </c>
      <c r="E1848" s="16" t="s">
        <v>13009</v>
      </c>
      <c r="F1848" s="12">
        <v>41017.817245370374</v>
      </c>
      <c r="G1848" s="17" t="s">
        <v>13000</v>
      </c>
      <c r="H1848" s="35" t="s">
        <v>1036</v>
      </c>
      <c r="I1848" s="18" t="s">
        <v>1037</v>
      </c>
    </row>
    <row r="1849" spans="1:9" s="33" customFormat="1" ht="75">
      <c r="A1849" s="19">
        <v>43551.758993055555</v>
      </c>
      <c r="B1849" s="20" t="s">
        <v>14451</v>
      </c>
      <c r="C1849" s="21" t="s">
        <v>7004</v>
      </c>
      <c r="D1849" s="22" t="s">
        <v>7005</v>
      </c>
      <c r="E1849" s="23" t="s">
        <v>13032</v>
      </c>
      <c r="F1849" s="19">
        <v>41902.660069444442</v>
      </c>
      <c r="G1849" s="9" t="s">
        <v>13000</v>
      </c>
      <c r="H1849" s="35" t="s">
        <v>7006</v>
      </c>
      <c r="I1849" s="25" t="s">
        <v>7007</v>
      </c>
    </row>
    <row r="1850" spans="1:9" s="33" customFormat="1" ht="105">
      <c r="A1850" s="19">
        <v>43545.699849537035</v>
      </c>
      <c r="B1850" s="20" t="s">
        <v>14452</v>
      </c>
      <c r="C1850" s="21" t="s">
        <v>9069</v>
      </c>
      <c r="D1850" s="22" t="s">
        <v>9070</v>
      </c>
      <c r="E1850" s="23" t="s">
        <v>13032</v>
      </c>
      <c r="F1850" s="19">
        <v>39896.945347222223</v>
      </c>
      <c r="G1850" s="9" t="s">
        <v>13000</v>
      </c>
      <c r="H1850" s="35" t="s">
        <v>9071</v>
      </c>
      <c r="I1850" s="25" t="s">
        <v>9072</v>
      </c>
    </row>
    <row r="1851" spans="1:9" s="33" customFormat="1" ht="120">
      <c r="A1851" s="4">
        <v>43557.82675925926</v>
      </c>
      <c r="B1851" s="5" t="s">
        <v>14453</v>
      </c>
      <c r="C1851" s="6" t="s">
        <v>2088</v>
      </c>
      <c r="D1851" s="7" t="s">
        <v>12387</v>
      </c>
      <c r="E1851" s="8" t="s">
        <v>13032</v>
      </c>
      <c r="F1851" s="4">
        <v>39990.835150462961</v>
      </c>
      <c r="G1851" s="9" t="s">
        <v>13000</v>
      </c>
      <c r="H1851" s="35" t="s">
        <v>2090</v>
      </c>
      <c r="I1851" s="10" t="s">
        <v>2091</v>
      </c>
    </row>
    <row r="1852" spans="1:9" s="33" customFormat="1" ht="120">
      <c r="A1852" s="12">
        <v>43575.952951388885</v>
      </c>
      <c r="B1852" s="13" t="s">
        <v>14453</v>
      </c>
      <c r="C1852" s="14" t="s">
        <v>2088</v>
      </c>
      <c r="D1852" s="15" t="s">
        <v>2089</v>
      </c>
      <c r="E1852" s="16" t="s">
        <v>13032</v>
      </c>
      <c r="F1852" s="12">
        <v>39990.835150462961</v>
      </c>
      <c r="G1852" s="9" t="s">
        <v>13000</v>
      </c>
      <c r="H1852" s="35" t="s">
        <v>2090</v>
      </c>
      <c r="I1852" s="18" t="s">
        <v>2091</v>
      </c>
    </row>
    <row r="1853" spans="1:9" s="33" customFormat="1" ht="120">
      <c r="A1853" s="12">
        <v>43569.968842592592</v>
      </c>
      <c r="B1853" s="13" t="s">
        <v>14453</v>
      </c>
      <c r="C1853" s="14" t="s">
        <v>2088</v>
      </c>
      <c r="D1853" s="15" t="s">
        <v>4369</v>
      </c>
      <c r="E1853" s="16" t="s">
        <v>13032</v>
      </c>
      <c r="F1853" s="12">
        <v>39990.835150462961</v>
      </c>
      <c r="G1853" s="9" t="s">
        <v>13000</v>
      </c>
      <c r="H1853" s="35" t="s">
        <v>2090</v>
      </c>
      <c r="I1853" s="18" t="s">
        <v>2091</v>
      </c>
    </row>
    <row r="1854" spans="1:9" s="33" customFormat="1" ht="120">
      <c r="A1854" s="12">
        <v>43569.83530092593</v>
      </c>
      <c r="B1854" s="13" t="s">
        <v>14453</v>
      </c>
      <c r="C1854" s="14" t="s">
        <v>2088</v>
      </c>
      <c r="D1854" s="15" t="s">
        <v>4388</v>
      </c>
      <c r="E1854" s="16" t="s">
        <v>13032</v>
      </c>
      <c r="F1854" s="12">
        <v>39990.835150462961</v>
      </c>
      <c r="G1854" s="9" t="s">
        <v>13000</v>
      </c>
      <c r="H1854" s="35" t="s">
        <v>2090</v>
      </c>
      <c r="I1854" s="18" t="s">
        <v>2091</v>
      </c>
    </row>
    <row r="1855" spans="1:9" s="33" customFormat="1" ht="90">
      <c r="A1855" s="19">
        <v>43548.472141203703</v>
      </c>
      <c r="B1855" s="20" t="s">
        <v>14454</v>
      </c>
      <c r="C1855" s="21" t="s">
        <v>8305</v>
      </c>
      <c r="D1855" s="22" t="s">
        <v>8304</v>
      </c>
      <c r="E1855" s="23" t="s">
        <v>14455</v>
      </c>
      <c r="F1855" s="19">
        <v>40982.725370370368</v>
      </c>
      <c r="G1855" s="9" t="s">
        <v>13000</v>
      </c>
      <c r="H1855" s="35" t="s">
        <v>5943</v>
      </c>
      <c r="I1855" s="25" t="s">
        <v>8306</v>
      </c>
    </row>
    <row r="1856" spans="1:9" s="33" customFormat="1" ht="60">
      <c r="A1856" s="4">
        <v>43565.695729166662</v>
      </c>
      <c r="B1856" s="5" t="s">
        <v>14456</v>
      </c>
      <c r="C1856" s="6" t="s">
        <v>5942</v>
      </c>
      <c r="D1856" s="7" t="s">
        <v>5940</v>
      </c>
      <c r="E1856" s="8" t="s">
        <v>13006</v>
      </c>
      <c r="F1856" s="4">
        <v>39885.063923611109</v>
      </c>
      <c r="G1856" s="9" t="s">
        <v>13000</v>
      </c>
      <c r="H1856" s="35" t="s">
        <v>5943</v>
      </c>
      <c r="I1856" s="10" t="s">
        <v>5944</v>
      </c>
    </row>
    <row r="1857" spans="1:9" s="33" customFormat="1" ht="90">
      <c r="A1857" s="19">
        <v>43548.478020833332</v>
      </c>
      <c r="B1857" s="20" t="s">
        <v>14457</v>
      </c>
      <c r="C1857" s="21" t="s">
        <v>5354</v>
      </c>
      <c r="D1857" s="22" t="s">
        <v>8304</v>
      </c>
      <c r="E1857" s="23" t="s">
        <v>13027</v>
      </c>
      <c r="F1857" s="19">
        <v>39884.278252314813</v>
      </c>
      <c r="G1857" s="9" t="s">
        <v>13000</v>
      </c>
      <c r="H1857" s="35" t="s">
        <v>5356</v>
      </c>
      <c r="I1857" s="25" t="s">
        <v>5357</v>
      </c>
    </row>
    <row r="1858" spans="1:9" s="33" customFormat="1" ht="90">
      <c r="A1858" s="19">
        <v>43548.150104166663</v>
      </c>
      <c r="B1858" s="20" t="s">
        <v>14457</v>
      </c>
      <c r="C1858" s="21" t="s">
        <v>5354</v>
      </c>
      <c r="D1858" s="22" t="s">
        <v>8394</v>
      </c>
      <c r="E1858" s="23" t="s">
        <v>13027</v>
      </c>
      <c r="F1858" s="19">
        <v>39884.278252314813</v>
      </c>
      <c r="G1858" s="9" t="s">
        <v>13000</v>
      </c>
      <c r="H1858" s="35" t="s">
        <v>5356</v>
      </c>
      <c r="I1858" s="25" t="s">
        <v>5357</v>
      </c>
    </row>
    <row r="1859" spans="1:9" s="33" customFormat="1" ht="90">
      <c r="A1859" s="4">
        <v>43558.096701388888</v>
      </c>
      <c r="B1859" s="5" t="s">
        <v>14457</v>
      </c>
      <c r="C1859" s="6" t="s">
        <v>5354</v>
      </c>
      <c r="D1859" s="7" t="s">
        <v>12322</v>
      </c>
      <c r="E1859" s="8" t="s">
        <v>13027</v>
      </c>
      <c r="F1859" s="4">
        <v>39884.278252314813</v>
      </c>
      <c r="G1859" s="9" t="s">
        <v>13000</v>
      </c>
      <c r="H1859" s="35" t="s">
        <v>5356</v>
      </c>
      <c r="I1859" s="10" t="s">
        <v>5357</v>
      </c>
    </row>
    <row r="1860" spans="1:9" s="33" customFormat="1" ht="90">
      <c r="A1860" s="12">
        <v>43566.752870370372</v>
      </c>
      <c r="B1860" s="13" t="s">
        <v>14457</v>
      </c>
      <c r="C1860" s="14" t="s">
        <v>5354</v>
      </c>
      <c r="D1860" s="15" t="s">
        <v>5355</v>
      </c>
      <c r="E1860" s="16" t="s">
        <v>13027</v>
      </c>
      <c r="F1860" s="12">
        <v>39884.278252314813</v>
      </c>
      <c r="G1860" s="9" t="s">
        <v>13000</v>
      </c>
      <c r="H1860" s="35" t="s">
        <v>5356</v>
      </c>
      <c r="I1860" s="18" t="s">
        <v>5357</v>
      </c>
    </row>
    <row r="1861" spans="1:9" s="33" customFormat="1" ht="105">
      <c r="A1861" s="12">
        <v>43574.877534722225</v>
      </c>
      <c r="B1861" s="13" t="s">
        <v>14458</v>
      </c>
      <c r="C1861" s="14" t="s">
        <v>2406</v>
      </c>
      <c r="D1861" s="15" t="s">
        <v>2407</v>
      </c>
      <c r="E1861" s="16" t="s">
        <v>13032</v>
      </c>
      <c r="F1861" s="12">
        <v>39889.641203703708</v>
      </c>
      <c r="G1861" s="9" t="s">
        <v>13000</v>
      </c>
      <c r="H1861" s="35" t="s">
        <v>2408</v>
      </c>
      <c r="I1861" s="18" t="s">
        <v>2409</v>
      </c>
    </row>
    <row r="1862" spans="1:9" s="33" customFormat="1" ht="90">
      <c r="A1862" s="4">
        <v>43557.732777777783</v>
      </c>
      <c r="B1862" s="5" t="s">
        <v>14459</v>
      </c>
      <c r="C1862" s="6" t="s">
        <v>12398</v>
      </c>
      <c r="D1862" s="7" t="s">
        <v>12399</v>
      </c>
      <c r="E1862" s="8" t="s">
        <v>13011</v>
      </c>
      <c r="F1862" s="4">
        <v>43550.81350694444</v>
      </c>
      <c r="G1862" s="9" t="s">
        <v>13000</v>
      </c>
      <c r="H1862" s="35" t="s">
        <v>4924</v>
      </c>
      <c r="I1862" s="10" t="s">
        <v>12400</v>
      </c>
    </row>
    <row r="1863" spans="1:9" s="33" customFormat="1" ht="90">
      <c r="A1863" s="4">
        <v>43556.755648148144</v>
      </c>
      <c r="B1863" s="5" t="s">
        <v>14459</v>
      </c>
      <c r="C1863" s="6" t="s">
        <v>12398</v>
      </c>
      <c r="D1863" s="7" t="s">
        <v>12752</v>
      </c>
      <c r="E1863" s="8" t="s">
        <v>13011</v>
      </c>
      <c r="F1863" s="4">
        <v>43550.81350694444</v>
      </c>
      <c r="G1863" s="9" t="s">
        <v>13000</v>
      </c>
      <c r="H1863" s="35" t="s">
        <v>4924</v>
      </c>
      <c r="I1863" s="10" t="s">
        <v>12400</v>
      </c>
    </row>
    <row r="1864" spans="1:9" s="33" customFormat="1" ht="105">
      <c r="A1864" s="12">
        <v>43567.889930555553</v>
      </c>
      <c r="B1864" s="13" t="s">
        <v>14460</v>
      </c>
      <c r="C1864" s="13" t="s">
        <v>4922</v>
      </c>
      <c r="D1864" s="15" t="s">
        <v>4923</v>
      </c>
      <c r="E1864" s="16" t="s">
        <v>13011</v>
      </c>
      <c r="F1864" s="12">
        <v>42430.829293981486</v>
      </c>
      <c r="G1864" s="9" t="s">
        <v>13000</v>
      </c>
      <c r="H1864" s="35" t="s">
        <v>4924</v>
      </c>
      <c r="I1864" s="18" t="s">
        <v>4925</v>
      </c>
    </row>
    <row r="1865" spans="1:9" s="33" customFormat="1" ht="105">
      <c r="A1865" s="12">
        <v>43567.558495370366</v>
      </c>
      <c r="B1865" s="13" t="s">
        <v>14460</v>
      </c>
      <c r="C1865" s="13" t="s">
        <v>4922</v>
      </c>
      <c r="D1865" s="15" t="s">
        <v>5056</v>
      </c>
      <c r="E1865" s="16" t="s">
        <v>13011</v>
      </c>
      <c r="F1865" s="12">
        <v>42430.829293981486</v>
      </c>
      <c r="G1865" s="9" t="s">
        <v>13000</v>
      </c>
      <c r="H1865" s="35" t="s">
        <v>4924</v>
      </c>
      <c r="I1865" s="18" t="s">
        <v>4925</v>
      </c>
    </row>
    <row r="1866" spans="1:9" s="33" customFormat="1" ht="105">
      <c r="A1866" s="12">
        <v>43566.016180555554</v>
      </c>
      <c r="B1866" s="13" t="s">
        <v>14460</v>
      </c>
      <c r="C1866" s="13" t="s">
        <v>4922</v>
      </c>
      <c r="D1866" s="15" t="s">
        <v>5825</v>
      </c>
      <c r="E1866" s="16" t="s">
        <v>13011</v>
      </c>
      <c r="F1866" s="12">
        <v>42430.829293981486</v>
      </c>
      <c r="G1866" s="9" t="s">
        <v>13000</v>
      </c>
      <c r="H1866" s="35" t="s">
        <v>4924</v>
      </c>
      <c r="I1866" s="18" t="s">
        <v>4925</v>
      </c>
    </row>
    <row r="1867" spans="1:9" s="33" customFormat="1" ht="90">
      <c r="A1867" s="4">
        <v>43561.655578703707</v>
      </c>
      <c r="B1867" s="5" t="s">
        <v>14461</v>
      </c>
      <c r="C1867" s="6" t="s">
        <v>10879</v>
      </c>
      <c r="D1867" s="7" t="s">
        <v>10880</v>
      </c>
      <c r="E1867" s="8" t="s">
        <v>13282</v>
      </c>
      <c r="F1867" s="4">
        <v>39912.367511574077</v>
      </c>
      <c r="G1867" s="9" t="s">
        <v>13000</v>
      </c>
      <c r="H1867" s="35" t="s">
        <v>10881</v>
      </c>
      <c r="I1867" s="10" t="s">
        <v>10882</v>
      </c>
    </row>
    <row r="1868" spans="1:9" s="33" customFormat="1" ht="30">
      <c r="A1868" s="4">
        <v>43563.525891203702</v>
      </c>
      <c r="B1868" s="5" t="s">
        <v>14462</v>
      </c>
      <c r="C1868" s="6" t="s">
        <v>10249</v>
      </c>
      <c r="D1868" s="7" t="s">
        <v>10250</v>
      </c>
      <c r="E1868" s="8" t="s">
        <v>13479</v>
      </c>
      <c r="F1868" s="4">
        <v>41801.648020833338</v>
      </c>
      <c r="G1868" s="9" t="s">
        <v>13000</v>
      </c>
      <c r="H1868" s="35" t="s">
        <v>10251</v>
      </c>
      <c r="I1868" s="10" t="s">
        <v>10252</v>
      </c>
    </row>
    <row r="1869" spans="1:9" s="33" customFormat="1" ht="75">
      <c r="A1869" s="19">
        <v>43544.504965277782</v>
      </c>
      <c r="B1869" s="20" t="s">
        <v>14463</v>
      </c>
      <c r="C1869" s="21" t="s">
        <v>9431</v>
      </c>
      <c r="D1869" s="22" t="s">
        <v>9432</v>
      </c>
      <c r="E1869" s="23" t="s">
        <v>13009</v>
      </c>
      <c r="F1869" s="19">
        <v>39652.831550925926</v>
      </c>
      <c r="G1869" s="9" t="s">
        <v>13000</v>
      </c>
      <c r="H1869" s="35" t="s">
        <v>9433</v>
      </c>
      <c r="I1869" s="25" t="s">
        <v>9434</v>
      </c>
    </row>
    <row r="1870" spans="1:9" s="33" customFormat="1" ht="90">
      <c r="A1870" s="19">
        <v>43544.50167824074</v>
      </c>
      <c r="B1870" s="20" t="s">
        <v>14463</v>
      </c>
      <c r="C1870" s="21" t="s">
        <v>9431</v>
      </c>
      <c r="D1870" s="22" t="s">
        <v>9435</v>
      </c>
      <c r="E1870" s="23" t="s">
        <v>13009</v>
      </c>
      <c r="F1870" s="19">
        <v>39652.831550925926</v>
      </c>
      <c r="G1870" s="9" t="s">
        <v>13000</v>
      </c>
      <c r="H1870" s="35" t="s">
        <v>9433</v>
      </c>
      <c r="I1870" s="25" t="s">
        <v>9434</v>
      </c>
    </row>
    <row r="1871" spans="1:9" s="33" customFormat="1" ht="105">
      <c r="A1871" s="19">
        <v>43546.486250000002</v>
      </c>
      <c r="B1871" s="20" t="s">
        <v>14464</v>
      </c>
      <c r="C1871" s="21" t="s">
        <v>8827</v>
      </c>
      <c r="D1871" s="22" t="s">
        <v>8828</v>
      </c>
      <c r="E1871" s="23" t="s">
        <v>13018</v>
      </c>
      <c r="F1871" s="19">
        <v>41995.061111111107</v>
      </c>
      <c r="G1871" s="9" t="s">
        <v>13000</v>
      </c>
      <c r="H1871" s="35" t="s">
        <v>8829</v>
      </c>
      <c r="I1871" s="25" t="s">
        <v>8830</v>
      </c>
    </row>
    <row r="1872" spans="1:9" s="33" customFormat="1" ht="75">
      <c r="A1872" s="19">
        <v>43544.468773148154</v>
      </c>
      <c r="B1872" s="20" t="s">
        <v>14465</v>
      </c>
      <c r="C1872" s="20" t="s">
        <v>9445</v>
      </c>
      <c r="D1872" s="22" t="s">
        <v>9446</v>
      </c>
      <c r="E1872" s="23" t="s">
        <v>14466</v>
      </c>
      <c r="F1872" s="19">
        <v>42720.630208333328</v>
      </c>
      <c r="G1872" s="9" t="s">
        <v>13000</v>
      </c>
      <c r="H1872" s="35" t="s">
        <v>8829</v>
      </c>
      <c r="I1872" s="25" t="s">
        <v>9447</v>
      </c>
    </row>
    <row r="1873" spans="1:9" s="33" customFormat="1" ht="90">
      <c r="A1873" s="19">
        <v>43543.427152777775</v>
      </c>
      <c r="B1873" s="20" t="s">
        <v>14465</v>
      </c>
      <c r="C1873" s="20" t="s">
        <v>9445</v>
      </c>
      <c r="D1873" s="22" t="s">
        <v>9811</v>
      </c>
      <c r="E1873" s="23" t="s">
        <v>14466</v>
      </c>
      <c r="F1873" s="19">
        <v>42720.630208333328</v>
      </c>
      <c r="G1873" s="9" t="s">
        <v>13000</v>
      </c>
      <c r="H1873" s="35" t="s">
        <v>8829</v>
      </c>
      <c r="I1873" s="25" t="s">
        <v>9447</v>
      </c>
    </row>
    <row r="1874" spans="1:9" s="33" customFormat="1" ht="105">
      <c r="A1874" s="4">
        <v>43562.001643518517</v>
      </c>
      <c r="B1874" s="5" t="s">
        <v>14467</v>
      </c>
      <c r="C1874" s="6" t="s">
        <v>10779</v>
      </c>
      <c r="D1874" s="7" t="s">
        <v>10780</v>
      </c>
      <c r="E1874" s="8" t="s">
        <v>13013</v>
      </c>
      <c r="F1874" s="4">
        <v>39887.675567129627</v>
      </c>
      <c r="G1874" s="9" t="s">
        <v>13000</v>
      </c>
      <c r="H1874" s="35" t="s">
        <v>8829</v>
      </c>
      <c r="I1874" s="10" t="s">
        <v>10781</v>
      </c>
    </row>
    <row r="1875" spans="1:9" s="33" customFormat="1" ht="75">
      <c r="A1875" s="19">
        <v>43545.011412037042</v>
      </c>
      <c r="B1875" s="20" t="s">
        <v>14468</v>
      </c>
      <c r="C1875" s="21" t="s">
        <v>9299</v>
      </c>
      <c r="D1875" s="22" t="s">
        <v>9300</v>
      </c>
      <c r="E1875" s="23" t="s">
        <v>13009</v>
      </c>
      <c r="F1875" s="19">
        <v>39694.483240740738</v>
      </c>
      <c r="G1875" s="9" t="s">
        <v>13000</v>
      </c>
      <c r="H1875" s="35" t="s">
        <v>9301</v>
      </c>
      <c r="I1875" s="25" t="s">
        <v>9302</v>
      </c>
    </row>
    <row r="1876" spans="1:9" s="33" customFormat="1" ht="90">
      <c r="A1876" s="4">
        <v>43564.590902777782</v>
      </c>
      <c r="B1876" s="5" t="s">
        <v>14469</v>
      </c>
      <c r="C1876" s="6" t="s">
        <v>6523</v>
      </c>
      <c r="D1876" s="7" t="s">
        <v>6524</v>
      </c>
      <c r="E1876" s="8" t="s">
        <v>13013</v>
      </c>
      <c r="F1876" s="4">
        <v>41702.861261574071</v>
      </c>
      <c r="G1876" s="24" t="s">
        <v>13000</v>
      </c>
      <c r="H1876" s="35" t="s">
        <v>6525</v>
      </c>
      <c r="I1876" s="10" t="s">
        <v>6526</v>
      </c>
    </row>
    <row r="1877" spans="1:9" s="33" customFormat="1" ht="45">
      <c r="A1877" s="19">
        <v>43544.765335648146</v>
      </c>
      <c r="B1877" s="20" t="s">
        <v>14470</v>
      </c>
      <c r="C1877" s="21" t="s">
        <v>9346</v>
      </c>
      <c r="D1877" s="22" t="s">
        <v>9347</v>
      </c>
      <c r="E1877" s="23" t="s">
        <v>13009</v>
      </c>
      <c r="F1877" s="19">
        <v>42229.732152777782</v>
      </c>
      <c r="G1877" s="24" t="s">
        <v>13000</v>
      </c>
      <c r="H1877" s="35" t="s">
        <v>9348</v>
      </c>
      <c r="I1877" s="25" t="s">
        <v>9349</v>
      </c>
    </row>
    <row r="1878" spans="1:9" s="33" customFormat="1" ht="105">
      <c r="A1878" s="19">
        <v>43544.751493055555</v>
      </c>
      <c r="B1878" s="20" t="s">
        <v>14471</v>
      </c>
      <c r="C1878" s="21" t="s">
        <v>9356</v>
      </c>
      <c r="D1878" s="22" t="s">
        <v>9357</v>
      </c>
      <c r="E1878" s="23" t="s">
        <v>13027</v>
      </c>
      <c r="F1878" s="19">
        <v>40021.290150462963</v>
      </c>
      <c r="G1878" s="24" t="s">
        <v>13000</v>
      </c>
      <c r="H1878" s="35" t="s">
        <v>9358</v>
      </c>
      <c r="I1878" s="25" t="s">
        <v>9359</v>
      </c>
    </row>
    <row r="1879" spans="1:9" s="33" customFormat="1" ht="45">
      <c r="A1879" s="4">
        <v>43558.451666666668</v>
      </c>
      <c r="B1879" s="5" t="s">
        <v>14472</v>
      </c>
      <c r="C1879" s="6" t="s">
        <v>12180</v>
      </c>
      <c r="D1879" s="7" t="s">
        <v>12181</v>
      </c>
      <c r="E1879" s="8" t="s">
        <v>13011</v>
      </c>
      <c r="F1879" s="4">
        <v>40325.405439814815</v>
      </c>
      <c r="G1879" s="17" t="s">
        <v>13000</v>
      </c>
      <c r="H1879" s="35" t="s">
        <v>12182</v>
      </c>
      <c r="I1879" s="10" t="s">
        <v>12183</v>
      </c>
    </row>
    <row r="1880" spans="1:9" s="33" customFormat="1" ht="120">
      <c r="A1880" s="12">
        <v>43566.586481481485</v>
      </c>
      <c r="B1880" s="13" t="s">
        <v>14473</v>
      </c>
      <c r="C1880" s="14" t="s">
        <v>5425</v>
      </c>
      <c r="D1880" s="15" t="s">
        <v>5426</v>
      </c>
      <c r="E1880" s="16" t="s">
        <v>13032</v>
      </c>
      <c r="F1880" s="12">
        <v>40012.934421296297</v>
      </c>
      <c r="G1880" s="17" t="s">
        <v>13000</v>
      </c>
      <c r="H1880" s="35" t="s">
        <v>5427</v>
      </c>
      <c r="I1880" s="18" t="s">
        <v>5428</v>
      </c>
    </row>
    <row r="1881" spans="1:9" s="33" customFormat="1" ht="120">
      <c r="A1881" s="12">
        <v>43566.085474537038</v>
      </c>
      <c r="B1881" s="13" t="s">
        <v>14473</v>
      </c>
      <c r="C1881" s="14" t="s">
        <v>5425</v>
      </c>
      <c r="D1881" s="15" t="s">
        <v>5804</v>
      </c>
      <c r="E1881" s="16" t="s">
        <v>13032</v>
      </c>
      <c r="F1881" s="12">
        <v>40012.934421296297</v>
      </c>
      <c r="G1881" s="17" t="s">
        <v>13000</v>
      </c>
      <c r="H1881" s="35" t="s">
        <v>5427</v>
      </c>
      <c r="I1881" s="18" t="s">
        <v>5428</v>
      </c>
    </row>
    <row r="1882" spans="1:9" s="33" customFormat="1" ht="105">
      <c r="A1882" s="19">
        <v>43550.234502314815</v>
      </c>
      <c r="B1882" s="20" t="s">
        <v>14474</v>
      </c>
      <c r="C1882" s="21" t="s">
        <v>7780</v>
      </c>
      <c r="D1882" s="22" t="s">
        <v>7781</v>
      </c>
      <c r="E1882" s="23" t="s">
        <v>13011</v>
      </c>
      <c r="F1882" s="19">
        <v>43515.041145833333</v>
      </c>
      <c r="G1882" s="17" t="s">
        <v>13000</v>
      </c>
      <c r="H1882" s="35" t="s">
        <v>7782</v>
      </c>
      <c r="I1882" s="25" t="s">
        <v>7783</v>
      </c>
    </row>
    <row r="1883" spans="1:9" s="33" customFormat="1" ht="120">
      <c r="A1883" s="19">
        <v>43547.767395833333</v>
      </c>
      <c r="B1883" s="20" t="s">
        <v>14475</v>
      </c>
      <c r="C1883" s="21" t="s">
        <v>2120</v>
      </c>
      <c r="D1883" s="22" t="s">
        <v>2121</v>
      </c>
      <c r="E1883" s="23" t="s">
        <v>14476</v>
      </c>
      <c r="F1883" s="19">
        <v>40053.624456018515</v>
      </c>
      <c r="G1883" s="17" t="s">
        <v>13000</v>
      </c>
      <c r="H1883" s="35" t="s">
        <v>2122</v>
      </c>
      <c r="I1883" s="25" t="s">
        <v>2123</v>
      </c>
    </row>
    <row r="1884" spans="1:9" s="33" customFormat="1" ht="120">
      <c r="A1884" s="4">
        <v>43561.770902777775</v>
      </c>
      <c r="B1884" s="5" t="s">
        <v>14475</v>
      </c>
      <c r="C1884" s="6" t="s">
        <v>2120</v>
      </c>
      <c r="D1884" s="7" t="s">
        <v>2121</v>
      </c>
      <c r="E1884" s="8" t="s">
        <v>14476</v>
      </c>
      <c r="F1884" s="4">
        <v>40053.624456018515</v>
      </c>
      <c r="G1884" s="17" t="s">
        <v>13000</v>
      </c>
      <c r="H1884" s="35" t="s">
        <v>2122</v>
      </c>
      <c r="I1884" s="10" t="s">
        <v>2123</v>
      </c>
    </row>
    <row r="1885" spans="1:9" s="33" customFormat="1" ht="45">
      <c r="A1885" s="4">
        <v>43561.597719907411</v>
      </c>
      <c r="B1885" s="5" t="s">
        <v>14477</v>
      </c>
      <c r="C1885" s="6" t="s">
        <v>10916</v>
      </c>
      <c r="D1885" s="7" t="s">
        <v>10917</v>
      </c>
      <c r="E1885" s="8" t="s">
        <v>13009</v>
      </c>
      <c r="F1885" s="4">
        <v>43554.5237037037</v>
      </c>
      <c r="G1885" s="17" t="s">
        <v>13000</v>
      </c>
      <c r="H1885" s="35" t="s">
        <v>2122</v>
      </c>
      <c r="I1885" s="10" t="s">
        <v>10918</v>
      </c>
    </row>
    <row r="1886" spans="1:9" s="33" customFormat="1" ht="120">
      <c r="A1886" s="12">
        <v>43575.774340277778</v>
      </c>
      <c r="B1886" s="13" t="s">
        <v>14475</v>
      </c>
      <c r="C1886" s="14" t="s">
        <v>2120</v>
      </c>
      <c r="D1886" s="15" t="s">
        <v>2121</v>
      </c>
      <c r="E1886" s="16" t="s">
        <v>14476</v>
      </c>
      <c r="F1886" s="12">
        <v>40053.624456018515</v>
      </c>
      <c r="G1886" s="17" t="s">
        <v>13000</v>
      </c>
      <c r="H1886" s="35" t="s">
        <v>2122</v>
      </c>
      <c r="I1886" s="18" t="s">
        <v>2123</v>
      </c>
    </row>
    <row r="1887" spans="1:9" s="33" customFormat="1" ht="120">
      <c r="A1887" s="12">
        <v>43568.770902777775</v>
      </c>
      <c r="B1887" s="13" t="s">
        <v>14475</v>
      </c>
      <c r="C1887" s="14" t="s">
        <v>2120</v>
      </c>
      <c r="D1887" s="15" t="s">
        <v>2121</v>
      </c>
      <c r="E1887" s="16" t="s">
        <v>14476</v>
      </c>
      <c r="F1887" s="12">
        <v>40053.624456018515</v>
      </c>
      <c r="G1887" s="17" t="s">
        <v>13000</v>
      </c>
      <c r="H1887" s="35" t="s">
        <v>2122</v>
      </c>
      <c r="I1887" s="18" t="s">
        <v>2123</v>
      </c>
    </row>
    <row r="1888" spans="1:9" s="33" customFormat="1" ht="105">
      <c r="A1888" s="12">
        <v>43567.535266203704</v>
      </c>
      <c r="B1888" s="13" t="s">
        <v>14478</v>
      </c>
      <c r="C1888" s="14" t="s">
        <v>5063</v>
      </c>
      <c r="D1888" s="15" t="s">
        <v>5064</v>
      </c>
      <c r="E1888" s="16" t="s">
        <v>13130</v>
      </c>
      <c r="F1888" s="12">
        <v>40100.551550925928</v>
      </c>
      <c r="G1888" s="17" t="s">
        <v>13000</v>
      </c>
      <c r="H1888" s="35" t="s">
        <v>5065</v>
      </c>
      <c r="I1888" s="18" t="s">
        <v>5066</v>
      </c>
    </row>
    <row r="1889" spans="1:9" s="33" customFormat="1" ht="75">
      <c r="A1889" s="4">
        <v>43558.245208333334</v>
      </c>
      <c r="B1889" s="5" t="s">
        <v>14479</v>
      </c>
      <c r="C1889" s="6" t="s">
        <v>3621</v>
      </c>
      <c r="D1889" s="7" t="s">
        <v>12274</v>
      </c>
      <c r="E1889" s="8" t="s">
        <v>13011</v>
      </c>
      <c r="F1889" s="4">
        <v>43548.513888888891</v>
      </c>
      <c r="G1889" s="17" t="s">
        <v>13000</v>
      </c>
      <c r="H1889" s="35" t="s">
        <v>3623</v>
      </c>
      <c r="I1889" s="10" t="s">
        <v>12275</v>
      </c>
    </row>
    <row r="1890" spans="1:9" s="33" customFormat="1" ht="90">
      <c r="A1890" s="12">
        <v>43571.601261574076</v>
      </c>
      <c r="B1890" s="13" t="s">
        <v>14479</v>
      </c>
      <c r="C1890" s="14" t="s">
        <v>3621</v>
      </c>
      <c r="D1890" s="15" t="s">
        <v>3622</v>
      </c>
      <c r="E1890" s="16" t="s">
        <v>13011</v>
      </c>
      <c r="F1890" s="12">
        <v>43548.513888888891</v>
      </c>
      <c r="G1890" s="17" t="s">
        <v>13000</v>
      </c>
      <c r="H1890" s="35" t="s">
        <v>3623</v>
      </c>
      <c r="I1890" s="18" t="s">
        <v>3624</v>
      </c>
    </row>
    <row r="1891" spans="1:9" s="33" customFormat="1" ht="90">
      <c r="A1891" s="12">
        <v>43570.667928240742</v>
      </c>
      <c r="B1891" s="13" t="s">
        <v>14479</v>
      </c>
      <c r="C1891" s="14" t="s">
        <v>3621</v>
      </c>
      <c r="D1891" s="15" t="s">
        <v>4007</v>
      </c>
      <c r="E1891" s="16" t="s">
        <v>13011</v>
      </c>
      <c r="F1891" s="12">
        <v>43548.513888888891</v>
      </c>
      <c r="G1891" s="17" t="s">
        <v>13000</v>
      </c>
      <c r="H1891" s="35" t="s">
        <v>3623</v>
      </c>
      <c r="I1891" s="18" t="s">
        <v>3624</v>
      </c>
    </row>
    <row r="1892" spans="1:9" s="33" customFormat="1" ht="90">
      <c r="A1892" s="12">
        <v>43570.372025462959</v>
      </c>
      <c r="B1892" s="13" t="s">
        <v>14479</v>
      </c>
      <c r="C1892" s="14" t="s">
        <v>3621</v>
      </c>
      <c r="D1892" s="15" t="s">
        <v>4203</v>
      </c>
      <c r="E1892" s="16" t="s">
        <v>13011</v>
      </c>
      <c r="F1892" s="12">
        <v>43548.513888888891</v>
      </c>
      <c r="G1892" s="17" t="s">
        <v>13000</v>
      </c>
      <c r="H1892" s="35" t="s">
        <v>3623</v>
      </c>
      <c r="I1892" s="18" t="s">
        <v>3624</v>
      </c>
    </row>
    <row r="1893" spans="1:9" s="33" customFormat="1" ht="105">
      <c r="A1893" s="19">
        <v>43544.563993055555</v>
      </c>
      <c r="B1893" s="20" t="s">
        <v>14480</v>
      </c>
      <c r="C1893" s="21" t="s">
        <v>2191</v>
      </c>
      <c r="D1893" s="22" t="s">
        <v>9412</v>
      </c>
      <c r="E1893" s="23" t="s">
        <v>13006</v>
      </c>
      <c r="F1893" s="19">
        <v>41591.695405092592</v>
      </c>
      <c r="G1893" s="17" t="s">
        <v>13000</v>
      </c>
      <c r="H1893" s="35" t="s">
        <v>2193</v>
      </c>
      <c r="I1893" s="25" t="s">
        <v>2194</v>
      </c>
    </row>
    <row r="1894" spans="1:9" s="33" customFormat="1" ht="105">
      <c r="A1894" s="4">
        <v>43558.453240740739</v>
      </c>
      <c r="B1894" s="5" t="s">
        <v>14480</v>
      </c>
      <c r="C1894" s="6" t="s">
        <v>2191</v>
      </c>
      <c r="D1894" s="7" t="s">
        <v>12175</v>
      </c>
      <c r="E1894" s="8" t="s">
        <v>13006</v>
      </c>
      <c r="F1894" s="4">
        <v>41591.695405092592</v>
      </c>
      <c r="G1894" s="17" t="s">
        <v>13000</v>
      </c>
      <c r="H1894" s="35" t="s">
        <v>2193</v>
      </c>
      <c r="I1894" s="10" t="s">
        <v>2194</v>
      </c>
    </row>
    <row r="1895" spans="1:9" s="33" customFormat="1" ht="105">
      <c r="A1895" s="12">
        <v>43575.494618055556</v>
      </c>
      <c r="B1895" s="13" t="s">
        <v>14480</v>
      </c>
      <c r="C1895" s="14" t="s">
        <v>2191</v>
      </c>
      <c r="D1895" s="15" t="s">
        <v>2192</v>
      </c>
      <c r="E1895" s="16" t="s">
        <v>13006</v>
      </c>
      <c r="F1895" s="12">
        <v>41591.695405092592</v>
      </c>
      <c r="G1895" s="17" t="s">
        <v>13000</v>
      </c>
      <c r="H1895" s="35" t="s">
        <v>2193</v>
      </c>
      <c r="I1895" s="18" t="s">
        <v>2194</v>
      </c>
    </row>
    <row r="1896" spans="1:9" s="33" customFormat="1" ht="105">
      <c r="A1896" s="12">
        <v>43575.492673611108</v>
      </c>
      <c r="B1896" s="13" t="s">
        <v>14480</v>
      </c>
      <c r="C1896" s="14" t="s">
        <v>2191</v>
      </c>
      <c r="D1896" s="15" t="s">
        <v>2192</v>
      </c>
      <c r="E1896" s="16" t="s">
        <v>13006</v>
      </c>
      <c r="F1896" s="12">
        <v>41591.695405092592</v>
      </c>
      <c r="G1896" s="17" t="s">
        <v>13000</v>
      </c>
      <c r="H1896" s="35" t="s">
        <v>2193</v>
      </c>
      <c r="I1896" s="18" t="s">
        <v>2194</v>
      </c>
    </row>
    <row r="1897" spans="1:9" s="33" customFormat="1" ht="105">
      <c r="A1897" s="12">
        <v>43572.512997685189</v>
      </c>
      <c r="B1897" s="13" t="s">
        <v>14480</v>
      </c>
      <c r="C1897" s="14" t="s">
        <v>2191</v>
      </c>
      <c r="D1897" s="15" t="s">
        <v>3199</v>
      </c>
      <c r="E1897" s="16" t="s">
        <v>13006</v>
      </c>
      <c r="F1897" s="12">
        <v>41591.695405092592</v>
      </c>
      <c r="G1897" s="17" t="s">
        <v>13000</v>
      </c>
      <c r="H1897" s="35" t="s">
        <v>2193</v>
      </c>
      <c r="I1897" s="18" t="s">
        <v>2194</v>
      </c>
    </row>
    <row r="1898" spans="1:9" s="33" customFormat="1" ht="105">
      <c r="A1898" s="12">
        <v>43571.679178240738</v>
      </c>
      <c r="B1898" s="13" t="s">
        <v>14480</v>
      </c>
      <c r="C1898" s="14" t="s">
        <v>2191</v>
      </c>
      <c r="D1898" s="15" t="s">
        <v>3591</v>
      </c>
      <c r="E1898" s="16" t="s">
        <v>13006</v>
      </c>
      <c r="F1898" s="12">
        <v>41591.695405092592</v>
      </c>
      <c r="G1898" s="17" t="s">
        <v>13000</v>
      </c>
      <c r="H1898" s="35" t="s">
        <v>2193</v>
      </c>
      <c r="I1898" s="18" t="s">
        <v>2194</v>
      </c>
    </row>
    <row r="1899" spans="1:9" s="33" customFormat="1" ht="105">
      <c r="A1899" s="12">
        <v>43569.553194444445</v>
      </c>
      <c r="B1899" s="13" t="s">
        <v>14480</v>
      </c>
      <c r="C1899" s="14" t="s">
        <v>2191</v>
      </c>
      <c r="D1899" s="15" t="s">
        <v>4486</v>
      </c>
      <c r="E1899" s="16" t="s">
        <v>13006</v>
      </c>
      <c r="F1899" s="12">
        <v>41591.695405092592</v>
      </c>
      <c r="G1899" s="17" t="s">
        <v>13000</v>
      </c>
      <c r="H1899" s="35" t="s">
        <v>2193</v>
      </c>
      <c r="I1899" s="18" t="s">
        <v>2194</v>
      </c>
    </row>
    <row r="1900" spans="1:9" s="33" customFormat="1" ht="105">
      <c r="A1900" s="12">
        <v>43567.531319444446</v>
      </c>
      <c r="B1900" s="13" t="s">
        <v>14480</v>
      </c>
      <c r="C1900" s="14" t="s">
        <v>2191</v>
      </c>
      <c r="D1900" s="15" t="s">
        <v>5070</v>
      </c>
      <c r="E1900" s="16" t="s">
        <v>13006</v>
      </c>
      <c r="F1900" s="12">
        <v>41591.695405092592</v>
      </c>
      <c r="G1900" s="17" t="s">
        <v>13000</v>
      </c>
      <c r="H1900" s="35" t="s">
        <v>2193</v>
      </c>
      <c r="I1900" s="18" t="s">
        <v>2194</v>
      </c>
    </row>
    <row r="1901" spans="1:9" s="33" customFormat="1" ht="45">
      <c r="A1901" s="19">
        <v>43545.533217592594</v>
      </c>
      <c r="B1901" s="20" t="s">
        <v>14481</v>
      </c>
      <c r="C1901" s="21" t="s">
        <v>6193</v>
      </c>
      <c r="D1901" s="22" t="s">
        <v>9106</v>
      </c>
      <c r="E1901" s="23" t="s">
        <v>13032</v>
      </c>
      <c r="F1901" s="19">
        <v>39624.502800925926</v>
      </c>
      <c r="G1901" s="24" t="s">
        <v>13000</v>
      </c>
      <c r="H1901" s="35" t="s">
        <v>6195</v>
      </c>
      <c r="I1901" s="25" t="s">
        <v>6196</v>
      </c>
    </row>
    <row r="1902" spans="1:9" s="33" customFormat="1" ht="45">
      <c r="A1902" s="4">
        <v>43565.296354166669</v>
      </c>
      <c r="B1902" s="5" t="s">
        <v>14481</v>
      </c>
      <c r="C1902" s="6" t="s">
        <v>6193</v>
      </c>
      <c r="D1902" s="7" t="s">
        <v>6194</v>
      </c>
      <c r="E1902" s="8" t="s">
        <v>13032</v>
      </c>
      <c r="F1902" s="4">
        <v>39624.502800925926</v>
      </c>
      <c r="G1902" s="24" t="s">
        <v>13000</v>
      </c>
      <c r="H1902" s="35" t="s">
        <v>6195</v>
      </c>
      <c r="I1902" s="10" t="s">
        <v>6196</v>
      </c>
    </row>
    <row r="1903" spans="1:9" s="33" customFormat="1" ht="90">
      <c r="A1903" s="4">
        <v>43564.65725694444</v>
      </c>
      <c r="B1903" s="5" t="s">
        <v>14482</v>
      </c>
      <c r="C1903" s="6" t="s">
        <v>6471</v>
      </c>
      <c r="D1903" s="7" t="s">
        <v>6472</v>
      </c>
      <c r="E1903" s="8" t="s">
        <v>13032</v>
      </c>
      <c r="F1903" s="4">
        <v>39861.468726851854</v>
      </c>
      <c r="G1903" s="24" t="s">
        <v>13000</v>
      </c>
      <c r="H1903" s="35" t="s">
        <v>6195</v>
      </c>
      <c r="I1903" s="10" t="s">
        <v>6473</v>
      </c>
    </row>
    <row r="1904" spans="1:9" s="33" customFormat="1" ht="45">
      <c r="A1904" s="4">
        <v>43559.376574074078</v>
      </c>
      <c r="B1904" s="5" t="s">
        <v>14481</v>
      </c>
      <c r="C1904" s="6" t="s">
        <v>6193</v>
      </c>
      <c r="D1904" s="7" t="s">
        <v>11864</v>
      </c>
      <c r="E1904" s="8" t="s">
        <v>13032</v>
      </c>
      <c r="F1904" s="4">
        <v>39624.502800925926</v>
      </c>
      <c r="G1904" s="24" t="s">
        <v>13000</v>
      </c>
      <c r="H1904" s="35" t="s">
        <v>6195</v>
      </c>
      <c r="I1904" s="10" t="s">
        <v>6196</v>
      </c>
    </row>
    <row r="1905" spans="1:9" s="33" customFormat="1" ht="90">
      <c r="A1905" s="19">
        <v>43551.479201388887</v>
      </c>
      <c r="B1905" s="20" t="s">
        <v>14483</v>
      </c>
      <c r="C1905" s="21" t="s">
        <v>6002</v>
      </c>
      <c r="D1905" s="22" t="s">
        <v>6003</v>
      </c>
      <c r="E1905" s="23" t="s">
        <v>13034</v>
      </c>
      <c r="F1905" s="19">
        <v>41774.424525462964</v>
      </c>
      <c r="G1905" s="24" t="s">
        <v>13000</v>
      </c>
      <c r="H1905" s="35" t="s">
        <v>1074</v>
      </c>
      <c r="I1905" s="25" t="s">
        <v>6004</v>
      </c>
    </row>
    <row r="1906" spans="1:9" s="33" customFormat="1" ht="30">
      <c r="A1906" s="19">
        <v>43550.740613425922</v>
      </c>
      <c r="B1906" s="20" t="s">
        <v>14484</v>
      </c>
      <c r="C1906" s="21" t="s">
        <v>7522</v>
      </c>
      <c r="D1906" s="22" t="s">
        <v>7523</v>
      </c>
      <c r="E1906" s="23" t="s">
        <v>13009</v>
      </c>
      <c r="F1906" s="19">
        <v>40964.521435185183</v>
      </c>
      <c r="G1906" s="24" t="s">
        <v>13000</v>
      </c>
      <c r="H1906" s="35" t="s">
        <v>1074</v>
      </c>
      <c r="I1906" s="25" t="s">
        <v>7524</v>
      </c>
    </row>
    <row r="1907" spans="1:9" s="33" customFormat="1" ht="75">
      <c r="A1907" s="19">
        <v>43550.57335648148</v>
      </c>
      <c r="B1907" s="20" t="s">
        <v>14485</v>
      </c>
      <c r="C1907" s="21" t="s">
        <v>1072</v>
      </c>
      <c r="D1907" s="22" t="s">
        <v>7610</v>
      </c>
      <c r="E1907" s="23" t="s">
        <v>13013</v>
      </c>
      <c r="F1907" s="19">
        <v>42912.65587962963</v>
      </c>
      <c r="G1907" s="24" t="s">
        <v>13000</v>
      </c>
      <c r="H1907" s="35" t="s">
        <v>1074</v>
      </c>
      <c r="I1907" s="25" t="s">
        <v>1075</v>
      </c>
    </row>
    <row r="1908" spans="1:9" s="33" customFormat="1" ht="120">
      <c r="A1908" s="19">
        <v>43544.41710648148</v>
      </c>
      <c r="B1908" s="20" t="s">
        <v>14486</v>
      </c>
      <c r="C1908" s="21" t="s">
        <v>9472</v>
      </c>
      <c r="D1908" s="22" t="s">
        <v>9473</v>
      </c>
      <c r="E1908" s="23" t="s">
        <v>13013</v>
      </c>
      <c r="F1908" s="19">
        <v>39281.713495370372</v>
      </c>
      <c r="G1908" s="24" t="s">
        <v>13000</v>
      </c>
      <c r="H1908" s="35" t="s">
        <v>1074</v>
      </c>
      <c r="I1908" s="25" t="s">
        <v>9474</v>
      </c>
    </row>
    <row r="1909" spans="1:9" s="33" customFormat="1" ht="75">
      <c r="A1909" s="19">
        <v>43544.215555555551</v>
      </c>
      <c r="B1909" s="20" t="s">
        <v>14485</v>
      </c>
      <c r="C1909" s="21" t="s">
        <v>1072</v>
      </c>
      <c r="D1909" s="22" t="s">
        <v>9580</v>
      </c>
      <c r="E1909" s="23" t="s">
        <v>13009</v>
      </c>
      <c r="F1909" s="19">
        <v>42912.65587962963</v>
      </c>
      <c r="G1909" s="24" t="s">
        <v>13000</v>
      </c>
      <c r="H1909" s="35" t="s">
        <v>1074</v>
      </c>
      <c r="I1909" s="25" t="s">
        <v>1075</v>
      </c>
    </row>
    <row r="1910" spans="1:9" s="33" customFormat="1" ht="90">
      <c r="A1910" s="4">
        <v>43565.604178240741</v>
      </c>
      <c r="B1910" s="5" t="s">
        <v>14483</v>
      </c>
      <c r="C1910" s="6" t="s">
        <v>6002</v>
      </c>
      <c r="D1910" s="7" t="s">
        <v>6003</v>
      </c>
      <c r="E1910" s="8" t="s">
        <v>13034</v>
      </c>
      <c r="F1910" s="4">
        <v>41774.424525462964</v>
      </c>
      <c r="G1910" s="24" t="s">
        <v>13000</v>
      </c>
      <c r="H1910" s="35" t="s">
        <v>1074</v>
      </c>
      <c r="I1910" s="10" t="s">
        <v>6004</v>
      </c>
    </row>
    <row r="1911" spans="1:9" s="33" customFormat="1" ht="75">
      <c r="A1911" s="4">
        <v>43564.672824074078</v>
      </c>
      <c r="B1911" s="5" t="s">
        <v>14485</v>
      </c>
      <c r="C1911" s="6" t="s">
        <v>1072</v>
      </c>
      <c r="D1911" s="7" t="s">
        <v>6457</v>
      </c>
      <c r="E1911" s="8" t="s">
        <v>13013</v>
      </c>
      <c r="F1911" s="4">
        <v>42912.65587962963</v>
      </c>
      <c r="G1911" s="24" t="s">
        <v>13000</v>
      </c>
      <c r="H1911" s="35" t="s">
        <v>1074</v>
      </c>
      <c r="I1911" s="10" t="s">
        <v>1075</v>
      </c>
    </row>
    <row r="1912" spans="1:9" s="33" customFormat="1" ht="105">
      <c r="A1912" s="4">
        <v>43564.167222222226</v>
      </c>
      <c r="B1912" s="5" t="s">
        <v>14487</v>
      </c>
      <c r="C1912" s="6" t="s">
        <v>6756</v>
      </c>
      <c r="D1912" s="7" t="s">
        <v>6757</v>
      </c>
      <c r="E1912" s="8" t="s">
        <v>14488</v>
      </c>
      <c r="F1912" s="4">
        <v>41958.891157407408</v>
      </c>
      <c r="G1912" s="24" t="s">
        <v>13000</v>
      </c>
      <c r="H1912" s="35" t="s">
        <v>1074</v>
      </c>
      <c r="I1912" s="10" t="s">
        <v>6758</v>
      </c>
    </row>
    <row r="1913" spans="1:9" s="33" customFormat="1" ht="75">
      <c r="A1913" s="4">
        <v>43563.322025462963</v>
      </c>
      <c r="B1913" s="5" t="s">
        <v>14489</v>
      </c>
      <c r="C1913" s="6" t="s">
        <v>10369</v>
      </c>
      <c r="D1913" s="7" t="s">
        <v>10370</v>
      </c>
      <c r="E1913" s="8" t="s">
        <v>13018</v>
      </c>
      <c r="F1913" s="4">
        <v>39869.849097222221</v>
      </c>
      <c r="G1913" s="24" t="s">
        <v>13000</v>
      </c>
      <c r="H1913" s="35" t="s">
        <v>1074</v>
      </c>
      <c r="I1913" s="10" t="s">
        <v>10371</v>
      </c>
    </row>
    <row r="1914" spans="1:9" s="33" customFormat="1" ht="75">
      <c r="A1914" s="4">
        <v>43559.147106481483</v>
      </c>
      <c r="B1914" s="5" t="s">
        <v>14485</v>
      </c>
      <c r="C1914" s="6" t="s">
        <v>1072</v>
      </c>
      <c r="D1914" s="7" t="s">
        <v>11934</v>
      </c>
      <c r="E1914" s="8" t="s">
        <v>13013</v>
      </c>
      <c r="F1914" s="4">
        <v>42912.65587962963</v>
      </c>
      <c r="G1914" s="24" t="s">
        <v>13000</v>
      </c>
      <c r="H1914" s="35" t="s">
        <v>1074</v>
      </c>
      <c r="I1914" s="10" t="s">
        <v>1075</v>
      </c>
    </row>
    <row r="1915" spans="1:9" s="33" customFormat="1" ht="90">
      <c r="A1915" s="4">
        <v>43557.97934027778</v>
      </c>
      <c r="B1915" s="5" t="s">
        <v>14483</v>
      </c>
      <c r="C1915" s="6" t="s">
        <v>6002</v>
      </c>
      <c r="D1915" s="7" t="s">
        <v>6003</v>
      </c>
      <c r="E1915" s="8" t="s">
        <v>13034</v>
      </c>
      <c r="F1915" s="4">
        <v>41774.424525462964</v>
      </c>
      <c r="G1915" s="24" t="s">
        <v>13000</v>
      </c>
      <c r="H1915" s="35" t="s">
        <v>1074</v>
      </c>
      <c r="I1915" s="10" t="s">
        <v>6004</v>
      </c>
    </row>
    <row r="1916" spans="1:9" s="33" customFormat="1" ht="75">
      <c r="A1916" s="12">
        <v>43578.720659722225</v>
      </c>
      <c r="B1916" s="13" t="s">
        <v>14485</v>
      </c>
      <c r="C1916" s="14" t="s">
        <v>1072</v>
      </c>
      <c r="D1916" s="15" t="s">
        <v>1073</v>
      </c>
      <c r="E1916" s="16" t="s">
        <v>13013</v>
      </c>
      <c r="F1916" s="12">
        <v>42912.65587962963</v>
      </c>
      <c r="G1916" s="24" t="s">
        <v>13000</v>
      </c>
      <c r="H1916" s="35" t="s">
        <v>1074</v>
      </c>
      <c r="I1916" s="18" t="s">
        <v>1075</v>
      </c>
    </row>
    <row r="1917" spans="1:9" s="33" customFormat="1" ht="45">
      <c r="A1917" s="12">
        <v>43575.402997685189</v>
      </c>
      <c r="B1917" s="13" t="s">
        <v>14490</v>
      </c>
      <c r="C1917" s="14" t="s">
        <v>2233</v>
      </c>
      <c r="D1917" s="15" t="s">
        <v>2234</v>
      </c>
      <c r="E1917" s="16" t="s">
        <v>13032</v>
      </c>
      <c r="F1917" s="12">
        <v>40062.831805555557</v>
      </c>
      <c r="G1917" s="24" t="s">
        <v>13000</v>
      </c>
      <c r="H1917" s="35" t="s">
        <v>1074</v>
      </c>
      <c r="I1917" s="18" t="s">
        <v>2235</v>
      </c>
    </row>
    <row r="1918" spans="1:9" s="33" customFormat="1" ht="75">
      <c r="A1918" s="12">
        <v>43573.655659722222</v>
      </c>
      <c r="B1918" s="13" t="s">
        <v>14485</v>
      </c>
      <c r="C1918" s="14" t="s">
        <v>1072</v>
      </c>
      <c r="D1918" s="15" t="s">
        <v>2790</v>
      </c>
      <c r="E1918" s="16" t="s">
        <v>13009</v>
      </c>
      <c r="F1918" s="12">
        <v>42912.65587962963</v>
      </c>
      <c r="G1918" s="24" t="s">
        <v>13000</v>
      </c>
      <c r="H1918" s="35" t="s">
        <v>1074</v>
      </c>
      <c r="I1918" s="18" t="s">
        <v>1075</v>
      </c>
    </row>
    <row r="1919" spans="1:9" s="33" customFormat="1" ht="105">
      <c r="A1919" s="12">
        <v>43573.368761574078</v>
      </c>
      <c r="B1919" s="13" t="s">
        <v>14491</v>
      </c>
      <c r="C1919" s="14" t="s">
        <v>2914</v>
      </c>
      <c r="D1919" s="15" t="s">
        <v>405</v>
      </c>
      <c r="E1919" s="16" t="s">
        <v>13034</v>
      </c>
      <c r="F1919" s="12">
        <v>39873.403958333336</v>
      </c>
      <c r="G1919" s="24" t="s">
        <v>13000</v>
      </c>
      <c r="H1919" s="35" t="s">
        <v>1074</v>
      </c>
      <c r="I1919" s="18" t="s">
        <v>2915</v>
      </c>
    </row>
    <row r="1920" spans="1:9" s="33" customFormat="1" ht="75">
      <c r="A1920" s="12">
        <v>43569.749259259261</v>
      </c>
      <c r="B1920" s="13" t="s">
        <v>14485</v>
      </c>
      <c r="C1920" s="14" t="s">
        <v>1072</v>
      </c>
      <c r="D1920" s="15" t="s">
        <v>4416</v>
      </c>
      <c r="E1920" s="16" t="s">
        <v>13013</v>
      </c>
      <c r="F1920" s="12">
        <v>42912.65587962963</v>
      </c>
      <c r="G1920" s="24" t="s">
        <v>13000</v>
      </c>
      <c r="H1920" s="35" t="s">
        <v>1074</v>
      </c>
      <c r="I1920" s="18" t="s">
        <v>1075</v>
      </c>
    </row>
    <row r="1921" spans="1:9" s="33" customFormat="1" ht="150">
      <c r="A1921" s="19">
        <v>43545.272777777776</v>
      </c>
      <c r="B1921" s="20" t="s">
        <v>14492</v>
      </c>
      <c r="C1921" s="21" t="s">
        <v>9218</v>
      </c>
      <c r="D1921" s="22" t="s">
        <v>9219</v>
      </c>
      <c r="E1921" s="23" t="s">
        <v>13009</v>
      </c>
      <c r="F1921" s="19">
        <v>41532.232453703706</v>
      </c>
      <c r="G1921" s="24" t="s">
        <v>13000</v>
      </c>
      <c r="H1921" s="35" t="s">
        <v>9220</v>
      </c>
      <c r="I1921" s="25" t="s">
        <v>9221</v>
      </c>
    </row>
    <row r="1922" spans="1:9" s="33" customFormat="1" ht="105">
      <c r="A1922" s="19">
        <v>43548.036377314813</v>
      </c>
      <c r="B1922" s="20" t="s">
        <v>14493</v>
      </c>
      <c r="C1922" s="21" t="s">
        <v>3944</v>
      </c>
      <c r="D1922" s="22" t="s">
        <v>8424</v>
      </c>
      <c r="E1922" s="23" t="s">
        <v>13011</v>
      </c>
      <c r="F1922" s="19">
        <v>43466.927812499998</v>
      </c>
      <c r="G1922" s="17" t="s">
        <v>13000</v>
      </c>
      <c r="H1922" s="35" t="s">
        <v>3946</v>
      </c>
      <c r="I1922" s="25" t="s">
        <v>3947</v>
      </c>
    </row>
    <row r="1923" spans="1:9" s="33" customFormat="1" ht="105">
      <c r="A1923" s="4">
        <v>43565.58211805555</v>
      </c>
      <c r="B1923" s="5" t="s">
        <v>14493</v>
      </c>
      <c r="C1923" s="6" t="s">
        <v>3944</v>
      </c>
      <c r="D1923" s="7" t="s">
        <v>6017</v>
      </c>
      <c r="E1923" s="8" t="s">
        <v>13011</v>
      </c>
      <c r="F1923" s="4">
        <v>43466.927812499998</v>
      </c>
      <c r="G1923" s="17" t="s">
        <v>13000</v>
      </c>
      <c r="H1923" s="35" t="s">
        <v>3946</v>
      </c>
      <c r="I1923" s="10" t="s">
        <v>3947</v>
      </c>
    </row>
    <row r="1924" spans="1:9" s="33" customFormat="1" ht="105">
      <c r="A1924" s="12">
        <v>43570.902268518519</v>
      </c>
      <c r="B1924" s="13" t="s">
        <v>14493</v>
      </c>
      <c r="C1924" s="14" t="s">
        <v>3944</v>
      </c>
      <c r="D1924" s="15" t="s">
        <v>3945</v>
      </c>
      <c r="E1924" s="16" t="s">
        <v>13011</v>
      </c>
      <c r="F1924" s="12">
        <v>43466.927812499998</v>
      </c>
      <c r="G1924" s="17" t="s">
        <v>13000</v>
      </c>
      <c r="H1924" s="35" t="s">
        <v>3946</v>
      </c>
      <c r="I1924" s="18" t="s">
        <v>3947</v>
      </c>
    </row>
    <row r="1925" spans="1:9" s="33" customFormat="1" ht="90">
      <c r="A1925" s="19">
        <v>43551.380578703705</v>
      </c>
      <c r="B1925" s="20" t="s">
        <v>14494</v>
      </c>
      <c r="C1925" s="21" t="s">
        <v>7259</v>
      </c>
      <c r="D1925" s="22" t="s">
        <v>7260</v>
      </c>
      <c r="E1925" s="23" t="s">
        <v>13011</v>
      </c>
      <c r="F1925" s="19">
        <v>43434.392881944441</v>
      </c>
      <c r="G1925" s="17" t="s">
        <v>13000</v>
      </c>
      <c r="H1925" s="35" t="s">
        <v>7261</v>
      </c>
      <c r="I1925" s="25" t="s">
        <v>7262</v>
      </c>
    </row>
    <row r="1926" spans="1:9" s="33" customFormat="1" ht="45">
      <c r="A1926" s="4">
        <v>43563.544108796297</v>
      </c>
      <c r="B1926" s="5" t="s">
        <v>14495</v>
      </c>
      <c r="C1926" s="6" t="s">
        <v>10233</v>
      </c>
      <c r="D1926" s="7" t="s">
        <v>10234</v>
      </c>
      <c r="E1926" s="8" t="s">
        <v>13462</v>
      </c>
      <c r="F1926" s="4">
        <v>40829.469675925924</v>
      </c>
      <c r="G1926" s="17" t="s">
        <v>13000</v>
      </c>
      <c r="H1926" s="35" t="s">
        <v>10235</v>
      </c>
      <c r="I1926" s="10"/>
    </row>
    <row r="1927" spans="1:9" s="33" customFormat="1" ht="60">
      <c r="A1927" s="19">
        <v>43549.951550925922</v>
      </c>
      <c r="B1927" s="20" t="s">
        <v>14496</v>
      </c>
      <c r="C1927" s="21" t="s">
        <v>1720</v>
      </c>
      <c r="D1927" s="22" t="s">
        <v>1718</v>
      </c>
      <c r="E1927" s="23" t="s">
        <v>13009</v>
      </c>
      <c r="F1927" s="19">
        <v>42682.489074074074</v>
      </c>
      <c r="G1927" s="17" t="s">
        <v>13000</v>
      </c>
      <c r="H1927" s="35" t="s">
        <v>406</v>
      </c>
      <c r="I1927" s="25" t="s">
        <v>1722</v>
      </c>
    </row>
    <row r="1928" spans="1:9" s="33" customFormat="1" ht="60">
      <c r="A1928" s="19">
        <v>43548.840555555551</v>
      </c>
      <c r="B1928" s="20" t="s">
        <v>14496</v>
      </c>
      <c r="C1928" s="21" t="s">
        <v>1720</v>
      </c>
      <c r="D1928" s="22" t="s">
        <v>8214</v>
      </c>
      <c r="E1928" s="23" t="s">
        <v>13009</v>
      </c>
      <c r="F1928" s="19">
        <v>42682.489074074074</v>
      </c>
      <c r="G1928" s="17" t="s">
        <v>13000</v>
      </c>
      <c r="H1928" s="35" t="s">
        <v>406</v>
      </c>
      <c r="I1928" s="25" t="s">
        <v>1722</v>
      </c>
    </row>
    <row r="1929" spans="1:9" s="33" customFormat="1" ht="60">
      <c r="A1929" s="19">
        <v>43546.292025462964</v>
      </c>
      <c r="B1929" s="20" t="s">
        <v>14496</v>
      </c>
      <c r="C1929" s="21" t="s">
        <v>1720</v>
      </c>
      <c r="D1929" s="22" t="s">
        <v>8917</v>
      </c>
      <c r="E1929" s="23" t="s">
        <v>13009</v>
      </c>
      <c r="F1929" s="19">
        <v>42682.489074074074</v>
      </c>
      <c r="G1929" s="17" t="s">
        <v>13000</v>
      </c>
      <c r="H1929" s="35" t="s">
        <v>406</v>
      </c>
      <c r="I1929" s="25" t="s">
        <v>1722</v>
      </c>
    </row>
    <row r="1930" spans="1:9" s="33" customFormat="1" ht="105">
      <c r="A1930" s="19">
        <v>43543.680636574078</v>
      </c>
      <c r="B1930" s="20" t="s">
        <v>14497</v>
      </c>
      <c r="C1930" s="21" t="s">
        <v>9706</v>
      </c>
      <c r="D1930" s="22" t="s">
        <v>9707</v>
      </c>
      <c r="E1930" s="23" t="s">
        <v>13018</v>
      </c>
      <c r="F1930" s="19">
        <v>39820.496238425927</v>
      </c>
      <c r="G1930" s="17" t="s">
        <v>13000</v>
      </c>
      <c r="H1930" s="35" t="s">
        <v>406</v>
      </c>
      <c r="I1930" s="25" t="s">
        <v>9708</v>
      </c>
    </row>
    <row r="1931" spans="1:9" s="33" customFormat="1" ht="105">
      <c r="A1931" s="19">
        <v>43543.540231481486</v>
      </c>
      <c r="B1931" s="20" t="s">
        <v>14498</v>
      </c>
      <c r="C1931" s="21" t="s">
        <v>9762</v>
      </c>
      <c r="D1931" s="22" t="s">
        <v>9763</v>
      </c>
      <c r="E1931" s="23" t="s">
        <v>13011</v>
      </c>
      <c r="F1931" s="19">
        <v>43543.515127314815</v>
      </c>
      <c r="G1931" s="17" t="s">
        <v>13000</v>
      </c>
      <c r="H1931" s="35" t="s">
        <v>406</v>
      </c>
      <c r="I1931" s="25" t="s">
        <v>9764</v>
      </c>
    </row>
    <row r="1932" spans="1:9" s="33" customFormat="1" ht="135">
      <c r="A1932" s="4">
        <v>43563.753333333334</v>
      </c>
      <c r="B1932" s="5" t="s">
        <v>14499</v>
      </c>
      <c r="C1932" s="6" t="s">
        <v>6897</v>
      </c>
      <c r="D1932" s="7" t="s">
        <v>6898</v>
      </c>
      <c r="E1932" s="8" t="s">
        <v>13009</v>
      </c>
      <c r="F1932" s="4">
        <v>40546.295081018521</v>
      </c>
      <c r="G1932" s="17" t="s">
        <v>13000</v>
      </c>
      <c r="H1932" s="35" t="s">
        <v>406</v>
      </c>
      <c r="I1932" s="10" t="s">
        <v>6899</v>
      </c>
    </row>
    <row r="1933" spans="1:9" s="33" customFormat="1" ht="60">
      <c r="A1933" s="4">
        <v>43562.541956018518</v>
      </c>
      <c r="B1933" s="5" t="s">
        <v>14496</v>
      </c>
      <c r="C1933" s="6" t="s">
        <v>1720</v>
      </c>
      <c r="D1933" s="7" t="s">
        <v>4814</v>
      </c>
      <c r="E1933" s="8" t="s">
        <v>13009</v>
      </c>
      <c r="F1933" s="4">
        <v>42682.489074074074</v>
      </c>
      <c r="G1933" s="17" t="s">
        <v>13000</v>
      </c>
      <c r="H1933" s="35" t="s">
        <v>406</v>
      </c>
      <c r="I1933" s="10" t="s">
        <v>1722</v>
      </c>
    </row>
    <row r="1934" spans="1:9" s="33" customFormat="1" ht="90">
      <c r="A1934" s="4">
        <v>43561.36346064815</v>
      </c>
      <c r="B1934" s="5" t="s">
        <v>14500</v>
      </c>
      <c r="C1934" s="6" t="s">
        <v>10999</v>
      </c>
      <c r="D1934" s="7" t="s">
        <v>11000</v>
      </c>
      <c r="E1934" s="8" t="s">
        <v>13013</v>
      </c>
      <c r="F1934" s="4">
        <v>43083.782986111109</v>
      </c>
      <c r="G1934" s="17" t="s">
        <v>13000</v>
      </c>
      <c r="H1934" s="35" t="s">
        <v>406</v>
      </c>
      <c r="I1934" s="10" t="s">
        <v>11001</v>
      </c>
    </row>
    <row r="1935" spans="1:9" s="33" customFormat="1" ht="60">
      <c r="A1935" s="4">
        <v>43558.903773148151</v>
      </c>
      <c r="B1935" s="5" t="s">
        <v>14496</v>
      </c>
      <c r="C1935" s="6" t="s">
        <v>1720</v>
      </c>
      <c r="D1935" s="7" t="s">
        <v>2498</v>
      </c>
      <c r="E1935" s="8" t="s">
        <v>13009</v>
      </c>
      <c r="F1935" s="4">
        <v>42682.489074074074</v>
      </c>
      <c r="G1935" s="17" t="s">
        <v>13000</v>
      </c>
      <c r="H1935" s="35" t="s">
        <v>406</v>
      </c>
      <c r="I1935" s="10" t="s">
        <v>1722</v>
      </c>
    </row>
    <row r="1936" spans="1:9" s="33" customFormat="1" ht="60">
      <c r="A1936" s="4">
        <v>43558.266134259262</v>
      </c>
      <c r="B1936" s="5" t="s">
        <v>14496</v>
      </c>
      <c r="C1936" s="6" t="s">
        <v>1720</v>
      </c>
      <c r="D1936" s="7" t="s">
        <v>8214</v>
      </c>
      <c r="E1936" s="8" t="s">
        <v>13009</v>
      </c>
      <c r="F1936" s="4">
        <v>42682.489074074074</v>
      </c>
      <c r="G1936" s="17" t="s">
        <v>13000</v>
      </c>
      <c r="H1936" s="35" t="s">
        <v>406</v>
      </c>
      <c r="I1936" s="10" t="s">
        <v>1722</v>
      </c>
    </row>
    <row r="1937" spans="1:9" s="33" customFormat="1" ht="60">
      <c r="A1937" s="4">
        <v>43556.835775462961</v>
      </c>
      <c r="B1937" s="5" t="s">
        <v>14496</v>
      </c>
      <c r="C1937" s="6" t="s">
        <v>1720</v>
      </c>
      <c r="D1937" s="7" t="s">
        <v>12729</v>
      </c>
      <c r="E1937" s="8" t="s">
        <v>13009</v>
      </c>
      <c r="F1937" s="4">
        <v>42682.489074074074</v>
      </c>
      <c r="G1937" s="17" t="s">
        <v>13000</v>
      </c>
      <c r="H1937" s="35" t="s">
        <v>406</v>
      </c>
      <c r="I1937" s="10" t="s">
        <v>1722</v>
      </c>
    </row>
    <row r="1938" spans="1:9" s="33" customFormat="1" ht="90">
      <c r="A1938" s="12">
        <v>43579.896539351852</v>
      </c>
      <c r="B1938" s="13" t="s">
        <v>14501</v>
      </c>
      <c r="C1938" s="14" t="s">
        <v>404</v>
      </c>
      <c r="D1938" s="15" t="s">
        <v>405</v>
      </c>
      <c r="E1938" s="16" t="s">
        <v>13034</v>
      </c>
      <c r="F1938" s="12">
        <v>42577.988553240742</v>
      </c>
      <c r="G1938" s="17" t="s">
        <v>13000</v>
      </c>
      <c r="H1938" s="35" t="s">
        <v>406</v>
      </c>
      <c r="I1938" s="18" t="s">
        <v>407</v>
      </c>
    </row>
    <row r="1939" spans="1:9" s="33" customFormat="1" ht="60">
      <c r="A1939" s="12">
        <v>43577.184108796297</v>
      </c>
      <c r="B1939" s="13" t="s">
        <v>14496</v>
      </c>
      <c r="C1939" s="14" t="s">
        <v>1720</v>
      </c>
      <c r="D1939" s="15" t="s">
        <v>1721</v>
      </c>
      <c r="E1939" s="16" t="s">
        <v>13009</v>
      </c>
      <c r="F1939" s="12">
        <v>42682.489074074074</v>
      </c>
      <c r="G1939" s="17" t="s">
        <v>13000</v>
      </c>
      <c r="H1939" s="35" t="s">
        <v>406</v>
      </c>
      <c r="I1939" s="18" t="s">
        <v>1722</v>
      </c>
    </row>
    <row r="1940" spans="1:9" s="33" customFormat="1" ht="60">
      <c r="A1940" s="12">
        <v>43575.465428240743</v>
      </c>
      <c r="B1940" s="13" t="s">
        <v>14496</v>
      </c>
      <c r="C1940" s="14" t="s">
        <v>1720</v>
      </c>
      <c r="D1940" s="15" t="s">
        <v>2209</v>
      </c>
      <c r="E1940" s="16" t="s">
        <v>13009</v>
      </c>
      <c r="F1940" s="12">
        <v>42682.489074074074</v>
      </c>
      <c r="G1940" s="17" t="s">
        <v>13000</v>
      </c>
      <c r="H1940" s="35" t="s">
        <v>406</v>
      </c>
      <c r="I1940" s="18" t="s">
        <v>1722</v>
      </c>
    </row>
    <row r="1941" spans="1:9" s="33" customFormat="1" ht="60">
      <c r="A1941" s="12">
        <v>43574.599236111113</v>
      </c>
      <c r="B1941" s="13" t="s">
        <v>14496</v>
      </c>
      <c r="C1941" s="14" t="s">
        <v>1720</v>
      </c>
      <c r="D1941" s="15" t="s">
        <v>2498</v>
      </c>
      <c r="E1941" s="16" t="s">
        <v>13009</v>
      </c>
      <c r="F1941" s="12">
        <v>42682.489074074074</v>
      </c>
      <c r="G1941" s="17" t="s">
        <v>13000</v>
      </c>
      <c r="H1941" s="35" t="s">
        <v>406</v>
      </c>
      <c r="I1941" s="18" t="s">
        <v>1722</v>
      </c>
    </row>
    <row r="1942" spans="1:9" s="33" customFormat="1" ht="60">
      <c r="A1942" s="12">
        <v>43572.57166666667</v>
      </c>
      <c r="B1942" s="13" t="s">
        <v>14496</v>
      </c>
      <c r="C1942" s="14" t="s">
        <v>1720</v>
      </c>
      <c r="D1942" s="15" t="s">
        <v>3158</v>
      </c>
      <c r="E1942" s="16" t="s">
        <v>13009</v>
      </c>
      <c r="F1942" s="12">
        <v>42682.489074074074</v>
      </c>
      <c r="G1942" s="17" t="s">
        <v>13000</v>
      </c>
      <c r="H1942" s="35" t="s">
        <v>406</v>
      </c>
      <c r="I1942" s="18" t="s">
        <v>1722</v>
      </c>
    </row>
    <row r="1943" spans="1:9" s="33" customFormat="1" ht="105">
      <c r="A1943" s="12">
        <v>43570.585416666669</v>
      </c>
      <c r="B1943" s="13" t="s">
        <v>14502</v>
      </c>
      <c r="C1943" s="14" t="s">
        <v>4046</v>
      </c>
      <c r="D1943" s="15" t="s">
        <v>4047</v>
      </c>
      <c r="E1943" s="16" t="s">
        <v>13120</v>
      </c>
      <c r="F1943" s="12">
        <v>41457.392638888887</v>
      </c>
      <c r="G1943" s="17" t="s">
        <v>13000</v>
      </c>
      <c r="H1943" s="35" t="s">
        <v>406</v>
      </c>
      <c r="I1943" s="18" t="s">
        <v>4048</v>
      </c>
    </row>
    <row r="1944" spans="1:9" s="33" customFormat="1" ht="60">
      <c r="A1944" s="12">
        <v>43570.281782407408</v>
      </c>
      <c r="B1944" s="13" t="s">
        <v>14496</v>
      </c>
      <c r="C1944" s="14" t="s">
        <v>1720</v>
      </c>
      <c r="D1944" s="15" t="s">
        <v>4263</v>
      </c>
      <c r="E1944" s="16" t="s">
        <v>13009</v>
      </c>
      <c r="F1944" s="12">
        <v>42682.489074074074</v>
      </c>
      <c r="G1944" s="17" t="s">
        <v>13000</v>
      </c>
      <c r="H1944" s="35" t="s">
        <v>406</v>
      </c>
      <c r="I1944" s="18" t="s">
        <v>1722</v>
      </c>
    </row>
    <row r="1945" spans="1:9" s="33" customFormat="1" ht="60">
      <c r="A1945" s="12">
        <v>43568.305162037039</v>
      </c>
      <c r="B1945" s="13" t="s">
        <v>14496</v>
      </c>
      <c r="C1945" s="14" t="s">
        <v>1720</v>
      </c>
      <c r="D1945" s="15" t="s">
        <v>4815</v>
      </c>
      <c r="E1945" s="16" t="s">
        <v>13009</v>
      </c>
      <c r="F1945" s="12">
        <v>42682.489074074074</v>
      </c>
      <c r="G1945" s="17" t="s">
        <v>13000</v>
      </c>
      <c r="H1945" s="35" t="s">
        <v>406</v>
      </c>
      <c r="I1945" s="18" t="s">
        <v>1722</v>
      </c>
    </row>
    <row r="1946" spans="1:9" s="33" customFormat="1" ht="60">
      <c r="A1946" s="12">
        <v>43566.372361111113</v>
      </c>
      <c r="B1946" s="13" t="s">
        <v>14503</v>
      </c>
      <c r="C1946" s="14" t="s">
        <v>5598</v>
      </c>
      <c r="D1946" s="15" t="s">
        <v>5599</v>
      </c>
      <c r="E1946" s="16" t="s">
        <v>13009</v>
      </c>
      <c r="F1946" s="12">
        <v>43515.640243055561</v>
      </c>
      <c r="G1946" s="17" t="s">
        <v>13000</v>
      </c>
      <c r="H1946" s="35" t="s">
        <v>406</v>
      </c>
      <c r="I1946" s="18" t="s">
        <v>5600</v>
      </c>
    </row>
    <row r="1947" spans="1:9" s="33" customFormat="1" ht="105">
      <c r="A1947" s="19">
        <v>43551.456250000003</v>
      </c>
      <c r="B1947" s="20" t="s">
        <v>14504</v>
      </c>
      <c r="C1947" s="21" t="s">
        <v>2849</v>
      </c>
      <c r="D1947" s="22" t="s">
        <v>7191</v>
      </c>
      <c r="E1947" s="23" t="s">
        <v>13120</v>
      </c>
      <c r="F1947" s="19">
        <v>40056.515752314815</v>
      </c>
      <c r="G1947" s="17" t="s">
        <v>13000</v>
      </c>
      <c r="H1947" s="35" t="s">
        <v>7192</v>
      </c>
      <c r="I1947" s="25" t="s">
        <v>7193</v>
      </c>
    </row>
    <row r="1948" spans="1:9" s="33" customFormat="1" ht="105">
      <c r="A1948" s="19">
        <v>43549.455555555556</v>
      </c>
      <c r="B1948" s="20" t="s">
        <v>14504</v>
      </c>
      <c r="C1948" s="21" t="s">
        <v>2849</v>
      </c>
      <c r="D1948" s="22" t="s">
        <v>8026</v>
      </c>
      <c r="E1948" s="23" t="s">
        <v>13120</v>
      </c>
      <c r="F1948" s="19">
        <v>40056.515752314815</v>
      </c>
      <c r="G1948" s="17" t="s">
        <v>13000</v>
      </c>
      <c r="H1948" s="35" t="s">
        <v>7192</v>
      </c>
      <c r="I1948" s="25" t="s">
        <v>7193</v>
      </c>
    </row>
    <row r="1949" spans="1:9" s="33" customFormat="1" ht="105">
      <c r="A1949" s="4">
        <v>43560.488888888889</v>
      </c>
      <c r="B1949" s="5" t="s">
        <v>14505</v>
      </c>
      <c r="C1949" s="6" t="s">
        <v>11331</v>
      </c>
      <c r="D1949" s="7" t="s">
        <v>11332</v>
      </c>
      <c r="E1949" s="8" t="s">
        <v>13120</v>
      </c>
      <c r="F1949" s="4">
        <v>40056.578564814816</v>
      </c>
      <c r="G1949" s="17" t="s">
        <v>13000</v>
      </c>
      <c r="H1949" s="35" t="s">
        <v>11333</v>
      </c>
      <c r="I1949" s="10" t="s">
        <v>11334</v>
      </c>
    </row>
    <row r="1950" spans="1:9" s="33" customFormat="1" ht="105">
      <c r="A1950" s="4">
        <v>43558.086180555554</v>
      </c>
      <c r="B1950" s="5" t="s">
        <v>14506</v>
      </c>
      <c r="C1950" s="6" t="s">
        <v>12326</v>
      </c>
      <c r="D1950" s="7" t="s">
        <v>12327</v>
      </c>
      <c r="E1950" s="8" t="s">
        <v>14507</v>
      </c>
      <c r="F1950" s="4">
        <v>39871.569537037038</v>
      </c>
      <c r="G1950" s="17" t="s">
        <v>13000</v>
      </c>
      <c r="H1950" s="35" t="s">
        <v>12328</v>
      </c>
      <c r="I1950" s="10" t="s">
        <v>12329</v>
      </c>
    </row>
    <row r="1951" spans="1:9" s="33" customFormat="1" ht="120">
      <c r="A1951" s="19">
        <v>43544.317858796298</v>
      </c>
      <c r="B1951" s="20" t="s">
        <v>14508</v>
      </c>
      <c r="C1951" s="21" t="s">
        <v>9528</v>
      </c>
      <c r="D1951" s="22" t="s">
        <v>9529</v>
      </c>
      <c r="E1951" s="23" t="s">
        <v>13009</v>
      </c>
      <c r="F1951" s="19">
        <v>39541.36273148148</v>
      </c>
      <c r="G1951" s="17" t="s">
        <v>13000</v>
      </c>
      <c r="H1951" s="35" t="s">
        <v>9530</v>
      </c>
      <c r="I1951" s="25" t="s">
        <v>9531</v>
      </c>
    </row>
    <row r="1952" spans="1:9" s="33" customFormat="1" ht="60">
      <c r="A1952" s="12">
        <v>43566.497164351851</v>
      </c>
      <c r="B1952" s="13" t="s">
        <v>14509</v>
      </c>
      <c r="C1952" s="14" t="s">
        <v>5480</v>
      </c>
      <c r="D1952" s="15" t="s">
        <v>5481</v>
      </c>
      <c r="E1952" s="16" t="s">
        <v>13009</v>
      </c>
      <c r="F1952" s="12">
        <v>42016.588449074072</v>
      </c>
      <c r="G1952" s="17" t="s">
        <v>13000</v>
      </c>
      <c r="H1952" s="35" t="s">
        <v>5482</v>
      </c>
      <c r="I1952" s="18" t="s">
        <v>5483</v>
      </c>
    </row>
    <row r="1953" spans="1:9" s="33" customFormat="1" ht="120">
      <c r="A1953" s="4">
        <v>43559.197974537034</v>
      </c>
      <c r="B1953" s="5" t="s">
        <v>14510</v>
      </c>
      <c r="C1953" s="6" t="s">
        <v>11910</v>
      </c>
      <c r="D1953" s="7" t="s">
        <v>11911</v>
      </c>
      <c r="E1953" s="8" t="s">
        <v>13034</v>
      </c>
      <c r="F1953" s="4">
        <v>42567.902129629627</v>
      </c>
      <c r="G1953" s="17" t="s">
        <v>13000</v>
      </c>
      <c r="H1953" s="35" t="s">
        <v>2170</v>
      </c>
      <c r="I1953" s="10" t="s">
        <v>11912</v>
      </c>
    </row>
    <row r="1954" spans="1:9" s="33" customFormat="1" ht="45">
      <c r="A1954" s="12">
        <v>43576.392384259263</v>
      </c>
      <c r="B1954" s="13" t="s">
        <v>14511</v>
      </c>
      <c r="C1954" s="14" t="s">
        <v>1963</v>
      </c>
      <c r="D1954" s="15" t="s">
        <v>1964</v>
      </c>
      <c r="E1954" s="16" t="s">
        <v>13282</v>
      </c>
      <c r="F1954" s="12">
        <v>40686.661412037036</v>
      </c>
      <c r="G1954" s="17" t="s">
        <v>13000</v>
      </c>
      <c r="H1954" s="35" t="s">
        <v>1965</v>
      </c>
      <c r="I1954" s="18" t="s">
        <v>1966</v>
      </c>
    </row>
    <row r="1955" spans="1:9" s="33" customFormat="1" ht="120">
      <c r="A1955" s="12">
        <v>43575.535393518519</v>
      </c>
      <c r="B1955" s="13" t="s">
        <v>14512</v>
      </c>
      <c r="C1955" s="14" t="s">
        <v>2168</v>
      </c>
      <c r="D1955" s="15" t="s">
        <v>2169</v>
      </c>
      <c r="E1955" s="16" t="s">
        <v>13011</v>
      </c>
      <c r="F1955" s="12">
        <v>40299.849270833336</v>
      </c>
      <c r="G1955" s="17" t="s">
        <v>13000</v>
      </c>
      <c r="H1955" s="35" t="s">
        <v>2170</v>
      </c>
      <c r="I1955" s="18" t="s">
        <v>2171</v>
      </c>
    </row>
    <row r="1956" spans="1:9" s="33" customFormat="1" ht="120">
      <c r="A1956" s="12">
        <v>43574.465497685189</v>
      </c>
      <c r="B1956" s="13" t="s">
        <v>14512</v>
      </c>
      <c r="C1956" s="14" t="s">
        <v>2168</v>
      </c>
      <c r="D1956" s="15" t="s">
        <v>2542</v>
      </c>
      <c r="E1956" s="16" t="s">
        <v>13011</v>
      </c>
      <c r="F1956" s="12">
        <v>40299.849270833336</v>
      </c>
      <c r="G1956" s="17" t="s">
        <v>13000</v>
      </c>
      <c r="H1956" s="35" t="s">
        <v>2170</v>
      </c>
      <c r="I1956" s="18" t="s">
        <v>2171</v>
      </c>
    </row>
    <row r="1957" spans="1:9" s="33" customFormat="1" ht="120">
      <c r="A1957" s="12">
        <v>43572.42969907407</v>
      </c>
      <c r="B1957" s="13" t="s">
        <v>14512</v>
      </c>
      <c r="C1957" s="14" t="s">
        <v>2168</v>
      </c>
      <c r="D1957" s="15" t="s">
        <v>3252</v>
      </c>
      <c r="E1957" s="16" t="s">
        <v>13011</v>
      </c>
      <c r="F1957" s="12">
        <v>40299.849270833336</v>
      </c>
      <c r="G1957" s="17" t="s">
        <v>13000</v>
      </c>
      <c r="H1957" s="35" t="s">
        <v>2170</v>
      </c>
      <c r="I1957" s="18" t="s">
        <v>2171</v>
      </c>
    </row>
    <row r="1958" spans="1:9" s="33" customFormat="1" ht="75">
      <c r="A1958" s="12">
        <v>43570.688310185185</v>
      </c>
      <c r="B1958" s="13" t="s">
        <v>14513</v>
      </c>
      <c r="C1958" s="14" t="s">
        <v>3995</v>
      </c>
      <c r="D1958" s="15" t="s">
        <v>3996</v>
      </c>
      <c r="E1958" s="16" t="s">
        <v>13009</v>
      </c>
      <c r="F1958" s="12">
        <v>41954.352766203709</v>
      </c>
      <c r="G1958" s="17" t="s">
        <v>13000</v>
      </c>
      <c r="H1958" s="35" t="s">
        <v>3997</v>
      </c>
      <c r="I1958" s="18" t="s">
        <v>3998</v>
      </c>
    </row>
    <row r="1959" spans="1:9" s="33" customFormat="1" ht="75">
      <c r="A1959" s="19">
        <v>43549.562708333338</v>
      </c>
      <c r="B1959" s="20" t="s">
        <v>14514</v>
      </c>
      <c r="C1959" s="21" t="s">
        <v>7986</v>
      </c>
      <c r="D1959" s="22" t="s">
        <v>7987</v>
      </c>
      <c r="E1959" s="23" t="s">
        <v>13411</v>
      </c>
      <c r="F1959" s="19">
        <v>40934.608043981483</v>
      </c>
      <c r="G1959" s="17" t="s">
        <v>13000</v>
      </c>
      <c r="H1959" s="35" t="s">
        <v>7988</v>
      </c>
      <c r="I1959" s="25" t="s">
        <v>7989</v>
      </c>
    </row>
    <row r="1960" spans="1:9" s="33" customFormat="1" ht="90">
      <c r="A1960" s="19">
        <v>43548.580370370371</v>
      </c>
      <c r="B1960" s="20" t="s">
        <v>14515</v>
      </c>
      <c r="C1960" s="21" t="s">
        <v>1930</v>
      </c>
      <c r="D1960" s="22" t="s">
        <v>8274</v>
      </c>
      <c r="E1960" s="23" t="s">
        <v>13011</v>
      </c>
      <c r="F1960" s="19">
        <v>40979.533449074072</v>
      </c>
      <c r="G1960" s="17" t="s">
        <v>13000</v>
      </c>
      <c r="H1960" s="35" t="s">
        <v>1932</v>
      </c>
      <c r="I1960" s="25" t="s">
        <v>1933</v>
      </c>
    </row>
    <row r="1961" spans="1:9" s="33" customFormat="1" ht="90">
      <c r="A1961" s="12">
        <v>43576.474791666667</v>
      </c>
      <c r="B1961" s="13" t="s">
        <v>14515</v>
      </c>
      <c r="C1961" s="14" t="s">
        <v>1930</v>
      </c>
      <c r="D1961" s="15" t="s">
        <v>1931</v>
      </c>
      <c r="E1961" s="16" t="s">
        <v>13011</v>
      </c>
      <c r="F1961" s="12">
        <v>40979.533449074072</v>
      </c>
      <c r="G1961" s="17" t="s">
        <v>13000</v>
      </c>
      <c r="H1961" s="35" t="s">
        <v>1932</v>
      </c>
      <c r="I1961" s="18" t="s">
        <v>1933</v>
      </c>
    </row>
    <row r="1962" spans="1:9" s="33" customFormat="1" ht="90">
      <c r="A1962" s="12">
        <v>43570.179918981477</v>
      </c>
      <c r="B1962" s="13" t="s">
        <v>14515</v>
      </c>
      <c r="C1962" s="14" t="s">
        <v>1930</v>
      </c>
      <c r="D1962" s="15" t="s">
        <v>4305</v>
      </c>
      <c r="E1962" s="16" t="s">
        <v>13011</v>
      </c>
      <c r="F1962" s="12">
        <v>40979.533449074072</v>
      </c>
      <c r="G1962" s="17" t="s">
        <v>13000</v>
      </c>
      <c r="H1962" s="35" t="s">
        <v>1932</v>
      </c>
      <c r="I1962" s="18" t="s">
        <v>1933</v>
      </c>
    </row>
    <row r="1963" spans="1:9" s="33" customFormat="1" ht="60">
      <c r="A1963" s="19">
        <v>43542.678483796291</v>
      </c>
      <c r="B1963" s="20" t="s">
        <v>14516</v>
      </c>
      <c r="C1963" s="21" t="s">
        <v>10032</v>
      </c>
      <c r="D1963" s="22" t="s">
        <v>10033</v>
      </c>
      <c r="E1963" s="23" t="s">
        <v>13032</v>
      </c>
      <c r="F1963" s="19">
        <v>41536.627627314811</v>
      </c>
      <c r="G1963" s="17" t="s">
        <v>13000</v>
      </c>
      <c r="H1963" s="35" t="s">
        <v>10034</v>
      </c>
      <c r="I1963" s="25" t="s">
        <v>10035</v>
      </c>
    </row>
    <row r="1964" spans="1:9" s="33" customFormat="1" ht="75">
      <c r="A1964" s="12">
        <v>43575.323749999996</v>
      </c>
      <c r="B1964" s="13" t="s">
        <v>14517</v>
      </c>
      <c r="C1964" s="14" t="s">
        <v>2292</v>
      </c>
      <c r="D1964" s="15" t="s">
        <v>2293</v>
      </c>
      <c r="E1964" s="16" t="s">
        <v>13032</v>
      </c>
      <c r="F1964" s="12">
        <v>40807.893333333333</v>
      </c>
      <c r="G1964" s="17" t="s">
        <v>13000</v>
      </c>
      <c r="H1964" s="35" t="s">
        <v>2294</v>
      </c>
      <c r="I1964" s="18" t="s">
        <v>2295</v>
      </c>
    </row>
    <row r="1965" spans="1:9" s="33" customFormat="1" ht="75">
      <c r="A1965" s="12">
        <v>43569.608402777776</v>
      </c>
      <c r="B1965" s="13" t="s">
        <v>14517</v>
      </c>
      <c r="C1965" s="14" t="s">
        <v>2292</v>
      </c>
      <c r="D1965" s="15" t="s">
        <v>4461</v>
      </c>
      <c r="E1965" s="16" t="s">
        <v>13032</v>
      </c>
      <c r="F1965" s="12">
        <v>40807.893333333333</v>
      </c>
      <c r="G1965" s="17" t="s">
        <v>13000</v>
      </c>
      <c r="H1965" s="35" t="s">
        <v>2294</v>
      </c>
      <c r="I1965" s="18" t="s">
        <v>2295</v>
      </c>
    </row>
    <row r="1966" spans="1:9" s="33" customFormat="1" ht="75">
      <c r="A1966" s="12">
        <v>43568.505972222221</v>
      </c>
      <c r="B1966" s="13" t="s">
        <v>14517</v>
      </c>
      <c r="C1966" s="14" t="s">
        <v>2292</v>
      </c>
      <c r="D1966" s="15" t="s">
        <v>4724</v>
      </c>
      <c r="E1966" s="16" t="s">
        <v>13032</v>
      </c>
      <c r="F1966" s="12">
        <v>40807.893333333333</v>
      </c>
      <c r="G1966" s="17" t="s">
        <v>13000</v>
      </c>
      <c r="H1966" s="35" t="s">
        <v>2294</v>
      </c>
      <c r="I1966" s="18" t="s">
        <v>2295</v>
      </c>
    </row>
    <row r="1967" spans="1:9" s="33" customFormat="1" ht="120">
      <c r="A1967" s="19">
        <v>43549.684085648143</v>
      </c>
      <c r="B1967" s="20" t="s">
        <v>14518</v>
      </c>
      <c r="C1967" s="21" t="s">
        <v>7946</v>
      </c>
      <c r="D1967" s="22" t="s">
        <v>7947</v>
      </c>
      <c r="E1967" s="23" t="s">
        <v>13018</v>
      </c>
      <c r="F1967" s="19">
        <v>41992.909918981481</v>
      </c>
      <c r="G1967" s="17" t="s">
        <v>13000</v>
      </c>
      <c r="H1967" s="35" t="s">
        <v>7948</v>
      </c>
      <c r="I1967" s="25" t="s">
        <v>7949</v>
      </c>
    </row>
    <row r="1968" spans="1:9" s="33" customFormat="1" ht="135">
      <c r="A1968" s="19">
        <v>43545.251226851848</v>
      </c>
      <c r="B1968" s="20" t="s">
        <v>14519</v>
      </c>
      <c r="C1968" s="21" t="s">
        <v>9234</v>
      </c>
      <c r="D1968" s="22" t="s">
        <v>9235</v>
      </c>
      <c r="E1968" s="23" t="s">
        <v>13006</v>
      </c>
      <c r="F1968" s="19">
        <v>40209.502500000002</v>
      </c>
      <c r="G1968" s="17" t="s">
        <v>13000</v>
      </c>
      <c r="H1968" s="35" t="s">
        <v>9236</v>
      </c>
      <c r="I1968" s="25" t="s">
        <v>9237</v>
      </c>
    </row>
    <row r="1969" spans="1:9" s="33" customFormat="1" ht="135">
      <c r="A1969" s="4">
        <v>43558.251898148148</v>
      </c>
      <c r="B1969" s="5" t="s">
        <v>14519</v>
      </c>
      <c r="C1969" s="6" t="s">
        <v>9234</v>
      </c>
      <c r="D1969" s="7" t="s">
        <v>12263</v>
      </c>
      <c r="E1969" s="8" t="s">
        <v>13006</v>
      </c>
      <c r="F1969" s="4">
        <v>40209.502500000002</v>
      </c>
      <c r="G1969" s="17" t="s">
        <v>13000</v>
      </c>
      <c r="H1969" s="35" t="s">
        <v>9236</v>
      </c>
      <c r="I1969" s="10" t="s">
        <v>9237</v>
      </c>
    </row>
    <row r="1970" spans="1:9" s="33" customFormat="1" ht="105">
      <c r="A1970" s="12">
        <v>43573.862511574072</v>
      </c>
      <c r="B1970" s="13" t="s">
        <v>14520</v>
      </c>
      <c r="C1970" s="14" t="s">
        <v>2718</v>
      </c>
      <c r="D1970" s="15" t="s">
        <v>2719</v>
      </c>
      <c r="E1970" s="16" t="s">
        <v>13011</v>
      </c>
      <c r="F1970" s="12">
        <v>43573.831053240741</v>
      </c>
      <c r="G1970" s="17" t="s">
        <v>13000</v>
      </c>
      <c r="H1970" s="35" t="s">
        <v>2720</v>
      </c>
      <c r="I1970" s="18" t="s">
        <v>2721</v>
      </c>
    </row>
    <row r="1971" spans="1:9" s="33" customFormat="1" ht="90">
      <c r="A1971" s="12">
        <v>43567.729305555556</v>
      </c>
      <c r="B1971" s="13" t="s">
        <v>14521</v>
      </c>
      <c r="C1971" s="14" t="s">
        <v>4973</v>
      </c>
      <c r="D1971" s="15" t="s">
        <v>4974</v>
      </c>
      <c r="E1971" s="16" t="s">
        <v>13034</v>
      </c>
      <c r="F1971" s="12">
        <v>43357.526377314818</v>
      </c>
      <c r="G1971" s="24" t="s">
        <v>13000</v>
      </c>
      <c r="H1971" s="35" t="s">
        <v>4975</v>
      </c>
      <c r="I1971" s="18" t="s">
        <v>4976</v>
      </c>
    </row>
    <row r="1972" spans="1:9" s="33" customFormat="1" ht="60">
      <c r="A1972" s="12">
        <v>43579.728900462964</v>
      </c>
      <c r="B1972" s="13" t="s">
        <v>14522</v>
      </c>
      <c r="C1972" s="14" t="s">
        <v>480</v>
      </c>
      <c r="D1972" s="15" t="s">
        <v>481</v>
      </c>
      <c r="E1972" s="16" t="s">
        <v>13011</v>
      </c>
      <c r="F1972" s="12">
        <v>42985.459236111114</v>
      </c>
      <c r="G1972" s="24" t="s">
        <v>13000</v>
      </c>
      <c r="H1972" s="35" t="s">
        <v>482</v>
      </c>
      <c r="I1972" s="18" t="s">
        <v>483</v>
      </c>
    </row>
    <row r="1973" spans="1:9" s="33" customFormat="1" ht="90">
      <c r="A1973" s="12">
        <v>43575.516863425924</v>
      </c>
      <c r="B1973" s="13" t="s">
        <v>14523</v>
      </c>
      <c r="C1973" s="14" t="s">
        <v>2174</v>
      </c>
      <c r="D1973" s="15" t="s">
        <v>2175</v>
      </c>
      <c r="E1973" s="16" t="s">
        <v>13032</v>
      </c>
      <c r="F1973" s="12">
        <v>43198.644282407404</v>
      </c>
      <c r="G1973" s="24" t="s">
        <v>13000</v>
      </c>
      <c r="H1973" s="35" t="s">
        <v>2176</v>
      </c>
      <c r="I1973" s="18" t="s">
        <v>2177</v>
      </c>
    </row>
    <row r="1974" spans="1:9" s="33" customFormat="1" ht="105">
      <c r="A1974" s="12">
        <v>43572.518182870372</v>
      </c>
      <c r="B1974" s="13" t="s">
        <v>14524</v>
      </c>
      <c r="C1974" s="14" t="s">
        <v>3191</v>
      </c>
      <c r="D1974" s="15" t="s">
        <v>3192</v>
      </c>
      <c r="E1974" s="16" t="s">
        <v>13013</v>
      </c>
      <c r="F1974" s="12">
        <v>40980.034537037034</v>
      </c>
      <c r="G1974" s="24" t="s">
        <v>13000</v>
      </c>
      <c r="H1974" s="35" t="s">
        <v>3193</v>
      </c>
      <c r="I1974" s="18" t="s">
        <v>3194</v>
      </c>
    </row>
    <row r="1975" spans="1:9" s="33" customFormat="1" ht="90">
      <c r="A1975" s="4">
        <v>43560.36446759259</v>
      </c>
      <c r="B1975" s="5" t="s">
        <v>14525</v>
      </c>
      <c r="C1975" s="6" t="s">
        <v>11424</v>
      </c>
      <c r="D1975" s="7" t="s">
        <v>11425</v>
      </c>
      <c r="E1975" s="8" t="s">
        <v>13013</v>
      </c>
      <c r="F1975" s="4">
        <v>41406.408333333333</v>
      </c>
      <c r="G1975" s="24" t="s">
        <v>13000</v>
      </c>
      <c r="H1975" s="35" t="s">
        <v>11426</v>
      </c>
      <c r="I1975" s="10" t="s">
        <v>11427</v>
      </c>
    </row>
    <row r="1976" spans="1:9" s="33" customFormat="1" ht="105">
      <c r="A1976" s="19">
        <v>43544.717650462961</v>
      </c>
      <c r="B1976" s="20" t="s">
        <v>14526</v>
      </c>
      <c r="C1976" s="21" t="s">
        <v>9366</v>
      </c>
      <c r="D1976" s="22" t="s">
        <v>9367</v>
      </c>
      <c r="E1976" s="23" t="s">
        <v>13011</v>
      </c>
      <c r="F1976" s="19">
        <v>40714.499537037038</v>
      </c>
      <c r="G1976" s="24" t="s">
        <v>13000</v>
      </c>
      <c r="H1976" s="35" t="s">
        <v>4063</v>
      </c>
      <c r="I1976" s="25" t="s">
        <v>9368</v>
      </c>
    </row>
    <row r="1977" spans="1:9" s="33" customFormat="1" ht="75">
      <c r="A1977" s="4">
        <v>43564.465219907404</v>
      </c>
      <c r="B1977" s="5" t="s">
        <v>14527</v>
      </c>
      <c r="C1977" s="6" t="s">
        <v>6591</v>
      </c>
      <c r="D1977" s="7" t="s">
        <v>6592</v>
      </c>
      <c r="E1977" s="8" t="s">
        <v>13130</v>
      </c>
      <c r="F1977" s="4">
        <v>41855.802847222221</v>
      </c>
      <c r="G1977" s="24" t="s">
        <v>13000</v>
      </c>
      <c r="H1977" s="35" t="s">
        <v>4063</v>
      </c>
      <c r="I1977" s="10" t="s">
        <v>10212</v>
      </c>
    </row>
    <row r="1978" spans="1:9" s="33" customFormat="1" ht="90">
      <c r="A1978" s="4">
        <v>43563.411597222221</v>
      </c>
      <c r="B1978" s="5" t="s">
        <v>14528</v>
      </c>
      <c r="C1978" s="6" t="s">
        <v>10301</v>
      </c>
      <c r="D1978" s="7" t="s">
        <v>10302</v>
      </c>
      <c r="E1978" s="8" t="s">
        <v>13009</v>
      </c>
      <c r="F1978" s="4">
        <v>39882.003576388888</v>
      </c>
      <c r="G1978" s="24" t="s">
        <v>13000</v>
      </c>
      <c r="H1978" s="35" t="s">
        <v>4063</v>
      </c>
      <c r="I1978" s="10" t="s">
        <v>10303</v>
      </c>
    </row>
    <row r="1979" spans="1:9" s="33" customFormat="1" ht="105">
      <c r="A1979" s="4">
        <v>43562.182303240741</v>
      </c>
      <c r="B1979" s="5" t="s">
        <v>14529</v>
      </c>
      <c r="C1979" s="6" t="s">
        <v>10732</v>
      </c>
      <c r="D1979" s="7" t="s">
        <v>10733</v>
      </c>
      <c r="E1979" s="8" t="s">
        <v>13011</v>
      </c>
      <c r="F1979" s="4">
        <v>42648.495439814811</v>
      </c>
      <c r="G1979" s="24" t="s">
        <v>13000</v>
      </c>
      <c r="H1979" s="35" t="s">
        <v>4063</v>
      </c>
      <c r="I1979" s="10" t="s">
        <v>10734</v>
      </c>
    </row>
    <row r="1980" spans="1:9" s="33" customFormat="1" ht="90">
      <c r="A1980" s="12">
        <v>43570.573587962965</v>
      </c>
      <c r="B1980" s="13" t="s">
        <v>14530</v>
      </c>
      <c r="C1980" s="14" t="s">
        <v>4061</v>
      </c>
      <c r="D1980" s="15" t="s">
        <v>4062</v>
      </c>
      <c r="E1980" s="16" t="s">
        <v>13032</v>
      </c>
      <c r="F1980" s="12">
        <v>40258.33053240741</v>
      </c>
      <c r="G1980" s="24" t="s">
        <v>13000</v>
      </c>
      <c r="H1980" s="35" t="s">
        <v>4063</v>
      </c>
      <c r="I1980" s="18" t="s">
        <v>4064</v>
      </c>
    </row>
    <row r="1981" spans="1:9" s="33" customFormat="1" ht="90">
      <c r="A1981" s="12">
        <v>43567.534097222218</v>
      </c>
      <c r="B1981" s="13" t="s">
        <v>14531</v>
      </c>
      <c r="C1981" s="14" t="s">
        <v>5067</v>
      </c>
      <c r="D1981" s="15" t="s">
        <v>5068</v>
      </c>
      <c r="E1981" s="16" t="s">
        <v>13009</v>
      </c>
      <c r="F1981" s="12">
        <v>42430.765034722222</v>
      </c>
      <c r="G1981" s="24" t="s">
        <v>13000</v>
      </c>
      <c r="H1981" s="35" t="s">
        <v>4063</v>
      </c>
      <c r="I1981" s="18" t="s">
        <v>5069</v>
      </c>
    </row>
    <row r="1982" spans="1:9" s="33" customFormat="1" ht="60">
      <c r="A1982" s="12">
        <v>43564.465219907404</v>
      </c>
      <c r="B1982" s="13" t="s">
        <v>14527</v>
      </c>
      <c r="C1982" s="14" t="s">
        <v>6591</v>
      </c>
      <c r="D1982" s="15" t="s">
        <v>6592</v>
      </c>
      <c r="E1982" s="16" t="s">
        <v>13130</v>
      </c>
      <c r="F1982" s="12">
        <v>41855.802847222221</v>
      </c>
      <c r="G1982" s="24" t="s">
        <v>13000</v>
      </c>
      <c r="H1982" s="35" t="s">
        <v>4063</v>
      </c>
      <c r="I1982" s="18" t="s">
        <v>6593</v>
      </c>
    </row>
    <row r="1983" spans="1:9" s="33" customFormat="1" ht="120">
      <c r="A1983" s="12">
        <v>43567.541828703703</v>
      </c>
      <c r="B1983" s="13" t="s">
        <v>14532</v>
      </c>
      <c r="C1983" s="14" t="s">
        <v>5058</v>
      </c>
      <c r="D1983" s="15" t="s">
        <v>5059</v>
      </c>
      <c r="E1983" s="16" t="s">
        <v>13013</v>
      </c>
      <c r="F1983" s="12">
        <v>39744.814062500001</v>
      </c>
      <c r="G1983" s="24" t="s">
        <v>13000</v>
      </c>
      <c r="H1983" s="35" t="s">
        <v>5060</v>
      </c>
      <c r="I1983" s="18" t="s">
        <v>5061</v>
      </c>
    </row>
    <row r="1984" spans="1:9" s="33" customFormat="1" ht="105">
      <c r="A1984" s="19">
        <v>43550.762997685189</v>
      </c>
      <c r="B1984" s="20" t="s">
        <v>14533</v>
      </c>
      <c r="C1984" s="21" t="s">
        <v>7517</v>
      </c>
      <c r="D1984" s="22" t="s">
        <v>7518</v>
      </c>
      <c r="E1984" s="23" t="s">
        <v>13018</v>
      </c>
      <c r="F1984" s="19">
        <v>39497.006388888891</v>
      </c>
      <c r="G1984" s="24" t="s">
        <v>13000</v>
      </c>
      <c r="H1984" s="35" t="s">
        <v>7519</v>
      </c>
      <c r="I1984" s="25" t="s">
        <v>7520</v>
      </c>
    </row>
    <row r="1985" spans="1:9" s="33" customFormat="1" ht="90">
      <c r="A1985" s="12">
        <v>43575.362222222218</v>
      </c>
      <c r="B1985" s="13" t="s">
        <v>14534</v>
      </c>
      <c r="C1985" s="14" t="s">
        <v>2257</v>
      </c>
      <c r="D1985" s="15" t="s">
        <v>2258</v>
      </c>
      <c r="E1985" s="16" t="s">
        <v>13013</v>
      </c>
      <c r="F1985" s="12">
        <v>41524.494756944448</v>
      </c>
      <c r="G1985" s="9" t="s">
        <v>13000</v>
      </c>
      <c r="H1985" s="35" t="s">
        <v>2259</v>
      </c>
      <c r="I1985" s="18" t="s">
        <v>2260</v>
      </c>
    </row>
    <row r="1986" spans="1:9" s="33" customFormat="1" ht="75">
      <c r="A1986" s="4">
        <v>43563.506678240738</v>
      </c>
      <c r="B1986" s="5" t="s">
        <v>14535</v>
      </c>
      <c r="C1986" s="6" t="s">
        <v>10255</v>
      </c>
      <c r="D1986" s="7" t="s">
        <v>10253</v>
      </c>
      <c r="E1986" s="8" t="s">
        <v>13018</v>
      </c>
      <c r="F1986" s="4">
        <v>39897.467291666668</v>
      </c>
      <c r="G1986" s="9" t="s">
        <v>13000</v>
      </c>
      <c r="H1986" s="35" t="s">
        <v>10256</v>
      </c>
      <c r="I1986" s="10" t="s">
        <v>10257</v>
      </c>
    </row>
    <row r="1987" spans="1:9" s="33" customFormat="1" ht="30">
      <c r="A1987" s="12">
        <v>43579.383391203708</v>
      </c>
      <c r="B1987" s="13" t="s">
        <v>14536</v>
      </c>
      <c r="C1987" s="14" t="s">
        <v>705</v>
      </c>
      <c r="D1987" s="15" t="s">
        <v>706</v>
      </c>
      <c r="E1987" s="16" t="s">
        <v>13006</v>
      </c>
      <c r="F1987" s="12">
        <v>41218.708182870367</v>
      </c>
      <c r="G1987" s="17" t="s">
        <v>13000</v>
      </c>
      <c r="H1987" s="35" t="s">
        <v>707</v>
      </c>
      <c r="I1987" s="18" t="s">
        <v>708</v>
      </c>
    </row>
    <row r="1988" spans="1:9" s="33" customFormat="1" ht="105">
      <c r="A1988" s="19">
        <v>43548.662314814814</v>
      </c>
      <c r="B1988" s="20" t="s">
        <v>14537</v>
      </c>
      <c r="C1988" s="21" t="s">
        <v>496</v>
      </c>
      <c r="D1988" s="22" t="s">
        <v>8253</v>
      </c>
      <c r="E1988" s="23" t="s">
        <v>13027</v>
      </c>
      <c r="F1988" s="19">
        <v>41035.422175925924</v>
      </c>
      <c r="G1988" s="17" t="s">
        <v>13000</v>
      </c>
      <c r="H1988" s="35" t="s">
        <v>498</v>
      </c>
      <c r="I1988" s="25" t="s">
        <v>499</v>
      </c>
    </row>
    <row r="1989" spans="1:9" s="33" customFormat="1" ht="90">
      <c r="A1989" s="19">
        <v>43548.643634259264</v>
      </c>
      <c r="B1989" s="20" t="s">
        <v>14537</v>
      </c>
      <c r="C1989" s="21" t="s">
        <v>496</v>
      </c>
      <c r="D1989" s="22" t="s">
        <v>8255</v>
      </c>
      <c r="E1989" s="23" t="s">
        <v>13027</v>
      </c>
      <c r="F1989" s="19">
        <v>41035.422175925924</v>
      </c>
      <c r="G1989" s="17" t="s">
        <v>13000</v>
      </c>
      <c r="H1989" s="35" t="s">
        <v>498</v>
      </c>
      <c r="I1989" s="25" t="s">
        <v>499</v>
      </c>
    </row>
    <row r="1990" spans="1:9" s="33" customFormat="1" ht="90">
      <c r="A1990" s="19">
        <v>43547.310208333336</v>
      </c>
      <c r="B1990" s="20" t="s">
        <v>14537</v>
      </c>
      <c r="C1990" s="21" t="s">
        <v>496</v>
      </c>
      <c r="D1990" s="22" t="s">
        <v>8593</v>
      </c>
      <c r="E1990" s="23" t="s">
        <v>13027</v>
      </c>
      <c r="F1990" s="19">
        <v>41035.422175925924</v>
      </c>
      <c r="G1990" s="17" t="s">
        <v>13000</v>
      </c>
      <c r="H1990" s="35" t="s">
        <v>498</v>
      </c>
      <c r="I1990" s="25" t="s">
        <v>499</v>
      </c>
    </row>
    <row r="1991" spans="1:9" s="33" customFormat="1" ht="90">
      <c r="A1991" s="19">
        <v>43547.287499999999</v>
      </c>
      <c r="B1991" s="20" t="s">
        <v>14537</v>
      </c>
      <c r="C1991" s="21" t="s">
        <v>496</v>
      </c>
      <c r="D1991" s="22" t="s">
        <v>8598</v>
      </c>
      <c r="E1991" s="23" t="s">
        <v>13027</v>
      </c>
      <c r="F1991" s="19">
        <v>41035.422175925924</v>
      </c>
      <c r="G1991" s="17" t="s">
        <v>13000</v>
      </c>
      <c r="H1991" s="35" t="s">
        <v>498</v>
      </c>
      <c r="I1991" s="25" t="s">
        <v>499</v>
      </c>
    </row>
    <row r="1992" spans="1:9" s="33" customFormat="1" ht="90">
      <c r="A1992" s="4">
        <v>43565.745717592596</v>
      </c>
      <c r="B1992" s="5" t="s">
        <v>14537</v>
      </c>
      <c r="C1992" s="6" t="s">
        <v>496</v>
      </c>
      <c r="D1992" s="7" t="s">
        <v>5917</v>
      </c>
      <c r="E1992" s="8" t="s">
        <v>13027</v>
      </c>
      <c r="F1992" s="4">
        <v>41035.422175925924</v>
      </c>
      <c r="G1992" s="17" t="s">
        <v>13000</v>
      </c>
      <c r="H1992" s="35" t="s">
        <v>498</v>
      </c>
      <c r="I1992" s="10" t="s">
        <v>499</v>
      </c>
    </row>
    <row r="1993" spans="1:9" s="33" customFormat="1" ht="75">
      <c r="A1993" s="4">
        <v>43565.727546296301</v>
      </c>
      <c r="B1993" s="5" t="s">
        <v>14537</v>
      </c>
      <c r="C1993" s="6" t="s">
        <v>496</v>
      </c>
      <c r="D1993" s="7" t="s">
        <v>5935</v>
      </c>
      <c r="E1993" s="8" t="s">
        <v>13027</v>
      </c>
      <c r="F1993" s="4">
        <v>41035.422175925924</v>
      </c>
      <c r="G1993" s="17" t="s">
        <v>13000</v>
      </c>
      <c r="H1993" s="35" t="s">
        <v>498</v>
      </c>
      <c r="I1993" s="10" t="s">
        <v>499</v>
      </c>
    </row>
    <row r="1994" spans="1:9" s="33" customFormat="1" ht="90">
      <c r="A1994" s="4">
        <v>43564.394097222219</v>
      </c>
      <c r="B1994" s="5" t="s">
        <v>14537</v>
      </c>
      <c r="C1994" s="6" t="s">
        <v>496</v>
      </c>
      <c r="D1994" s="7" t="s">
        <v>6633</v>
      </c>
      <c r="E1994" s="8" t="s">
        <v>13027</v>
      </c>
      <c r="F1994" s="4">
        <v>41035.422175925924</v>
      </c>
      <c r="G1994" s="17" t="s">
        <v>13000</v>
      </c>
      <c r="H1994" s="35" t="s">
        <v>498</v>
      </c>
      <c r="I1994" s="10" t="s">
        <v>499</v>
      </c>
    </row>
    <row r="1995" spans="1:9" s="33" customFormat="1" ht="90">
      <c r="A1995" s="4">
        <v>43564.371504629627</v>
      </c>
      <c r="B1995" s="5" t="s">
        <v>14537</v>
      </c>
      <c r="C1995" s="6" t="s">
        <v>496</v>
      </c>
      <c r="D1995" s="7" t="s">
        <v>6656</v>
      </c>
      <c r="E1995" s="8" t="s">
        <v>13027</v>
      </c>
      <c r="F1995" s="4">
        <v>41035.422175925924</v>
      </c>
      <c r="G1995" s="17" t="s">
        <v>13000</v>
      </c>
      <c r="H1995" s="35" t="s">
        <v>498</v>
      </c>
      <c r="I1995" s="10" t="s">
        <v>499</v>
      </c>
    </row>
    <row r="1996" spans="1:9" s="33" customFormat="1" ht="90">
      <c r="A1996" s="4">
        <v>43563.643692129626</v>
      </c>
      <c r="B1996" s="5" t="s">
        <v>14537</v>
      </c>
      <c r="C1996" s="6" t="s">
        <v>496</v>
      </c>
      <c r="D1996" s="7" t="s">
        <v>6932</v>
      </c>
      <c r="E1996" s="8" t="s">
        <v>13027</v>
      </c>
      <c r="F1996" s="4">
        <v>41035.422175925924</v>
      </c>
      <c r="G1996" s="17" t="s">
        <v>13000</v>
      </c>
      <c r="H1996" s="35" t="s">
        <v>498</v>
      </c>
      <c r="I1996" s="10" t="s">
        <v>499</v>
      </c>
    </row>
    <row r="1997" spans="1:9" s="33" customFormat="1" ht="90">
      <c r="A1997" s="4">
        <v>43563.62091435185</v>
      </c>
      <c r="B1997" s="5" t="s">
        <v>14537</v>
      </c>
      <c r="C1997" s="6" t="s">
        <v>496</v>
      </c>
      <c r="D1997" s="7" t="s">
        <v>6937</v>
      </c>
      <c r="E1997" s="8" t="s">
        <v>13027</v>
      </c>
      <c r="F1997" s="4">
        <v>41035.422175925924</v>
      </c>
      <c r="G1997" s="17" t="s">
        <v>13000</v>
      </c>
      <c r="H1997" s="35" t="s">
        <v>498</v>
      </c>
      <c r="I1997" s="10" t="s">
        <v>499</v>
      </c>
    </row>
    <row r="1998" spans="1:9" s="33" customFormat="1" ht="90">
      <c r="A1998" s="4">
        <v>43562.66233796296</v>
      </c>
      <c r="B1998" s="5" t="s">
        <v>14537</v>
      </c>
      <c r="C1998" s="6" t="s">
        <v>496</v>
      </c>
      <c r="D1998" s="7" t="s">
        <v>10623</v>
      </c>
      <c r="E1998" s="8" t="s">
        <v>13027</v>
      </c>
      <c r="F1998" s="4">
        <v>41035.422175925924</v>
      </c>
      <c r="G1998" s="17" t="s">
        <v>13000</v>
      </c>
      <c r="H1998" s="35" t="s">
        <v>498</v>
      </c>
      <c r="I1998" s="10" t="s">
        <v>499</v>
      </c>
    </row>
    <row r="1999" spans="1:9" s="33" customFormat="1" ht="75">
      <c r="A1999" s="4">
        <v>43562.643969907411</v>
      </c>
      <c r="B1999" s="5" t="s">
        <v>14537</v>
      </c>
      <c r="C1999" s="6" t="s">
        <v>496</v>
      </c>
      <c r="D1999" s="7" t="s">
        <v>10629</v>
      </c>
      <c r="E1999" s="8" t="s">
        <v>13027</v>
      </c>
      <c r="F1999" s="4">
        <v>41035.422175925924</v>
      </c>
      <c r="G1999" s="17" t="s">
        <v>13000</v>
      </c>
      <c r="H1999" s="35" t="s">
        <v>498</v>
      </c>
      <c r="I1999" s="10" t="s">
        <v>499</v>
      </c>
    </row>
    <row r="2000" spans="1:9" s="33" customFormat="1" ht="105">
      <c r="A2000" s="4">
        <v>43560.745775462958</v>
      </c>
      <c r="B2000" s="5" t="s">
        <v>14537</v>
      </c>
      <c r="C2000" s="6" t="s">
        <v>496</v>
      </c>
      <c r="D2000" s="7" t="s">
        <v>11203</v>
      </c>
      <c r="E2000" s="8" t="s">
        <v>13027</v>
      </c>
      <c r="F2000" s="4">
        <v>41035.422175925924</v>
      </c>
      <c r="G2000" s="17" t="s">
        <v>13000</v>
      </c>
      <c r="H2000" s="35" t="s">
        <v>498</v>
      </c>
      <c r="I2000" s="10" t="s">
        <v>499</v>
      </c>
    </row>
    <row r="2001" spans="1:9" s="33" customFormat="1" ht="90">
      <c r="A2001" s="4">
        <v>43560.726990740739</v>
      </c>
      <c r="B2001" s="5" t="s">
        <v>14537</v>
      </c>
      <c r="C2001" s="6" t="s">
        <v>496</v>
      </c>
      <c r="D2001" s="7" t="s">
        <v>11210</v>
      </c>
      <c r="E2001" s="8" t="s">
        <v>13027</v>
      </c>
      <c r="F2001" s="4">
        <v>41035.422175925924</v>
      </c>
      <c r="G2001" s="17" t="s">
        <v>13000</v>
      </c>
      <c r="H2001" s="35" t="s">
        <v>498</v>
      </c>
      <c r="I2001" s="10" t="s">
        <v>499</v>
      </c>
    </row>
    <row r="2002" spans="1:9" s="33" customFormat="1" ht="90">
      <c r="A2002" s="4">
        <v>43560.287858796291</v>
      </c>
      <c r="B2002" s="5" t="s">
        <v>14537</v>
      </c>
      <c r="C2002" s="6" t="s">
        <v>496</v>
      </c>
      <c r="D2002" s="7" t="s">
        <v>11507</v>
      </c>
      <c r="E2002" s="8" t="s">
        <v>13027</v>
      </c>
      <c r="F2002" s="4">
        <v>41035.422175925924</v>
      </c>
      <c r="G2002" s="17" t="s">
        <v>13000</v>
      </c>
      <c r="H2002" s="35" t="s">
        <v>498</v>
      </c>
      <c r="I2002" s="10" t="s">
        <v>499</v>
      </c>
    </row>
    <row r="2003" spans="1:9" s="33" customFormat="1" ht="90">
      <c r="A2003" s="4">
        <v>43558.435706018514</v>
      </c>
      <c r="B2003" s="5" t="s">
        <v>14537</v>
      </c>
      <c r="C2003" s="6" t="s">
        <v>496</v>
      </c>
      <c r="D2003" s="7" t="s">
        <v>12190</v>
      </c>
      <c r="E2003" s="8" t="s">
        <v>13027</v>
      </c>
      <c r="F2003" s="4">
        <v>41035.422175925924</v>
      </c>
      <c r="G2003" s="17" t="s">
        <v>13000</v>
      </c>
      <c r="H2003" s="35" t="s">
        <v>498</v>
      </c>
      <c r="I2003" s="10" t="s">
        <v>499</v>
      </c>
    </row>
    <row r="2004" spans="1:9" s="33" customFormat="1" ht="105">
      <c r="A2004" s="4">
        <v>43558.413171296299</v>
      </c>
      <c r="B2004" s="5" t="s">
        <v>14537</v>
      </c>
      <c r="C2004" s="6" t="s">
        <v>496</v>
      </c>
      <c r="D2004" s="7" t="s">
        <v>12204</v>
      </c>
      <c r="E2004" s="8" t="s">
        <v>13027</v>
      </c>
      <c r="F2004" s="4">
        <v>41035.422175925924</v>
      </c>
      <c r="G2004" s="17" t="s">
        <v>13000</v>
      </c>
      <c r="H2004" s="35" t="s">
        <v>498</v>
      </c>
      <c r="I2004" s="10" t="s">
        <v>499</v>
      </c>
    </row>
    <row r="2005" spans="1:9" s="33" customFormat="1" ht="90">
      <c r="A2005" s="4">
        <v>43557.454432870371</v>
      </c>
      <c r="B2005" s="5" t="s">
        <v>14537</v>
      </c>
      <c r="C2005" s="6" t="s">
        <v>496</v>
      </c>
      <c r="D2005" s="7" t="s">
        <v>12511</v>
      </c>
      <c r="E2005" s="8" t="s">
        <v>13027</v>
      </c>
      <c r="F2005" s="4">
        <v>41035.422175925924</v>
      </c>
      <c r="G2005" s="17" t="s">
        <v>13000</v>
      </c>
      <c r="H2005" s="35" t="s">
        <v>498</v>
      </c>
      <c r="I2005" s="10" t="s">
        <v>499</v>
      </c>
    </row>
    <row r="2006" spans="1:9" s="33" customFormat="1" ht="90">
      <c r="A2006" s="4">
        <v>43557.435312500005</v>
      </c>
      <c r="B2006" s="5" t="s">
        <v>14537</v>
      </c>
      <c r="C2006" s="6" t="s">
        <v>496</v>
      </c>
      <c r="D2006" s="7" t="s">
        <v>12513</v>
      </c>
      <c r="E2006" s="8" t="s">
        <v>13027</v>
      </c>
      <c r="F2006" s="4">
        <v>41035.422175925924</v>
      </c>
      <c r="G2006" s="17" t="s">
        <v>13000</v>
      </c>
      <c r="H2006" s="35" t="s">
        <v>498</v>
      </c>
      <c r="I2006" s="10" t="s">
        <v>499</v>
      </c>
    </row>
    <row r="2007" spans="1:9" s="33" customFormat="1" ht="90">
      <c r="A2007" s="12">
        <v>43579.70412037037</v>
      </c>
      <c r="B2007" s="13" t="s">
        <v>14537</v>
      </c>
      <c r="C2007" s="14" t="s">
        <v>496</v>
      </c>
      <c r="D2007" s="15" t="s">
        <v>497</v>
      </c>
      <c r="E2007" s="16" t="s">
        <v>13027</v>
      </c>
      <c r="F2007" s="12">
        <v>41035.422175925924</v>
      </c>
      <c r="G2007" s="17" t="s">
        <v>13000</v>
      </c>
      <c r="H2007" s="35" t="s">
        <v>498</v>
      </c>
      <c r="I2007" s="18" t="s">
        <v>499</v>
      </c>
    </row>
    <row r="2008" spans="1:9" s="33" customFormat="1" ht="90">
      <c r="A2008" s="12">
        <v>43579.685324074075</v>
      </c>
      <c r="B2008" s="13" t="s">
        <v>14537</v>
      </c>
      <c r="C2008" s="14" t="s">
        <v>496</v>
      </c>
      <c r="D2008" s="15" t="s">
        <v>514</v>
      </c>
      <c r="E2008" s="16" t="s">
        <v>13027</v>
      </c>
      <c r="F2008" s="12">
        <v>41035.422175925924</v>
      </c>
      <c r="G2008" s="17" t="s">
        <v>13000</v>
      </c>
      <c r="H2008" s="35" t="s">
        <v>498</v>
      </c>
      <c r="I2008" s="18" t="s">
        <v>499</v>
      </c>
    </row>
    <row r="2009" spans="1:9" s="33" customFormat="1" ht="90">
      <c r="A2009" s="12">
        <v>43576.810381944444</v>
      </c>
      <c r="B2009" s="13" t="s">
        <v>14537</v>
      </c>
      <c r="C2009" s="14" t="s">
        <v>496</v>
      </c>
      <c r="D2009" s="15" t="s">
        <v>1824</v>
      </c>
      <c r="E2009" s="16" t="s">
        <v>13027</v>
      </c>
      <c r="F2009" s="12">
        <v>41035.422175925924</v>
      </c>
      <c r="G2009" s="17" t="s">
        <v>13000</v>
      </c>
      <c r="H2009" s="35" t="s">
        <v>498</v>
      </c>
      <c r="I2009" s="18" t="s">
        <v>499</v>
      </c>
    </row>
    <row r="2010" spans="1:9" s="33" customFormat="1" ht="90">
      <c r="A2010" s="12">
        <v>43576.787314814814</v>
      </c>
      <c r="B2010" s="13" t="s">
        <v>14537</v>
      </c>
      <c r="C2010" s="14" t="s">
        <v>496</v>
      </c>
      <c r="D2010" s="15" t="s">
        <v>1838</v>
      </c>
      <c r="E2010" s="16" t="s">
        <v>13027</v>
      </c>
      <c r="F2010" s="12">
        <v>41035.422175925924</v>
      </c>
      <c r="G2010" s="17" t="s">
        <v>13000</v>
      </c>
      <c r="H2010" s="35" t="s">
        <v>498</v>
      </c>
      <c r="I2010" s="18" t="s">
        <v>499</v>
      </c>
    </row>
    <row r="2011" spans="1:9" s="33" customFormat="1" ht="90">
      <c r="A2011" s="12">
        <v>43575.454062500001</v>
      </c>
      <c r="B2011" s="13" t="s">
        <v>14537</v>
      </c>
      <c r="C2011" s="14" t="s">
        <v>496</v>
      </c>
      <c r="D2011" s="15" t="s">
        <v>2216</v>
      </c>
      <c r="E2011" s="16" t="s">
        <v>13027</v>
      </c>
      <c r="F2011" s="12">
        <v>41035.422175925924</v>
      </c>
      <c r="G2011" s="17" t="s">
        <v>13000</v>
      </c>
      <c r="H2011" s="35" t="s">
        <v>498</v>
      </c>
      <c r="I2011" s="18" t="s">
        <v>499</v>
      </c>
    </row>
    <row r="2012" spans="1:9" s="33" customFormat="1" ht="90">
      <c r="A2012" s="12">
        <v>43575.43550925926</v>
      </c>
      <c r="B2012" s="13" t="s">
        <v>14537</v>
      </c>
      <c r="C2012" s="14" t="s">
        <v>496</v>
      </c>
      <c r="D2012" s="15" t="s">
        <v>2225</v>
      </c>
      <c r="E2012" s="16" t="s">
        <v>13027</v>
      </c>
      <c r="F2012" s="12">
        <v>41035.422175925924</v>
      </c>
      <c r="G2012" s="17" t="s">
        <v>13000</v>
      </c>
      <c r="H2012" s="35" t="s">
        <v>498</v>
      </c>
      <c r="I2012" s="18" t="s">
        <v>499</v>
      </c>
    </row>
    <row r="2013" spans="1:9" s="33" customFormat="1" ht="90">
      <c r="A2013" s="12">
        <v>43572.371238425927</v>
      </c>
      <c r="B2013" s="13" t="s">
        <v>14537</v>
      </c>
      <c r="C2013" s="14" t="s">
        <v>496</v>
      </c>
      <c r="D2013" s="15" t="s">
        <v>3292</v>
      </c>
      <c r="E2013" s="16" t="s">
        <v>13027</v>
      </c>
      <c r="F2013" s="12">
        <v>41035.422175925924</v>
      </c>
      <c r="G2013" s="17" t="s">
        <v>13000</v>
      </c>
      <c r="H2013" s="35" t="s">
        <v>498</v>
      </c>
      <c r="I2013" s="18" t="s">
        <v>499</v>
      </c>
    </row>
    <row r="2014" spans="1:9" s="33" customFormat="1" ht="90">
      <c r="A2014" s="12">
        <v>43572.352384259255</v>
      </c>
      <c r="B2014" s="13" t="s">
        <v>14537</v>
      </c>
      <c r="C2014" s="14" t="s">
        <v>496</v>
      </c>
      <c r="D2014" s="15" t="s">
        <v>3305</v>
      </c>
      <c r="E2014" s="16" t="s">
        <v>13027</v>
      </c>
      <c r="F2014" s="12">
        <v>41035.422175925924</v>
      </c>
      <c r="G2014" s="17" t="s">
        <v>13000</v>
      </c>
      <c r="H2014" s="35" t="s">
        <v>498</v>
      </c>
      <c r="I2014" s="18" t="s">
        <v>499</v>
      </c>
    </row>
    <row r="2015" spans="1:9" s="33" customFormat="1" ht="90">
      <c r="A2015" s="12">
        <v>43570.477013888885</v>
      </c>
      <c r="B2015" s="13" t="s">
        <v>14537</v>
      </c>
      <c r="C2015" s="14" t="s">
        <v>496</v>
      </c>
      <c r="D2015" s="15" t="s">
        <v>4124</v>
      </c>
      <c r="E2015" s="16" t="s">
        <v>13027</v>
      </c>
      <c r="F2015" s="12">
        <v>41035.422175925924</v>
      </c>
      <c r="G2015" s="17" t="s">
        <v>13000</v>
      </c>
      <c r="H2015" s="35" t="s">
        <v>498</v>
      </c>
      <c r="I2015" s="18" t="s">
        <v>499</v>
      </c>
    </row>
    <row r="2016" spans="1:9" s="33" customFormat="1" ht="90">
      <c r="A2016" s="12">
        <v>43570.454039351855</v>
      </c>
      <c r="B2016" s="13" t="s">
        <v>14537</v>
      </c>
      <c r="C2016" s="14" t="s">
        <v>496</v>
      </c>
      <c r="D2016" s="15" t="s">
        <v>4142</v>
      </c>
      <c r="E2016" s="16" t="s">
        <v>13027</v>
      </c>
      <c r="F2016" s="12">
        <v>41035.422175925924</v>
      </c>
      <c r="G2016" s="17" t="s">
        <v>13000</v>
      </c>
      <c r="H2016" s="35" t="s">
        <v>498</v>
      </c>
      <c r="I2016" s="18" t="s">
        <v>499</v>
      </c>
    </row>
    <row r="2017" spans="1:9" s="33" customFormat="1" ht="45">
      <c r="A2017" s="12">
        <v>43567.496458333335</v>
      </c>
      <c r="B2017" s="13" t="s">
        <v>14538</v>
      </c>
      <c r="C2017" s="14" t="s">
        <v>5086</v>
      </c>
      <c r="D2017" s="15" t="s">
        <v>5087</v>
      </c>
      <c r="E2017" s="16" t="s">
        <v>13011</v>
      </c>
      <c r="F2017" s="12">
        <v>42757.753414351857</v>
      </c>
      <c r="G2017" s="17" t="s">
        <v>13000</v>
      </c>
      <c r="H2017" s="35" t="s">
        <v>5088</v>
      </c>
      <c r="I2017" s="18" t="s">
        <v>5089</v>
      </c>
    </row>
    <row r="2018" spans="1:9" s="33" customFormat="1" ht="60">
      <c r="A2018" s="19">
        <v>43544.325983796298</v>
      </c>
      <c r="B2018" s="20" t="s">
        <v>14539</v>
      </c>
      <c r="C2018" s="21" t="s">
        <v>5592</v>
      </c>
      <c r="D2018" s="22" t="s">
        <v>9524</v>
      </c>
      <c r="E2018" s="23" t="s">
        <v>13011</v>
      </c>
      <c r="F2018" s="19">
        <v>40071.700115740743</v>
      </c>
      <c r="G2018" s="17" t="s">
        <v>13000</v>
      </c>
      <c r="H2018" s="35" t="s">
        <v>870</v>
      </c>
      <c r="I2018" s="25" t="s">
        <v>5594</v>
      </c>
    </row>
    <row r="2019" spans="1:9" s="33" customFormat="1" ht="105">
      <c r="A2019" s="19">
        <v>43543.274201388893</v>
      </c>
      <c r="B2019" s="20" t="s">
        <v>14540</v>
      </c>
      <c r="C2019" s="21" t="s">
        <v>9876</v>
      </c>
      <c r="D2019" s="22" t="s">
        <v>9877</v>
      </c>
      <c r="E2019" s="23" t="s">
        <v>13009</v>
      </c>
      <c r="F2019" s="19">
        <v>39892.95716435185</v>
      </c>
      <c r="G2019" s="17" t="s">
        <v>13000</v>
      </c>
      <c r="H2019" s="35" t="s">
        <v>870</v>
      </c>
      <c r="I2019" s="25" t="s">
        <v>9878</v>
      </c>
    </row>
    <row r="2020" spans="1:9" s="33" customFormat="1" ht="105">
      <c r="A2020" s="19">
        <v>43543.273483796293</v>
      </c>
      <c r="B2020" s="20" t="s">
        <v>14540</v>
      </c>
      <c r="C2020" s="21" t="s">
        <v>9876</v>
      </c>
      <c r="D2020" s="22" t="s">
        <v>9879</v>
      </c>
      <c r="E2020" s="23" t="s">
        <v>13009</v>
      </c>
      <c r="F2020" s="19">
        <v>39892.95716435185</v>
      </c>
      <c r="G2020" s="17" t="s">
        <v>13000</v>
      </c>
      <c r="H2020" s="35" t="s">
        <v>870</v>
      </c>
      <c r="I2020" s="25" t="s">
        <v>9878</v>
      </c>
    </row>
    <row r="2021" spans="1:9" s="33" customFormat="1" ht="90">
      <c r="A2021" s="12">
        <v>43579.190289351856</v>
      </c>
      <c r="B2021" s="13" t="s">
        <v>14541</v>
      </c>
      <c r="C2021" s="14" t="s">
        <v>868</v>
      </c>
      <c r="D2021" s="15" t="s">
        <v>869</v>
      </c>
      <c r="E2021" s="16" t="s">
        <v>13034</v>
      </c>
      <c r="F2021" s="12">
        <v>42770.686898148153</v>
      </c>
      <c r="G2021" s="17" t="s">
        <v>13000</v>
      </c>
      <c r="H2021" s="35" t="s">
        <v>870</v>
      </c>
      <c r="I2021" s="18" t="s">
        <v>871</v>
      </c>
    </row>
    <row r="2022" spans="1:9" s="33" customFormat="1" ht="90">
      <c r="A2022" s="12">
        <v>43577.190289351856</v>
      </c>
      <c r="B2022" s="13" t="s">
        <v>14541</v>
      </c>
      <c r="C2022" s="14" t="s">
        <v>868</v>
      </c>
      <c r="D2022" s="15" t="s">
        <v>1711</v>
      </c>
      <c r="E2022" s="16" t="s">
        <v>13034</v>
      </c>
      <c r="F2022" s="12">
        <v>42770.686898148153</v>
      </c>
      <c r="G2022" s="17" t="s">
        <v>13000</v>
      </c>
      <c r="H2022" s="35" t="s">
        <v>870</v>
      </c>
      <c r="I2022" s="18" t="s">
        <v>871</v>
      </c>
    </row>
    <row r="2023" spans="1:9" s="33" customFormat="1" ht="90">
      <c r="A2023" s="12">
        <v>43573.613900462966</v>
      </c>
      <c r="B2023" s="13" t="s">
        <v>14541</v>
      </c>
      <c r="C2023" s="14" t="s">
        <v>868</v>
      </c>
      <c r="D2023" s="15" t="s">
        <v>1711</v>
      </c>
      <c r="E2023" s="16" t="s">
        <v>13034</v>
      </c>
      <c r="F2023" s="12">
        <v>42770.686898148153</v>
      </c>
      <c r="G2023" s="17" t="s">
        <v>13000</v>
      </c>
      <c r="H2023" s="35" t="s">
        <v>870</v>
      </c>
      <c r="I2023" s="18" t="s">
        <v>871</v>
      </c>
    </row>
    <row r="2024" spans="1:9" s="33" customFormat="1" ht="60">
      <c r="A2024" s="12">
        <v>43566.3753587963</v>
      </c>
      <c r="B2024" s="13" t="s">
        <v>14539</v>
      </c>
      <c r="C2024" s="14" t="s">
        <v>5592</v>
      </c>
      <c r="D2024" s="15" t="s">
        <v>5593</v>
      </c>
      <c r="E2024" s="16" t="s">
        <v>13011</v>
      </c>
      <c r="F2024" s="12">
        <v>40071.700115740743</v>
      </c>
      <c r="G2024" s="17" t="s">
        <v>13000</v>
      </c>
      <c r="H2024" s="35" t="s">
        <v>870</v>
      </c>
      <c r="I2024" s="18" t="s">
        <v>5594</v>
      </c>
    </row>
    <row r="2025" spans="1:9" s="33" customFormat="1" ht="75">
      <c r="A2025" s="19">
        <v>43551.506423611107</v>
      </c>
      <c r="B2025" s="20" t="s">
        <v>14542</v>
      </c>
      <c r="C2025" s="21" t="s">
        <v>7145</v>
      </c>
      <c r="D2025" s="22" t="s">
        <v>7146</v>
      </c>
      <c r="E2025" s="23" t="s">
        <v>13009</v>
      </c>
      <c r="F2025" s="19">
        <v>42496.728263888886</v>
      </c>
      <c r="G2025" s="17" t="s">
        <v>13000</v>
      </c>
      <c r="H2025" s="35" t="s">
        <v>5535</v>
      </c>
      <c r="I2025" s="25" t="s">
        <v>7147</v>
      </c>
    </row>
    <row r="2026" spans="1:9" s="33" customFormat="1" ht="75">
      <c r="A2026" s="19">
        <v>43551.425821759258</v>
      </c>
      <c r="B2026" s="20" t="s">
        <v>14542</v>
      </c>
      <c r="C2026" s="21" t="s">
        <v>7145</v>
      </c>
      <c r="D2026" s="22" t="s">
        <v>7204</v>
      </c>
      <c r="E2026" s="23" t="s">
        <v>13009</v>
      </c>
      <c r="F2026" s="19">
        <v>42496.728263888886</v>
      </c>
      <c r="G2026" s="17" t="s">
        <v>13000</v>
      </c>
      <c r="H2026" s="35" t="s">
        <v>5535</v>
      </c>
      <c r="I2026" s="25" t="s">
        <v>7147</v>
      </c>
    </row>
    <row r="2027" spans="1:9" s="33" customFormat="1" ht="75">
      <c r="A2027" s="19">
        <v>43550.929444444446</v>
      </c>
      <c r="B2027" s="20" t="s">
        <v>14542</v>
      </c>
      <c r="C2027" s="21" t="s">
        <v>7145</v>
      </c>
      <c r="D2027" s="22" t="s">
        <v>7469</v>
      </c>
      <c r="E2027" s="23" t="s">
        <v>13009</v>
      </c>
      <c r="F2027" s="19">
        <v>42496.728263888886</v>
      </c>
      <c r="G2027" s="17" t="s">
        <v>13000</v>
      </c>
      <c r="H2027" s="35" t="s">
        <v>5535</v>
      </c>
      <c r="I2027" s="25" t="s">
        <v>7147</v>
      </c>
    </row>
    <row r="2028" spans="1:9" s="33" customFormat="1" ht="105">
      <c r="A2028" s="19">
        <v>43550.439444444448</v>
      </c>
      <c r="B2028" s="20" t="s">
        <v>14543</v>
      </c>
      <c r="C2028" s="21" t="s">
        <v>7662</v>
      </c>
      <c r="D2028" s="22" t="s">
        <v>7663</v>
      </c>
      <c r="E2028" s="23" t="s">
        <v>13009</v>
      </c>
      <c r="F2028" s="19">
        <v>42769.368043981478</v>
      </c>
      <c r="G2028" s="17" t="s">
        <v>13000</v>
      </c>
      <c r="H2028" s="35" t="s">
        <v>5535</v>
      </c>
      <c r="I2028" s="25" t="s">
        <v>7664</v>
      </c>
    </row>
    <row r="2029" spans="1:9" s="33" customFormat="1" ht="90">
      <c r="A2029" s="19">
        <v>43549.65797453704</v>
      </c>
      <c r="B2029" s="20" t="s">
        <v>14542</v>
      </c>
      <c r="C2029" s="21" t="s">
        <v>7145</v>
      </c>
      <c r="D2029" s="22" t="s">
        <v>7956</v>
      </c>
      <c r="E2029" s="23" t="s">
        <v>13009</v>
      </c>
      <c r="F2029" s="19">
        <v>42496.728263888886</v>
      </c>
      <c r="G2029" s="17" t="s">
        <v>13000</v>
      </c>
      <c r="H2029" s="35" t="s">
        <v>5535</v>
      </c>
      <c r="I2029" s="25" t="s">
        <v>7147</v>
      </c>
    </row>
    <row r="2030" spans="1:9" s="33" customFormat="1" ht="90">
      <c r="A2030" s="19">
        <v>43549.548773148148</v>
      </c>
      <c r="B2030" s="20" t="s">
        <v>14542</v>
      </c>
      <c r="C2030" s="21" t="s">
        <v>7145</v>
      </c>
      <c r="D2030" s="22" t="s">
        <v>7990</v>
      </c>
      <c r="E2030" s="23" t="s">
        <v>13011</v>
      </c>
      <c r="F2030" s="19">
        <v>42496.728263888886</v>
      </c>
      <c r="G2030" s="17" t="s">
        <v>13000</v>
      </c>
      <c r="H2030" s="35" t="s">
        <v>5535</v>
      </c>
      <c r="I2030" s="25" t="s">
        <v>7147</v>
      </c>
    </row>
    <row r="2031" spans="1:9" s="33" customFormat="1" ht="75">
      <c r="A2031" s="19">
        <v>43546.520567129628</v>
      </c>
      <c r="B2031" s="20" t="s">
        <v>14542</v>
      </c>
      <c r="C2031" s="21" t="s">
        <v>7145</v>
      </c>
      <c r="D2031" s="22" t="s">
        <v>8816</v>
      </c>
      <c r="E2031" s="23" t="s">
        <v>13009</v>
      </c>
      <c r="F2031" s="19">
        <v>42496.728263888886</v>
      </c>
      <c r="G2031" s="17" t="s">
        <v>13000</v>
      </c>
      <c r="H2031" s="35" t="s">
        <v>5535</v>
      </c>
      <c r="I2031" s="25" t="s">
        <v>7147</v>
      </c>
    </row>
    <row r="2032" spans="1:9" s="33" customFormat="1" ht="90">
      <c r="A2032" s="19">
        <v>43546.33657407407</v>
      </c>
      <c r="B2032" s="20" t="s">
        <v>14542</v>
      </c>
      <c r="C2032" s="21" t="s">
        <v>7145</v>
      </c>
      <c r="D2032" s="22" t="s">
        <v>8906</v>
      </c>
      <c r="E2032" s="23" t="s">
        <v>13009</v>
      </c>
      <c r="F2032" s="19">
        <v>42496.728263888886</v>
      </c>
      <c r="G2032" s="17" t="s">
        <v>13000</v>
      </c>
      <c r="H2032" s="35" t="s">
        <v>5535</v>
      </c>
      <c r="I2032" s="25" t="s">
        <v>7147</v>
      </c>
    </row>
    <row r="2033" spans="1:9" s="33" customFormat="1" ht="90">
      <c r="A2033" s="19">
        <v>43543.520856481482</v>
      </c>
      <c r="B2033" s="20" t="s">
        <v>14542</v>
      </c>
      <c r="C2033" s="21" t="s">
        <v>7145</v>
      </c>
      <c r="D2033" s="22" t="s">
        <v>9775</v>
      </c>
      <c r="E2033" s="23" t="s">
        <v>13011</v>
      </c>
      <c r="F2033" s="19">
        <v>42496.728263888886</v>
      </c>
      <c r="G2033" s="17" t="s">
        <v>13000</v>
      </c>
      <c r="H2033" s="35" t="s">
        <v>5535</v>
      </c>
      <c r="I2033" s="25" t="s">
        <v>7147</v>
      </c>
    </row>
    <row r="2034" spans="1:9" s="33" customFormat="1" ht="105">
      <c r="A2034" s="12">
        <v>43566.435150462959</v>
      </c>
      <c r="B2034" s="13" t="s">
        <v>14544</v>
      </c>
      <c r="C2034" s="14" t="s">
        <v>5533</v>
      </c>
      <c r="D2034" s="15" t="s">
        <v>5534</v>
      </c>
      <c r="E2034" s="16" t="s">
        <v>13011</v>
      </c>
      <c r="F2034" s="12">
        <v>42273.843310185184</v>
      </c>
      <c r="G2034" s="17" t="s">
        <v>13000</v>
      </c>
      <c r="H2034" s="35" t="s">
        <v>5535</v>
      </c>
      <c r="I2034" s="18" t="s">
        <v>5536</v>
      </c>
    </row>
    <row r="2035" spans="1:9" s="33" customFormat="1" ht="105">
      <c r="A2035" s="19">
        <v>43551.666134259256</v>
      </c>
      <c r="B2035" s="20" t="s">
        <v>14545</v>
      </c>
      <c r="C2035" s="21" t="s">
        <v>7060</v>
      </c>
      <c r="D2035" s="22" t="s">
        <v>7061</v>
      </c>
      <c r="E2035" s="23" t="s">
        <v>13009</v>
      </c>
      <c r="F2035" s="19">
        <v>41476.715150462966</v>
      </c>
      <c r="G2035" s="17" t="s">
        <v>13000</v>
      </c>
      <c r="H2035" s="35" t="s">
        <v>7062</v>
      </c>
      <c r="I2035" s="25" t="s">
        <v>7063</v>
      </c>
    </row>
    <row r="2036" spans="1:9" s="33" customFormat="1" ht="75">
      <c r="A2036" s="12">
        <v>43571.712337962963</v>
      </c>
      <c r="B2036" s="13" t="s">
        <v>14546</v>
      </c>
      <c r="C2036" s="14" t="s">
        <v>3580</v>
      </c>
      <c r="D2036" s="15" t="s">
        <v>3581</v>
      </c>
      <c r="E2036" s="16" t="s">
        <v>13009</v>
      </c>
      <c r="F2036" s="12">
        <v>40090.845034722224</v>
      </c>
      <c r="G2036" s="17" t="s">
        <v>13000</v>
      </c>
      <c r="H2036" s="35" t="s">
        <v>3582</v>
      </c>
      <c r="I2036" s="18" t="s">
        <v>3583</v>
      </c>
    </row>
    <row r="2037" spans="1:9" s="33" customFormat="1" ht="135">
      <c r="A2037" s="19">
        <v>43550.383379629631</v>
      </c>
      <c r="B2037" s="20" t="s">
        <v>14547</v>
      </c>
      <c r="C2037" s="21" t="s">
        <v>7693</v>
      </c>
      <c r="D2037" s="22" t="s">
        <v>7694</v>
      </c>
      <c r="E2037" s="23" t="s">
        <v>13009</v>
      </c>
      <c r="F2037" s="19">
        <v>43495.311689814815</v>
      </c>
      <c r="G2037" s="24" t="s">
        <v>13000</v>
      </c>
      <c r="H2037" s="35" t="s">
        <v>7695</v>
      </c>
      <c r="I2037" s="25" t="s">
        <v>7696</v>
      </c>
    </row>
    <row r="2038" spans="1:9" s="33" customFormat="1" ht="90">
      <c r="A2038" s="4">
        <v>43564.59884259259</v>
      </c>
      <c r="B2038" s="5" t="s">
        <v>14548</v>
      </c>
      <c r="C2038" s="6" t="s">
        <v>6519</v>
      </c>
      <c r="D2038" s="7" t="s">
        <v>6520</v>
      </c>
      <c r="E2038" s="8" t="s">
        <v>13013</v>
      </c>
      <c r="F2038" s="4">
        <v>42855.043240740742</v>
      </c>
      <c r="G2038" s="17" t="s">
        <v>13000</v>
      </c>
      <c r="H2038" s="35" t="s">
        <v>6521</v>
      </c>
      <c r="I2038" s="10" t="s">
        <v>6522</v>
      </c>
    </row>
    <row r="2039" spans="1:9" s="33" customFormat="1" ht="90">
      <c r="A2039" s="4">
        <v>43561.742488425924</v>
      </c>
      <c r="B2039" s="5" t="s">
        <v>14549</v>
      </c>
      <c r="C2039" s="6" t="s">
        <v>10845</v>
      </c>
      <c r="D2039" s="7" t="s">
        <v>10846</v>
      </c>
      <c r="E2039" s="8" t="s">
        <v>13011</v>
      </c>
      <c r="F2039" s="4">
        <v>40012.302465277782</v>
      </c>
      <c r="G2039" s="17" t="s">
        <v>13000</v>
      </c>
      <c r="H2039" s="35" t="s">
        <v>10847</v>
      </c>
      <c r="I2039" s="10" t="s">
        <v>10848</v>
      </c>
    </row>
    <row r="2040" spans="1:9" s="33" customFormat="1" ht="105">
      <c r="A2040" s="19">
        <v>43551.468055555553</v>
      </c>
      <c r="B2040" s="20" t="s">
        <v>14550</v>
      </c>
      <c r="C2040" s="21" t="s">
        <v>7177</v>
      </c>
      <c r="D2040" s="22" t="s">
        <v>7178</v>
      </c>
      <c r="E2040" s="23" t="s">
        <v>13120</v>
      </c>
      <c r="F2040" s="19">
        <v>39638.435624999998</v>
      </c>
      <c r="G2040" s="17" t="s">
        <v>13000</v>
      </c>
      <c r="H2040" s="35" t="s">
        <v>1893</v>
      </c>
      <c r="I2040" s="25" t="s">
        <v>7179</v>
      </c>
    </row>
    <row r="2041" spans="1:9" s="33" customFormat="1" ht="135">
      <c r="A2041" s="19">
        <v>43551.418634259258</v>
      </c>
      <c r="B2041" s="20" t="s">
        <v>14551</v>
      </c>
      <c r="C2041" s="21" t="s">
        <v>7209</v>
      </c>
      <c r="D2041" s="22" t="s">
        <v>7210</v>
      </c>
      <c r="E2041" s="23" t="s">
        <v>13013</v>
      </c>
      <c r="F2041" s="19">
        <v>41281.398888888885</v>
      </c>
      <c r="G2041" s="17" t="s">
        <v>13000</v>
      </c>
      <c r="H2041" s="35" t="s">
        <v>1893</v>
      </c>
      <c r="I2041" s="25" t="s">
        <v>7211</v>
      </c>
    </row>
    <row r="2042" spans="1:9" s="33" customFormat="1" ht="135">
      <c r="A2042" s="4">
        <v>43564.780405092592</v>
      </c>
      <c r="B2042" s="5" t="s">
        <v>14552</v>
      </c>
      <c r="C2042" s="6" t="s">
        <v>6410</v>
      </c>
      <c r="D2042" s="7" t="s">
        <v>6411</v>
      </c>
      <c r="E2042" s="8" t="s">
        <v>13011</v>
      </c>
      <c r="F2042" s="4">
        <v>40189.695636574077</v>
      </c>
      <c r="G2042" s="17" t="s">
        <v>13000</v>
      </c>
      <c r="H2042" s="35" t="s">
        <v>1893</v>
      </c>
      <c r="I2042" s="10" t="s">
        <v>6412</v>
      </c>
    </row>
    <row r="2043" spans="1:9" s="33" customFormat="1" ht="105">
      <c r="A2043" s="4">
        <v>43560.441458333335</v>
      </c>
      <c r="B2043" s="5" t="s">
        <v>14553</v>
      </c>
      <c r="C2043" s="6" t="s">
        <v>11369</v>
      </c>
      <c r="D2043" s="7" t="s">
        <v>11370</v>
      </c>
      <c r="E2043" s="8" t="s">
        <v>13011</v>
      </c>
      <c r="F2043" s="4">
        <v>39908.822453703702</v>
      </c>
      <c r="G2043" s="17" t="s">
        <v>13000</v>
      </c>
      <c r="H2043" s="35" t="s">
        <v>1893</v>
      </c>
      <c r="I2043" s="10" t="s">
        <v>11371</v>
      </c>
    </row>
    <row r="2044" spans="1:9" s="33" customFormat="1" ht="120">
      <c r="A2044" s="12">
        <v>43576.618055555555</v>
      </c>
      <c r="B2044" s="13" t="s">
        <v>14554</v>
      </c>
      <c r="C2044" s="14" t="s">
        <v>1892</v>
      </c>
      <c r="D2044" s="15" t="s">
        <v>405</v>
      </c>
      <c r="E2044" s="16" t="s">
        <v>13034</v>
      </c>
      <c r="F2044" s="12">
        <v>43436.379027777773</v>
      </c>
      <c r="G2044" s="17" t="s">
        <v>13000</v>
      </c>
      <c r="H2044" s="35" t="s">
        <v>1893</v>
      </c>
      <c r="I2044" s="18" t="s">
        <v>1894</v>
      </c>
    </row>
    <row r="2045" spans="1:9" s="33" customFormat="1" ht="120">
      <c r="A2045" s="19">
        <v>43549.572222222225</v>
      </c>
      <c r="B2045" s="20" t="s">
        <v>14555</v>
      </c>
      <c r="C2045" s="21" t="s">
        <v>7981</v>
      </c>
      <c r="D2045" s="22" t="s">
        <v>7982</v>
      </c>
      <c r="E2045" s="23" t="s">
        <v>13120</v>
      </c>
      <c r="F2045" s="19">
        <v>40051.679108796292</v>
      </c>
      <c r="G2045" s="17" t="s">
        <v>13000</v>
      </c>
      <c r="H2045" s="35" t="s">
        <v>7983</v>
      </c>
      <c r="I2045" s="25" t="s">
        <v>7984</v>
      </c>
    </row>
    <row r="2046" spans="1:9" s="33" customFormat="1" ht="120">
      <c r="A2046" s="19">
        <v>43548.572222222225</v>
      </c>
      <c r="B2046" s="20" t="s">
        <v>14555</v>
      </c>
      <c r="C2046" s="21" t="s">
        <v>7981</v>
      </c>
      <c r="D2046" s="22" t="s">
        <v>8275</v>
      </c>
      <c r="E2046" s="23" t="s">
        <v>13120</v>
      </c>
      <c r="F2046" s="19">
        <v>40051.679108796292</v>
      </c>
      <c r="G2046" s="17" t="s">
        <v>13000</v>
      </c>
      <c r="H2046" s="35" t="s">
        <v>7983</v>
      </c>
      <c r="I2046" s="25" t="s">
        <v>7984</v>
      </c>
    </row>
    <row r="2047" spans="1:9" s="33" customFormat="1" ht="105">
      <c r="A2047" s="12">
        <v>43576.310902777783</v>
      </c>
      <c r="B2047" s="13" t="s">
        <v>14556</v>
      </c>
      <c r="C2047" s="14" t="s">
        <v>2001</v>
      </c>
      <c r="D2047" s="15" t="s">
        <v>2002</v>
      </c>
      <c r="E2047" s="16" t="s">
        <v>13011</v>
      </c>
      <c r="F2047" s="12">
        <v>40613.711712962962</v>
      </c>
      <c r="G2047" s="17" t="s">
        <v>13000</v>
      </c>
      <c r="H2047" s="35" t="s">
        <v>2003</v>
      </c>
      <c r="I2047" s="18" t="s">
        <v>2004</v>
      </c>
    </row>
    <row r="2048" spans="1:9" s="33" customFormat="1" ht="120">
      <c r="A2048" s="12">
        <v>43572.531944444447</v>
      </c>
      <c r="B2048" s="13" t="s">
        <v>14557</v>
      </c>
      <c r="C2048" s="14" t="s">
        <v>3185</v>
      </c>
      <c r="D2048" s="15" t="s">
        <v>3186</v>
      </c>
      <c r="E2048" s="16" t="s">
        <v>13120</v>
      </c>
      <c r="F2048" s="12">
        <v>40068.71199074074</v>
      </c>
      <c r="G2048" s="17" t="s">
        <v>13000</v>
      </c>
      <c r="H2048" s="35" t="s">
        <v>3187</v>
      </c>
      <c r="I2048" s="18" t="s">
        <v>3188</v>
      </c>
    </row>
    <row r="2049" spans="1:9" s="33" customFormat="1" ht="120">
      <c r="A2049" s="12">
        <v>43570.53125</v>
      </c>
      <c r="B2049" s="13" t="s">
        <v>14557</v>
      </c>
      <c r="C2049" s="14" t="s">
        <v>3185</v>
      </c>
      <c r="D2049" s="15" t="s">
        <v>4086</v>
      </c>
      <c r="E2049" s="16" t="s">
        <v>13120</v>
      </c>
      <c r="F2049" s="12">
        <v>40068.71199074074</v>
      </c>
      <c r="G2049" s="17" t="s">
        <v>13000</v>
      </c>
      <c r="H2049" s="35" t="s">
        <v>3187</v>
      </c>
      <c r="I2049" s="18" t="s">
        <v>3188</v>
      </c>
    </row>
    <row r="2050" spans="1:9" s="33" customFormat="1" ht="45">
      <c r="A2050" s="19">
        <v>43543.849756944444</v>
      </c>
      <c r="B2050" s="20" t="s">
        <v>14558</v>
      </c>
      <c r="C2050" s="21" t="s">
        <v>9671</v>
      </c>
      <c r="D2050" s="22" t="s">
        <v>9672</v>
      </c>
      <c r="E2050" s="23" t="s">
        <v>13009</v>
      </c>
      <c r="F2050" s="19">
        <v>42749.362349537041</v>
      </c>
      <c r="G2050" s="17" t="s">
        <v>13000</v>
      </c>
      <c r="H2050" s="35" t="s">
        <v>9673</v>
      </c>
      <c r="I2050" s="25" t="s">
        <v>9674</v>
      </c>
    </row>
    <row r="2051" spans="1:9" s="33" customFormat="1" ht="75">
      <c r="A2051" s="12">
        <v>43578.264016203699</v>
      </c>
      <c r="B2051" s="13" t="s">
        <v>14559</v>
      </c>
      <c r="C2051" s="14" t="s">
        <v>1339</v>
      </c>
      <c r="D2051" s="15" t="s">
        <v>1340</v>
      </c>
      <c r="E2051" s="16" t="s">
        <v>13479</v>
      </c>
      <c r="F2051" s="12">
        <v>40240.416932870372</v>
      </c>
      <c r="G2051" s="17" t="s">
        <v>13000</v>
      </c>
      <c r="H2051" s="35" t="s">
        <v>1341</v>
      </c>
      <c r="I2051" s="18" t="s">
        <v>1342</v>
      </c>
    </row>
    <row r="2052" spans="1:9" s="33" customFormat="1" ht="45">
      <c r="A2052" s="12">
        <v>43569.73501157407</v>
      </c>
      <c r="B2052" s="13" t="s">
        <v>14560</v>
      </c>
      <c r="C2052" s="14" t="s">
        <v>4418</v>
      </c>
      <c r="D2052" s="15" t="s">
        <v>4419</v>
      </c>
      <c r="E2052" s="16" t="s">
        <v>13011</v>
      </c>
      <c r="F2052" s="12">
        <v>42741.284201388888</v>
      </c>
      <c r="G2052" s="17" t="s">
        <v>13000</v>
      </c>
      <c r="H2052" s="35" t="s">
        <v>4420</v>
      </c>
      <c r="I2052" s="18" t="s">
        <v>4421</v>
      </c>
    </row>
    <row r="2053" spans="1:9" s="33" customFormat="1" ht="90">
      <c r="A2053" s="4">
        <v>43560.549398148149</v>
      </c>
      <c r="B2053" s="5" t="s">
        <v>14561</v>
      </c>
      <c r="C2053" s="6" t="s">
        <v>11293</v>
      </c>
      <c r="D2053" s="7" t="s">
        <v>11294</v>
      </c>
      <c r="E2053" s="8" t="s">
        <v>13032</v>
      </c>
      <c r="F2053" s="4">
        <v>42754.313113425931</v>
      </c>
      <c r="G2053" s="9" t="s">
        <v>13000</v>
      </c>
      <c r="H2053" s="35" t="s">
        <v>11295</v>
      </c>
      <c r="I2053" s="10" t="s">
        <v>11296</v>
      </c>
    </row>
    <row r="2054" spans="1:9" s="33" customFormat="1" ht="60">
      <c r="A2054" s="12">
        <v>43579.233287037037</v>
      </c>
      <c r="B2054" s="13" t="s">
        <v>14562</v>
      </c>
      <c r="C2054" s="14" t="s">
        <v>836</v>
      </c>
      <c r="D2054" s="15" t="s">
        <v>837</v>
      </c>
      <c r="E2054" s="16" t="s">
        <v>13009</v>
      </c>
      <c r="F2054" s="12">
        <v>40479.692337962959</v>
      </c>
      <c r="G2054" s="17" t="s">
        <v>13000</v>
      </c>
      <c r="H2054" s="35" t="s">
        <v>838</v>
      </c>
      <c r="I2054" s="18" t="s">
        <v>839</v>
      </c>
    </row>
    <row r="2055" spans="1:9" s="33" customFormat="1" ht="105">
      <c r="A2055" s="4">
        <v>43560.86917824074</v>
      </c>
      <c r="B2055" s="5" t="s">
        <v>14563</v>
      </c>
      <c r="C2055" s="6" t="s">
        <v>11135</v>
      </c>
      <c r="D2055" s="7" t="s">
        <v>11136</v>
      </c>
      <c r="E2055" s="8" t="s">
        <v>13130</v>
      </c>
      <c r="F2055" s="4">
        <v>41608.210717592592</v>
      </c>
      <c r="G2055" s="17" t="s">
        <v>13000</v>
      </c>
      <c r="H2055" s="35" t="s">
        <v>11137</v>
      </c>
      <c r="I2055" s="10" t="s">
        <v>11138</v>
      </c>
    </row>
    <row r="2056" spans="1:9" s="33" customFormat="1" ht="75">
      <c r="A2056" s="19">
        <v>43551.372673611113</v>
      </c>
      <c r="B2056" s="20" t="s">
        <v>14564</v>
      </c>
      <c r="C2056" s="21" t="s">
        <v>7266</v>
      </c>
      <c r="D2056" s="22" t="s">
        <v>7267</v>
      </c>
      <c r="E2056" s="23" t="s">
        <v>13032</v>
      </c>
      <c r="F2056" s="19">
        <v>39922.308252314819</v>
      </c>
      <c r="G2056" s="17" t="s">
        <v>13000</v>
      </c>
      <c r="H2056" s="35" t="s">
        <v>7268</v>
      </c>
      <c r="I2056" s="25" t="s">
        <v>7269</v>
      </c>
    </row>
    <row r="2057" spans="1:9" s="33" customFormat="1" ht="60">
      <c r="A2057" s="19">
        <v>43546.560925925922</v>
      </c>
      <c r="B2057" s="20" t="s">
        <v>14565</v>
      </c>
      <c r="C2057" s="21" t="s">
        <v>8805</v>
      </c>
      <c r="D2057" s="22" t="s">
        <v>8806</v>
      </c>
      <c r="E2057" s="23" t="s">
        <v>13027</v>
      </c>
      <c r="F2057" s="19">
        <v>41919.791388888887</v>
      </c>
      <c r="G2057" s="17" t="s">
        <v>13000</v>
      </c>
      <c r="H2057" s="35" t="s">
        <v>1059</v>
      </c>
      <c r="I2057" s="25" t="s">
        <v>8807</v>
      </c>
    </row>
    <row r="2058" spans="1:9" s="33" customFormat="1" ht="90">
      <c r="A2058" s="12">
        <v>43578.731898148151</v>
      </c>
      <c r="B2058" s="13" t="s">
        <v>14566</v>
      </c>
      <c r="C2058" s="14" t="s">
        <v>1057</v>
      </c>
      <c r="D2058" s="15" t="s">
        <v>1058</v>
      </c>
      <c r="E2058" s="16" t="s">
        <v>13009</v>
      </c>
      <c r="F2058" s="12">
        <v>39889.603900462964</v>
      </c>
      <c r="G2058" s="17" t="s">
        <v>13000</v>
      </c>
      <c r="H2058" s="35" t="s">
        <v>1059</v>
      </c>
      <c r="I2058" s="18" t="s">
        <v>1060</v>
      </c>
    </row>
    <row r="2059" spans="1:9" s="33" customFormat="1" ht="75">
      <c r="A2059" s="12">
        <v>43570.525752314818</v>
      </c>
      <c r="B2059" s="13" t="s">
        <v>14567</v>
      </c>
      <c r="C2059" s="14" t="s">
        <v>4087</v>
      </c>
      <c r="D2059" s="15" t="s">
        <v>4088</v>
      </c>
      <c r="E2059" s="16" t="s">
        <v>13538</v>
      </c>
      <c r="F2059" s="12">
        <v>40847.697291666671</v>
      </c>
      <c r="G2059" s="17" t="s">
        <v>13000</v>
      </c>
      <c r="H2059" s="35" t="s">
        <v>1059</v>
      </c>
      <c r="I2059" s="18"/>
    </row>
    <row r="2060" spans="1:9" s="33" customFormat="1" ht="30">
      <c r="A2060" s="4">
        <v>43561.984259259261</v>
      </c>
      <c r="B2060" s="5" t="s">
        <v>14568</v>
      </c>
      <c r="C2060" s="6" t="s">
        <v>10786</v>
      </c>
      <c r="D2060" s="7" t="s">
        <v>10787</v>
      </c>
      <c r="E2060" s="8" t="s">
        <v>13011</v>
      </c>
      <c r="F2060" s="4">
        <v>41524.942326388889</v>
      </c>
      <c r="G2060" s="17" t="s">
        <v>13000</v>
      </c>
      <c r="H2060" s="35" t="s">
        <v>10788</v>
      </c>
      <c r="I2060" s="10" t="s">
        <v>10789</v>
      </c>
    </row>
    <row r="2061" spans="1:9" s="33" customFormat="1" ht="135">
      <c r="A2061" s="12">
        <v>43578.560150462959</v>
      </c>
      <c r="B2061" s="13" t="s">
        <v>14569</v>
      </c>
      <c r="C2061" s="14" t="s">
        <v>1151</v>
      </c>
      <c r="D2061" s="15" t="s">
        <v>1152</v>
      </c>
      <c r="E2061" s="16" t="s">
        <v>13011</v>
      </c>
      <c r="F2061" s="12">
        <v>40276.385289351849</v>
      </c>
      <c r="G2061" s="17" t="s">
        <v>13000</v>
      </c>
      <c r="H2061" s="35" t="s">
        <v>1153</v>
      </c>
      <c r="I2061" s="18" t="s">
        <v>1154</v>
      </c>
    </row>
    <row r="2062" spans="1:9" s="33" customFormat="1" ht="75">
      <c r="A2062" s="12">
        <v>43570.498333333337</v>
      </c>
      <c r="B2062" s="13" t="s">
        <v>14569</v>
      </c>
      <c r="C2062" s="14" t="s">
        <v>1151</v>
      </c>
      <c r="D2062" s="15" t="s">
        <v>4113</v>
      </c>
      <c r="E2062" s="16" t="s">
        <v>13011</v>
      </c>
      <c r="F2062" s="12">
        <v>40276.385289351849</v>
      </c>
      <c r="G2062" s="17" t="s">
        <v>13000</v>
      </c>
      <c r="H2062" s="35" t="s">
        <v>1153</v>
      </c>
      <c r="I2062" s="18" t="s">
        <v>1154</v>
      </c>
    </row>
    <row r="2063" spans="1:9" s="33" customFormat="1" ht="30">
      <c r="A2063" s="12">
        <v>43566.387824074074</v>
      </c>
      <c r="B2063" s="13" t="s">
        <v>14569</v>
      </c>
      <c r="C2063" s="14" t="s">
        <v>1151</v>
      </c>
      <c r="D2063" s="15" t="s">
        <v>5569</v>
      </c>
      <c r="E2063" s="16" t="s">
        <v>13011</v>
      </c>
      <c r="F2063" s="12">
        <v>40276.385289351849</v>
      </c>
      <c r="G2063" s="17" t="s">
        <v>13000</v>
      </c>
      <c r="H2063" s="35" t="s">
        <v>1153</v>
      </c>
      <c r="I2063" s="18" t="s">
        <v>1154</v>
      </c>
    </row>
    <row r="2064" spans="1:9" s="33" customFormat="1" ht="75">
      <c r="A2064" s="19">
        <v>43551.292557870373</v>
      </c>
      <c r="B2064" s="20" t="s">
        <v>14570</v>
      </c>
      <c r="C2064" s="21" t="s">
        <v>7345</v>
      </c>
      <c r="D2064" s="22" t="s">
        <v>7346</v>
      </c>
      <c r="E2064" s="23" t="s">
        <v>13018</v>
      </c>
      <c r="F2064" s="19">
        <v>42054.415706018517</v>
      </c>
      <c r="G2064" s="17" t="s">
        <v>13000</v>
      </c>
      <c r="H2064" s="35" t="s">
        <v>3242</v>
      </c>
      <c r="I2064" s="25" t="s">
        <v>7347</v>
      </c>
    </row>
    <row r="2065" spans="1:9" s="33" customFormat="1" ht="75">
      <c r="A2065" s="19">
        <v>43545.423692129625</v>
      </c>
      <c r="B2065" s="20" t="s">
        <v>14570</v>
      </c>
      <c r="C2065" s="21" t="s">
        <v>7345</v>
      </c>
      <c r="D2065" s="22" t="s">
        <v>9142</v>
      </c>
      <c r="E2065" s="23" t="s">
        <v>13018</v>
      </c>
      <c r="F2065" s="19">
        <v>42054.415706018517</v>
      </c>
      <c r="G2065" s="17" t="s">
        <v>13000</v>
      </c>
      <c r="H2065" s="35" t="s">
        <v>3242</v>
      </c>
      <c r="I2065" s="25" t="s">
        <v>7347</v>
      </c>
    </row>
    <row r="2066" spans="1:9" s="33" customFormat="1" ht="75">
      <c r="A2066" s="12">
        <v>43572.445023148146</v>
      </c>
      <c r="B2066" s="13" t="s">
        <v>14571</v>
      </c>
      <c r="C2066" s="14" t="s">
        <v>3240</v>
      </c>
      <c r="D2066" s="15" t="s">
        <v>3241</v>
      </c>
      <c r="E2066" s="16" t="s">
        <v>14572</v>
      </c>
      <c r="F2066" s="12">
        <v>42191.476944444439</v>
      </c>
      <c r="G2066" s="17" t="s">
        <v>13000</v>
      </c>
      <c r="H2066" s="35" t="s">
        <v>3242</v>
      </c>
      <c r="I2066" s="18" t="s">
        <v>3243</v>
      </c>
    </row>
    <row r="2067" spans="1:9" s="33" customFormat="1" ht="75">
      <c r="A2067" s="12">
        <v>43570.198136574079</v>
      </c>
      <c r="B2067" s="13" t="s">
        <v>14571</v>
      </c>
      <c r="C2067" s="14" t="s">
        <v>3240</v>
      </c>
      <c r="D2067" s="15" t="s">
        <v>4300</v>
      </c>
      <c r="E2067" s="16" t="s">
        <v>14572</v>
      </c>
      <c r="F2067" s="12">
        <v>42191.476944444439</v>
      </c>
      <c r="G2067" s="17" t="s">
        <v>13000</v>
      </c>
      <c r="H2067" s="35" t="s">
        <v>3242</v>
      </c>
      <c r="I2067" s="18" t="s">
        <v>3243</v>
      </c>
    </row>
    <row r="2068" spans="1:9" s="33" customFormat="1" ht="120">
      <c r="A2068" s="12">
        <v>43569.800833333335</v>
      </c>
      <c r="B2068" s="13" t="s">
        <v>14573</v>
      </c>
      <c r="C2068" s="14" t="s">
        <v>4406</v>
      </c>
      <c r="D2068" s="15" t="s">
        <v>4407</v>
      </c>
      <c r="E2068" s="16" t="s">
        <v>13009</v>
      </c>
      <c r="F2068" s="12">
        <v>40505.224664351852</v>
      </c>
      <c r="G2068" s="17" t="s">
        <v>13000</v>
      </c>
      <c r="H2068" s="35" t="s">
        <v>3242</v>
      </c>
      <c r="I2068" s="18" t="s">
        <v>4408</v>
      </c>
    </row>
    <row r="2069" spans="1:9" s="33" customFormat="1" ht="75">
      <c r="A2069" s="12">
        <v>43568.39508101852</v>
      </c>
      <c r="B2069" s="13" t="s">
        <v>14571</v>
      </c>
      <c r="C2069" s="14" t="s">
        <v>3240</v>
      </c>
      <c r="D2069" s="15" t="s">
        <v>4800</v>
      </c>
      <c r="E2069" s="16" t="s">
        <v>14572</v>
      </c>
      <c r="F2069" s="12">
        <v>42191.476944444439</v>
      </c>
      <c r="G2069" s="17" t="s">
        <v>13000</v>
      </c>
      <c r="H2069" s="35" t="s">
        <v>3242</v>
      </c>
      <c r="I2069" s="18" t="s">
        <v>3243</v>
      </c>
    </row>
    <row r="2070" spans="1:9" s="33" customFormat="1" ht="90">
      <c r="A2070" s="12">
        <v>43579.380891203706</v>
      </c>
      <c r="B2070" s="13" t="s">
        <v>14574</v>
      </c>
      <c r="C2070" s="14" t="s">
        <v>713</v>
      </c>
      <c r="D2070" s="15" t="s">
        <v>714</v>
      </c>
      <c r="E2070" s="16" t="s">
        <v>13013</v>
      </c>
      <c r="F2070" s="12">
        <v>43230.427789351852</v>
      </c>
      <c r="G2070" s="17" t="s">
        <v>13000</v>
      </c>
      <c r="H2070" s="35" t="s">
        <v>715</v>
      </c>
      <c r="I2070" s="18" t="s">
        <v>716</v>
      </c>
    </row>
    <row r="2071" spans="1:9" s="33" customFormat="1" ht="105">
      <c r="A2071" s="19">
        <v>43551.002175925925</v>
      </c>
      <c r="B2071" s="20" t="s">
        <v>14575</v>
      </c>
      <c r="C2071" s="21" t="s">
        <v>7455</v>
      </c>
      <c r="D2071" s="22" t="s">
        <v>7456</v>
      </c>
      <c r="E2071" s="23" t="s">
        <v>13027</v>
      </c>
      <c r="F2071" s="19">
        <v>40915.730011574073</v>
      </c>
      <c r="G2071" s="9" t="s">
        <v>13000</v>
      </c>
      <c r="H2071" s="35" t="s">
        <v>7457</v>
      </c>
      <c r="I2071" s="25" t="s">
        <v>7458</v>
      </c>
    </row>
    <row r="2072" spans="1:9" s="33" customFormat="1" ht="105">
      <c r="A2072" s="4">
        <v>43563.000405092593</v>
      </c>
      <c r="B2072" s="5" t="s">
        <v>14575</v>
      </c>
      <c r="C2072" s="6" t="s">
        <v>7455</v>
      </c>
      <c r="D2072" s="7" t="s">
        <v>10513</v>
      </c>
      <c r="E2072" s="8" t="s">
        <v>13027</v>
      </c>
      <c r="F2072" s="4">
        <v>40915.730011574073</v>
      </c>
      <c r="G2072" s="9" t="s">
        <v>13000</v>
      </c>
      <c r="H2072" s="35" t="s">
        <v>7457</v>
      </c>
      <c r="I2072" s="10" t="s">
        <v>7458</v>
      </c>
    </row>
    <row r="2073" spans="1:9" s="33" customFormat="1" ht="105">
      <c r="A2073" s="12">
        <v>43578.311712962968</v>
      </c>
      <c r="B2073" s="13" t="s">
        <v>14576</v>
      </c>
      <c r="C2073" s="14" t="s">
        <v>1305</v>
      </c>
      <c r="D2073" s="15" t="s">
        <v>1306</v>
      </c>
      <c r="E2073" s="16" t="s">
        <v>13032</v>
      </c>
      <c r="F2073" s="12">
        <v>41599.303703703699</v>
      </c>
      <c r="G2073" s="17" t="s">
        <v>13000</v>
      </c>
      <c r="H2073" s="35" t="s">
        <v>1307</v>
      </c>
      <c r="I2073" s="18" t="s">
        <v>1308</v>
      </c>
    </row>
    <row r="2074" spans="1:9" s="33" customFormat="1" ht="75">
      <c r="A2074" s="4">
        <v>43558.421331018515</v>
      </c>
      <c r="B2074" s="5" t="s">
        <v>14577</v>
      </c>
      <c r="C2074" s="6" t="s">
        <v>12197</v>
      </c>
      <c r="D2074" s="7" t="s">
        <v>12198</v>
      </c>
      <c r="E2074" s="8" t="s">
        <v>13011</v>
      </c>
      <c r="F2074" s="4">
        <v>42698.66024305555</v>
      </c>
      <c r="G2074" s="9" t="s">
        <v>13000</v>
      </c>
      <c r="H2074" s="35" t="s">
        <v>12199</v>
      </c>
      <c r="I2074" s="10" t="s">
        <v>12200</v>
      </c>
    </row>
    <row r="2075" spans="1:9" s="33" customFormat="1" ht="60">
      <c r="A2075" s="4">
        <v>43564.35836805556</v>
      </c>
      <c r="B2075" s="5" t="s">
        <v>14578</v>
      </c>
      <c r="C2075" s="6" t="s">
        <v>6662</v>
      </c>
      <c r="D2075" s="7" t="s">
        <v>6663</v>
      </c>
      <c r="E2075" s="8" t="s">
        <v>13009</v>
      </c>
      <c r="F2075" s="4">
        <v>42326.421805555554</v>
      </c>
      <c r="G2075" s="17" t="s">
        <v>13000</v>
      </c>
      <c r="H2075" s="35" t="s">
        <v>6664</v>
      </c>
      <c r="I2075" s="10" t="s">
        <v>6665</v>
      </c>
    </row>
    <row r="2076" spans="1:9" s="33" customFormat="1" ht="30">
      <c r="A2076" s="12">
        <v>43572.311412037037</v>
      </c>
      <c r="B2076" s="13" t="s">
        <v>14579</v>
      </c>
      <c r="C2076" s="14" t="s">
        <v>3340</v>
      </c>
      <c r="D2076" s="15" t="s">
        <v>3341</v>
      </c>
      <c r="E2076" s="16" t="s">
        <v>13013</v>
      </c>
      <c r="F2076" s="12">
        <v>43369.184155092589</v>
      </c>
      <c r="G2076" s="17" t="s">
        <v>13000</v>
      </c>
      <c r="H2076" s="35" t="s">
        <v>3342</v>
      </c>
      <c r="I2076" s="18" t="s">
        <v>3343</v>
      </c>
    </row>
    <row r="2077" spans="1:9" s="33" customFormat="1" ht="120">
      <c r="A2077" s="12">
        <v>43567.239803240736</v>
      </c>
      <c r="B2077" s="13" t="s">
        <v>14580</v>
      </c>
      <c r="C2077" s="14" t="s">
        <v>5203</v>
      </c>
      <c r="D2077" s="15" t="s">
        <v>5204</v>
      </c>
      <c r="E2077" s="16" t="s">
        <v>13018</v>
      </c>
      <c r="F2077" s="12">
        <v>40716.536192129628</v>
      </c>
      <c r="G2077" s="17" t="s">
        <v>13000</v>
      </c>
      <c r="H2077" s="35" t="s">
        <v>5205</v>
      </c>
      <c r="I2077" s="18" t="s">
        <v>5206</v>
      </c>
    </row>
    <row r="2078" spans="1:9" s="33" customFormat="1" ht="60">
      <c r="A2078" s="19">
        <v>43546.92569444445</v>
      </c>
      <c r="B2078" s="20" t="s">
        <v>14581</v>
      </c>
      <c r="C2078" s="21" t="s">
        <v>8700</v>
      </c>
      <c r="D2078" s="22" t="s">
        <v>8701</v>
      </c>
      <c r="E2078" s="23" t="s">
        <v>13032</v>
      </c>
      <c r="F2078" s="19">
        <v>40186.379780092597</v>
      </c>
      <c r="G2078" s="17" t="s">
        <v>13000</v>
      </c>
      <c r="H2078" s="35" t="s">
        <v>8702</v>
      </c>
      <c r="I2078" s="25" t="s">
        <v>8703</v>
      </c>
    </row>
    <row r="2079" spans="1:9" s="33" customFormat="1" ht="105">
      <c r="A2079" s="4">
        <v>43558.285370370373</v>
      </c>
      <c r="B2079" s="5" t="s">
        <v>14582</v>
      </c>
      <c r="C2079" s="6" t="s">
        <v>12247</v>
      </c>
      <c r="D2079" s="7" t="s">
        <v>12248</v>
      </c>
      <c r="E2079" s="8" t="s">
        <v>13032</v>
      </c>
      <c r="F2079" s="4">
        <v>39878.245486111111</v>
      </c>
      <c r="G2079" s="17" t="s">
        <v>13000</v>
      </c>
      <c r="H2079" s="35" t="s">
        <v>5277</v>
      </c>
      <c r="I2079" s="10" t="s">
        <v>12249</v>
      </c>
    </row>
    <row r="2080" spans="1:9" s="33" customFormat="1" ht="135">
      <c r="A2080" s="12">
        <v>43567.013368055559</v>
      </c>
      <c r="B2080" s="13" t="s">
        <v>14583</v>
      </c>
      <c r="C2080" s="14" t="s">
        <v>5275</v>
      </c>
      <c r="D2080" s="15" t="s">
        <v>5276</v>
      </c>
      <c r="E2080" s="16" t="s">
        <v>14584</v>
      </c>
      <c r="F2080" s="12">
        <v>40860.644641203704</v>
      </c>
      <c r="G2080" s="17" t="s">
        <v>13000</v>
      </c>
      <c r="H2080" s="35" t="s">
        <v>5277</v>
      </c>
      <c r="I2080" s="18" t="s">
        <v>5278</v>
      </c>
    </row>
    <row r="2081" spans="1:9" s="33" customFormat="1" ht="135">
      <c r="A2081" s="12">
        <v>43566.39565972222</v>
      </c>
      <c r="B2081" s="13" t="s">
        <v>14583</v>
      </c>
      <c r="C2081" s="14" t="s">
        <v>5275</v>
      </c>
      <c r="D2081" s="15" t="s">
        <v>5565</v>
      </c>
      <c r="E2081" s="16" t="s">
        <v>13009</v>
      </c>
      <c r="F2081" s="12">
        <v>40860.644641203704</v>
      </c>
      <c r="G2081" s="17" t="s">
        <v>13000</v>
      </c>
      <c r="H2081" s="35" t="s">
        <v>5277</v>
      </c>
      <c r="I2081" s="18" t="s">
        <v>5278</v>
      </c>
    </row>
    <row r="2082" spans="1:9" s="33" customFormat="1" ht="105">
      <c r="A2082" s="12">
        <v>43565.312997685185</v>
      </c>
      <c r="B2082" s="13" t="s">
        <v>13923</v>
      </c>
      <c r="C2082" s="14" t="s">
        <v>6180</v>
      </c>
      <c r="D2082" s="15" t="s">
        <v>6181</v>
      </c>
      <c r="E2082" s="16" t="s">
        <v>13440</v>
      </c>
      <c r="F2082" s="12">
        <v>42675.26295138889</v>
      </c>
      <c r="G2082" s="17" t="s">
        <v>13000</v>
      </c>
      <c r="H2082" s="35" t="s">
        <v>5277</v>
      </c>
      <c r="I2082" s="18" t="s">
        <v>6182</v>
      </c>
    </row>
    <row r="2083" spans="1:9" s="33" customFormat="1" ht="105">
      <c r="A2083" s="12">
        <v>43573.429872685185</v>
      </c>
      <c r="B2083" s="13" t="s">
        <v>14585</v>
      </c>
      <c r="C2083" s="14" t="s">
        <v>2866</v>
      </c>
      <c r="D2083" s="15" t="s">
        <v>2867</v>
      </c>
      <c r="E2083" s="16" t="s">
        <v>13013</v>
      </c>
      <c r="F2083" s="12">
        <v>39862.392546296294</v>
      </c>
      <c r="G2083" s="17" t="s">
        <v>13000</v>
      </c>
      <c r="H2083" s="35" t="s">
        <v>2868</v>
      </c>
      <c r="I2083" s="18" t="s">
        <v>2869</v>
      </c>
    </row>
    <row r="2084" spans="1:9" s="33" customFormat="1" ht="75">
      <c r="A2084" s="19">
        <v>43543.582442129627</v>
      </c>
      <c r="B2084" s="20" t="s">
        <v>14586</v>
      </c>
      <c r="C2084" s="21" t="s">
        <v>9749</v>
      </c>
      <c r="D2084" s="22" t="s">
        <v>9750</v>
      </c>
      <c r="E2084" s="23" t="s">
        <v>13032</v>
      </c>
      <c r="F2084" s="19">
        <v>40442.701990740738</v>
      </c>
      <c r="G2084" s="17" t="s">
        <v>13000</v>
      </c>
      <c r="H2084" s="35" t="s">
        <v>9751</v>
      </c>
      <c r="I2084" s="25" t="s">
        <v>9752</v>
      </c>
    </row>
    <row r="2085" spans="1:9" s="33" customFormat="1" ht="75">
      <c r="A2085" s="19">
        <v>43543.559837962966</v>
      </c>
      <c r="B2085" s="20" t="s">
        <v>14586</v>
      </c>
      <c r="C2085" s="21" t="s">
        <v>9749</v>
      </c>
      <c r="D2085" s="22" t="s">
        <v>9758</v>
      </c>
      <c r="E2085" s="23" t="s">
        <v>13032</v>
      </c>
      <c r="F2085" s="19">
        <v>40442.701990740738</v>
      </c>
      <c r="G2085" s="17" t="s">
        <v>13000</v>
      </c>
      <c r="H2085" s="35" t="s">
        <v>9751</v>
      </c>
      <c r="I2085" s="25" t="s">
        <v>9752</v>
      </c>
    </row>
    <row r="2086" spans="1:9" s="33" customFormat="1" ht="75">
      <c r="A2086" s="4">
        <v>43563.54215277778</v>
      </c>
      <c r="B2086" s="5" t="s">
        <v>14587</v>
      </c>
      <c r="C2086" s="6" t="s">
        <v>1559</v>
      </c>
      <c r="D2086" s="7" t="s">
        <v>10240</v>
      </c>
      <c r="E2086" s="8" t="s">
        <v>13290</v>
      </c>
      <c r="F2086" s="4">
        <v>42259.23704861111</v>
      </c>
      <c r="G2086" s="17" t="s">
        <v>13000</v>
      </c>
      <c r="H2086" s="35" t="s">
        <v>1561</v>
      </c>
      <c r="I2086" s="10"/>
    </row>
    <row r="2087" spans="1:9" s="33" customFormat="1" ht="90">
      <c r="A2087" s="4">
        <v>43560.542025462964</v>
      </c>
      <c r="B2087" s="5" t="s">
        <v>14587</v>
      </c>
      <c r="C2087" s="6" t="s">
        <v>1559</v>
      </c>
      <c r="D2087" s="7" t="s">
        <v>11307</v>
      </c>
      <c r="E2087" s="8" t="s">
        <v>13290</v>
      </c>
      <c r="F2087" s="4">
        <v>42259.23704861111</v>
      </c>
      <c r="G2087" s="17" t="s">
        <v>13000</v>
      </c>
      <c r="H2087" s="35" t="s">
        <v>1561</v>
      </c>
      <c r="I2087" s="10"/>
    </row>
    <row r="2088" spans="1:9" s="33" customFormat="1" ht="90">
      <c r="A2088" s="4">
        <v>43560.542013888888</v>
      </c>
      <c r="B2088" s="5" t="s">
        <v>14587</v>
      </c>
      <c r="C2088" s="6" t="s">
        <v>1559</v>
      </c>
      <c r="D2088" s="7" t="s">
        <v>11308</v>
      </c>
      <c r="E2088" s="8" t="s">
        <v>13290</v>
      </c>
      <c r="F2088" s="4">
        <v>42259.23704861111</v>
      </c>
      <c r="G2088" s="17" t="s">
        <v>13000</v>
      </c>
      <c r="H2088" s="35" t="s">
        <v>1561</v>
      </c>
      <c r="I2088" s="10"/>
    </row>
    <row r="2089" spans="1:9" s="33" customFormat="1" ht="150">
      <c r="A2089" s="4">
        <v>43559.928981481484</v>
      </c>
      <c r="B2089" s="5" t="s">
        <v>14588</v>
      </c>
      <c r="C2089" s="6" t="s">
        <v>11660</v>
      </c>
      <c r="D2089" s="7" t="s">
        <v>11661</v>
      </c>
      <c r="E2089" s="8" t="s">
        <v>13011</v>
      </c>
      <c r="F2089" s="4">
        <v>40778.918854166666</v>
      </c>
      <c r="G2089" s="17" t="s">
        <v>13000</v>
      </c>
      <c r="H2089" s="35" t="s">
        <v>1561</v>
      </c>
      <c r="I2089" s="10" t="s">
        <v>11662</v>
      </c>
    </row>
    <row r="2090" spans="1:9" s="33" customFormat="1" ht="90">
      <c r="A2090" s="4">
        <v>43559.799432870372</v>
      </c>
      <c r="B2090" s="5" t="s">
        <v>14588</v>
      </c>
      <c r="C2090" s="6" t="s">
        <v>11660</v>
      </c>
      <c r="D2090" s="7" t="s">
        <v>11694</v>
      </c>
      <c r="E2090" s="8" t="s">
        <v>13011</v>
      </c>
      <c r="F2090" s="4">
        <v>40778.918854166666</v>
      </c>
      <c r="G2090" s="17" t="s">
        <v>13000</v>
      </c>
      <c r="H2090" s="35" t="s">
        <v>1561</v>
      </c>
      <c r="I2090" s="10" t="s">
        <v>11662</v>
      </c>
    </row>
    <row r="2091" spans="1:9" s="33" customFormat="1" ht="75">
      <c r="A2091" s="4">
        <v>43559.542094907403</v>
      </c>
      <c r="B2091" s="5" t="s">
        <v>14587</v>
      </c>
      <c r="C2091" s="6" t="s">
        <v>1559</v>
      </c>
      <c r="D2091" s="7" t="s">
        <v>11773</v>
      </c>
      <c r="E2091" s="8" t="s">
        <v>13290</v>
      </c>
      <c r="F2091" s="4">
        <v>42259.23704861111</v>
      </c>
      <c r="G2091" s="17" t="s">
        <v>13000</v>
      </c>
      <c r="H2091" s="35" t="s">
        <v>1561</v>
      </c>
      <c r="I2091" s="10"/>
    </row>
    <row r="2092" spans="1:9" s="33" customFormat="1" ht="60">
      <c r="A2092" s="12">
        <v>43577.593807870369</v>
      </c>
      <c r="B2092" s="13" t="s">
        <v>14587</v>
      </c>
      <c r="C2092" s="14" t="s">
        <v>1559</v>
      </c>
      <c r="D2092" s="15" t="s">
        <v>1560</v>
      </c>
      <c r="E2092" s="16" t="s">
        <v>13290</v>
      </c>
      <c r="F2092" s="12">
        <v>42259.23704861111</v>
      </c>
      <c r="G2092" s="17" t="s">
        <v>13000</v>
      </c>
      <c r="H2092" s="35" t="s">
        <v>1561</v>
      </c>
      <c r="I2092" s="18"/>
    </row>
    <row r="2093" spans="1:9" s="33" customFormat="1" ht="90">
      <c r="A2093" s="12">
        <v>43575.427106481482</v>
      </c>
      <c r="B2093" s="13" t="s">
        <v>14587</v>
      </c>
      <c r="C2093" s="14" t="s">
        <v>1559</v>
      </c>
      <c r="D2093" s="15" t="s">
        <v>2226</v>
      </c>
      <c r="E2093" s="16" t="s">
        <v>13290</v>
      </c>
      <c r="F2093" s="12">
        <v>42259.23704861111</v>
      </c>
      <c r="G2093" s="17" t="s">
        <v>13000</v>
      </c>
      <c r="H2093" s="35" t="s">
        <v>1561</v>
      </c>
      <c r="I2093" s="18"/>
    </row>
    <row r="2094" spans="1:9" s="33" customFormat="1" ht="90">
      <c r="A2094" s="12">
        <v>43574.312604166669</v>
      </c>
      <c r="B2094" s="13" t="s">
        <v>14587</v>
      </c>
      <c r="C2094" s="14" t="s">
        <v>1559</v>
      </c>
      <c r="D2094" s="15" t="s">
        <v>2605</v>
      </c>
      <c r="E2094" s="16" t="s">
        <v>13290</v>
      </c>
      <c r="F2094" s="12">
        <v>42259.23704861111</v>
      </c>
      <c r="G2094" s="17" t="s">
        <v>13000</v>
      </c>
      <c r="H2094" s="35" t="s">
        <v>1561</v>
      </c>
      <c r="I2094" s="18"/>
    </row>
    <row r="2095" spans="1:9" s="33" customFormat="1" ht="90">
      <c r="A2095" s="12">
        <v>43571.395925925928</v>
      </c>
      <c r="B2095" s="13" t="s">
        <v>14587</v>
      </c>
      <c r="C2095" s="14" t="s">
        <v>1559</v>
      </c>
      <c r="D2095" s="15" t="s">
        <v>3692</v>
      </c>
      <c r="E2095" s="16" t="s">
        <v>13290</v>
      </c>
      <c r="F2095" s="12">
        <v>42259.23704861111</v>
      </c>
      <c r="G2095" s="17" t="s">
        <v>13000</v>
      </c>
      <c r="H2095" s="35" t="s">
        <v>1561</v>
      </c>
      <c r="I2095" s="18"/>
    </row>
    <row r="2096" spans="1:9" s="33" customFormat="1" ht="45">
      <c r="A2096" s="12">
        <v>43569.657581018517</v>
      </c>
      <c r="B2096" s="13" t="s">
        <v>14589</v>
      </c>
      <c r="C2096" s="14" t="s">
        <v>4443</v>
      </c>
      <c r="D2096" s="15" t="s">
        <v>4444</v>
      </c>
      <c r="E2096" s="16" t="s">
        <v>13009</v>
      </c>
      <c r="F2096" s="12">
        <v>43111.327696759261</v>
      </c>
      <c r="G2096" s="17" t="s">
        <v>13000</v>
      </c>
      <c r="H2096" s="35" t="s">
        <v>1561</v>
      </c>
      <c r="I2096" s="18"/>
    </row>
    <row r="2097" spans="1:9" s="33" customFormat="1" ht="90">
      <c r="A2097" s="4">
        <v>43565.399710648147</v>
      </c>
      <c r="B2097" s="5" t="s">
        <v>14590</v>
      </c>
      <c r="C2097" s="6" t="s">
        <v>6114</v>
      </c>
      <c r="D2097" s="7" t="s">
        <v>6115</v>
      </c>
      <c r="E2097" s="8" t="s">
        <v>13032</v>
      </c>
      <c r="F2097" s="4">
        <v>39921.389178240745</v>
      </c>
      <c r="G2097" s="17" t="s">
        <v>13000</v>
      </c>
      <c r="H2097" s="35" t="s">
        <v>6116</v>
      </c>
      <c r="I2097" s="10" t="s">
        <v>6117</v>
      </c>
    </row>
    <row r="2098" spans="1:9" s="33" customFormat="1" ht="90">
      <c r="A2098" s="4">
        <v>43564.555925925924</v>
      </c>
      <c r="B2098" s="5" t="s">
        <v>14590</v>
      </c>
      <c r="C2098" s="6" t="s">
        <v>6114</v>
      </c>
      <c r="D2098" s="7" t="s">
        <v>6557</v>
      </c>
      <c r="E2098" s="8" t="s">
        <v>13032</v>
      </c>
      <c r="F2098" s="4">
        <v>39921.389178240745</v>
      </c>
      <c r="G2098" s="17" t="s">
        <v>13000</v>
      </c>
      <c r="H2098" s="35" t="s">
        <v>6116</v>
      </c>
      <c r="I2098" s="10" t="s">
        <v>6117</v>
      </c>
    </row>
    <row r="2099" spans="1:9" s="33" customFormat="1" ht="90">
      <c r="A2099" s="12">
        <v>43579.485208333332</v>
      </c>
      <c r="B2099" s="13" t="s">
        <v>14591</v>
      </c>
      <c r="C2099" s="14" t="s">
        <v>625</v>
      </c>
      <c r="D2099" s="15" t="s">
        <v>626</v>
      </c>
      <c r="E2099" s="16" t="s">
        <v>13011</v>
      </c>
      <c r="F2099" s="12">
        <v>40591.911122685182</v>
      </c>
      <c r="G2099" s="17" t="s">
        <v>13000</v>
      </c>
      <c r="H2099" s="35" t="s">
        <v>627</v>
      </c>
      <c r="I2099" s="18" t="s">
        <v>628</v>
      </c>
    </row>
    <row r="2100" spans="1:9" s="33" customFormat="1" ht="45">
      <c r="A2100" s="12">
        <v>43568.597615740742</v>
      </c>
      <c r="B2100" s="13" t="s">
        <v>14592</v>
      </c>
      <c r="C2100" s="14" t="s">
        <v>4687</v>
      </c>
      <c r="D2100" s="15" t="s">
        <v>4688</v>
      </c>
      <c r="E2100" s="16" t="s">
        <v>13032</v>
      </c>
      <c r="F2100" s="12">
        <v>39981.825567129628</v>
      </c>
      <c r="G2100" s="9" t="s">
        <v>13000</v>
      </c>
      <c r="H2100" s="35" t="s">
        <v>4689</v>
      </c>
      <c r="I2100" s="18"/>
    </row>
    <row r="2101" spans="1:9" s="33" customFormat="1" ht="90">
      <c r="A2101" s="19">
        <v>43546.566932870366</v>
      </c>
      <c r="B2101" s="20" t="s">
        <v>14593</v>
      </c>
      <c r="C2101" s="21" t="s">
        <v>8801</v>
      </c>
      <c r="D2101" s="22" t="s">
        <v>8802</v>
      </c>
      <c r="E2101" s="23" t="s">
        <v>13027</v>
      </c>
      <c r="F2101" s="19">
        <v>39914.406238425923</v>
      </c>
      <c r="G2101" s="9" t="s">
        <v>13000</v>
      </c>
      <c r="H2101" s="35" t="s">
        <v>4999</v>
      </c>
      <c r="I2101" s="25" t="s">
        <v>8803</v>
      </c>
    </row>
    <row r="2102" spans="1:9" s="33" customFormat="1" ht="90">
      <c r="A2102" s="19">
        <v>43543.401018518518</v>
      </c>
      <c r="B2102" s="20" t="s">
        <v>14593</v>
      </c>
      <c r="C2102" s="21" t="s">
        <v>8801</v>
      </c>
      <c r="D2102" s="22" t="s">
        <v>8802</v>
      </c>
      <c r="E2102" s="23" t="s">
        <v>13027</v>
      </c>
      <c r="F2102" s="19">
        <v>39914.406238425923</v>
      </c>
      <c r="G2102" s="9" t="s">
        <v>13000</v>
      </c>
      <c r="H2102" s="35" t="s">
        <v>4999</v>
      </c>
      <c r="I2102" s="25" t="s">
        <v>8803</v>
      </c>
    </row>
    <row r="2103" spans="1:9" s="33" customFormat="1" ht="75">
      <c r="A2103" s="12">
        <v>43567.68855324074</v>
      </c>
      <c r="B2103" s="13" t="s">
        <v>14594</v>
      </c>
      <c r="C2103" s="14" t="s">
        <v>4997</v>
      </c>
      <c r="D2103" s="15" t="s">
        <v>4998</v>
      </c>
      <c r="E2103" s="16" t="s">
        <v>13032</v>
      </c>
      <c r="F2103" s="12">
        <v>40093.626828703702</v>
      </c>
      <c r="G2103" s="9" t="s">
        <v>13000</v>
      </c>
      <c r="H2103" s="35" t="s">
        <v>4999</v>
      </c>
      <c r="I2103" s="18" t="s">
        <v>5000</v>
      </c>
    </row>
    <row r="2104" spans="1:9" s="33" customFormat="1" ht="75">
      <c r="A2104" s="19">
        <v>43551.410208333335</v>
      </c>
      <c r="B2104" s="20" t="s">
        <v>14595</v>
      </c>
      <c r="C2104" s="21" t="s">
        <v>7220</v>
      </c>
      <c r="D2104" s="22" t="s">
        <v>7221</v>
      </c>
      <c r="E2104" s="23" t="s">
        <v>13009</v>
      </c>
      <c r="F2104" s="19">
        <v>39881.865347222221</v>
      </c>
      <c r="G2104" s="9" t="s">
        <v>13000</v>
      </c>
      <c r="H2104" s="35" t="s">
        <v>4184</v>
      </c>
      <c r="I2104" s="25" t="s">
        <v>7222</v>
      </c>
    </row>
    <row r="2105" spans="1:9" s="33" customFormat="1" ht="105">
      <c r="A2105" s="19">
        <v>43547.381979166668</v>
      </c>
      <c r="B2105" s="20" t="s">
        <v>14596</v>
      </c>
      <c r="C2105" s="21" t="s">
        <v>8571</v>
      </c>
      <c r="D2105" s="22" t="s">
        <v>8572</v>
      </c>
      <c r="E2105" s="23" t="s">
        <v>13034</v>
      </c>
      <c r="F2105" s="19">
        <v>42136.490115740744</v>
      </c>
      <c r="G2105" s="9" t="s">
        <v>13000</v>
      </c>
      <c r="H2105" s="35" t="s">
        <v>4184</v>
      </c>
      <c r="I2105" s="25" t="s">
        <v>8573</v>
      </c>
    </row>
    <row r="2106" spans="1:9" s="33" customFormat="1" ht="75">
      <c r="A2106" s="19">
        <v>43546.883611111116</v>
      </c>
      <c r="B2106" s="20" t="s">
        <v>14597</v>
      </c>
      <c r="C2106" s="21" t="s">
        <v>8707</v>
      </c>
      <c r="D2106" s="22" t="s">
        <v>8708</v>
      </c>
      <c r="E2106" s="23" t="s">
        <v>13032</v>
      </c>
      <c r="F2106" s="19">
        <v>41848.830694444448</v>
      </c>
      <c r="G2106" s="9" t="s">
        <v>13000</v>
      </c>
      <c r="H2106" s="35" t="s">
        <v>4184</v>
      </c>
      <c r="I2106" s="25" t="s">
        <v>8709</v>
      </c>
    </row>
    <row r="2107" spans="1:9" s="33" customFormat="1" ht="75">
      <c r="A2107" s="19">
        <v>43546.339224537034</v>
      </c>
      <c r="B2107" s="20" t="s">
        <v>14598</v>
      </c>
      <c r="C2107" s="21" t="s">
        <v>8900</v>
      </c>
      <c r="D2107" s="22" t="s">
        <v>8901</v>
      </c>
      <c r="E2107" s="23" t="s">
        <v>13009</v>
      </c>
      <c r="F2107" s="19">
        <v>39744.536944444444</v>
      </c>
      <c r="G2107" s="9" t="s">
        <v>13000</v>
      </c>
      <c r="H2107" s="35" t="s">
        <v>4184</v>
      </c>
      <c r="I2107" s="25" t="s">
        <v>8902</v>
      </c>
    </row>
    <row r="2108" spans="1:9" s="33" customFormat="1" ht="120">
      <c r="A2108" s="19">
        <v>43543.356134259258</v>
      </c>
      <c r="B2108" s="20" t="s">
        <v>14599</v>
      </c>
      <c r="C2108" s="21" t="s">
        <v>9854</v>
      </c>
      <c r="D2108" s="22" t="s">
        <v>9855</v>
      </c>
      <c r="E2108" s="23" t="s">
        <v>13009</v>
      </c>
      <c r="F2108" s="19">
        <v>42798.614178240736</v>
      </c>
      <c r="G2108" s="9" t="s">
        <v>13000</v>
      </c>
      <c r="H2108" s="35" t="s">
        <v>4184</v>
      </c>
      <c r="I2108" s="25" t="s">
        <v>9856</v>
      </c>
    </row>
    <row r="2109" spans="1:9" s="33" customFormat="1" ht="75">
      <c r="A2109" s="4">
        <v>43564.426435185189</v>
      </c>
      <c r="B2109" s="5" t="s">
        <v>14600</v>
      </c>
      <c r="C2109" s="6" t="s">
        <v>6615</v>
      </c>
      <c r="D2109" s="7" t="s">
        <v>6616</v>
      </c>
      <c r="E2109" s="8" t="s">
        <v>13009</v>
      </c>
      <c r="F2109" s="4">
        <v>41910.414375</v>
      </c>
      <c r="G2109" s="9" t="s">
        <v>13000</v>
      </c>
      <c r="H2109" s="35" t="s">
        <v>4184</v>
      </c>
      <c r="I2109" s="10"/>
    </row>
    <row r="2110" spans="1:9" s="33" customFormat="1" ht="75">
      <c r="A2110" s="4">
        <v>43560.598275462966</v>
      </c>
      <c r="B2110" s="5" t="s">
        <v>14601</v>
      </c>
      <c r="C2110" s="6" t="s">
        <v>11266</v>
      </c>
      <c r="D2110" s="7" t="s">
        <v>11267</v>
      </c>
      <c r="E2110" s="8" t="s">
        <v>13011</v>
      </c>
      <c r="F2110" s="4">
        <v>43381.724710648152</v>
      </c>
      <c r="G2110" s="9" t="s">
        <v>13000</v>
      </c>
      <c r="H2110" s="35" t="s">
        <v>4184</v>
      </c>
      <c r="I2110" s="10" t="s">
        <v>11268</v>
      </c>
    </row>
    <row r="2111" spans="1:9" s="33" customFormat="1" ht="105">
      <c r="A2111" s="4">
        <v>43559.525694444441</v>
      </c>
      <c r="B2111" s="5" t="s">
        <v>14602</v>
      </c>
      <c r="C2111" s="6" t="s">
        <v>11777</v>
      </c>
      <c r="D2111" s="7" t="s">
        <v>11778</v>
      </c>
      <c r="E2111" s="8" t="s">
        <v>13490</v>
      </c>
      <c r="F2111" s="4">
        <v>42568.512291666666</v>
      </c>
      <c r="G2111" s="9" t="s">
        <v>13000</v>
      </c>
      <c r="H2111" s="35" t="s">
        <v>4184</v>
      </c>
      <c r="I2111" s="10" t="s">
        <v>11779</v>
      </c>
    </row>
    <row r="2112" spans="1:9" s="33" customFormat="1" ht="75">
      <c r="A2112" s="12">
        <v>43570.397939814815</v>
      </c>
      <c r="B2112" s="13" t="s">
        <v>14603</v>
      </c>
      <c r="C2112" s="14" t="s">
        <v>4182</v>
      </c>
      <c r="D2112" s="15" t="s">
        <v>4183</v>
      </c>
      <c r="E2112" s="16" t="s">
        <v>13009</v>
      </c>
      <c r="F2112" s="12">
        <v>41199.5309375</v>
      </c>
      <c r="G2112" s="9" t="s">
        <v>13000</v>
      </c>
      <c r="H2112" s="35" t="s">
        <v>4184</v>
      </c>
      <c r="I2112" s="18" t="s">
        <v>4185</v>
      </c>
    </row>
    <row r="2113" spans="1:9" s="33" customFormat="1" ht="75">
      <c r="A2113" s="12">
        <v>43566.482245370367</v>
      </c>
      <c r="B2113" s="13" t="s">
        <v>14604</v>
      </c>
      <c r="C2113" s="14" t="s">
        <v>5495</v>
      </c>
      <c r="D2113" s="15" t="s">
        <v>5496</v>
      </c>
      <c r="E2113" s="16" t="s">
        <v>13009</v>
      </c>
      <c r="F2113" s="12">
        <v>40661.897974537038</v>
      </c>
      <c r="G2113" s="9" t="s">
        <v>13000</v>
      </c>
      <c r="H2113" s="35" t="s">
        <v>4184</v>
      </c>
      <c r="I2113" s="18" t="s">
        <v>5497</v>
      </c>
    </row>
    <row r="2114" spans="1:9" s="33" customFormat="1" ht="105">
      <c r="A2114" s="12">
        <v>43573.459027777775</v>
      </c>
      <c r="B2114" s="13" t="s">
        <v>14605</v>
      </c>
      <c r="C2114" s="14" t="s">
        <v>2849</v>
      </c>
      <c r="D2114" s="15" t="s">
        <v>2850</v>
      </c>
      <c r="E2114" s="16" t="s">
        <v>13120</v>
      </c>
      <c r="F2114" s="12">
        <v>40051.702569444446</v>
      </c>
      <c r="G2114" s="9" t="s">
        <v>13000</v>
      </c>
      <c r="H2114" s="35" t="s">
        <v>2851</v>
      </c>
      <c r="I2114" s="18" t="s">
        <v>2852</v>
      </c>
    </row>
    <row r="2115" spans="1:9" s="33" customFormat="1" ht="105">
      <c r="A2115" s="12">
        <v>43572.459027777775</v>
      </c>
      <c r="B2115" s="13" t="s">
        <v>14605</v>
      </c>
      <c r="C2115" s="14" t="s">
        <v>2849</v>
      </c>
      <c r="D2115" s="15" t="s">
        <v>3229</v>
      </c>
      <c r="E2115" s="16" t="s">
        <v>13120</v>
      </c>
      <c r="F2115" s="12">
        <v>40051.702569444446</v>
      </c>
      <c r="G2115" s="9" t="s">
        <v>13000</v>
      </c>
      <c r="H2115" s="35" t="s">
        <v>2851</v>
      </c>
      <c r="I2115" s="18" t="s">
        <v>2852</v>
      </c>
    </row>
    <row r="2116" spans="1:9" s="33" customFormat="1" ht="105">
      <c r="A2116" s="12">
        <v>43570.499305555553</v>
      </c>
      <c r="B2116" s="13" t="s">
        <v>14606</v>
      </c>
      <c r="C2116" s="14" t="s">
        <v>4109</v>
      </c>
      <c r="D2116" s="15" t="s">
        <v>4110</v>
      </c>
      <c r="E2116" s="16" t="s">
        <v>13120</v>
      </c>
      <c r="F2116" s="12">
        <v>40045.402951388889</v>
      </c>
      <c r="G2116" s="9" t="s">
        <v>13000</v>
      </c>
      <c r="H2116" s="35" t="s">
        <v>4111</v>
      </c>
      <c r="I2116" s="18" t="s">
        <v>4112</v>
      </c>
    </row>
    <row r="2117" spans="1:9" s="33" customFormat="1" ht="105">
      <c r="A2117" s="12">
        <v>43567.497916666667</v>
      </c>
      <c r="B2117" s="13" t="s">
        <v>14606</v>
      </c>
      <c r="C2117" s="14" t="s">
        <v>4109</v>
      </c>
      <c r="D2117" s="15" t="s">
        <v>5081</v>
      </c>
      <c r="E2117" s="16" t="s">
        <v>13120</v>
      </c>
      <c r="F2117" s="12">
        <v>40045.402951388889</v>
      </c>
      <c r="G2117" s="9" t="s">
        <v>13000</v>
      </c>
      <c r="H2117" s="35" t="s">
        <v>4111</v>
      </c>
      <c r="I2117" s="18" t="s">
        <v>4112</v>
      </c>
    </row>
    <row r="2118" spans="1:9" s="33" customFormat="1" ht="105">
      <c r="A2118" s="12">
        <v>43566.58194444445</v>
      </c>
      <c r="B2118" s="13" t="s">
        <v>14607</v>
      </c>
      <c r="C2118" s="14" t="s">
        <v>5431</v>
      </c>
      <c r="D2118" s="15" t="s">
        <v>5432</v>
      </c>
      <c r="E2118" s="16" t="s">
        <v>13120</v>
      </c>
      <c r="F2118" s="12">
        <v>40045.36991898148</v>
      </c>
      <c r="G2118" s="9" t="s">
        <v>13000</v>
      </c>
      <c r="H2118" s="35" t="s">
        <v>5433</v>
      </c>
      <c r="I2118" s="18" t="s">
        <v>5434</v>
      </c>
    </row>
    <row r="2119" spans="1:9" s="33" customFormat="1" ht="105">
      <c r="A2119" s="4">
        <v>43565.445833333331</v>
      </c>
      <c r="B2119" s="5" t="s">
        <v>14608</v>
      </c>
      <c r="C2119" s="6" t="s">
        <v>5528</v>
      </c>
      <c r="D2119" s="7" t="s">
        <v>6084</v>
      </c>
      <c r="E2119" s="8" t="s">
        <v>13120</v>
      </c>
      <c r="F2119" s="4">
        <v>40051.695</v>
      </c>
      <c r="G2119" s="9" t="s">
        <v>13000</v>
      </c>
      <c r="H2119" s="35" t="s">
        <v>5530</v>
      </c>
      <c r="I2119" s="10" t="s">
        <v>5531</v>
      </c>
    </row>
    <row r="2120" spans="1:9" s="33" customFormat="1" ht="105">
      <c r="A2120" s="12">
        <v>43566.445833333331</v>
      </c>
      <c r="B2120" s="13" t="s">
        <v>14608</v>
      </c>
      <c r="C2120" s="14" t="s">
        <v>5528</v>
      </c>
      <c r="D2120" s="15" t="s">
        <v>5529</v>
      </c>
      <c r="E2120" s="16" t="s">
        <v>13120</v>
      </c>
      <c r="F2120" s="12">
        <v>40051.695</v>
      </c>
      <c r="G2120" s="9" t="s">
        <v>13000</v>
      </c>
      <c r="H2120" s="35" t="s">
        <v>5530</v>
      </c>
      <c r="I2120" s="18" t="s">
        <v>5531</v>
      </c>
    </row>
    <row r="2121" spans="1:9" s="33" customFormat="1" ht="90">
      <c r="A2121" s="19">
        <v>43546.563252314816</v>
      </c>
      <c r="B2121" s="20" t="s">
        <v>14609</v>
      </c>
      <c r="C2121" s="21" t="s">
        <v>629</v>
      </c>
      <c r="D2121" s="22" t="s">
        <v>8804</v>
      </c>
      <c r="E2121" s="23" t="s">
        <v>14610</v>
      </c>
      <c r="F2121" s="19">
        <v>41180.111018518517</v>
      </c>
      <c r="G2121" s="9" t="s">
        <v>13000</v>
      </c>
      <c r="H2121" s="35" t="s">
        <v>631</v>
      </c>
      <c r="I2121" s="25" t="s">
        <v>632</v>
      </c>
    </row>
    <row r="2122" spans="1:9" s="33" customFormat="1" ht="90">
      <c r="A2122" s="12">
        <v>43579.479212962964</v>
      </c>
      <c r="B2122" s="13" t="s">
        <v>14609</v>
      </c>
      <c r="C2122" s="14" t="s">
        <v>629</v>
      </c>
      <c r="D2122" s="15" t="s">
        <v>630</v>
      </c>
      <c r="E2122" s="16" t="s">
        <v>14610</v>
      </c>
      <c r="F2122" s="12">
        <v>41180.111018518517</v>
      </c>
      <c r="G2122" s="9" t="s">
        <v>13000</v>
      </c>
      <c r="H2122" s="35" t="s">
        <v>631</v>
      </c>
      <c r="I2122" s="18" t="s">
        <v>632</v>
      </c>
    </row>
    <row r="2123" spans="1:9" s="33" customFormat="1" ht="105">
      <c r="A2123" s="19">
        <v>43551.720196759255</v>
      </c>
      <c r="B2123" s="20" t="s">
        <v>14611</v>
      </c>
      <c r="C2123" s="21" t="s">
        <v>7024</v>
      </c>
      <c r="D2123" s="22" t="s">
        <v>7025</v>
      </c>
      <c r="E2123" s="23" t="s">
        <v>13011</v>
      </c>
      <c r="F2123" s="19">
        <v>39909.405185185184</v>
      </c>
      <c r="G2123" s="9" t="s">
        <v>13000</v>
      </c>
      <c r="H2123" s="35" t="s">
        <v>3392</v>
      </c>
      <c r="I2123" s="25" t="s">
        <v>7026</v>
      </c>
    </row>
    <row r="2124" spans="1:9" s="33" customFormat="1" ht="75">
      <c r="A2124" s="19">
        <v>43551.39471064815</v>
      </c>
      <c r="B2124" s="20" t="s">
        <v>14612</v>
      </c>
      <c r="C2124" s="21" t="s">
        <v>7240</v>
      </c>
      <c r="D2124" s="22" t="s">
        <v>7241</v>
      </c>
      <c r="E2124" s="23" t="s">
        <v>13009</v>
      </c>
      <c r="F2124" s="19">
        <v>39984.723657407405</v>
      </c>
      <c r="G2124" s="9" t="s">
        <v>13000</v>
      </c>
      <c r="H2124" s="35" t="s">
        <v>3392</v>
      </c>
      <c r="I2124" s="25" t="s">
        <v>7242</v>
      </c>
    </row>
    <row r="2125" spans="1:9" s="33" customFormat="1" ht="45">
      <c r="A2125" s="19">
        <v>43550.605578703704</v>
      </c>
      <c r="B2125" s="20" t="s">
        <v>14613</v>
      </c>
      <c r="C2125" s="21" t="s">
        <v>7590</v>
      </c>
      <c r="D2125" s="22" t="s">
        <v>7591</v>
      </c>
      <c r="E2125" s="23" t="s">
        <v>13411</v>
      </c>
      <c r="F2125" s="19">
        <v>39839.578680555554</v>
      </c>
      <c r="G2125" s="9" t="s">
        <v>13000</v>
      </c>
      <c r="H2125" s="35" t="s">
        <v>3392</v>
      </c>
      <c r="I2125" s="25" t="s">
        <v>7592</v>
      </c>
    </row>
    <row r="2126" spans="1:9" s="33" customFormat="1" ht="90">
      <c r="A2126" s="19">
        <v>43546.996076388888</v>
      </c>
      <c r="B2126" s="20" t="s">
        <v>14614</v>
      </c>
      <c r="C2126" s="21" t="s">
        <v>8687</v>
      </c>
      <c r="D2126" s="22" t="s">
        <v>8688</v>
      </c>
      <c r="E2126" s="23" t="s">
        <v>13009</v>
      </c>
      <c r="F2126" s="19">
        <v>40148.684953703705</v>
      </c>
      <c r="G2126" s="9" t="s">
        <v>13000</v>
      </c>
      <c r="H2126" s="35" t="s">
        <v>3392</v>
      </c>
      <c r="I2126" s="25" t="s">
        <v>8689</v>
      </c>
    </row>
    <row r="2127" spans="1:9" s="33" customFormat="1" ht="90">
      <c r="A2127" s="4">
        <v>43556.841736111106</v>
      </c>
      <c r="B2127" s="5" t="s">
        <v>14615</v>
      </c>
      <c r="C2127" s="6" t="s">
        <v>12726</v>
      </c>
      <c r="D2127" s="7" t="s">
        <v>12727</v>
      </c>
      <c r="E2127" s="8" t="s">
        <v>13009</v>
      </c>
      <c r="F2127" s="4">
        <v>41959.571284722224</v>
      </c>
      <c r="G2127" s="9" t="s">
        <v>13000</v>
      </c>
      <c r="H2127" s="35" t="s">
        <v>3392</v>
      </c>
      <c r="I2127" s="10"/>
    </row>
    <row r="2128" spans="1:9" s="33" customFormat="1" ht="90">
      <c r="A2128" s="12">
        <v>43572.185046296298</v>
      </c>
      <c r="B2128" s="13" t="s">
        <v>14616</v>
      </c>
      <c r="C2128" s="14" t="s">
        <v>3390</v>
      </c>
      <c r="D2128" s="15" t="s">
        <v>3391</v>
      </c>
      <c r="E2128" s="16" t="s">
        <v>13013</v>
      </c>
      <c r="F2128" s="12">
        <v>39810.419039351851</v>
      </c>
      <c r="G2128" s="9" t="s">
        <v>13000</v>
      </c>
      <c r="H2128" s="35" t="s">
        <v>3392</v>
      </c>
      <c r="I2128" s="18" t="s">
        <v>3393</v>
      </c>
    </row>
    <row r="2129" spans="1:9" s="33" customFormat="1" ht="105">
      <c r="A2129" s="12">
        <v>43565.934328703705</v>
      </c>
      <c r="B2129" s="13" t="s">
        <v>14617</v>
      </c>
      <c r="C2129" s="14" t="s">
        <v>5846</v>
      </c>
      <c r="D2129" s="15" t="s">
        <v>5847</v>
      </c>
      <c r="E2129" s="16" t="s">
        <v>13013</v>
      </c>
      <c r="F2129" s="12">
        <v>42068.594826388886</v>
      </c>
      <c r="G2129" s="9" t="s">
        <v>13000</v>
      </c>
      <c r="H2129" s="35" t="s">
        <v>3392</v>
      </c>
      <c r="I2129" s="18" t="s">
        <v>5848</v>
      </c>
    </row>
    <row r="2130" spans="1:9" s="33" customFormat="1" ht="105">
      <c r="A2130" s="4">
        <v>43564.87118055555</v>
      </c>
      <c r="B2130" s="5" t="s">
        <v>14618</v>
      </c>
      <c r="C2130" s="6" t="s">
        <v>534</v>
      </c>
      <c r="D2130" s="7" t="s">
        <v>6392</v>
      </c>
      <c r="E2130" s="8" t="s">
        <v>14619</v>
      </c>
      <c r="F2130" s="4">
        <v>42769.191423611112</v>
      </c>
      <c r="G2130" s="9" t="s">
        <v>13000</v>
      </c>
      <c r="H2130" s="35" t="s">
        <v>536</v>
      </c>
      <c r="I2130" s="10" t="s">
        <v>537</v>
      </c>
    </row>
    <row r="2131" spans="1:9" s="33" customFormat="1" ht="105">
      <c r="A2131" s="12">
        <v>43579.632048611107</v>
      </c>
      <c r="B2131" s="13" t="s">
        <v>14618</v>
      </c>
      <c r="C2131" s="14" t="s">
        <v>534</v>
      </c>
      <c r="D2131" s="15" t="s">
        <v>535</v>
      </c>
      <c r="E2131" s="16" t="s">
        <v>14619</v>
      </c>
      <c r="F2131" s="12">
        <v>42769.191423611112</v>
      </c>
      <c r="G2131" s="9" t="s">
        <v>13000</v>
      </c>
      <c r="H2131" s="35" t="s">
        <v>536</v>
      </c>
      <c r="I2131" s="18" t="s">
        <v>537</v>
      </c>
    </row>
    <row r="2132" spans="1:9" s="33" customFormat="1" ht="60">
      <c r="A2132" s="4">
        <v>43563.406956018516</v>
      </c>
      <c r="B2132" s="5" t="s">
        <v>14620</v>
      </c>
      <c r="C2132" s="6" t="s">
        <v>10305</v>
      </c>
      <c r="D2132" s="7" t="s">
        <v>10306</v>
      </c>
      <c r="E2132" s="8" t="s">
        <v>13009</v>
      </c>
      <c r="F2132" s="4">
        <v>39909.32403935185</v>
      </c>
      <c r="G2132" s="9" t="s">
        <v>13000</v>
      </c>
      <c r="H2132" s="35" t="s">
        <v>10307</v>
      </c>
      <c r="I2132" s="10" t="s">
        <v>10308</v>
      </c>
    </row>
    <row r="2133" spans="1:9" s="33" customFormat="1" ht="60">
      <c r="A2133" s="4">
        <v>43561.205555555556</v>
      </c>
      <c r="B2133" s="5" t="s">
        <v>14621</v>
      </c>
      <c r="C2133" s="6" t="s">
        <v>11032</v>
      </c>
      <c r="D2133" s="7" t="s">
        <v>11033</v>
      </c>
      <c r="E2133" s="8" t="s">
        <v>13034</v>
      </c>
      <c r="F2133" s="4">
        <v>40638.791412037041</v>
      </c>
      <c r="G2133" s="9" t="s">
        <v>13000</v>
      </c>
      <c r="H2133" s="35" t="s">
        <v>10307</v>
      </c>
      <c r="I2133" s="10" t="s">
        <v>11034</v>
      </c>
    </row>
    <row r="2134" spans="1:9" s="33" customFormat="1" ht="105">
      <c r="A2134" s="19">
        <v>43551.487604166672</v>
      </c>
      <c r="B2134" s="20" t="s">
        <v>14622</v>
      </c>
      <c r="C2134" s="21" t="s">
        <v>7160</v>
      </c>
      <c r="D2134" s="22" t="s">
        <v>7161</v>
      </c>
      <c r="E2134" s="23" t="s">
        <v>13009</v>
      </c>
      <c r="F2134" s="19">
        <v>40365.811053240745</v>
      </c>
      <c r="G2134" s="9" t="s">
        <v>13000</v>
      </c>
      <c r="H2134" s="35" t="s">
        <v>34</v>
      </c>
      <c r="I2134" s="25" t="s">
        <v>7162</v>
      </c>
    </row>
    <row r="2135" spans="1:9" s="33" customFormat="1" ht="120">
      <c r="A2135" s="19">
        <v>43551.449432870373</v>
      </c>
      <c r="B2135" s="20" t="s">
        <v>14623</v>
      </c>
      <c r="C2135" s="21" t="s">
        <v>7194</v>
      </c>
      <c r="D2135" s="22" t="s">
        <v>7195</v>
      </c>
      <c r="E2135" s="23" t="s">
        <v>13015</v>
      </c>
      <c r="F2135" s="19">
        <v>41484.396122685182</v>
      </c>
      <c r="G2135" s="9" t="s">
        <v>13000</v>
      </c>
      <c r="H2135" s="35" t="s">
        <v>34</v>
      </c>
      <c r="I2135" s="25" t="s">
        <v>7196</v>
      </c>
    </row>
    <row r="2136" spans="1:9" s="33" customFormat="1" ht="60">
      <c r="A2136" s="19">
        <v>43551.431932870371</v>
      </c>
      <c r="B2136" s="20" t="s">
        <v>14624</v>
      </c>
      <c r="C2136" s="21" t="s">
        <v>7197</v>
      </c>
      <c r="D2136" s="22" t="s">
        <v>7198</v>
      </c>
      <c r="E2136" s="23" t="s">
        <v>13015</v>
      </c>
      <c r="F2136" s="19">
        <v>39917.941574074073</v>
      </c>
      <c r="G2136" s="9" t="s">
        <v>13000</v>
      </c>
      <c r="H2136" s="35" t="s">
        <v>34</v>
      </c>
      <c r="I2136" s="25" t="s">
        <v>7199</v>
      </c>
    </row>
    <row r="2137" spans="1:9" s="33" customFormat="1" ht="60">
      <c r="A2137" s="19">
        <v>43550.423171296294</v>
      </c>
      <c r="B2137" s="20" t="s">
        <v>14625</v>
      </c>
      <c r="C2137" s="21" t="s">
        <v>7673</v>
      </c>
      <c r="D2137" s="22" t="s">
        <v>7674</v>
      </c>
      <c r="E2137" s="23" t="s">
        <v>13120</v>
      </c>
      <c r="F2137" s="19">
        <v>43088.97356481482</v>
      </c>
      <c r="G2137" s="9" t="s">
        <v>13000</v>
      </c>
      <c r="H2137" s="35" t="s">
        <v>34</v>
      </c>
      <c r="I2137" s="25" t="s">
        <v>7675</v>
      </c>
    </row>
    <row r="2138" spans="1:9" s="33" customFormat="1" ht="30">
      <c r="A2138" s="19">
        <v>43550.348275462966</v>
      </c>
      <c r="B2138" s="20" t="s">
        <v>14626</v>
      </c>
      <c r="C2138" s="21" t="s">
        <v>742</v>
      </c>
      <c r="D2138" s="22" t="s">
        <v>7713</v>
      </c>
      <c r="E2138" s="23" t="s">
        <v>13077</v>
      </c>
      <c r="F2138" s="19">
        <v>42438.525219907402</v>
      </c>
      <c r="G2138" s="9" t="s">
        <v>13000</v>
      </c>
      <c r="H2138" s="35" t="s">
        <v>34</v>
      </c>
      <c r="I2138" s="25" t="s">
        <v>744</v>
      </c>
    </row>
    <row r="2139" spans="1:9" s="33" customFormat="1" ht="105">
      <c r="A2139" s="19">
        <v>43550.334756944445</v>
      </c>
      <c r="B2139" s="20" t="s">
        <v>14627</v>
      </c>
      <c r="C2139" s="21" t="s">
        <v>7727</v>
      </c>
      <c r="D2139" s="22" t="s">
        <v>7728</v>
      </c>
      <c r="E2139" s="23" t="s">
        <v>13034</v>
      </c>
      <c r="F2139" s="19">
        <v>42058.54215277778</v>
      </c>
      <c r="G2139" s="9" t="s">
        <v>13000</v>
      </c>
      <c r="H2139" s="35" t="s">
        <v>34</v>
      </c>
      <c r="I2139" s="25" t="s">
        <v>7729</v>
      </c>
    </row>
    <row r="2140" spans="1:9" s="33" customFormat="1" ht="90">
      <c r="A2140" s="19">
        <v>43549.237546296295</v>
      </c>
      <c r="B2140" s="20" t="s">
        <v>14628</v>
      </c>
      <c r="C2140" s="21" t="s">
        <v>8123</v>
      </c>
      <c r="D2140" s="22" t="s">
        <v>8124</v>
      </c>
      <c r="E2140" s="23" t="s">
        <v>13009</v>
      </c>
      <c r="F2140" s="19">
        <v>42392.581527777773</v>
      </c>
      <c r="G2140" s="9" t="s">
        <v>13000</v>
      </c>
      <c r="H2140" s="35" t="s">
        <v>34</v>
      </c>
      <c r="I2140" s="25" t="s">
        <v>8125</v>
      </c>
    </row>
    <row r="2141" spans="1:9" s="33" customFormat="1" ht="60">
      <c r="A2141" s="19">
        <v>43547.249814814815</v>
      </c>
      <c r="B2141" s="20" t="s">
        <v>14625</v>
      </c>
      <c r="C2141" s="21" t="s">
        <v>7673</v>
      </c>
      <c r="D2141" s="22" t="s">
        <v>8616</v>
      </c>
      <c r="E2141" s="23" t="s">
        <v>13120</v>
      </c>
      <c r="F2141" s="19">
        <v>43088.97356481482</v>
      </c>
      <c r="G2141" s="9" t="s">
        <v>13000</v>
      </c>
      <c r="H2141" s="35" t="s">
        <v>34</v>
      </c>
      <c r="I2141" s="25" t="s">
        <v>7675</v>
      </c>
    </row>
    <row r="2142" spans="1:9" s="33" customFormat="1" ht="60">
      <c r="A2142" s="19">
        <v>43546.783680555556</v>
      </c>
      <c r="B2142" s="20" t="s">
        <v>14629</v>
      </c>
      <c r="C2142" s="21" t="s">
        <v>8733</v>
      </c>
      <c r="D2142" s="22" t="s">
        <v>8734</v>
      </c>
      <c r="E2142" s="23" t="s">
        <v>13011</v>
      </c>
      <c r="F2142" s="19">
        <v>42377.644328703704</v>
      </c>
      <c r="G2142" s="9" t="s">
        <v>13000</v>
      </c>
      <c r="H2142" s="35" t="s">
        <v>34</v>
      </c>
      <c r="I2142" s="25" t="s">
        <v>8735</v>
      </c>
    </row>
    <row r="2143" spans="1:9" s="33" customFormat="1" ht="105">
      <c r="A2143" s="19">
        <v>43546.375671296293</v>
      </c>
      <c r="B2143" s="20" t="s">
        <v>14630</v>
      </c>
      <c r="C2143" s="21" t="s">
        <v>32</v>
      </c>
      <c r="D2143" s="22" t="s">
        <v>8879</v>
      </c>
      <c r="E2143" s="23" t="s">
        <v>13018</v>
      </c>
      <c r="F2143" s="19">
        <v>42198.80269675926</v>
      </c>
      <c r="G2143" s="9" t="s">
        <v>13000</v>
      </c>
      <c r="H2143" s="35" t="s">
        <v>34</v>
      </c>
      <c r="I2143" s="25" t="s">
        <v>35</v>
      </c>
    </row>
    <row r="2144" spans="1:9" s="33" customFormat="1" ht="30">
      <c r="A2144" s="19">
        <v>43545.348541666666</v>
      </c>
      <c r="B2144" s="20" t="s">
        <v>14626</v>
      </c>
      <c r="C2144" s="21" t="s">
        <v>742</v>
      </c>
      <c r="D2144" s="22" t="s">
        <v>9181</v>
      </c>
      <c r="E2144" s="23" t="s">
        <v>13077</v>
      </c>
      <c r="F2144" s="19">
        <v>42438.525219907402</v>
      </c>
      <c r="G2144" s="9" t="s">
        <v>13000</v>
      </c>
      <c r="H2144" s="35" t="s">
        <v>34</v>
      </c>
      <c r="I2144" s="25" t="s">
        <v>744</v>
      </c>
    </row>
    <row r="2145" spans="1:9" s="33" customFormat="1" ht="90">
      <c r="A2145" s="19">
        <v>43544.623564814814</v>
      </c>
      <c r="B2145" s="20" t="s">
        <v>14631</v>
      </c>
      <c r="C2145" s="21" t="s">
        <v>9384</v>
      </c>
      <c r="D2145" s="22" t="s">
        <v>9385</v>
      </c>
      <c r="E2145" s="23" t="s">
        <v>13009</v>
      </c>
      <c r="F2145" s="19">
        <v>41831.658043981479</v>
      </c>
      <c r="G2145" s="9" t="s">
        <v>13000</v>
      </c>
      <c r="H2145" s="35" t="s">
        <v>9386</v>
      </c>
      <c r="I2145" s="25" t="s">
        <v>9387</v>
      </c>
    </row>
    <row r="2146" spans="1:9" s="33" customFormat="1" ht="120">
      <c r="A2146" s="19">
        <v>43543.39197916667</v>
      </c>
      <c r="B2146" s="20" t="s">
        <v>14632</v>
      </c>
      <c r="C2146" s="21" t="s">
        <v>1217</v>
      </c>
      <c r="D2146" s="22" t="s">
        <v>9831</v>
      </c>
      <c r="E2146" s="23" t="s">
        <v>13027</v>
      </c>
      <c r="F2146" s="19">
        <v>39815.160879629628</v>
      </c>
      <c r="G2146" s="9" t="s">
        <v>13000</v>
      </c>
      <c r="H2146" s="35" t="s">
        <v>34</v>
      </c>
      <c r="I2146" s="25" t="s">
        <v>1219</v>
      </c>
    </row>
    <row r="2147" spans="1:9" s="33" customFormat="1" ht="105">
      <c r="A2147" s="19">
        <v>43543.334745370375</v>
      </c>
      <c r="B2147" s="20" t="s">
        <v>14627</v>
      </c>
      <c r="C2147" s="21" t="s">
        <v>7727</v>
      </c>
      <c r="D2147" s="22" t="s">
        <v>9863</v>
      </c>
      <c r="E2147" s="23" t="s">
        <v>13034</v>
      </c>
      <c r="F2147" s="19">
        <v>42058.54215277778</v>
      </c>
      <c r="G2147" s="9" t="s">
        <v>13000</v>
      </c>
      <c r="H2147" s="35" t="s">
        <v>34</v>
      </c>
      <c r="I2147" s="25" t="s">
        <v>7729</v>
      </c>
    </row>
    <row r="2148" spans="1:9" s="33" customFormat="1" ht="75">
      <c r="A2148" s="19">
        <v>43543.28979166667</v>
      </c>
      <c r="B2148" s="20" t="s">
        <v>14633</v>
      </c>
      <c r="C2148" s="21" t="s">
        <v>9873</v>
      </c>
      <c r="D2148" s="22" t="s">
        <v>9874</v>
      </c>
      <c r="E2148" s="23" t="s">
        <v>13009</v>
      </c>
      <c r="F2148" s="19">
        <v>40238.021493055552</v>
      </c>
      <c r="G2148" s="9" t="s">
        <v>13000</v>
      </c>
      <c r="H2148" s="35" t="s">
        <v>34</v>
      </c>
      <c r="I2148" s="25" t="s">
        <v>9875</v>
      </c>
    </row>
    <row r="2149" spans="1:9" s="33" customFormat="1" ht="105">
      <c r="A2149" s="19">
        <v>43542.783587962964</v>
      </c>
      <c r="B2149" s="20" t="s">
        <v>14634</v>
      </c>
      <c r="C2149" s="21" t="s">
        <v>10020</v>
      </c>
      <c r="D2149" s="22" t="s">
        <v>10021</v>
      </c>
      <c r="E2149" s="23" t="s">
        <v>13018</v>
      </c>
      <c r="F2149" s="19">
        <v>43527.493738425925</v>
      </c>
      <c r="G2149" s="9" t="s">
        <v>13000</v>
      </c>
      <c r="H2149" s="35" t="s">
        <v>34</v>
      </c>
      <c r="I2149" s="25" t="s">
        <v>10022</v>
      </c>
    </row>
    <row r="2150" spans="1:9" s="33" customFormat="1" ht="105">
      <c r="A2150" s="4">
        <v>43565.378692129627</v>
      </c>
      <c r="B2150" s="5" t="s">
        <v>14630</v>
      </c>
      <c r="C2150" s="6" t="s">
        <v>32</v>
      </c>
      <c r="D2150" s="7" t="s">
        <v>6137</v>
      </c>
      <c r="E2150" s="8" t="s">
        <v>13018</v>
      </c>
      <c r="F2150" s="4">
        <v>42198.80269675926</v>
      </c>
      <c r="G2150" s="9" t="s">
        <v>13000</v>
      </c>
      <c r="H2150" s="35" t="s">
        <v>34</v>
      </c>
      <c r="I2150" s="10" t="s">
        <v>35</v>
      </c>
    </row>
    <row r="2151" spans="1:9" s="33" customFormat="1" ht="105">
      <c r="A2151" s="4">
        <v>43564.640196759261</v>
      </c>
      <c r="B2151" s="5" t="s">
        <v>14635</v>
      </c>
      <c r="C2151" s="6" t="s">
        <v>697</v>
      </c>
      <c r="D2151" s="7" t="s">
        <v>6477</v>
      </c>
      <c r="E2151" s="8" t="s">
        <v>13009</v>
      </c>
      <c r="F2151" s="4">
        <v>41173.652407407411</v>
      </c>
      <c r="G2151" s="9" t="s">
        <v>13000</v>
      </c>
      <c r="H2151" s="35" t="s">
        <v>34</v>
      </c>
      <c r="I2151" s="10" t="s">
        <v>699</v>
      </c>
    </row>
    <row r="2152" spans="1:9" s="33" customFormat="1" ht="90">
      <c r="A2152" s="4">
        <v>43561.636249999996</v>
      </c>
      <c r="B2152" s="5" t="s">
        <v>14636</v>
      </c>
      <c r="C2152" s="6" t="s">
        <v>10894</v>
      </c>
      <c r="D2152" s="7" t="s">
        <v>10895</v>
      </c>
      <c r="E2152" s="8" t="s">
        <v>13009</v>
      </c>
      <c r="F2152" s="4">
        <v>40077.352430555555</v>
      </c>
      <c r="G2152" s="9" t="s">
        <v>13000</v>
      </c>
      <c r="H2152" s="35" t="s">
        <v>34</v>
      </c>
      <c r="I2152" s="10" t="s">
        <v>10896</v>
      </c>
    </row>
    <row r="2153" spans="1:9" s="33" customFormat="1" ht="60">
      <c r="A2153" s="4">
        <v>43561.593773148154</v>
      </c>
      <c r="B2153" s="5" t="s">
        <v>14637</v>
      </c>
      <c r="C2153" s="6" t="s">
        <v>10919</v>
      </c>
      <c r="D2153" s="7" t="s">
        <v>10920</v>
      </c>
      <c r="E2153" s="8" t="s">
        <v>13034</v>
      </c>
      <c r="F2153" s="4">
        <v>43157.399097222224</v>
      </c>
      <c r="G2153" s="9" t="s">
        <v>13000</v>
      </c>
      <c r="H2153" s="35" t="s">
        <v>34</v>
      </c>
      <c r="I2153" s="10" t="s">
        <v>10921</v>
      </c>
    </row>
    <row r="2154" spans="1:9" s="33" customFormat="1" ht="60">
      <c r="A2154" s="4">
        <v>43561.109594907408</v>
      </c>
      <c r="B2154" s="5" t="s">
        <v>14638</v>
      </c>
      <c r="C2154" s="6" t="s">
        <v>11067</v>
      </c>
      <c r="D2154" s="7" t="s">
        <v>11068</v>
      </c>
      <c r="E2154" s="8" t="s">
        <v>13011</v>
      </c>
      <c r="F2154" s="4">
        <v>40071.025682870371</v>
      </c>
      <c r="G2154" s="9" t="s">
        <v>13000</v>
      </c>
      <c r="H2154" s="35" t="s">
        <v>34</v>
      </c>
      <c r="I2154" s="10" t="s">
        <v>11069</v>
      </c>
    </row>
    <row r="2155" spans="1:9" s="33" customFormat="1" ht="105">
      <c r="A2155" s="4">
        <v>43560.568333333329</v>
      </c>
      <c r="B2155" s="5" t="s">
        <v>14639</v>
      </c>
      <c r="C2155" s="6" t="s">
        <v>11278</v>
      </c>
      <c r="D2155" s="7" t="s">
        <v>11279</v>
      </c>
      <c r="E2155" s="8" t="s">
        <v>13009</v>
      </c>
      <c r="F2155" s="4">
        <v>39923.637430555558</v>
      </c>
      <c r="G2155" s="9" t="s">
        <v>13000</v>
      </c>
      <c r="H2155" s="35" t="s">
        <v>34</v>
      </c>
      <c r="I2155" s="10" t="s">
        <v>11280</v>
      </c>
    </row>
    <row r="2156" spans="1:9" s="33" customFormat="1" ht="105">
      <c r="A2156" s="4">
        <v>43559.447118055556</v>
      </c>
      <c r="B2156" s="5" t="s">
        <v>14640</v>
      </c>
      <c r="C2156" s="6" t="s">
        <v>2430</v>
      </c>
      <c r="D2156" s="7" t="s">
        <v>11829</v>
      </c>
      <c r="E2156" s="8" t="s">
        <v>13009</v>
      </c>
      <c r="F2156" s="4">
        <v>41546.485289351855</v>
      </c>
      <c r="G2156" s="9" t="s">
        <v>13000</v>
      </c>
      <c r="H2156" s="35" t="s">
        <v>34</v>
      </c>
      <c r="I2156" s="10" t="s">
        <v>2432</v>
      </c>
    </row>
    <row r="2157" spans="1:9" s="33" customFormat="1" ht="90">
      <c r="A2157" s="4">
        <v>43559.443495370375</v>
      </c>
      <c r="B2157" s="5" t="s">
        <v>14636</v>
      </c>
      <c r="C2157" s="6" t="s">
        <v>10894</v>
      </c>
      <c r="D2157" s="7" t="s">
        <v>11838</v>
      </c>
      <c r="E2157" s="8" t="s">
        <v>13009</v>
      </c>
      <c r="F2157" s="4">
        <v>40077.352430555555</v>
      </c>
      <c r="G2157" s="9" t="s">
        <v>13000</v>
      </c>
      <c r="H2157" s="35" t="s">
        <v>34</v>
      </c>
      <c r="I2157" s="10" t="s">
        <v>10896</v>
      </c>
    </row>
    <row r="2158" spans="1:9" s="33" customFormat="1" ht="60">
      <c r="A2158" s="4">
        <v>43558.55537037037</v>
      </c>
      <c r="B2158" s="5" t="s">
        <v>14641</v>
      </c>
      <c r="C2158" s="6" t="s">
        <v>12134</v>
      </c>
      <c r="D2158" s="7" t="s">
        <v>12135</v>
      </c>
      <c r="E2158" s="8" t="s">
        <v>13077</v>
      </c>
      <c r="F2158" s="4">
        <v>39931.808171296296</v>
      </c>
      <c r="G2158" s="9" t="s">
        <v>13000</v>
      </c>
      <c r="H2158" s="35" t="s">
        <v>34</v>
      </c>
      <c r="I2158" s="10" t="s">
        <v>12136</v>
      </c>
    </row>
    <row r="2159" spans="1:9" s="33" customFormat="1" ht="105">
      <c r="A2159" s="4">
        <v>43557.837523148148</v>
      </c>
      <c r="B2159" s="5" t="s">
        <v>14622</v>
      </c>
      <c r="C2159" s="6" t="s">
        <v>7160</v>
      </c>
      <c r="D2159" s="7" t="s">
        <v>12379</v>
      </c>
      <c r="E2159" s="8" t="s">
        <v>13009</v>
      </c>
      <c r="F2159" s="4">
        <v>40365.811053240745</v>
      </c>
      <c r="G2159" s="9" t="s">
        <v>13000</v>
      </c>
      <c r="H2159" s="35" t="s">
        <v>34</v>
      </c>
      <c r="I2159" s="10" t="s">
        <v>7162</v>
      </c>
    </row>
    <row r="2160" spans="1:9" s="33" customFormat="1" ht="105">
      <c r="A2160" s="4">
        <v>43557.579953703702</v>
      </c>
      <c r="B2160" s="5" t="s">
        <v>14642</v>
      </c>
      <c r="C2160" s="6" t="s">
        <v>12458</v>
      </c>
      <c r="D2160" s="7" t="s">
        <v>12459</v>
      </c>
      <c r="E2160" s="8" t="s">
        <v>13120</v>
      </c>
      <c r="F2160" s="4">
        <v>42886.91270833333</v>
      </c>
      <c r="G2160" s="9" t="s">
        <v>13000</v>
      </c>
      <c r="H2160" s="35" t="s">
        <v>34</v>
      </c>
      <c r="I2160" s="10" t="s">
        <v>12460</v>
      </c>
    </row>
    <row r="2161" spans="1:9" s="33" customFormat="1" ht="105">
      <c r="A2161" s="4">
        <v>43557.375555555554</v>
      </c>
      <c r="B2161" s="5" t="s">
        <v>14630</v>
      </c>
      <c r="C2161" s="6" t="s">
        <v>32</v>
      </c>
      <c r="D2161" s="7" t="s">
        <v>12535</v>
      </c>
      <c r="E2161" s="8" t="s">
        <v>13018</v>
      </c>
      <c r="F2161" s="4">
        <v>42198.80269675926</v>
      </c>
      <c r="G2161" s="9" t="s">
        <v>13000</v>
      </c>
      <c r="H2161" s="35" t="s">
        <v>34</v>
      </c>
      <c r="I2161" s="10" t="s">
        <v>35</v>
      </c>
    </row>
    <row r="2162" spans="1:9" s="33" customFormat="1" ht="90">
      <c r="A2162" s="4">
        <v>43557.250833333332</v>
      </c>
      <c r="B2162" s="5" t="s">
        <v>14643</v>
      </c>
      <c r="C2162" s="6" t="s">
        <v>12604</v>
      </c>
      <c r="D2162" s="7" t="s">
        <v>12605</v>
      </c>
      <c r="E2162" s="8" t="s">
        <v>13009</v>
      </c>
      <c r="F2162" s="4">
        <v>41173.167210648149</v>
      </c>
      <c r="G2162" s="9" t="s">
        <v>13000</v>
      </c>
      <c r="H2162" s="35" t="s">
        <v>34</v>
      </c>
      <c r="I2162" s="10" t="s">
        <v>12606</v>
      </c>
    </row>
    <row r="2163" spans="1:9" s="33" customFormat="1" ht="105">
      <c r="A2163" s="12">
        <v>43580.833912037036</v>
      </c>
      <c r="B2163" s="13" t="s">
        <v>14630</v>
      </c>
      <c r="C2163" s="14" t="s">
        <v>32</v>
      </c>
      <c r="D2163" s="15" t="s">
        <v>33</v>
      </c>
      <c r="E2163" s="16" t="s">
        <v>13018</v>
      </c>
      <c r="F2163" s="12">
        <v>42199.261030092588</v>
      </c>
      <c r="G2163" s="9" t="s">
        <v>13000</v>
      </c>
      <c r="H2163" s="35" t="s">
        <v>34</v>
      </c>
      <c r="I2163" s="18" t="s">
        <v>35</v>
      </c>
    </row>
    <row r="2164" spans="1:9" s="33" customFormat="1" ht="45">
      <c r="A2164" s="12">
        <v>43579.541909722218</v>
      </c>
      <c r="B2164" s="13" t="s">
        <v>14644</v>
      </c>
      <c r="C2164" s="14" t="s">
        <v>586</v>
      </c>
      <c r="D2164" s="15" t="s">
        <v>587</v>
      </c>
      <c r="E2164" s="16" t="s">
        <v>13290</v>
      </c>
      <c r="F2164" s="12">
        <v>43083.657118055555</v>
      </c>
      <c r="G2164" s="9" t="s">
        <v>13000</v>
      </c>
      <c r="H2164" s="35" t="s">
        <v>34</v>
      </c>
      <c r="I2164" s="18" t="s">
        <v>588</v>
      </c>
    </row>
    <row r="2165" spans="1:9" s="33" customFormat="1" ht="105">
      <c r="A2165" s="12">
        <v>43579.390856481477</v>
      </c>
      <c r="B2165" s="13" t="s">
        <v>14635</v>
      </c>
      <c r="C2165" s="14" t="s">
        <v>697</v>
      </c>
      <c r="D2165" s="15" t="s">
        <v>698</v>
      </c>
      <c r="E2165" s="16" t="s">
        <v>13009</v>
      </c>
      <c r="F2165" s="12">
        <v>41173.652407407411</v>
      </c>
      <c r="G2165" s="9" t="s">
        <v>13000</v>
      </c>
      <c r="H2165" s="35" t="s">
        <v>34</v>
      </c>
      <c r="I2165" s="18" t="s">
        <v>699</v>
      </c>
    </row>
    <row r="2166" spans="1:9" s="33" customFormat="1" ht="45">
      <c r="A2166" s="12">
        <v>43579.348287037035</v>
      </c>
      <c r="B2166" s="13" t="s">
        <v>14626</v>
      </c>
      <c r="C2166" s="14" t="s">
        <v>742</v>
      </c>
      <c r="D2166" s="15" t="s">
        <v>743</v>
      </c>
      <c r="E2166" s="16" t="s">
        <v>13077</v>
      </c>
      <c r="F2166" s="12">
        <v>42438.525219907402</v>
      </c>
      <c r="G2166" s="9" t="s">
        <v>13000</v>
      </c>
      <c r="H2166" s="35" t="s">
        <v>34</v>
      </c>
      <c r="I2166" s="18" t="s">
        <v>744</v>
      </c>
    </row>
    <row r="2167" spans="1:9" s="33" customFormat="1" ht="120">
      <c r="A2167" s="12">
        <v>43578.416226851856</v>
      </c>
      <c r="B2167" s="13" t="s">
        <v>14632</v>
      </c>
      <c r="C2167" s="14" t="s">
        <v>1217</v>
      </c>
      <c r="D2167" s="15" t="s">
        <v>1218</v>
      </c>
      <c r="E2167" s="16" t="s">
        <v>13027</v>
      </c>
      <c r="F2167" s="12">
        <v>39815.160879629628</v>
      </c>
      <c r="G2167" s="9" t="s">
        <v>13000</v>
      </c>
      <c r="H2167" s="35" t="s">
        <v>34</v>
      </c>
      <c r="I2167" s="18" t="s">
        <v>1219</v>
      </c>
    </row>
    <row r="2168" spans="1:9" s="33" customFormat="1" ht="45">
      <c r="A2168" s="12">
        <v>43577.64607638889</v>
      </c>
      <c r="B2168" s="13" t="s">
        <v>14645</v>
      </c>
      <c r="C2168" s="14" t="s">
        <v>1531</v>
      </c>
      <c r="D2168" s="15" t="s">
        <v>1532</v>
      </c>
      <c r="E2168" s="16" t="s">
        <v>13018</v>
      </c>
      <c r="F2168" s="12">
        <v>43435.058749999997</v>
      </c>
      <c r="G2168" s="9" t="s">
        <v>13000</v>
      </c>
      <c r="H2168" s="35" t="s">
        <v>34</v>
      </c>
      <c r="I2168" s="18" t="s">
        <v>1533</v>
      </c>
    </row>
    <row r="2169" spans="1:9" s="33" customFormat="1" ht="105">
      <c r="A2169" s="12">
        <v>43576.417824074073</v>
      </c>
      <c r="B2169" s="13" t="s">
        <v>14646</v>
      </c>
      <c r="C2169" s="14" t="s">
        <v>1956</v>
      </c>
      <c r="D2169" s="15" t="s">
        <v>1957</v>
      </c>
      <c r="E2169" s="16" t="s">
        <v>13034</v>
      </c>
      <c r="F2169" s="12">
        <v>42085.648680555554</v>
      </c>
      <c r="G2169" s="9" t="s">
        <v>13000</v>
      </c>
      <c r="H2169" s="35" t="s">
        <v>34</v>
      </c>
      <c r="I2169" s="18" t="s">
        <v>1958</v>
      </c>
    </row>
    <row r="2170" spans="1:9" s="33" customFormat="1" ht="75">
      <c r="A2170" s="12">
        <v>43575.479224537034</v>
      </c>
      <c r="B2170" s="13" t="s">
        <v>14644</v>
      </c>
      <c r="C2170" s="14" t="s">
        <v>586</v>
      </c>
      <c r="D2170" s="15" t="s">
        <v>2199</v>
      </c>
      <c r="E2170" s="16" t="s">
        <v>13290</v>
      </c>
      <c r="F2170" s="12">
        <v>43083.657118055555</v>
      </c>
      <c r="G2170" s="9" t="s">
        <v>13000</v>
      </c>
      <c r="H2170" s="35" t="s">
        <v>34</v>
      </c>
      <c r="I2170" s="18" t="s">
        <v>588</v>
      </c>
    </row>
    <row r="2171" spans="1:9" s="33" customFormat="1" ht="105">
      <c r="A2171" s="12">
        <v>43574.815023148149</v>
      </c>
      <c r="B2171" s="13" t="s">
        <v>14640</v>
      </c>
      <c r="C2171" s="14" t="s">
        <v>2430</v>
      </c>
      <c r="D2171" s="15" t="s">
        <v>2431</v>
      </c>
      <c r="E2171" s="16" t="s">
        <v>13009</v>
      </c>
      <c r="F2171" s="12">
        <v>41546.485289351855</v>
      </c>
      <c r="G2171" s="9" t="s">
        <v>13000</v>
      </c>
      <c r="H2171" s="35" t="s">
        <v>34</v>
      </c>
      <c r="I2171" s="18" t="s">
        <v>2432</v>
      </c>
    </row>
    <row r="2172" spans="1:9" s="33" customFormat="1" ht="75">
      <c r="A2172" s="12">
        <v>43574.520914351851</v>
      </c>
      <c r="B2172" s="13" t="s">
        <v>14644</v>
      </c>
      <c r="C2172" s="14" t="s">
        <v>586</v>
      </c>
      <c r="D2172" s="15" t="s">
        <v>2526</v>
      </c>
      <c r="E2172" s="16" t="s">
        <v>13290</v>
      </c>
      <c r="F2172" s="12">
        <v>43083.657118055555</v>
      </c>
      <c r="G2172" s="9" t="s">
        <v>13000</v>
      </c>
      <c r="H2172" s="35" t="s">
        <v>34</v>
      </c>
      <c r="I2172" s="18" t="s">
        <v>588</v>
      </c>
    </row>
    <row r="2173" spans="1:9" s="33" customFormat="1" ht="105">
      <c r="A2173" s="12">
        <v>43573.4215625</v>
      </c>
      <c r="B2173" s="13" t="s">
        <v>14646</v>
      </c>
      <c r="C2173" s="14" t="s">
        <v>1956</v>
      </c>
      <c r="D2173" s="15" t="s">
        <v>2874</v>
      </c>
      <c r="E2173" s="16" t="s">
        <v>13034</v>
      </c>
      <c r="F2173" s="12">
        <v>42085.648680555554</v>
      </c>
      <c r="G2173" s="9" t="s">
        <v>13000</v>
      </c>
      <c r="H2173" s="35" t="s">
        <v>34</v>
      </c>
      <c r="I2173" s="18" t="s">
        <v>1958</v>
      </c>
    </row>
    <row r="2174" spans="1:9" s="33" customFormat="1" ht="105">
      <c r="A2174" s="12">
        <v>43572.718773148154</v>
      </c>
      <c r="B2174" s="13" t="s">
        <v>14646</v>
      </c>
      <c r="C2174" s="14" t="s">
        <v>1956</v>
      </c>
      <c r="D2174" s="15" t="s">
        <v>3109</v>
      </c>
      <c r="E2174" s="16" t="s">
        <v>13034</v>
      </c>
      <c r="F2174" s="12">
        <v>42085.648680555554</v>
      </c>
      <c r="G2174" s="9" t="s">
        <v>13000</v>
      </c>
      <c r="H2174" s="35" t="s">
        <v>34</v>
      </c>
      <c r="I2174" s="18" t="s">
        <v>1958</v>
      </c>
    </row>
    <row r="2175" spans="1:9" s="33" customFormat="1" ht="105">
      <c r="A2175" s="12">
        <v>43572.53334490741</v>
      </c>
      <c r="B2175" s="13" t="s">
        <v>14647</v>
      </c>
      <c r="C2175" s="14" t="s">
        <v>3178</v>
      </c>
      <c r="D2175" s="15" t="s">
        <v>3179</v>
      </c>
      <c r="E2175" s="16" t="s">
        <v>13034</v>
      </c>
      <c r="F2175" s="12">
        <v>43562.939120370371</v>
      </c>
      <c r="G2175" s="9" t="s">
        <v>13000</v>
      </c>
      <c r="H2175" s="35" t="s">
        <v>34</v>
      </c>
      <c r="I2175" s="18" t="s">
        <v>3180</v>
      </c>
    </row>
    <row r="2176" spans="1:9" s="33" customFormat="1" ht="75">
      <c r="A2176" s="12">
        <v>43572.458923611106</v>
      </c>
      <c r="B2176" s="13" t="s">
        <v>14644</v>
      </c>
      <c r="C2176" s="14" t="s">
        <v>586</v>
      </c>
      <c r="D2176" s="15" t="s">
        <v>3230</v>
      </c>
      <c r="E2176" s="16" t="s">
        <v>13290</v>
      </c>
      <c r="F2176" s="12">
        <v>43083.657118055555</v>
      </c>
      <c r="G2176" s="9" t="s">
        <v>13000</v>
      </c>
      <c r="H2176" s="35" t="s">
        <v>34</v>
      </c>
      <c r="I2176" s="18" t="s">
        <v>588</v>
      </c>
    </row>
    <row r="2177" spans="1:9" s="33" customFormat="1" ht="120">
      <c r="A2177" s="12">
        <v>43572.383368055554</v>
      </c>
      <c r="B2177" s="13" t="s">
        <v>14648</v>
      </c>
      <c r="C2177" s="14" t="s">
        <v>3274</v>
      </c>
      <c r="D2177" s="15" t="s">
        <v>3275</v>
      </c>
      <c r="E2177" s="16" t="s">
        <v>13130</v>
      </c>
      <c r="F2177" s="12">
        <v>41591.270949074074</v>
      </c>
      <c r="G2177" s="9" t="s">
        <v>13000</v>
      </c>
      <c r="H2177" s="35" t="s">
        <v>34</v>
      </c>
      <c r="I2177" s="18" t="s">
        <v>3276</v>
      </c>
    </row>
    <row r="2178" spans="1:9" s="33" customFormat="1" ht="105">
      <c r="A2178" s="12">
        <v>43572.383333333331</v>
      </c>
      <c r="B2178" s="13" t="s">
        <v>14647</v>
      </c>
      <c r="C2178" s="14" t="s">
        <v>3178</v>
      </c>
      <c r="D2178" s="15" t="s">
        <v>3277</v>
      </c>
      <c r="E2178" s="16" t="s">
        <v>13034</v>
      </c>
      <c r="F2178" s="12">
        <v>43562.939120370371</v>
      </c>
      <c r="G2178" s="9" t="s">
        <v>13000</v>
      </c>
      <c r="H2178" s="35" t="s">
        <v>34</v>
      </c>
      <c r="I2178" s="18" t="s">
        <v>3180</v>
      </c>
    </row>
    <row r="2179" spans="1:9" s="33" customFormat="1" ht="105">
      <c r="A2179" s="12">
        <v>43571.679872685185</v>
      </c>
      <c r="B2179" s="13" t="s">
        <v>14647</v>
      </c>
      <c r="C2179" s="14" t="s">
        <v>3178</v>
      </c>
      <c r="D2179" s="15" t="s">
        <v>3590</v>
      </c>
      <c r="E2179" s="16" t="s">
        <v>13034</v>
      </c>
      <c r="F2179" s="12">
        <v>43562.939120370371</v>
      </c>
      <c r="G2179" s="9" t="s">
        <v>13000</v>
      </c>
      <c r="H2179" s="35" t="s">
        <v>34</v>
      </c>
      <c r="I2179" s="18" t="s">
        <v>3180</v>
      </c>
    </row>
    <row r="2180" spans="1:9" s="33" customFormat="1" ht="120">
      <c r="A2180" s="12">
        <v>43571.610578703709</v>
      </c>
      <c r="B2180" s="13" t="s">
        <v>14649</v>
      </c>
      <c r="C2180" s="14" t="s">
        <v>3612</v>
      </c>
      <c r="D2180" s="15" t="s">
        <v>3613</v>
      </c>
      <c r="E2180" s="16" t="s">
        <v>13011</v>
      </c>
      <c r="F2180" s="12">
        <v>40181.680983796294</v>
      </c>
      <c r="G2180" s="9" t="s">
        <v>13000</v>
      </c>
      <c r="H2180" s="35" t="s">
        <v>34</v>
      </c>
      <c r="I2180" s="18" t="s">
        <v>3614</v>
      </c>
    </row>
    <row r="2181" spans="1:9" s="33" customFormat="1" ht="105">
      <c r="A2181" s="12">
        <v>43571.533333333333</v>
      </c>
      <c r="B2181" s="13" t="s">
        <v>14647</v>
      </c>
      <c r="C2181" s="14" t="s">
        <v>3178</v>
      </c>
      <c r="D2181" s="15" t="s">
        <v>3651</v>
      </c>
      <c r="E2181" s="16" t="s">
        <v>13034</v>
      </c>
      <c r="F2181" s="12">
        <v>43562.939120370371</v>
      </c>
      <c r="G2181" s="9" t="s">
        <v>13000</v>
      </c>
      <c r="H2181" s="35" t="s">
        <v>34</v>
      </c>
      <c r="I2181" s="18" t="s">
        <v>3180</v>
      </c>
    </row>
    <row r="2182" spans="1:9" s="33" customFormat="1" ht="105">
      <c r="A2182" s="12">
        <v>43571.437326388885</v>
      </c>
      <c r="B2182" s="13" t="s">
        <v>14647</v>
      </c>
      <c r="C2182" s="14" t="s">
        <v>3178</v>
      </c>
      <c r="D2182" s="15" t="s">
        <v>3672</v>
      </c>
      <c r="E2182" s="16" t="s">
        <v>13034</v>
      </c>
      <c r="F2182" s="12">
        <v>43562.939120370371</v>
      </c>
      <c r="G2182" s="9" t="s">
        <v>13000</v>
      </c>
      <c r="H2182" s="35" t="s">
        <v>34</v>
      </c>
      <c r="I2182" s="18" t="s">
        <v>3180</v>
      </c>
    </row>
    <row r="2183" spans="1:9" s="33" customFormat="1" ht="105">
      <c r="A2183" s="12">
        <v>43571.396979166668</v>
      </c>
      <c r="B2183" s="13" t="s">
        <v>14646</v>
      </c>
      <c r="C2183" s="14" t="s">
        <v>1956</v>
      </c>
      <c r="D2183" s="15" t="s">
        <v>3687</v>
      </c>
      <c r="E2183" s="16" t="s">
        <v>13034</v>
      </c>
      <c r="F2183" s="12">
        <v>42085.648680555554</v>
      </c>
      <c r="G2183" s="9" t="s">
        <v>13000</v>
      </c>
      <c r="H2183" s="35" t="s">
        <v>34</v>
      </c>
      <c r="I2183" s="18" t="s">
        <v>1958</v>
      </c>
    </row>
    <row r="2184" spans="1:9" s="33" customFormat="1" ht="30">
      <c r="A2184" s="12">
        <v>43571.348287037035</v>
      </c>
      <c r="B2184" s="13" t="s">
        <v>14626</v>
      </c>
      <c r="C2184" s="14" t="s">
        <v>742</v>
      </c>
      <c r="D2184" s="15" t="s">
        <v>3718</v>
      </c>
      <c r="E2184" s="16" t="s">
        <v>13077</v>
      </c>
      <c r="F2184" s="12">
        <v>42438.525219907402</v>
      </c>
      <c r="G2184" s="9" t="s">
        <v>13000</v>
      </c>
      <c r="H2184" s="35" t="s">
        <v>34</v>
      </c>
      <c r="I2184" s="18" t="s">
        <v>744</v>
      </c>
    </row>
    <row r="2185" spans="1:9" s="33" customFormat="1" ht="120">
      <c r="A2185" s="12">
        <v>43570.828020833331</v>
      </c>
      <c r="B2185" s="13" t="s">
        <v>14632</v>
      </c>
      <c r="C2185" s="14" t="s">
        <v>1217</v>
      </c>
      <c r="D2185" s="15" t="s">
        <v>3972</v>
      </c>
      <c r="E2185" s="16" t="s">
        <v>13027</v>
      </c>
      <c r="F2185" s="12">
        <v>39815.160879629628</v>
      </c>
      <c r="G2185" s="9" t="s">
        <v>13000</v>
      </c>
      <c r="H2185" s="35" t="s">
        <v>34</v>
      </c>
      <c r="I2185" s="18" t="s">
        <v>1219</v>
      </c>
    </row>
    <row r="2186" spans="1:9" s="33" customFormat="1" ht="105">
      <c r="A2186" s="12">
        <v>43570.376041666663</v>
      </c>
      <c r="B2186" s="13" t="s">
        <v>14630</v>
      </c>
      <c r="C2186" s="14" t="s">
        <v>32</v>
      </c>
      <c r="D2186" s="15" t="s">
        <v>4195</v>
      </c>
      <c r="E2186" s="16" t="s">
        <v>13018</v>
      </c>
      <c r="F2186" s="12">
        <v>42198.80269675926</v>
      </c>
      <c r="G2186" s="9" t="s">
        <v>13000</v>
      </c>
      <c r="H2186" s="35" t="s">
        <v>34</v>
      </c>
      <c r="I2186" s="18" t="s">
        <v>35</v>
      </c>
    </row>
    <row r="2187" spans="1:9" s="33" customFormat="1" ht="30">
      <c r="A2187" s="12">
        <v>43570.348310185189</v>
      </c>
      <c r="B2187" s="13" t="s">
        <v>14626</v>
      </c>
      <c r="C2187" s="14" t="s">
        <v>742</v>
      </c>
      <c r="D2187" s="15" t="s">
        <v>4214</v>
      </c>
      <c r="E2187" s="16" t="s">
        <v>13077</v>
      </c>
      <c r="F2187" s="12">
        <v>42438.525219907402</v>
      </c>
      <c r="G2187" s="9" t="s">
        <v>13000</v>
      </c>
      <c r="H2187" s="35" t="s">
        <v>34</v>
      </c>
      <c r="I2187" s="18" t="s">
        <v>744</v>
      </c>
    </row>
    <row r="2188" spans="1:9" s="33" customFormat="1" ht="105">
      <c r="A2188" s="12">
        <v>43569.945428240739</v>
      </c>
      <c r="B2188" s="13" t="s">
        <v>14647</v>
      </c>
      <c r="C2188" s="14" t="s">
        <v>3178</v>
      </c>
      <c r="D2188" s="15" t="s">
        <v>4374</v>
      </c>
      <c r="E2188" s="16" t="s">
        <v>13009</v>
      </c>
      <c r="F2188" s="12">
        <v>43562.939120370371</v>
      </c>
      <c r="G2188" s="9" t="s">
        <v>13000</v>
      </c>
      <c r="H2188" s="35" t="s">
        <v>34</v>
      </c>
      <c r="I2188" s="18" t="s">
        <v>3180</v>
      </c>
    </row>
    <row r="2189" spans="1:9" s="33" customFormat="1" ht="105">
      <c r="A2189" s="12">
        <v>43569.700706018513</v>
      </c>
      <c r="B2189" s="13" t="s">
        <v>14647</v>
      </c>
      <c r="C2189" s="14" t="s">
        <v>3178</v>
      </c>
      <c r="D2189" s="15" t="s">
        <v>4430</v>
      </c>
      <c r="E2189" s="16" t="s">
        <v>13034</v>
      </c>
      <c r="F2189" s="12">
        <v>43562.939120370371</v>
      </c>
      <c r="G2189" s="9" t="s">
        <v>13000</v>
      </c>
      <c r="H2189" s="35" t="s">
        <v>34</v>
      </c>
      <c r="I2189" s="18" t="s">
        <v>3180</v>
      </c>
    </row>
    <row r="2190" spans="1:9" s="33" customFormat="1" ht="105">
      <c r="A2190" s="12">
        <v>43569.632650462961</v>
      </c>
      <c r="B2190" s="13" t="s">
        <v>14647</v>
      </c>
      <c r="C2190" s="14" t="s">
        <v>3178</v>
      </c>
      <c r="D2190" s="15" t="s">
        <v>4449</v>
      </c>
      <c r="E2190" s="16" t="s">
        <v>13034</v>
      </c>
      <c r="F2190" s="12">
        <v>43562.939120370371</v>
      </c>
      <c r="G2190" s="9" t="s">
        <v>13000</v>
      </c>
      <c r="H2190" s="35" t="s">
        <v>34</v>
      </c>
      <c r="I2190" s="18" t="s">
        <v>3180</v>
      </c>
    </row>
    <row r="2191" spans="1:9" s="33" customFormat="1" ht="105">
      <c r="A2191" s="12">
        <v>43569.501412037032</v>
      </c>
      <c r="B2191" s="13" t="s">
        <v>14647</v>
      </c>
      <c r="C2191" s="14" t="s">
        <v>3178</v>
      </c>
      <c r="D2191" s="15" t="s">
        <v>4498</v>
      </c>
      <c r="E2191" s="16" t="s">
        <v>13034</v>
      </c>
      <c r="F2191" s="12">
        <v>43562.939120370371</v>
      </c>
      <c r="G2191" s="9" t="s">
        <v>13000</v>
      </c>
      <c r="H2191" s="35" t="s">
        <v>34</v>
      </c>
      <c r="I2191" s="18" t="s">
        <v>3180</v>
      </c>
    </row>
    <row r="2192" spans="1:9" s="33" customFormat="1" ht="75">
      <c r="A2192" s="12">
        <v>43568.932997685188</v>
      </c>
      <c r="B2192" s="13" t="s">
        <v>14650</v>
      </c>
      <c r="C2192" s="14" t="s">
        <v>4621</v>
      </c>
      <c r="D2192" s="15" t="s">
        <v>4622</v>
      </c>
      <c r="E2192" s="16" t="s">
        <v>13011</v>
      </c>
      <c r="F2192" s="12">
        <v>43334.930937500001</v>
      </c>
      <c r="G2192" s="9" t="s">
        <v>13000</v>
      </c>
      <c r="H2192" s="35" t="s">
        <v>34</v>
      </c>
      <c r="I2192" s="18" t="s">
        <v>4623</v>
      </c>
    </row>
    <row r="2193" spans="1:9" s="33" customFormat="1" ht="105">
      <c r="A2193" s="12">
        <v>43568.53334490741</v>
      </c>
      <c r="B2193" s="13" t="s">
        <v>14647</v>
      </c>
      <c r="C2193" s="14" t="s">
        <v>3178</v>
      </c>
      <c r="D2193" s="15" t="s">
        <v>4715</v>
      </c>
      <c r="E2193" s="16" t="s">
        <v>13034</v>
      </c>
      <c r="F2193" s="12">
        <v>43562.939120370371</v>
      </c>
      <c r="G2193" s="9" t="s">
        <v>13000</v>
      </c>
      <c r="H2193" s="35" t="s">
        <v>34</v>
      </c>
      <c r="I2193" s="18" t="s">
        <v>3180</v>
      </c>
    </row>
    <row r="2194" spans="1:9" s="33" customFormat="1" ht="105">
      <c r="A2194" s="12">
        <v>43568.487511574072</v>
      </c>
      <c r="B2194" s="13" t="s">
        <v>14647</v>
      </c>
      <c r="C2194" s="14" t="s">
        <v>3178</v>
      </c>
      <c r="D2194" s="15" t="s">
        <v>4739</v>
      </c>
      <c r="E2194" s="16" t="s">
        <v>13034</v>
      </c>
      <c r="F2194" s="12">
        <v>43562.939120370371</v>
      </c>
      <c r="G2194" s="9" t="s">
        <v>13000</v>
      </c>
      <c r="H2194" s="35" t="s">
        <v>34</v>
      </c>
      <c r="I2194" s="18" t="s">
        <v>3180</v>
      </c>
    </row>
    <row r="2195" spans="1:9" s="33" customFormat="1" ht="105">
      <c r="A2195" s="12">
        <v>43568.046307870369</v>
      </c>
      <c r="B2195" s="13" t="s">
        <v>14651</v>
      </c>
      <c r="C2195" s="14" t="s">
        <v>4886</v>
      </c>
      <c r="D2195" s="15" t="s">
        <v>4887</v>
      </c>
      <c r="E2195" s="16" t="s">
        <v>13027</v>
      </c>
      <c r="F2195" s="12">
        <v>39758.53665509259</v>
      </c>
      <c r="G2195" s="9" t="s">
        <v>13000</v>
      </c>
      <c r="H2195" s="35" t="s">
        <v>34</v>
      </c>
      <c r="I2195" s="18" t="s">
        <v>4888</v>
      </c>
    </row>
    <row r="2196" spans="1:9" s="33" customFormat="1" ht="105">
      <c r="A2196" s="12">
        <v>43567.872928240744</v>
      </c>
      <c r="B2196" s="13" t="s">
        <v>14647</v>
      </c>
      <c r="C2196" s="14" t="s">
        <v>3178</v>
      </c>
      <c r="D2196" s="15" t="s">
        <v>4926</v>
      </c>
      <c r="E2196" s="16" t="s">
        <v>13034</v>
      </c>
      <c r="F2196" s="12">
        <v>43562.939120370371</v>
      </c>
      <c r="G2196" s="9" t="s">
        <v>13000</v>
      </c>
      <c r="H2196" s="35" t="s">
        <v>34</v>
      </c>
      <c r="I2196" s="18" t="s">
        <v>3180</v>
      </c>
    </row>
    <row r="2197" spans="1:9" s="33" customFormat="1" ht="105">
      <c r="A2197" s="12">
        <v>43567.861967592587</v>
      </c>
      <c r="B2197" s="13" t="s">
        <v>14647</v>
      </c>
      <c r="C2197" s="14" t="s">
        <v>3178</v>
      </c>
      <c r="D2197" s="15" t="s">
        <v>4935</v>
      </c>
      <c r="E2197" s="16" t="s">
        <v>13034</v>
      </c>
      <c r="F2197" s="12">
        <v>43562.939120370371</v>
      </c>
      <c r="G2197" s="9" t="s">
        <v>13000</v>
      </c>
      <c r="H2197" s="35" t="s">
        <v>34</v>
      </c>
      <c r="I2197" s="18" t="s">
        <v>3180</v>
      </c>
    </row>
    <row r="2198" spans="1:9" s="33" customFormat="1" ht="45">
      <c r="A2198" s="12">
        <v>43567.77611111111</v>
      </c>
      <c r="B2198" s="13" t="s">
        <v>14652</v>
      </c>
      <c r="C2198" s="14" t="s">
        <v>4954</v>
      </c>
      <c r="D2198" s="15" t="s">
        <v>4955</v>
      </c>
      <c r="E2198" s="16" t="s">
        <v>13011</v>
      </c>
      <c r="F2198" s="12">
        <v>40121.389317129629</v>
      </c>
      <c r="G2198" s="9" t="s">
        <v>13000</v>
      </c>
      <c r="H2198" s="35" t="s">
        <v>34</v>
      </c>
      <c r="I2198" s="18" t="s">
        <v>4956</v>
      </c>
    </row>
    <row r="2199" spans="1:9" s="33" customFormat="1" ht="90">
      <c r="A2199" s="12">
        <v>43567.750578703708</v>
      </c>
      <c r="B2199" s="13" t="s">
        <v>14653</v>
      </c>
      <c r="C2199" s="14" t="s">
        <v>4962</v>
      </c>
      <c r="D2199" s="15" t="s">
        <v>4963</v>
      </c>
      <c r="E2199" s="16" t="s">
        <v>13018</v>
      </c>
      <c r="F2199" s="12">
        <v>43536.483055555553</v>
      </c>
      <c r="G2199" s="9" t="s">
        <v>13000</v>
      </c>
      <c r="H2199" s="35" t="s">
        <v>34</v>
      </c>
      <c r="I2199" s="18" t="s">
        <v>4964</v>
      </c>
    </row>
    <row r="2200" spans="1:9" s="33" customFormat="1" ht="60">
      <c r="A2200" s="12">
        <v>43566.904872685191</v>
      </c>
      <c r="B2200" s="13" t="s">
        <v>14654</v>
      </c>
      <c r="C2200" s="14" t="s">
        <v>5307</v>
      </c>
      <c r="D2200" s="15" t="s">
        <v>405</v>
      </c>
      <c r="E2200" s="16" t="s">
        <v>13034</v>
      </c>
      <c r="F2200" s="12">
        <v>41760.493090277778</v>
      </c>
      <c r="G2200" s="9" t="s">
        <v>13000</v>
      </c>
      <c r="H2200" s="35" t="s">
        <v>34</v>
      </c>
      <c r="I2200" s="18" t="s">
        <v>5308</v>
      </c>
    </row>
    <row r="2201" spans="1:9" s="33" customFormat="1" ht="105">
      <c r="A2201" s="12">
        <v>43566.375625000001</v>
      </c>
      <c r="B2201" s="13" t="s">
        <v>14630</v>
      </c>
      <c r="C2201" s="14" t="s">
        <v>32</v>
      </c>
      <c r="D2201" s="15" t="s">
        <v>5591</v>
      </c>
      <c r="E2201" s="16" t="s">
        <v>13018</v>
      </c>
      <c r="F2201" s="12">
        <v>42198.80269675926</v>
      </c>
      <c r="G2201" s="9" t="s">
        <v>13000</v>
      </c>
      <c r="H2201" s="35" t="s">
        <v>34</v>
      </c>
      <c r="I2201" s="18" t="s">
        <v>35</v>
      </c>
    </row>
    <row r="2202" spans="1:9" s="33" customFormat="1" ht="120">
      <c r="A2202" s="12">
        <v>43566.360347222224</v>
      </c>
      <c r="B2202" s="13" t="s">
        <v>14655</v>
      </c>
      <c r="C2202" s="14" t="s">
        <v>5617</v>
      </c>
      <c r="D2202" s="15" t="s">
        <v>5618</v>
      </c>
      <c r="E2202" s="16" t="s">
        <v>13011</v>
      </c>
      <c r="F2202" s="12">
        <v>40541.341087962966</v>
      </c>
      <c r="G2202" s="9" t="s">
        <v>13000</v>
      </c>
      <c r="H2202" s="35" t="s">
        <v>34</v>
      </c>
      <c r="I2202" s="18" t="s">
        <v>5619</v>
      </c>
    </row>
    <row r="2203" spans="1:9" s="33" customFormat="1" ht="45">
      <c r="A2203" s="12">
        <v>43564.625335648147</v>
      </c>
      <c r="B2203" s="13" t="s">
        <v>14645</v>
      </c>
      <c r="C2203" s="14" t="s">
        <v>1531</v>
      </c>
      <c r="D2203" s="15" t="s">
        <v>6489</v>
      </c>
      <c r="E2203" s="16" t="s">
        <v>13018</v>
      </c>
      <c r="F2203" s="12">
        <v>43435.058749999997</v>
      </c>
      <c r="G2203" s="9" t="s">
        <v>13000</v>
      </c>
      <c r="H2203" s="35" t="s">
        <v>34</v>
      </c>
      <c r="I2203" s="18" t="s">
        <v>1533</v>
      </c>
    </row>
    <row r="2204" spans="1:9" s="33" customFormat="1" ht="105">
      <c r="A2204" s="4">
        <v>43564.11891203704</v>
      </c>
      <c r="B2204" s="5" t="s">
        <v>14656</v>
      </c>
      <c r="C2204" s="6" t="s">
        <v>6776</v>
      </c>
      <c r="D2204" s="7" t="s">
        <v>6777</v>
      </c>
      <c r="E2204" s="8" t="s">
        <v>13013</v>
      </c>
      <c r="F2204" s="4">
        <v>40403.46775462963</v>
      </c>
      <c r="G2204" s="9" t="s">
        <v>13000</v>
      </c>
      <c r="H2204" s="35" t="s">
        <v>6778</v>
      </c>
      <c r="I2204" s="10" t="s">
        <v>6779</v>
      </c>
    </row>
    <row r="2205" spans="1:9" s="33" customFormat="1" ht="105">
      <c r="A2205" s="19">
        <v>43542.601388888885</v>
      </c>
      <c r="B2205" s="20" t="s">
        <v>14657</v>
      </c>
      <c r="C2205" s="21" t="s">
        <v>10081</v>
      </c>
      <c r="D2205" s="22" t="s">
        <v>10082</v>
      </c>
      <c r="E2205" s="23" t="s">
        <v>13034</v>
      </c>
      <c r="F2205" s="19">
        <v>40290.457349537035</v>
      </c>
      <c r="G2205" s="9" t="s">
        <v>13000</v>
      </c>
      <c r="H2205" s="35" t="s">
        <v>4913</v>
      </c>
      <c r="I2205" s="25" t="s">
        <v>10083</v>
      </c>
    </row>
    <row r="2206" spans="1:9" s="33" customFormat="1" ht="90">
      <c r="A2206" s="12">
        <v>43567.955439814818</v>
      </c>
      <c r="B2206" s="13" t="s">
        <v>14658</v>
      </c>
      <c r="C2206" s="14" t="s">
        <v>4911</v>
      </c>
      <c r="D2206" s="15" t="s">
        <v>4912</v>
      </c>
      <c r="E2206" s="16" t="s">
        <v>13009</v>
      </c>
      <c r="F2206" s="12">
        <v>40547.101041666669</v>
      </c>
      <c r="G2206" s="9" t="s">
        <v>13000</v>
      </c>
      <c r="H2206" s="35" t="s">
        <v>4913</v>
      </c>
      <c r="I2206" s="18" t="s">
        <v>4914</v>
      </c>
    </row>
    <row r="2207" spans="1:9" s="33" customFormat="1" ht="105">
      <c r="A2207" s="4">
        <v>43562.007615740746</v>
      </c>
      <c r="B2207" s="5" t="s">
        <v>14659</v>
      </c>
      <c r="C2207" s="6" t="s">
        <v>10775</v>
      </c>
      <c r="D2207" s="7" t="s">
        <v>10776</v>
      </c>
      <c r="E2207" s="8" t="s">
        <v>13009</v>
      </c>
      <c r="F2207" s="4">
        <v>39611.359479166669</v>
      </c>
      <c r="G2207" s="9" t="s">
        <v>13000</v>
      </c>
      <c r="H2207" s="35" t="s">
        <v>10777</v>
      </c>
      <c r="I2207" s="10" t="s">
        <v>10778</v>
      </c>
    </row>
    <row r="2208" spans="1:9" s="33" customFormat="1" ht="120">
      <c r="A2208" s="12">
        <v>43576.779907407406</v>
      </c>
      <c r="B2208" s="13" t="s">
        <v>14660</v>
      </c>
      <c r="C2208" s="14" t="s">
        <v>1842</v>
      </c>
      <c r="D2208" s="15" t="s">
        <v>1843</v>
      </c>
      <c r="E2208" s="16" t="s">
        <v>13009</v>
      </c>
      <c r="F2208" s="12">
        <v>42049.37427083333</v>
      </c>
      <c r="G2208" s="17" t="s">
        <v>13000</v>
      </c>
      <c r="H2208" s="35" t="s">
        <v>1844</v>
      </c>
      <c r="I2208" s="18" t="s">
        <v>1845</v>
      </c>
    </row>
    <row r="2209" spans="1:9" s="33" customFormat="1" ht="105">
      <c r="A2209" s="4">
        <v>43557.01163194445</v>
      </c>
      <c r="B2209" s="5" t="s">
        <v>14661</v>
      </c>
      <c r="C2209" s="6" t="s">
        <v>4676</v>
      </c>
      <c r="D2209" s="7" t="s">
        <v>12682</v>
      </c>
      <c r="E2209" s="8" t="s">
        <v>13011</v>
      </c>
      <c r="F2209" s="4">
        <v>41196.926122685181</v>
      </c>
      <c r="G2209" s="17" t="s">
        <v>13000</v>
      </c>
      <c r="H2209" s="35" t="s">
        <v>4678</v>
      </c>
      <c r="I2209" s="10" t="s">
        <v>4679</v>
      </c>
    </row>
    <row r="2210" spans="1:9" s="33" customFormat="1" ht="105">
      <c r="A2210" s="12">
        <v>43568.653391203705</v>
      </c>
      <c r="B2210" s="13" t="s">
        <v>14661</v>
      </c>
      <c r="C2210" s="14" t="s">
        <v>4676</v>
      </c>
      <c r="D2210" s="15" t="s">
        <v>4677</v>
      </c>
      <c r="E2210" s="16" t="s">
        <v>13009</v>
      </c>
      <c r="F2210" s="12">
        <v>41196.926122685181</v>
      </c>
      <c r="G2210" s="17" t="s">
        <v>13000</v>
      </c>
      <c r="H2210" s="35" t="s">
        <v>4678</v>
      </c>
      <c r="I2210" s="18" t="s">
        <v>4679</v>
      </c>
    </row>
    <row r="2211" spans="1:9" s="33" customFormat="1" ht="105">
      <c r="A2211" s="12">
        <v>43568.240763888884</v>
      </c>
      <c r="B2211" s="13" t="s">
        <v>14661</v>
      </c>
      <c r="C2211" s="14" t="s">
        <v>4676</v>
      </c>
      <c r="D2211" s="15" t="s">
        <v>4836</v>
      </c>
      <c r="E2211" s="16" t="s">
        <v>13011</v>
      </c>
      <c r="F2211" s="12">
        <v>41196.926122685181</v>
      </c>
      <c r="G2211" s="17" t="s">
        <v>13000</v>
      </c>
      <c r="H2211" s="35" t="s">
        <v>4678</v>
      </c>
      <c r="I2211" s="18" t="s">
        <v>4679</v>
      </c>
    </row>
    <row r="2212" spans="1:9" s="33" customFormat="1" ht="105">
      <c r="A2212" s="12">
        <v>43567.382592592592</v>
      </c>
      <c r="B2212" s="13" t="s">
        <v>14661</v>
      </c>
      <c r="C2212" s="14" t="s">
        <v>4676</v>
      </c>
      <c r="D2212" s="15" t="s">
        <v>5129</v>
      </c>
      <c r="E2212" s="16" t="s">
        <v>13009</v>
      </c>
      <c r="F2212" s="12">
        <v>41196.926122685181</v>
      </c>
      <c r="G2212" s="17" t="s">
        <v>13000</v>
      </c>
      <c r="H2212" s="35" t="s">
        <v>4678</v>
      </c>
      <c r="I2212" s="18" t="s">
        <v>4679</v>
      </c>
    </row>
    <row r="2213" spans="1:9" s="33" customFormat="1" ht="90">
      <c r="A2213" s="19">
        <v>43544.604942129634</v>
      </c>
      <c r="B2213" s="20" t="s">
        <v>14662</v>
      </c>
      <c r="C2213" s="21" t="s">
        <v>9400</v>
      </c>
      <c r="D2213" s="22" t="s">
        <v>9401</v>
      </c>
      <c r="E2213" s="23" t="s">
        <v>13018</v>
      </c>
      <c r="F2213" s="19">
        <v>42342.431030092594</v>
      </c>
      <c r="G2213" s="17" t="s">
        <v>13000</v>
      </c>
      <c r="H2213" s="35" t="s">
        <v>673</v>
      </c>
      <c r="I2213" s="25" t="s">
        <v>9402</v>
      </c>
    </row>
    <row r="2214" spans="1:9" s="33" customFormat="1" ht="105">
      <c r="A2214" s="19">
        <v>43542.578078703707</v>
      </c>
      <c r="B2214" s="20" t="s">
        <v>14663</v>
      </c>
      <c r="C2214" s="21" t="s">
        <v>10092</v>
      </c>
      <c r="D2214" s="22" t="s">
        <v>10093</v>
      </c>
      <c r="E2214" s="23" t="s">
        <v>13479</v>
      </c>
      <c r="F2214" s="19">
        <v>40856.916944444441</v>
      </c>
      <c r="G2214" s="17" t="s">
        <v>13000</v>
      </c>
      <c r="H2214" s="35" t="s">
        <v>673</v>
      </c>
      <c r="I2214" s="25" t="s">
        <v>10094</v>
      </c>
    </row>
    <row r="2215" spans="1:9" s="33" customFormat="1" ht="60">
      <c r="A2215" s="4">
        <v>43562.717511574076</v>
      </c>
      <c r="B2215" s="5" t="s">
        <v>14664</v>
      </c>
      <c r="C2215" s="6" t="s">
        <v>10602</v>
      </c>
      <c r="D2215" s="7" t="s">
        <v>10603</v>
      </c>
      <c r="E2215" s="8" t="s">
        <v>13009</v>
      </c>
      <c r="F2215" s="4">
        <v>43541.887592592597</v>
      </c>
      <c r="G2215" s="17" t="s">
        <v>13000</v>
      </c>
      <c r="H2215" s="35" t="s">
        <v>673</v>
      </c>
      <c r="I2215" s="10" t="s">
        <v>10604</v>
      </c>
    </row>
    <row r="2216" spans="1:9" s="33" customFormat="1" ht="90">
      <c r="A2216" s="4">
        <v>43557.507025462968</v>
      </c>
      <c r="B2216" s="5" t="s">
        <v>14662</v>
      </c>
      <c r="C2216" s="6" t="s">
        <v>9400</v>
      </c>
      <c r="D2216" s="7" t="s">
        <v>12490</v>
      </c>
      <c r="E2216" s="8" t="s">
        <v>13018</v>
      </c>
      <c r="F2216" s="4">
        <v>42342.431030092594</v>
      </c>
      <c r="G2216" s="17" t="s">
        <v>13000</v>
      </c>
      <c r="H2216" s="35" t="s">
        <v>673</v>
      </c>
      <c r="I2216" s="10" t="s">
        <v>9402</v>
      </c>
    </row>
    <row r="2217" spans="1:9" s="33" customFormat="1" ht="90">
      <c r="A2217" s="4">
        <v>43557.507025462968</v>
      </c>
      <c r="B2217" s="5" t="s">
        <v>14662</v>
      </c>
      <c r="C2217" s="6" t="s">
        <v>9400</v>
      </c>
      <c r="D2217" s="7" t="s">
        <v>12491</v>
      </c>
      <c r="E2217" s="8" t="s">
        <v>13018</v>
      </c>
      <c r="F2217" s="4">
        <v>42342.431030092594</v>
      </c>
      <c r="G2217" s="17" t="s">
        <v>13000</v>
      </c>
      <c r="H2217" s="35" t="s">
        <v>673</v>
      </c>
      <c r="I2217" s="10" t="s">
        <v>9402</v>
      </c>
    </row>
    <row r="2218" spans="1:9" s="33" customFormat="1" ht="105">
      <c r="A2218" s="12">
        <v>43579.418090277773</v>
      </c>
      <c r="B2218" s="13" t="s">
        <v>14662</v>
      </c>
      <c r="C2218" s="14" t="s">
        <v>671</v>
      </c>
      <c r="D2218" s="15" t="s">
        <v>672</v>
      </c>
      <c r="E2218" s="16" t="s">
        <v>13018</v>
      </c>
      <c r="F2218" s="12">
        <v>42342.431030092594</v>
      </c>
      <c r="G2218" s="17" t="s">
        <v>13000</v>
      </c>
      <c r="H2218" s="35" t="s">
        <v>673</v>
      </c>
      <c r="I2218" s="18" t="s">
        <v>674</v>
      </c>
    </row>
    <row r="2219" spans="1:9" s="33" customFormat="1" ht="45">
      <c r="A2219" s="12">
        <v>43578.459652777776</v>
      </c>
      <c r="B2219" s="13" t="s">
        <v>14665</v>
      </c>
      <c r="C2219" s="14" t="s">
        <v>1188</v>
      </c>
      <c r="D2219" s="15" t="s">
        <v>1164</v>
      </c>
      <c r="E2219" s="16" t="s">
        <v>13011</v>
      </c>
      <c r="F2219" s="12">
        <v>43084.473969907413</v>
      </c>
      <c r="G2219" s="17" t="s">
        <v>13000</v>
      </c>
      <c r="H2219" s="35" t="s">
        <v>673</v>
      </c>
      <c r="I2219" s="18" t="s">
        <v>1189</v>
      </c>
    </row>
    <row r="2220" spans="1:9" s="33" customFormat="1" ht="105">
      <c r="A2220" s="12">
        <v>43578.417754629627</v>
      </c>
      <c r="B2220" s="13" t="s">
        <v>14662</v>
      </c>
      <c r="C2220" s="14" t="s">
        <v>671</v>
      </c>
      <c r="D2220" s="15" t="s">
        <v>1216</v>
      </c>
      <c r="E2220" s="16" t="s">
        <v>13018</v>
      </c>
      <c r="F2220" s="12">
        <v>42342.431030092594</v>
      </c>
      <c r="G2220" s="17" t="s">
        <v>13000</v>
      </c>
      <c r="H2220" s="35" t="s">
        <v>673</v>
      </c>
      <c r="I2220" s="18" t="s">
        <v>674</v>
      </c>
    </row>
    <row r="2221" spans="1:9" s="33" customFormat="1" ht="105">
      <c r="A2221" s="12">
        <v>43577.430659722224</v>
      </c>
      <c r="B2221" s="13" t="s">
        <v>14662</v>
      </c>
      <c r="C2221" s="14" t="s">
        <v>671</v>
      </c>
      <c r="D2221" s="15" t="s">
        <v>1639</v>
      </c>
      <c r="E2221" s="16" t="s">
        <v>13018</v>
      </c>
      <c r="F2221" s="12">
        <v>42342.431030092594</v>
      </c>
      <c r="G2221" s="17" t="s">
        <v>13000</v>
      </c>
      <c r="H2221" s="35" t="s">
        <v>673</v>
      </c>
      <c r="I2221" s="18" t="s">
        <v>674</v>
      </c>
    </row>
    <row r="2222" spans="1:9" s="33" customFormat="1" ht="105">
      <c r="A2222" s="12">
        <v>43567.406423611115</v>
      </c>
      <c r="B2222" s="13" t="s">
        <v>14662</v>
      </c>
      <c r="C2222" s="14" t="s">
        <v>671</v>
      </c>
      <c r="D2222" s="15" t="s">
        <v>5117</v>
      </c>
      <c r="E2222" s="16" t="s">
        <v>13009</v>
      </c>
      <c r="F2222" s="12">
        <v>42342.431030092594</v>
      </c>
      <c r="G2222" s="17" t="s">
        <v>13000</v>
      </c>
      <c r="H2222" s="35" t="s">
        <v>673</v>
      </c>
      <c r="I2222" s="18" t="s">
        <v>674</v>
      </c>
    </row>
    <row r="2223" spans="1:9" s="33" customFormat="1" ht="45">
      <c r="A2223" s="12">
        <v>43565.938530092593</v>
      </c>
      <c r="B2223" s="13" t="s">
        <v>14666</v>
      </c>
      <c r="C2223" s="14" t="s">
        <v>5844</v>
      </c>
      <c r="D2223" s="15" t="s">
        <v>5845</v>
      </c>
      <c r="E2223" s="16" t="s">
        <v>13011</v>
      </c>
      <c r="F2223" s="12">
        <v>42955.871770833328</v>
      </c>
      <c r="G2223" s="17" t="s">
        <v>13000</v>
      </c>
      <c r="H2223" s="35" t="s">
        <v>673</v>
      </c>
      <c r="I2223" s="18"/>
    </row>
    <row r="2224" spans="1:9" s="33" customFormat="1" ht="120">
      <c r="A2224" s="12">
        <v>43571.364537037036</v>
      </c>
      <c r="B2224" s="13" t="s">
        <v>14667</v>
      </c>
      <c r="C2224" s="14" t="s">
        <v>3708</v>
      </c>
      <c r="D2224" s="15" t="s">
        <v>3709</v>
      </c>
      <c r="E2224" s="16" t="s">
        <v>13027</v>
      </c>
      <c r="F2224" s="12">
        <v>39715.78707175926</v>
      </c>
      <c r="G2224" s="17" t="s">
        <v>13000</v>
      </c>
      <c r="H2224" s="35" t="s">
        <v>3710</v>
      </c>
      <c r="I2224" s="18" t="s">
        <v>3711</v>
      </c>
    </row>
    <row r="2225" spans="1:9" s="33" customFormat="1" ht="120">
      <c r="A2225" s="12">
        <v>43571.358287037037</v>
      </c>
      <c r="B2225" s="13" t="s">
        <v>14667</v>
      </c>
      <c r="C2225" s="14" t="s">
        <v>3708</v>
      </c>
      <c r="D2225" s="15" t="s">
        <v>3712</v>
      </c>
      <c r="E2225" s="16" t="s">
        <v>13027</v>
      </c>
      <c r="F2225" s="12">
        <v>39715.78707175926</v>
      </c>
      <c r="G2225" s="17" t="s">
        <v>13000</v>
      </c>
      <c r="H2225" s="35" t="s">
        <v>3710</v>
      </c>
      <c r="I2225" s="18" t="s">
        <v>3711</v>
      </c>
    </row>
    <row r="2226" spans="1:9" s="33" customFormat="1" ht="90">
      <c r="A2226" s="19">
        <v>43551.809976851851</v>
      </c>
      <c r="B2226" s="20" t="s">
        <v>14668</v>
      </c>
      <c r="C2226" s="21" t="s">
        <v>2538</v>
      </c>
      <c r="D2226" s="22" t="s">
        <v>6993</v>
      </c>
      <c r="E2226" s="23" t="s">
        <v>13009</v>
      </c>
      <c r="F2226" s="19">
        <v>39852.548981481479</v>
      </c>
      <c r="G2226" s="17" t="s">
        <v>13000</v>
      </c>
      <c r="H2226" s="35" t="s">
        <v>2540</v>
      </c>
      <c r="I2226" s="25" t="s">
        <v>2541</v>
      </c>
    </row>
    <row r="2227" spans="1:9" s="33" customFormat="1" ht="90">
      <c r="A2227" s="12">
        <v>43574.467418981483</v>
      </c>
      <c r="B2227" s="13" t="s">
        <v>14668</v>
      </c>
      <c r="C2227" s="14" t="s">
        <v>2538</v>
      </c>
      <c r="D2227" s="15" t="s">
        <v>2539</v>
      </c>
      <c r="E2227" s="16" t="s">
        <v>13009</v>
      </c>
      <c r="F2227" s="12">
        <v>39852.548981481479</v>
      </c>
      <c r="G2227" s="17" t="s">
        <v>13000</v>
      </c>
      <c r="H2227" s="35" t="s">
        <v>2540</v>
      </c>
      <c r="I2227" s="18" t="s">
        <v>2541</v>
      </c>
    </row>
    <row r="2228" spans="1:9" s="33" customFormat="1" ht="105">
      <c r="A2228" s="19">
        <v>43546.652025462958</v>
      </c>
      <c r="B2228" s="20" t="s">
        <v>14669</v>
      </c>
      <c r="C2228" s="21" t="s">
        <v>8778</v>
      </c>
      <c r="D2228" s="22" t="s">
        <v>8779</v>
      </c>
      <c r="E2228" s="23" t="s">
        <v>13011</v>
      </c>
      <c r="F2228" s="19">
        <v>42050.744074074071</v>
      </c>
      <c r="G2228" s="17" t="s">
        <v>13000</v>
      </c>
      <c r="H2228" s="35" t="s">
        <v>8780</v>
      </c>
      <c r="I2228" s="25" t="s">
        <v>8781</v>
      </c>
    </row>
    <row r="2229" spans="1:9" s="33" customFormat="1" ht="90">
      <c r="A2229" s="4">
        <v>43562.980682870373</v>
      </c>
      <c r="B2229" s="5" t="s">
        <v>14670</v>
      </c>
      <c r="C2229" s="6" t="s">
        <v>10519</v>
      </c>
      <c r="D2229" s="7" t="s">
        <v>10520</v>
      </c>
      <c r="E2229" s="8" t="s">
        <v>13011</v>
      </c>
      <c r="F2229" s="4">
        <v>41314.31790509259</v>
      </c>
      <c r="G2229" s="24" t="s">
        <v>13000</v>
      </c>
      <c r="H2229" s="35" t="s">
        <v>10521</v>
      </c>
      <c r="I2229" s="10" t="s">
        <v>10522</v>
      </c>
    </row>
    <row r="2230" spans="1:9" s="33" customFormat="1" ht="105">
      <c r="A2230" s="4">
        <v>43565.600694444445</v>
      </c>
      <c r="B2230" s="5" t="s">
        <v>14671</v>
      </c>
      <c r="C2230" s="6" t="s">
        <v>5410</v>
      </c>
      <c r="D2230" s="7" t="s">
        <v>6007</v>
      </c>
      <c r="E2230" s="8" t="s">
        <v>13120</v>
      </c>
      <c r="F2230" s="4">
        <v>40068.440729166665</v>
      </c>
      <c r="G2230" s="24" t="s">
        <v>13000</v>
      </c>
      <c r="H2230" s="35" t="s">
        <v>5412</v>
      </c>
      <c r="I2230" s="10" t="s">
        <v>5413</v>
      </c>
    </row>
    <row r="2231" spans="1:9" s="33" customFormat="1" ht="105">
      <c r="A2231" s="12">
        <v>43566.600694444445</v>
      </c>
      <c r="B2231" s="13" t="s">
        <v>14671</v>
      </c>
      <c r="C2231" s="14" t="s">
        <v>5410</v>
      </c>
      <c r="D2231" s="15" t="s">
        <v>5411</v>
      </c>
      <c r="E2231" s="16" t="s">
        <v>13120</v>
      </c>
      <c r="F2231" s="12">
        <v>40068.440729166665</v>
      </c>
      <c r="G2231" s="24" t="s">
        <v>13000</v>
      </c>
      <c r="H2231" s="35" t="s">
        <v>5412</v>
      </c>
      <c r="I2231" s="18" t="s">
        <v>5413</v>
      </c>
    </row>
    <row r="2232" spans="1:9" s="33" customFormat="1" ht="90">
      <c r="A2232" s="12">
        <v>43568.901076388887</v>
      </c>
      <c r="B2232" s="13" t="s">
        <v>14672</v>
      </c>
      <c r="C2232" s="14" t="s">
        <v>4639</v>
      </c>
      <c r="D2232" s="15" t="s">
        <v>4640</v>
      </c>
      <c r="E2232" s="16" t="s">
        <v>13011</v>
      </c>
      <c r="F2232" s="12">
        <v>40789.592314814814</v>
      </c>
      <c r="G2232" s="24" t="s">
        <v>13000</v>
      </c>
      <c r="H2232" s="35" t="s">
        <v>4641</v>
      </c>
      <c r="I2232" s="18" t="s">
        <v>4642</v>
      </c>
    </row>
    <row r="2233" spans="1:9" s="33" customFormat="1" ht="60">
      <c r="A2233" s="19">
        <v>43546.428854166668</v>
      </c>
      <c r="B2233" s="20" t="s">
        <v>14673</v>
      </c>
      <c r="C2233" s="21" t="s">
        <v>8865</v>
      </c>
      <c r="D2233" s="22" t="s">
        <v>8866</v>
      </c>
      <c r="E2233" s="23" t="s">
        <v>13032</v>
      </c>
      <c r="F2233" s="19">
        <v>39923.935763888891</v>
      </c>
      <c r="G2233" s="24" t="s">
        <v>13000</v>
      </c>
      <c r="H2233" s="35" t="s">
        <v>8867</v>
      </c>
      <c r="I2233" s="25" t="s">
        <v>8868</v>
      </c>
    </row>
    <row r="2234" spans="1:9" s="33" customFormat="1" ht="75">
      <c r="A2234" s="12">
        <v>43567.569513888884</v>
      </c>
      <c r="B2234" s="13" t="s">
        <v>14674</v>
      </c>
      <c r="C2234" s="14" t="s">
        <v>5043</v>
      </c>
      <c r="D2234" s="15" t="s">
        <v>5044</v>
      </c>
      <c r="E2234" s="16" t="s">
        <v>13538</v>
      </c>
      <c r="F2234" s="12">
        <v>41258.719212962962</v>
      </c>
      <c r="G2234" s="17" t="s">
        <v>13000</v>
      </c>
      <c r="H2234" s="35" t="s">
        <v>5045</v>
      </c>
      <c r="I2234" s="18" t="s">
        <v>5046</v>
      </c>
    </row>
    <row r="2235" spans="1:9" s="33" customFormat="1" ht="105">
      <c r="A2235" s="4">
        <v>43560.306793981479</v>
      </c>
      <c r="B2235" s="5" t="s">
        <v>14675</v>
      </c>
      <c r="C2235" s="6" t="s">
        <v>11480</v>
      </c>
      <c r="D2235" s="7" t="s">
        <v>11481</v>
      </c>
      <c r="E2235" s="8" t="s">
        <v>13011</v>
      </c>
      <c r="F2235" s="4">
        <v>40780.456342592595</v>
      </c>
      <c r="G2235" s="17" t="s">
        <v>13000</v>
      </c>
      <c r="H2235" s="35" t="s">
        <v>11482</v>
      </c>
      <c r="I2235" s="10" t="s">
        <v>11483</v>
      </c>
    </row>
    <row r="2236" spans="1:9" s="33" customFormat="1" ht="45">
      <c r="A2236" s="12">
        <v>43573.890833333338</v>
      </c>
      <c r="B2236" s="13" t="s">
        <v>14676</v>
      </c>
      <c r="C2236" s="14" t="s">
        <v>2710</v>
      </c>
      <c r="D2236" s="15" t="s">
        <v>2711</v>
      </c>
      <c r="E2236" s="16" t="s">
        <v>13013</v>
      </c>
      <c r="F2236" s="12">
        <v>39240.89234953704</v>
      </c>
      <c r="G2236" s="17" t="s">
        <v>13000</v>
      </c>
      <c r="H2236" s="35" t="s">
        <v>2712</v>
      </c>
      <c r="I2236" s="18" t="s">
        <v>2713</v>
      </c>
    </row>
    <row r="2237" spans="1:9" s="33" customFormat="1" ht="45">
      <c r="A2237" s="12">
        <v>43579.871145833335</v>
      </c>
      <c r="B2237" s="13" t="s">
        <v>14677</v>
      </c>
      <c r="C2237" s="14" t="s">
        <v>423</v>
      </c>
      <c r="D2237" s="15" t="s">
        <v>424</v>
      </c>
      <c r="E2237" s="16" t="s">
        <v>13015</v>
      </c>
      <c r="F2237" s="12">
        <v>41172.400625000002</v>
      </c>
      <c r="G2237" s="17" t="s">
        <v>13000</v>
      </c>
      <c r="H2237" s="35" t="s">
        <v>425</v>
      </c>
      <c r="I2237" s="18" t="s">
        <v>426</v>
      </c>
    </row>
    <row r="2238" spans="1:9" s="33" customFormat="1" ht="120">
      <c r="A2238" s="4">
        <v>43559.56181712963</v>
      </c>
      <c r="B2238" s="5" t="s">
        <v>14678</v>
      </c>
      <c r="C2238" s="6" t="s">
        <v>11762</v>
      </c>
      <c r="D2238" s="7" t="s">
        <v>11763</v>
      </c>
      <c r="E2238" s="8" t="s">
        <v>13034</v>
      </c>
      <c r="F2238" s="4">
        <v>41473.820798611108</v>
      </c>
      <c r="G2238" s="17" t="s">
        <v>13000</v>
      </c>
      <c r="H2238" s="35" t="s">
        <v>11764</v>
      </c>
      <c r="I2238" s="10" t="s">
        <v>11765</v>
      </c>
    </row>
    <row r="2239" spans="1:9" s="33" customFormat="1" ht="120">
      <c r="A2239" s="19">
        <v>43547.5</v>
      </c>
      <c r="B2239" s="20" t="s">
        <v>14679</v>
      </c>
      <c r="C2239" s="21" t="s">
        <v>8523</v>
      </c>
      <c r="D2239" s="22" t="s">
        <v>8524</v>
      </c>
      <c r="E2239" s="23" t="s">
        <v>13490</v>
      </c>
      <c r="F2239" s="19">
        <v>43041.493437500001</v>
      </c>
      <c r="G2239" s="17" t="s">
        <v>13000</v>
      </c>
      <c r="H2239" s="35" t="s">
        <v>517</v>
      </c>
      <c r="I2239" s="25" t="s">
        <v>8525</v>
      </c>
    </row>
    <row r="2240" spans="1:9" s="33" customFormat="1" ht="120">
      <c r="A2240" s="19">
        <v>43545.75</v>
      </c>
      <c r="B2240" s="20" t="s">
        <v>14679</v>
      </c>
      <c r="C2240" s="21" t="s">
        <v>8523</v>
      </c>
      <c r="D2240" s="22" t="s">
        <v>9062</v>
      </c>
      <c r="E2240" s="23" t="s">
        <v>13490</v>
      </c>
      <c r="F2240" s="19">
        <v>43041.493437500001</v>
      </c>
      <c r="G2240" s="17" t="s">
        <v>13000</v>
      </c>
      <c r="H2240" s="35" t="s">
        <v>517</v>
      </c>
      <c r="I2240" s="25" t="s">
        <v>8525</v>
      </c>
    </row>
    <row r="2241" spans="1:9" s="33" customFormat="1" ht="120">
      <c r="A2241" s="19">
        <v>43545.62501157407</v>
      </c>
      <c r="B2241" s="20" t="s">
        <v>14679</v>
      </c>
      <c r="C2241" s="21" t="s">
        <v>8523</v>
      </c>
      <c r="D2241" s="22" t="s">
        <v>8524</v>
      </c>
      <c r="E2241" s="23" t="s">
        <v>13490</v>
      </c>
      <c r="F2241" s="19">
        <v>43041.493437500001</v>
      </c>
      <c r="G2241" s="17" t="s">
        <v>13000</v>
      </c>
      <c r="H2241" s="35" t="s">
        <v>517</v>
      </c>
      <c r="I2241" s="25" t="s">
        <v>8525</v>
      </c>
    </row>
    <row r="2242" spans="1:9" s="33" customFormat="1" ht="120">
      <c r="A2242" s="19">
        <v>43545.375023148154</v>
      </c>
      <c r="B2242" s="20" t="s">
        <v>14679</v>
      </c>
      <c r="C2242" s="21" t="s">
        <v>8523</v>
      </c>
      <c r="D2242" s="22" t="s">
        <v>9169</v>
      </c>
      <c r="E2242" s="23" t="s">
        <v>13490</v>
      </c>
      <c r="F2242" s="19">
        <v>43041.493437500001</v>
      </c>
      <c r="G2242" s="17" t="s">
        <v>13000</v>
      </c>
      <c r="H2242" s="35" t="s">
        <v>517</v>
      </c>
      <c r="I2242" s="25" t="s">
        <v>8525</v>
      </c>
    </row>
    <row r="2243" spans="1:9" s="33" customFormat="1" ht="120">
      <c r="A2243" s="19">
        <v>43543.625</v>
      </c>
      <c r="B2243" s="20" t="s">
        <v>14679</v>
      </c>
      <c r="C2243" s="21" t="s">
        <v>8523</v>
      </c>
      <c r="D2243" s="22" t="s">
        <v>8524</v>
      </c>
      <c r="E2243" s="23" t="s">
        <v>13490</v>
      </c>
      <c r="F2243" s="19">
        <v>43041.493437500001</v>
      </c>
      <c r="G2243" s="17" t="s">
        <v>13000</v>
      </c>
      <c r="H2243" s="35" t="s">
        <v>517</v>
      </c>
      <c r="I2243" s="25" t="s">
        <v>8525</v>
      </c>
    </row>
    <row r="2244" spans="1:9" s="33" customFormat="1" ht="105">
      <c r="A2244" s="12">
        <v>43579.684710648144</v>
      </c>
      <c r="B2244" s="13" t="s">
        <v>14680</v>
      </c>
      <c r="C2244" s="14" t="s">
        <v>515</v>
      </c>
      <c r="D2244" s="15" t="s">
        <v>516</v>
      </c>
      <c r="E2244" s="16" t="s">
        <v>13011</v>
      </c>
      <c r="F2244" s="12">
        <v>41589.485358796301</v>
      </c>
      <c r="G2244" s="17" t="s">
        <v>13000</v>
      </c>
      <c r="H2244" s="35" t="s">
        <v>517</v>
      </c>
      <c r="I2244" s="18" t="s">
        <v>518</v>
      </c>
    </row>
    <row r="2245" spans="1:9" s="33" customFormat="1" ht="120">
      <c r="A2245" s="12">
        <v>43572.65693287037</v>
      </c>
      <c r="B2245" s="13" t="s">
        <v>14681</v>
      </c>
      <c r="C2245" s="14" t="s">
        <v>3128</v>
      </c>
      <c r="D2245" s="15" t="s">
        <v>3129</v>
      </c>
      <c r="E2245" s="16" t="s">
        <v>13443</v>
      </c>
      <c r="F2245" s="12">
        <v>41199.523530092592</v>
      </c>
      <c r="G2245" s="17" t="s">
        <v>13000</v>
      </c>
      <c r="H2245" s="35" t="s">
        <v>517</v>
      </c>
      <c r="I2245" s="18" t="s">
        <v>3130</v>
      </c>
    </row>
    <row r="2246" spans="1:9" s="33" customFormat="1" ht="45">
      <c r="A2246" s="12">
        <v>43570.836631944447</v>
      </c>
      <c r="B2246" s="13" t="s">
        <v>14682</v>
      </c>
      <c r="C2246" s="14" t="s">
        <v>3963</v>
      </c>
      <c r="D2246" s="15" t="s">
        <v>3964</v>
      </c>
      <c r="E2246" s="16" t="s">
        <v>13027</v>
      </c>
      <c r="F2246" s="12">
        <v>42919.960462962961</v>
      </c>
      <c r="G2246" s="17" t="s">
        <v>13000</v>
      </c>
      <c r="H2246" s="35" t="s">
        <v>517</v>
      </c>
      <c r="I2246" s="18" t="s">
        <v>3965</v>
      </c>
    </row>
    <row r="2247" spans="1:9" s="33" customFormat="1" ht="75">
      <c r="A2247" s="19">
        <v>43546.578819444447</v>
      </c>
      <c r="B2247" s="20" t="s">
        <v>14683</v>
      </c>
      <c r="C2247" s="21" t="s">
        <v>8795</v>
      </c>
      <c r="D2247" s="22" t="s">
        <v>8796</v>
      </c>
      <c r="E2247" s="23" t="s">
        <v>13443</v>
      </c>
      <c r="F2247" s="19">
        <v>39749.5237962963</v>
      </c>
      <c r="G2247" s="17" t="s">
        <v>13000</v>
      </c>
      <c r="H2247" s="35" t="s">
        <v>1120</v>
      </c>
      <c r="I2247" s="25" t="s">
        <v>8797</v>
      </c>
    </row>
    <row r="2248" spans="1:9" s="33" customFormat="1" ht="90">
      <c r="A2248" s="19">
        <v>43543.541724537034</v>
      </c>
      <c r="B2248" s="20" t="s">
        <v>14684</v>
      </c>
      <c r="C2248" s="21" t="s">
        <v>1118</v>
      </c>
      <c r="D2248" s="22" t="s">
        <v>9760</v>
      </c>
      <c r="E2248" s="23" t="s">
        <v>14685</v>
      </c>
      <c r="F2248" s="19">
        <v>41634.400694444441</v>
      </c>
      <c r="G2248" s="17" t="s">
        <v>13000</v>
      </c>
      <c r="H2248" s="35" t="s">
        <v>1120</v>
      </c>
      <c r="I2248" s="25" t="s">
        <v>9761</v>
      </c>
    </row>
    <row r="2249" spans="1:9" s="33" customFormat="1" ht="90">
      <c r="A2249" s="12">
        <v>43578.666307870371</v>
      </c>
      <c r="B2249" s="13" t="s">
        <v>14684</v>
      </c>
      <c r="C2249" s="14" t="s">
        <v>1118</v>
      </c>
      <c r="D2249" s="15" t="s">
        <v>1119</v>
      </c>
      <c r="E2249" s="16" t="s">
        <v>14685</v>
      </c>
      <c r="F2249" s="12">
        <v>41634.400694444441</v>
      </c>
      <c r="G2249" s="17" t="s">
        <v>13000</v>
      </c>
      <c r="H2249" s="35" t="s">
        <v>1120</v>
      </c>
      <c r="I2249" s="18" t="s">
        <v>1121</v>
      </c>
    </row>
    <row r="2250" spans="1:9" s="33" customFormat="1" ht="90">
      <c r="A2250" s="12">
        <v>43570.329976851848</v>
      </c>
      <c r="B2250" s="13" t="s">
        <v>14684</v>
      </c>
      <c r="C2250" s="14" t="s">
        <v>1118</v>
      </c>
      <c r="D2250" s="15" t="s">
        <v>4222</v>
      </c>
      <c r="E2250" s="16" t="s">
        <v>14685</v>
      </c>
      <c r="F2250" s="12">
        <v>41634.400694444441</v>
      </c>
      <c r="G2250" s="17" t="s">
        <v>13000</v>
      </c>
      <c r="H2250" s="35" t="s">
        <v>1120</v>
      </c>
      <c r="I2250" s="18" t="s">
        <v>1121</v>
      </c>
    </row>
    <row r="2251" spans="1:9" s="33" customFormat="1" ht="60">
      <c r="A2251" s="4">
        <v>43556.77920138889</v>
      </c>
      <c r="B2251" s="5" t="s">
        <v>14686</v>
      </c>
      <c r="C2251" s="6" t="s">
        <v>12739</v>
      </c>
      <c r="D2251" s="7" t="s">
        <v>12740</v>
      </c>
      <c r="E2251" s="8" t="s">
        <v>13013</v>
      </c>
      <c r="F2251" s="4">
        <v>43287.787604166668</v>
      </c>
      <c r="G2251" s="17" t="s">
        <v>13000</v>
      </c>
      <c r="H2251" s="35" t="s">
        <v>12741</v>
      </c>
      <c r="I2251" s="10" t="s">
        <v>12742</v>
      </c>
    </row>
    <row r="2252" spans="1:9" s="33" customFormat="1" ht="105">
      <c r="A2252" s="19">
        <v>43549.511145833334</v>
      </c>
      <c r="B2252" s="20" t="s">
        <v>14687</v>
      </c>
      <c r="C2252" s="21" t="s">
        <v>8003</v>
      </c>
      <c r="D2252" s="22" t="s">
        <v>8004</v>
      </c>
      <c r="E2252" s="23" t="s">
        <v>13009</v>
      </c>
      <c r="F2252" s="19">
        <v>43325.537766203706</v>
      </c>
      <c r="G2252" s="17" t="s">
        <v>13000</v>
      </c>
      <c r="H2252" s="35" t="s">
        <v>8005</v>
      </c>
      <c r="I2252" s="25" t="s">
        <v>8006</v>
      </c>
    </row>
    <row r="2253" spans="1:9" s="33" customFormat="1" ht="105">
      <c r="A2253" s="4">
        <v>43558.40902777778</v>
      </c>
      <c r="B2253" s="5" t="s">
        <v>14688</v>
      </c>
      <c r="C2253" s="6" t="s">
        <v>12207</v>
      </c>
      <c r="D2253" s="7" t="s">
        <v>12208</v>
      </c>
      <c r="E2253" s="8" t="s">
        <v>13120</v>
      </c>
      <c r="F2253" s="4">
        <v>40056.594733796301</v>
      </c>
      <c r="G2253" s="17" t="s">
        <v>13000</v>
      </c>
      <c r="H2253" s="35" t="s">
        <v>12209</v>
      </c>
      <c r="I2253" s="10" t="s">
        <v>12210</v>
      </c>
    </row>
    <row r="2254" spans="1:9" s="33" customFormat="1" ht="75">
      <c r="A2254" s="19">
        <v>43551.312928240739</v>
      </c>
      <c r="B2254" s="20" t="s">
        <v>14689</v>
      </c>
      <c r="C2254" s="21" t="s">
        <v>783</v>
      </c>
      <c r="D2254" s="22" t="s">
        <v>7318</v>
      </c>
      <c r="E2254" s="23" t="s">
        <v>13018</v>
      </c>
      <c r="F2254" s="19">
        <v>43111.34856481482</v>
      </c>
      <c r="G2254" s="17" t="s">
        <v>13000</v>
      </c>
      <c r="H2254" s="35" t="s">
        <v>532</v>
      </c>
      <c r="I2254" s="25" t="s">
        <v>785</v>
      </c>
    </row>
    <row r="2255" spans="1:9" s="33" customFormat="1" ht="75">
      <c r="A2255" s="19">
        <v>43549.530023148152</v>
      </c>
      <c r="B2255" s="20" t="s">
        <v>14690</v>
      </c>
      <c r="C2255" s="21" t="s">
        <v>530</v>
      </c>
      <c r="D2255" s="22" t="s">
        <v>7996</v>
      </c>
      <c r="E2255" s="23" t="s">
        <v>13011</v>
      </c>
      <c r="F2255" s="19">
        <v>42473.59075231482</v>
      </c>
      <c r="G2255" s="17" t="s">
        <v>13000</v>
      </c>
      <c r="H2255" s="35" t="s">
        <v>532</v>
      </c>
      <c r="I2255" s="25" t="s">
        <v>533</v>
      </c>
    </row>
    <row r="2256" spans="1:9" s="33" customFormat="1" ht="60">
      <c r="A2256" s="19">
        <v>43549.312962962962</v>
      </c>
      <c r="B2256" s="20" t="s">
        <v>14689</v>
      </c>
      <c r="C2256" s="21" t="s">
        <v>783</v>
      </c>
      <c r="D2256" s="22" t="s">
        <v>8101</v>
      </c>
      <c r="E2256" s="23" t="s">
        <v>13018</v>
      </c>
      <c r="F2256" s="19">
        <v>43111.34856481482</v>
      </c>
      <c r="G2256" s="17" t="s">
        <v>13000</v>
      </c>
      <c r="H2256" s="35" t="s">
        <v>532</v>
      </c>
      <c r="I2256" s="25" t="s">
        <v>785</v>
      </c>
    </row>
    <row r="2257" spans="1:9" s="33" customFormat="1" ht="75">
      <c r="A2257" s="19">
        <v>43548.354502314818</v>
      </c>
      <c r="B2257" s="20" t="s">
        <v>14689</v>
      </c>
      <c r="C2257" s="21" t="s">
        <v>783</v>
      </c>
      <c r="D2257" s="22" t="s">
        <v>8346</v>
      </c>
      <c r="E2257" s="23" t="s">
        <v>13018</v>
      </c>
      <c r="F2257" s="19">
        <v>43111.34856481482</v>
      </c>
      <c r="G2257" s="17" t="s">
        <v>13000</v>
      </c>
      <c r="H2257" s="35" t="s">
        <v>532</v>
      </c>
      <c r="I2257" s="25" t="s">
        <v>785</v>
      </c>
    </row>
    <row r="2258" spans="1:9" s="33" customFormat="1" ht="60">
      <c r="A2258" s="19">
        <v>43546.354618055557</v>
      </c>
      <c r="B2258" s="20" t="s">
        <v>14689</v>
      </c>
      <c r="C2258" s="21" t="s">
        <v>783</v>
      </c>
      <c r="D2258" s="22" t="s">
        <v>8894</v>
      </c>
      <c r="E2258" s="23" t="s">
        <v>13018</v>
      </c>
      <c r="F2258" s="19">
        <v>43111.34856481482</v>
      </c>
      <c r="G2258" s="17" t="s">
        <v>13000</v>
      </c>
      <c r="H2258" s="35" t="s">
        <v>532</v>
      </c>
      <c r="I2258" s="25" t="s">
        <v>785</v>
      </c>
    </row>
    <row r="2259" spans="1:9" s="33" customFormat="1" ht="60">
      <c r="A2259" s="19">
        <v>43544.354733796295</v>
      </c>
      <c r="B2259" s="20" t="s">
        <v>14689</v>
      </c>
      <c r="C2259" s="21" t="s">
        <v>783</v>
      </c>
      <c r="D2259" s="22" t="s">
        <v>9499</v>
      </c>
      <c r="E2259" s="23" t="s">
        <v>13018</v>
      </c>
      <c r="F2259" s="19">
        <v>43111.34856481482</v>
      </c>
      <c r="G2259" s="17" t="s">
        <v>13000</v>
      </c>
      <c r="H2259" s="35" t="s">
        <v>532</v>
      </c>
      <c r="I2259" s="25" t="s">
        <v>785</v>
      </c>
    </row>
    <row r="2260" spans="1:9" s="33" customFormat="1" ht="60">
      <c r="A2260" s="4">
        <v>43565.305752314816</v>
      </c>
      <c r="B2260" s="5" t="s">
        <v>14689</v>
      </c>
      <c r="C2260" s="6" t="s">
        <v>783</v>
      </c>
      <c r="D2260" s="7" t="s">
        <v>6187</v>
      </c>
      <c r="E2260" s="8" t="s">
        <v>13018</v>
      </c>
      <c r="F2260" s="4">
        <v>43111.34856481482</v>
      </c>
      <c r="G2260" s="17" t="s">
        <v>13000</v>
      </c>
      <c r="H2260" s="35" t="s">
        <v>532</v>
      </c>
      <c r="I2260" s="10" t="s">
        <v>785</v>
      </c>
    </row>
    <row r="2261" spans="1:9" s="33" customFormat="1" ht="60">
      <c r="A2261" s="4">
        <v>43563.32309027778</v>
      </c>
      <c r="B2261" s="5" t="s">
        <v>14689</v>
      </c>
      <c r="C2261" s="6" t="s">
        <v>783</v>
      </c>
      <c r="D2261" s="7" t="s">
        <v>10368</v>
      </c>
      <c r="E2261" s="8" t="s">
        <v>13018</v>
      </c>
      <c r="F2261" s="4">
        <v>43111.34856481482</v>
      </c>
      <c r="G2261" s="17" t="s">
        <v>13000</v>
      </c>
      <c r="H2261" s="35" t="s">
        <v>532</v>
      </c>
      <c r="I2261" s="10" t="s">
        <v>785</v>
      </c>
    </row>
    <row r="2262" spans="1:9" s="33" customFormat="1" ht="75">
      <c r="A2262" s="4">
        <v>43561.334374999999</v>
      </c>
      <c r="B2262" s="5" t="s">
        <v>14689</v>
      </c>
      <c r="C2262" s="6" t="s">
        <v>783</v>
      </c>
      <c r="D2262" s="7" t="s">
        <v>11010</v>
      </c>
      <c r="E2262" s="8" t="s">
        <v>13018</v>
      </c>
      <c r="F2262" s="4">
        <v>43111.34856481482</v>
      </c>
      <c r="G2262" s="17" t="s">
        <v>13000</v>
      </c>
      <c r="H2262" s="35" t="s">
        <v>532</v>
      </c>
      <c r="I2262" s="10" t="s">
        <v>785</v>
      </c>
    </row>
    <row r="2263" spans="1:9" s="33" customFormat="1" ht="60">
      <c r="A2263" s="4">
        <v>43560.305729166663</v>
      </c>
      <c r="B2263" s="5" t="s">
        <v>14689</v>
      </c>
      <c r="C2263" s="6" t="s">
        <v>783</v>
      </c>
      <c r="D2263" s="7" t="s">
        <v>11484</v>
      </c>
      <c r="E2263" s="8" t="s">
        <v>13018</v>
      </c>
      <c r="F2263" s="4">
        <v>43111.34856481482</v>
      </c>
      <c r="G2263" s="17" t="s">
        <v>13000</v>
      </c>
      <c r="H2263" s="35" t="s">
        <v>532</v>
      </c>
      <c r="I2263" s="10" t="s">
        <v>785</v>
      </c>
    </row>
    <row r="2264" spans="1:9" s="33" customFormat="1" ht="60">
      <c r="A2264" s="4">
        <v>43558.309155092589</v>
      </c>
      <c r="B2264" s="5" t="s">
        <v>14689</v>
      </c>
      <c r="C2264" s="6" t="s">
        <v>783</v>
      </c>
      <c r="D2264" s="7" t="s">
        <v>12243</v>
      </c>
      <c r="E2264" s="8" t="s">
        <v>13018</v>
      </c>
      <c r="F2264" s="4">
        <v>43111.34856481482</v>
      </c>
      <c r="G2264" s="17" t="s">
        <v>13000</v>
      </c>
      <c r="H2264" s="35" t="s">
        <v>532</v>
      </c>
      <c r="I2264" s="10" t="s">
        <v>785</v>
      </c>
    </row>
    <row r="2265" spans="1:9" s="33" customFormat="1" ht="30">
      <c r="A2265" s="12">
        <v>43579.633935185186</v>
      </c>
      <c r="B2265" s="13" t="s">
        <v>14690</v>
      </c>
      <c r="C2265" s="14" t="s">
        <v>530</v>
      </c>
      <c r="D2265" s="15" t="s">
        <v>531</v>
      </c>
      <c r="E2265" s="16" t="s">
        <v>13011</v>
      </c>
      <c r="F2265" s="12">
        <v>42473.59075231482</v>
      </c>
      <c r="G2265" s="17" t="s">
        <v>13000</v>
      </c>
      <c r="H2265" s="35" t="s">
        <v>532</v>
      </c>
      <c r="I2265" s="18" t="s">
        <v>533</v>
      </c>
    </row>
    <row r="2266" spans="1:9" s="33" customFormat="1" ht="60">
      <c r="A2266" s="12">
        <v>43579.305729166663</v>
      </c>
      <c r="B2266" s="13" t="s">
        <v>14689</v>
      </c>
      <c r="C2266" s="14" t="s">
        <v>783</v>
      </c>
      <c r="D2266" s="15" t="s">
        <v>784</v>
      </c>
      <c r="E2266" s="16" t="s">
        <v>13018</v>
      </c>
      <c r="F2266" s="12">
        <v>43111.34856481482</v>
      </c>
      <c r="G2266" s="17" t="s">
        <v>13000</v>
      </c>
      <c r="H2266" s="35" t="s">
        <v>532</v>
      </c>
      <c r="I2266" s="18" t="s">
        <v>785</v>
      </c>
    </row>
    <row r="2267" spans="1:9" s="33" customFormat="1" ht="60">
      <c r="A2267" s="12">
        <v>43577.30569444444</v>
      </c>
      <c r="B2267" s="13" t="s">
        <v>14689</v>
      </c>
      <c r="C2267" s="14" t="s">
        <v>783</v>
      </c>
      <c r="D2267" s="15" t="s">
        <v>1675</v>
      </c>
      <c r="E2267" s="16" t="s">
        <v>13018</v>
      </c>
      <c r="F2267" s="12">
        <v>43111.34856481482</v>
      </c>
      <c r="G2267" s="17" t="s">
        <v>13000</v>
      </c>
      <c r="H2267" s="35" t="s">
        <v>532</v>
      </c>
      <c r="I2267" s="18" t="s">
        <v>785</v>
      </c>
    </row>
    <row r="2268" spans="1:9" s="33" customFormat="1" ht="60">
      <c r="A2268" s="12">
        <v>43576.33693287037</v>
      </c>
      <c r="B2268" s="13" t="s">
        <v>14689</v>
      </c>
      <c r="C2268" s="14" t="s">
        <v>783</v>
      </c>
      <c r="D2268" s="15" t="s">
        <v>1995</v>
      </c>
      <c r="E2268" s="16" t="s">
        <v>13018</v>
      </c>
      <c r="F2268" s="12">
        <v>43111.34856481482</v>
      </c>
      <c r="G2268" s="17" t="s">
        <v>13000</v>
      </c>
      <c r="H2268" s="35" t="s">
        <v>532</v>
      </c>
      <c r="I2268" s="18" t="s">
        <v>785</v>
      </c>
    </row>
    <row r="2269" spans="1:9" s="33" customFormat="1" ht="75">
      <c r="A2269" s="12">
        <v>43574.305729166663</v>
      </c>
      <c r="B2269" s="13" t="s">
        <v>14689</v>
      </c>
      <c r="C2269" s="14" t="s">
        <v>783</v>
      </c>
      <c r="D2269" s="15" t="s">
        <v>2610</v>
      </c>
      <c r="E2269" s="16" t="s">
        <v>13018</v>
      </c>
      <c r="F2269" s="12">
        <v>43111.34856481482</v>
      </c>
      <c r="G2269" s="17" t="s">
        <v>13000</v>
      </c>
      <c r="H2269" s="35" t="s">
        <v>532</v>
      </c>
      <c r="I2269" s="18" t="s">
        <v>785</v>
      </c>
    </row>
    <row r="2270" spans="1:9" s="33" customFormat="1" ht="105">
      <c r="A2270" s="12">
        <v>43573.448969907404</v>
      </c>
      <c r="B2270" s="13" t="s">
        <v>14691</v>
      </c>
      <c r="C2270" s="14" t="s">
        <v>2855</v>
      </c>
      <c r="D2270" s="15" t="s">
        <v>2856</v>
      </c>
      <c r="E2270" s="16" t="s">
        <v>13006</v>
      </c>
      <c r="F2270" s="12">
        <v>41730.950486111113</v>
      </c>
      <c r="G2270" s="17" t="s">
        <v>13000</v>
      </c>
      <c r="H2270" s="35" t="s">
        <v>532</v>
      </c>
      <c r="I2270" s="18" t="s">
        <v>2857</v>
      </c>
    </row>
    <row r="2271" spans="1:9" s="33" customFormat="1" ht="60">
      <c r="A2271" s="12">
        <v>43572.681481481486</v>
      </c>
      <c r="B2271" s="13" t="s">
        <v>14690</v>
      </c>
      <c r="C2271" s="14" t="s">
        <v>530</v>
      </c>
      <c r="D2271" s="15" t="s">
        <v>3126</v>
      </c>
      <c r="E2271" s="16" t="s">
        <v>13011</v>
      </c>
      <c r="F2271" s="12">
        <v>42473.59075231482</v>
      </c>
      <c r="G2271" s="17" t="s">
        <v>13000</v>
      </c>
      <c r="H2271" s="35" t="s">
        <v>532</v>
      </c>
      <c r="I2271" s="18" t="s">
        <v>533</v>
      </c>
    </row>
    <row r="2272" spans="1:9" s="33" customFormat="1" ht="60">
      <c r="A2272" s="12">
        <v>43572.305717592593</v>
      </c>
      <c r="B2272" s="13" t="s">
        <v>14689</v>
      </c>
      <c r="C2272" s="14" t="s">
        <v>783</v>
      </c>
      <c r="D2272" s="15" t="s">
        <v>3344</v>
      </c>
      <c r="E2272" s="16" t="s">
        <v>13018</v>
      </c>
      <c r="F2272" s="12">
        <v>43111.34856481482</v>
      </c>
      <c r="G2272" s="17" t="s">
        <v>13000</v>
      </c>
      <c r="H2272" s="35" t="s">
        <v>532</v>
      </c>
      <c r="I2272" s="18" t="s">
        <v>785</v>
      </c>
    </row>
    <row r="2273" spans="1:9" s="33" customFormat="1" ht="60">
      <c r="A2273" s="12">
        <v>43570.323101851856</v>
      </c>
      <c r="B2273" s="13" t="s">
        <v>14689</v>
      </c>
      <c r="C2273" s="14" t="s">
        <v>783</v>
      </c>
      <c r="D2273" s="15" t="s">
        <v>4234</v>
      </c>
      <c r="E2273" s="16" t="s">
        <v>13018</v>
      </c>
      <c r="F2273" s="12">
        <v>43111.34856481482</v>
      </c>
      <c r="G2273" s="17" t="s">
        <v>13000</v>
      </c>
      <c r="H2273" s="35" t="s">
        <v>532</v>
      </c>
      <c r="I2273" s="18" t="s">
        <v>785</v>
      </c>
    </row>
    <row r="2274" spans="1:9" s="33" customFormat="1" ht="60">
      <c r="A2274" s="12">
        <v>43569.376099537039</v>
      </c>
      <c r="B2274" s="13" t="s">
        <v>14689</v>
      </c>
      <c r="C2274" s="14" t="s">
        <v>783</v>
      </c>
      <c r="D2274" s="15" t="s">
        <v>4527</v>
      </c>
      <c r="E2274" s="16" t="s">
        <v>13018</v>
      </c>
      <c r="F2274" s="12">
        <v>43111.34856481482</v>
      </c>
      <c r="G2274" s="17" t="s">
        <v>13000</v>
      </c>
      <c r="H2274" s="35" t="s">
        <v>532</v>
      </c>
      <c r="I2274" s="18" t="s">
        <v>785</v>
      </c>
    </row>
    <row r="2275" spans="1:9" s="33" customFormat="1" ht="60">
      <c r="A2275" s="12">
        <v>43567.309155092589</v>
      </c>
      <c r="B2275" s="13" t="s">
        <v>14689</v>
      </c>
      <c r="C2275" s="14" t="s">
        <v>783</v>
      </c>
      <c r="D2275" s="15" t="s">
        <v>5174</v>
      </c>
      <c r="E2275" s="16" t="s">
        <v>13018</v>
      </c>
      <c r="F2275" s="12">
        <v>43111.34856481482</v>
      </c>
      <c r="G2275" s="17" t="s">
        <v>13000</v>
      </c>
      <c r="H2275" s="35" t="s">
        <v>532</v>
      </c>
      <c r="I2275" s="18" t="s">
        <v>785</v>
      </c>
    </row>
    <row r="2276" spans="1:9" s="33" customFormat="1" ht="90">
      <c r="A2276" s="12">
        <v>43566.376805555556</v>
      </c>
      <c r="B2276" s="13" t="s">
        <v>14692</v>
      </c>
      <c r="C2276" s="14" t="s">
        <v>5586</v>
      </c>
      <c r="D2276" s="15" t="s">
        <v>5587</v>
      </c>
      <c r="E2276" s="16" t="s">
        <v>13013</v>
      </c>
      <c r="F2276" s="12">
        <v>42015.687905092593</v>
      </c>
      <c r="G2276" s="17" t="s">
        <v>13000</v>
      </c>
      <c r="H2276" s="35" t="s">
        <v>532</v>
      </c>
      <c r="I2276" s="18" t="s">
        <v>5588</v>
      </c>
    </row>
    <row r="2277" spans="1:9" s="33" customFormat="1" ht="105">
      <c r="A2277" s="4">
        <v>43565.386111111111</v>
      </c>
      <c r="B2277" s="5" t="s">
        <v>14693</v>
      </c>
      <c r="C2277" s="6" t="s">
        <v>2849</v>
      </c>
      <c r="D2277" s="7" t="s">
        <v>6125</v>
      </c>
      <c r="E2277" s="8" t="s">
        <v>13120</v>
      </c>
      <c r="F2277" s="4">
        <v>40057.607789351852</v>
      </c>
      <c r="G2277" s="17" t="s">
        <v>13000</v>
      </c>
      <c r="H2277" s="35" t="s">
        <v>5578</v>
      </c>
      <c r="I2277" s="10" t="s">
        <v>5579</v>
      </c>
    </row>
    <row r="2278" spans="1:9" s="33" customFormat="1" ht="105">
      <c r="A2278" s="12">
        <v>43566.386111111111</v>
      </c>
      <c r="B2278" s="13" t="s">
        <v>14693</v>
      </c>
      <c r="C2278" s="14" t="s">
        <v>2849</v>
      </c>
      <c r="D2278" s="15" t="s">
        <v>5577</v>
      </c>
      <c r="E2278" s="16" t="s">
        <v>13120</v>
      </c>
      <c r="F2278" s="12">
        <v>40057.607789351852</v>
      </c>
      <c r="G2278" s="17" t="s">
        <v>13000</v>
      </c>
      <c r="H2278" s="35" t="s">
        <v>5578</v>
      </c>
      <c r="I2278" s="18" t="s">
        <v>5579</v>
      </c>
    </row>
    <row r="2279" spans="1:9" s="33" customFormat="1" ht="90">
      <c r="A2279" s="12">
        <v>43568.786539351851</v>
      </c>
      <c r="B2279" s="13" t="s">
        <v>14694</v>
      </c>
      <c r="C2279" s="14" t="s">
        <v>4657</v>
      </c>
      <c r="D2279" s="15" t="s">
        <v>4658</v>
      </c>
      <c r="E2279" s="16" t="s">
        <v>13013</v>
      </c>
      <c r="F2279" s="12">
        <v>40389.568784722222</v>
      </c>
      <c r="G2279" s="17" t="s">
        <v>13000</v>
      </c>
      <c r="H2279" s="35" t="s">
        <v>4659</v>
      </c>
      <c r="I2279" s="18" t="s">
        <v>4660</v>
      </c>
    </row>
    <row r="2280" spans="1:9" s="33" customFormat="1" ht="105">
      <c r="A2280" s="4">
        <v>43557.408761574072</v>
      </c>
      <c r="B2280" s="5" t="s">
        <v>14695</v>
      </c>
      <c r="C2280" s="6" t="s">
        <v>12523</v>
      </c>
      <c r="D2280" s="7" t="s">
        <v>12524</v>
      </c>
      <c r="E2280" s="8" t="s">
        <v>13009</v>
      </c>
      <c r="F2280" s="4">
        <v>39707.552766203706</v>
      </c>
      <c r="G2280" s="17" t="s">
        <v>13000</v>
      </c>
      <c r="H2280" s="35" t="s">
        <v>12525</v>
      </c>
      <c r="I2280" s="10" t="s">
        <v>12526</v>
      </c>
    </row>
    <row r="2281" spans="1:9" s="33" customFormat="1" ht="105">
      <c r="A2281" s="19">
        <v>43551.387719907405</v>
      </c>
      <c r="B2281" s="20" t="s">
        <v>14696</v>
      </c>
      <c r="C2281" s="21" t="s">
        <v>7252</v>
      </c>
      <c r="D2281" s="22" t="s">
        <v>7253</v>
      </c>
      <c r="E2281" s="23" t="s">
        <v>13009</v>
      </c>
      <c r="F2281" s="19">
        <v>40259.80709490741</v>
      </c>
      <c r="G2281" s="17" t="s">
        <v>13000</v>
      </c>
      <c r="H2281" s="35" t="s">
        <v>1114</v>
      </c>
      <c r="I2281" s="25" t="s">
        <v>7254</v>
      </c>
    </row>
    <row r="2282" spans="1:9" s="33" customFormat="1" ht="105">
      <c r="A2282" s="19">
        <v>43549.598414351851</v>
      </c>
      <c r="B2282" s="20" t="s">
        <v>14697</v>
      </c>
      <c r="C2282" s="21" t="s">
        <v>7974</v>
      </c>
      <c r="D2282" s="22" t="s">
        <v>7975</v>
      </c>
      <c r="E2282" s="23" t="s">
        <v>13027</v>
      </c>
      <c r="F2282" s="19">
        <v>43400.856053240743</v>
      </c>
      <c r="G2282" s="17" t="s">
        <v>13000</v>
      </c>
      <c r="H2282" s="35" t="s">
        <v>1114</v>
      </c>
      <c r="I2282" s="25" t="s">
        <v>7976</v>
      </c>
    </row>
    <row r="2283" spans="1:9" s="33" customFormat="1" ht="105">
      <c r="A2283" s="19">
        <v>43547.859236111108</v>
      </c>
      <c r="B2283" s="20" t="s">
        <v>14698</v>
      </c>
      <c r="C2283" s="21" t="s">
        <v>8463</v>
      </c>
      <c r="D2283" s="22" t="s">
        <v>8464</v>
      </c>
      <c r="E2283" s="23" t="s">
        <v>13032</v>
      </c>
      <c r="F2283" s="19">
        <v>40193.498460648145</v>
      </c>
      <c r="G2283" s="17" t="s">
        <v>13000</v>
      </c>
      <c r="H2283" s="35" t="s">
        <v>1114</v>
      </c>
      <c r="I2283" s="25" t="s">
        <v>8465</v>
      </c>
    </row>
    <row r="2284" spans="1:9" s="33" customFormat="1" ht="120">
      <c r="A2284" s="19">
        <v>43543.531273148154</v>
      </c>
      <c r="B2284" s="20" t="s">
        <v>14699</v>
      </c>
      <c r="C2284" s="21" t="s">
        <v>9771</v>
      </c>
      <c r="D2284" s="22" t="s">
        <v>9772</v>
      </c>
      <c r="E2284" s="23" t="s">
        <v>13034</v>
      </c>
      <c r="F2284" s="19">
        <v>42626.706053240741</v>
      </c>
      <c r="G2284" s="17" t="s">
        <v>13000</v>
      </c>
      <c r="H2284" s="35" t="s">
        <v>1114</v>
      </c>
      <c r="I2284" s="25" t="s">
        <v>9773</v>
      </c>
    </row>
    <row r="2285" spans="1:9" s="33" customFormat="1" ht="45">
      <c r="A2285" s="4">
        <v>43563.72456018519</v>
      </c>
      <c r="B2285" s="5" t="s">
        <v>14700</v>
      </c>
      <c r="C2285" s="6" t="s">
        <v>6912</v>
      </c>
      <c r="D2285" s="7" t="s">
        <v>6913</v>
      </c>
      <c r="E2285" s="8" t="s">
        <v>13032</v>
      </c>
      <c r="F2285" s="4">
        <v>40683.637708333335</v>
      </c>
      <c r="G2285" s="17" t="s">
        <v>13000</v>
      </c>
      <c r="H2285" s="35" t="s">
        <v>1114</v>
      </c>
      <c r="I2285" s="10" t="s">
        <v>6914</v>
      </c>
    </row>
    <row r="2286" spans="1:9" s="33" customFormat="1" ht="105">
      <c r="A2286" s="4">
        <v>43561.917280092588</v>
      </c>
      <c r="B2286" s="5" t="s">
        <v>14701</v>
      </c>
      <c r="C2286" s="6" t="s">
        <v>10797</v>
      </c>
      <c r="D2286" s="7" t="s">
        <v>10798</v>
      </c>
      <c r="E2286" s="8" t="s">
        <v>13120</v>
      </c>
      <c r="F2286" s="4">
        <v>41574.472187499996</v>
      </c>
      <c r="G2286" s="17" t="s">
        <v>13000</v>
      </c>
      <c r="H2286" s="35" t="s">
        <v>1114</v>
      </c>
      <c r="I2286" s="10" t="s">
        <v>10799</v>
      </c>
    </row>
    <row r="2287" spans="1:9" s="33" customFormat="1" ht="90">
      <c r="A2287" s="4">
        <v>43560.316782407404</v>
      </c>
      <c r="B2287" s="5" t="s">
        <v>14702</v>
      </c>
      <c r="C2287" s="6" t="s">
        <v>11451</v>
      </c>
      <c r="D2287" s="7" t="s">
        <v>11452</v>
      </c>
      <c r="E2287" s="8" t="s">
        <v>13011</v>
      </c>
      <c r="F2287" s="4">
        <v>40654.407407407409</v>
      </c>
      <c r="G2287" s="17" t="s">
        <v>13000</v>
      </c>
      <c r="H2287" s="35" t="s">
        <v>1114</v>
      </c>
      <c r="I2287" s="10" t="s">
        <v>11453</v>
      </c>
    </row>
    <row r="2288" spans="1:9" s="33" customFormat="1" ht="105">
      <c r="A2288" s="12">
        <v>43578.675254629634</v>
      </c>
      <c r="B2288" s="13" t="s">
        <v>14703</v>
      </c>
      <c r="C2288" s="14" t="s">
        <v>1112</v>
      </c>
      <c r="D2288" s="15" t="s">
        <v>1113</v>
      </c>
      <c r="E2288" s="16" t="s">
        <v>13013</v>
      </c>
      <c r="F2288" s="12">
        <v>39787.568495370375</v>
      </c>
      <c r="G2288" s="17" t="s">
        <v>13000</v>
      </c>
      <c r="H2288" s="35" t="s">
        <v>1114</v>
      </c>
      <c r="I2288" s="18" t="s">
        <v>1115</v>
      </c>
    </row>
    <row r="2289" spans="1:9" s="33" customFormat="1" ht="75">
      <c r="A2289" s="12">
        <v>43572.271886574075</v>
      </c>
      <c r="B2289" s="13" t="s">
        <v>14704</v>
      </c>
      <c r="C2289" s="14" t="s">
        <v>3355</v>
      </c>
      <c r="D2289" s="15" t="s">
        <v>3356</v>
      </c>
      <c r="E2289" s="16" t="s">
        <v>13009</v>
      </c>
      <c r="F2289" s="12">
        <v>40894.682835648149</v>
      </c>
      <c r="G2289" s="17" t="s">
        <v>13000</v>
      </c>
      <c r="H2289" s="35" t="s">
        <v>1114</v>
      </c>
      <c r="I2289" s="18" t="s">
        <v>3357</v>
      </c>
    </row>
    <row r="2290" spans="1:9" s="33" customFormat="1" ht="120">
      <c r="A2290" s="12">
        <v>43567.322233796294</v>
      </c>
      <c r="B2290" s="13" t="s">
        <v>14705</v>
      </c>
      <c r="C2290" s="14" t="s">
        <v>5164</v>
      </c>
      <c r="D2290" s="15" t="s">
        <v>5165</v>
      </c>
      <c r="E2290" s="16" t="s">
        <v>13034</v>
      </c>
      <c r="F2290" s="12">
        <v>42068.410601851851</v>
      </c>
      <c r="G2290" s="17" t="s">
        <v>13000</v>
      </c>
      <c r="H2290" s="35" t="s">
        <v>1114</v>
      </c>
      <c r="I2290" s="18" t="s">
        <v>5166</v>
      </c>
    </row>
    <row r="2291" spans="1:9" s="33" customFormat="1" ht="90">
      <c r="A2291" s="12">
        <v>43566.875173611115</v>
      </c>
      <c r="B2291" s="13" t="s">
        <v>14706</v>
      </c>
      <c r="C2291" s="14" t="s">
        <v>5313</v>
      </c>
      <c r="D2291" s="15" t="s">
        <v>5314</v>
      </c>
      <c r="E2291" s="16" t="s">
        <v>13009</v>
      </c>
      <c r="F2291" s="12">
        <v>39825.411122685182</v>
      </c>
      <c r="G2291" s="17" t="s">
        <v>13000</v>
      </c>
      <c r="H2291" s="35" t="s">
        <v>1114</v>
      </c>
      <c r="I2291" s="18" t="s">
        <v>5315</v>
      </c>
    </row>
    <row r="2292" spans="1:9" s="33" customFormat="1" ht="105">
      <c r="A2292" s="12">
        <v>43578.582673611112</v>
      </c>
      <c r="B2292" s="13" t="s">
        <v>14707</v>
      </c>
      <c r="C2292" s="14" t="s">
        <v>1147</v>
      </c>
      <c r="D2292" s="15" t="s">
        <v>1148</v>
      </c>
      <c r="E2292" s="16" t="s">
        <v>13009</v>
      </c>
      <c r="F2292" s="12">
        <v>40028.629282407404</v>
      </c>
      <c r="G2292" s="17" t="s">
        <v>13000</v>
      </c>
      <c r="H2292" s="35" t="s">
        <v>1149</v>
      </c>
      <c r="I2292" s="18" t="s">
        <v>1150</v>
      </c>
    </row>
    <row r="2293" spans="1:9" s="33" customFormat="1" ht="60">
      <c r="A2293" s="12">
        <v>43572.756539351853</v>
      </c>
      <c r="B2293" s="13" t="s">
        <v>14708</v>
      </c>
      <c r="C2293" s="14" t="s">
        <v>3098</v>
      </c>
      <c r="D2293" s="15" t="s">
        <v>3099</v>
      </c>
      <c r="E2293" s="16" t="s">
        <v>13032</v>
      </c>
      <c r="F2293" s="12">
        <v>40605.898356481484</v>
      </c>
      <c r="G2293" s="17" t="s">
        <v>13000</v>
      </c>
      <c r="H2293" s="35" t="s">
        <v>3100</v>
      </c>
      <c r="I2293" s="18" t="s">
        <v>3101</v>
      </c>
    </row>
    <row r="2294" spans="1:9" s="33" customFormat="1" ht="105">
      <c r="A2294" s="19">
        <v>43551.741030092591</v>
      </c>
      <c r="B2294" s="20" t="s">
        <v>14709</v>
      </c>
      <c r="C2294" s="21" t="s">
        <v>4966</v>
      </c>
      <c r="D2294" s="22" t="s">
        <v>7016</v>
      </c>
      <c r="E2294" s="23" t="s">
        <v>13011</v>
      </c>
      <c r="F2294" s="19">
        <v>40276.705694444448</v>
      </c>
      <c r="G2294" s="17" t="s">
        <v>13000</v>
      </c>
      <c r="H2294" s="35" t="s">
        <v>4968</v>
      </c>
      <c r="I2294" s="25" t="s">
        <v>4969</v>
      </c>
    </row>
    <row r="2295" spans="1:9" s="33" customFormat="1" ht="105">
      <c r="A2295" s="4">
        <v>43564.867418981477</v>
      </c>
      <c r="B2295" s="5" t="s">
        <v>14709</v>
      </c>
      <c r="C2295" s="6" t="s">
        <v>4966</v>
      </c>
      <c r="D2295" s="7" t="s">
        <v>6393</v>
      </c>
      <c r="E2295" s="8" t="s">
        <v>13011</v>
      </c>
      <c r="F2295" s="4">
        <v>40276.705694444448</v>
      </c>
      <c r="G2295" s="17" t="s">
        <v>13000</v>
      </c>
      <c r="H2295" s="35" t="s">
        <v>4968</v>
      </c>
      <c r="I2295" s="10" t="s">
        <v>4969</v>
      </c>
    </row>
    <row r="2296" spans="1:9" s="33" customFormat="1" ht="105">
      <c r="A2296" s="12">
        <v>43567.744467592594</v>
      </c>
      <c r="B2296" s="13" t="s">
        <v>14709</v>
      </c>
      <c r="C2296" s="14" t="s">
        <v>4966</v>
      </c>
      <c r="D2296" s="15" t="s">
        <v>4967</v>
      </c>
      <c r="E2296" s="16" t="s">
        <v>13011</v>
      </c>
      <c r="F2296" s="12">
        <v>40276.705694444448</v>
      </c>
      <c r="G2296" s="17" t="s">
        <v>13000</v>
      </c>
      <c r="H2296" s="35" t="s">
        <v>4968</v>
      </c>
      <c r="I2296" s="18" t="s">
        <v>4969</v>
      </c>
    </row>
    <row r="2297" spans="1:9" s="33" customFormat="1" ht="105">
      <c r="A2297" s="4">
        <v>43564.370081018518</v>
      </c>
      <c r="B2297" s="5" t="s">
        <v>14710</v>
      </c>
      <c r="C2297" s="6" t="s">
        <v>2885</v>
      </c>
      <c r="D2297" s="7" t="s">
        <v>6657</v>
      </c>
      <c r="E2297" s="8" t="s">
        <v>13027</v>
      </c>
      <c r="F2297" s="4">
        <v>43526.678217592591</v>
      </c>
      <c r="G2297" s="17" t="s">
        <v>13000</v>
      </c>
      <c r="H2297" s="35" t="s">
        <v>2887</v>
      </c>
      <c r="I2297" s="10" t="s">
        <v>2888</v>
      </c>
    </row>
    <row r="2298" spans="1:9" s="33" customFormat="1" ht="105">
      <c r="A2298" s="4">
        <v>43562.369479166664</v>
      </c>
      <c r="B2298" s="5" t="s">
        <v>14710</v>
      </c>
      <c r="C2298" s="6" t="s">
        <v>2885</v>
      </c>
      <c r="D2298" s="7" t="s">
        <v>10695</v>
      </c>
      <c r="E2298" s="8" t="s">
        <v>13027</v>
      </c>
      <c r="F2298" s="4">
        <v>43526.678217592591</v>
      </c>
      <c r="G2298" s="17" t="s">
        <v>13000</v>
      </c>
      <c r="H2298" s="35" t="s">
        <v>2887</v>
      </c>
      <c r="I2298" s="10" t="s">
        <v>2888</v>
      </c>
    </row>
    <row r="2299" spans="1:9" s="33" customFormat="1" ht="105">
      <c r="A2299" s="4">
        <v>43559.411793981482</v>
      </c>
      <c r="B2299" s="5" t="s">
        <v>14710</v>
      </c>
      <c r="C2299" s="6" t="s">
        <v>2885</v>
      </c>
      <c r="D2299" s="7" t="s">
        <v>11843</v>
      </c>
      <c r="E2299" s="8" t="s">
        <v>13027</v>
      </c>
      <c r="F2299" s="4">
        <v>43526.678217592591</v>
      </c>
      <c r="G2299" s="17" t="s">
        <v>13000</v>
      </c>
      <c r="H2299" s="35" t="s">
        <v>2887</v>
      </c>
      <c r="I2299" s="10" t="s">
        <v>2888</v>
      </c>
    </row>
    <row r="2300" spans="1:9" s="33" customFormat="1" ht="105">
      <c r="A2300" s="4">
        <v>43558.411712962959</v>
      </c>
      <c r="B2300" s="5" t="s">
        <v>14710</v>
      </c>
      <c r="C2300" s="6" t="s">
        <v>2885</v>
      </c>
      <c r="D2300" s="7" t="s">
        <v>12205</v>
      </c>
      <c r="E2300" s="8" t="s">
        <v>13027</v>
      </c>
      <c r="F2300" s="4">
        <v>43526.678217592591</v>
      </c>
      <c r="G2300" s="17" t="s">
        <v>13000</v>
      </c>
      <c r="H2300" s="35" t="s">
        <v>2887</v>
      </c>
      <c r="I2300" s="10" t="s">
        <v>2888</v>
      </c>
    </row>
    <row r="2301" spans="1:9" s="33" customFormat="1" ht="105">
      <c r="A2301" s="4">
        <v>43557.671377314815</v>
      </c>
      <c r="B2301" s="5" t="s">
        <v>14711</v>
      </c>
      <c r="C2301" s="6" t="s">
        <v>12413</v>
      </c>
      <c r="D2301" s="7" t="s">
        <v>12414</v>
      </c>
      <c r="E2301" s="8" t="s">
        <v>13009</v>
      </c>
      <c r="F2301" s="4">
        <v>39975.542048611111</v>
      </c>
      <c r="G2301" s="17" t="s">
        <v>13000</v>
      </c>
      <c r="H2301" s="35" t="s">
        <v>2887</v>
      </c>
      <c r="I2301" s="10" t="s">
        <v>12415</v>
      </c>
    </row>
    <row r="2302" spans="1:9" s="33" customFormat="1" ht="105">
      <c r="A2302" s="12">
        <v>43573.411863425921</v>
      </c>
      <c r="B2302" s="13" t="s">
        <v>14710</v>
      </c>
      <c r="C2302" s="14" t="s">
        <v>2885</v>
      </c>
      <c r="D2302" s="15" t="s">
        <v>2886</v>
      </c>
      <c r="E2302" s="16" t="s">
        <v>13027</v>
      </c>
      <c r="F2302" s="12">
        <v>43526.678217592591</v>
      </c>
      <c r="G2302" s="17" t="s">
        <v>13000</v>
      </c>
      <c r="H2302" s="35" t="s">
        <v>2887</v>
      </c>
      <c r="I2302" s="18" t="s">
        <v>2888</v>
      </c>
    </row>
    <row r="2303" spans="1:9" s="33" customFormat="1" ht="105">
      <c r="A2303" s="12">
        <v>43572.827719907407</v>
      </c>
      <c r="B2303" s="13" t="s">
        <v>14710</v>
      </c>
      <c r="C2303" s="14" t="s">
        <v>2885</v>
      </c>
      <c r="D2303" s="15" t="s">
        <v>3083</v>
      </c>
      <c r="E2303" s="16" t="s">
        <v>13027</v>
      </c>
      <c r="F2303" s="12">
        <v>43526.678217592591</v>
      </c>
      <c r="G2303" s="17" t="s">
        <v>13000</v>
      </c>
      <c r="H2303" s="35" t="s">
        <v>2887</v>
      </c>
      <c r="I2303" s="18" t="s">
        <v>2888</v>
      </c>
    </row>
    <row r="2304" spans="1:9" s="33" customFormat="1" ht="105">
      <c r="A2304" s="12">
        <v>43570.369513888887</v>
      </c>
      <c r="B2304" s="13" t="s">
        <v>14710</v>
      </c>
      <c r="C2304" s="14" t="s">
        <v>2885</v>
      </c>
      <c r="D2304" s="15" t="s">
        <v>4204</v>
      </c>
      <c r="E2304" s="16" t="s">
        <v>13027</v>
      </c>
      <c r="F2304" s="12">
        <v>43526.678217592591</v>
      </c>
      <c r="G2304" s="17" t="s">
        <v>13000</v>
      </c>
      <c r="H2304" s="35" t="s">
        <v>2887</v>
      </c>
      <c r="I2304" s="18" t="s">
        <v>2888</v>
      </c>
    </row>
    <row r="2305" spans="1:9" s="33" customFormat="1" ht="120">
      <c r="A2305" s="4">
        <v>43561.675266203703</v>
      </c>
      <c r="B2305" s="5" t="s">
        <v>14712</v>
      </c>
      <c r="C2305" s="6" t="s">
        <v>2112</v>
      </c>
      <c r="D2305" s="7" t="s">
        <v>10874</v>
      </c>
      <c r="E2305" s="8" t="s">
        <v>13009</v>
      </c>
      <c r="F2305" s="4">
        <v>43561.59584490741</v>
      </c>
      <c r="G2305" s="17" t="s">
        <v>13000</v>
      </c>
      <c r="H2305" s="35" t="s">
        <v>2114</v>
      </c>
      <c r="I2305" s="10" t="s">
        <v>2115</v>
      </c>
    </row>
    <row r="2306" spans="1:9" s="33" customFormat="1" ht="120">
      <c r="A2306" s="12">
        <v>43575.788124999999</v>
      </c>
      <c r="B2306" s="13" t="s">
        <v>14712</v>
      </c>
      <c r="C2306" s="14" t="s">
        <v>2112</v>
      </c>
      <c r="D2306" s="15" t="s">
        <v>2113</v>
      </c>
      <c r="E2306" s="16" t="s">
        <v>13009</v>
      </c>
      <c r="F2306" s="12">
        <v>43561.59584490741</v>
      </c>
      <c r="G2306" s="17" t="s">
        <v>13000</v>
      </c>
      <c r="H2306" s="35" t="s">
        <v>2114</v>
      </c>
      <c r="I2306" s="18" t="s">
        <v>2115</v>
      </c>
    </row>
    <row r="2307" spans="1:9" s="33" customFormat="1" ht="120">
      <c r="A2307" s="12">
        <v>43575.364525462966</v>
      </c>
      <c r="B2307" s="13" t="s">
        <v>14712</v>
      </c>
      <c r="C2307" s="14" t="s">
        <v>2112</v>
      </c>
      <c r="D2307" s="15" t="s">
        <v>2256</v>
      </c>
      <c r="E2307" s="16" t="s">
        <v>13009</v>
      </c>
      <c r="F2307" s="12">
        <v>43561.59584490741</v>
      </c>
      <c r="G2307" s="17" t="s">
        <v>13000</v>
      </c>
      <c r="H2307" s="35" t="s">
        <v>2114</v>
      </c>
      <c r="I2307" s="18" t="s">
        <v>2115</v>
      </c>
    </row>
    <row r="2308" spans="1:9" s="33" customFormat="1" ht="90">
      <c r="A2308" s="4">
        <v>43559.646979166668</v>
      </c>
      <c r="B2308" s="5" t="s">
        <v>14713</v>
      </c>
      <c r="C2308" s="6" t="s">
        <v>11713</v>
      </c>
      <c r="D2308" s="7" t="s">
        <v>11714</v>
      </c>
      <c r="E2308" s="8" t="s">
        <v>13032</v>
      </c>
      <c r="F2308" s="4">
        <v>39839.331817129627</v>
      </c>
      <c r="G2308" s="17" t="s">
        <v>13000</v>
      </c>
      <c r="H2308" s="35" t="s">
        <v>11715</v>
      </c>
      <c r="I2308" s="10" t="s">
        <v>11716</v>
      </c>
    </row>
    <row r="2309" spans="1:9" s="33" customFormat="1" ht="45">
      <c r="A2309" s="19">
        <v>43548.352152777778</v>
      </c>
      <c r="B2309" s="20" t="s">
        <v>14714</v>
      </c>
      <c r="C2309" s="21" t="s">
        <v>2611</v>
      </c>
      <c r="D2309" s="22" t="s">
        <v>8347</v>
      </c>
      <c r="E2309" s="23" t="s">
        <v>13032</v>
      </c>
      <c r="F2309" s="19">
        <v>40240.330555555556</v>
      </c>
      <c r="G2309" s="17" t="s">
        <v>13000</v>
      </c>
      <c r="H2309" s="35" t="s">
        <v>2613</v>
      </c>
      <c r="I2309" s="25" t="s">
        <v>2614</v>
      </c>
    </row>
    <row r="2310" spans="1:9" s="33" customFormat="1" ht="75">
      <c r="A2310" s="4">
        <v>43564.237766203703</v>
      </c>
      <c r="B2310" s="5" t="s">
        <v>14714</v>
      </c>
      <c r="C2310" s="6" t="s">
        <v>2611</v>
      </c>
      <c r="D2310" s="7" t="s">
        <v>6726</v>
      </c>
      <c r="E2310" s="8" t="s">
        <v>13011</v>
      </c>
      <c r="F2310" s="4">
        <v>40240.330555555556</v>
      </c>
      <c r="G2310" s="17" t="s">
        <v>13000</v>
      </c>
      <c r="H2310" s="35" t="s">
        <v>2613</v>
      </c>
      <c r="I2310" s="10" t="s">
        <v>2614</v>
      </c>
    </row>
    <row r="2311" spans="1:9" s="33" customFormat="1" ht="60">
      <c r="A2311" s="4">
        <v>43563.303171296298</v>
      </c>
      <c r="B2311" s="5" t="s">
        <v>14714</v>
      </c>
      <c r="C2311" s="6" t="s">
        <v>2611</v>
      </c>
      <c r="D2311" s="7" t="s">
        <v>10389</v>
      </c>
      <c r="E2311" s="8" t="s">
        <v>13032</v>
      </c>
      <c r="F2311" s="4">
        <v>40240.330555555556</v>
      </c>
      <c r="G2311" s="17" t="s">
        <v>13000</v>
      </c>
      <c r="H2311" s="35" t="s">
        <v>2613</v>
      </c>
      <c r="I2311" s="10" t="s">
        <v>2614</v>
      </c>
    </row>
    <row r="2312" spans="1:9" s="33" customFormat="1" ht="75">
      <c r="A2312" s="12">
        <v>43574.302094907413</v>
      </c>
      <c r="B2312" s="13" t="s">
        <v>14714</v>
      </c>
      <c r="C2312" s="14" t="s">
        <v>2611</v>
      </c>
      <c r="D2312" s="15" t="s">
        <v>2612</v>
      </c>
      <c r="E2312" s="16" t="s">
        <v>13011</v>
      </c>
      <c r="F2312" s="12">
        <v>40240.330555555556</v>
      </c>
      <c r="G2312" s="17" t="s">
        <v>13000</v>
      </c>
      <c r="H2312" s="35" t="s">
        <v>2613</v>
      </c>
      <c r="I2312" s="18" t="s">
        <v>2614</v>
      </c>
    </row>
    <row r="2313" spans="1:9" s="33" customFormat="1" ht="60">
      <c r="A2313" s="12">
        <v>43570.641875000001</v>
      </c>
      <c r="B2313" s="13" t="s">
        <v>14714</v>
      </c>
      <c r="C2313" s="14" t="s">
        <v>2611</v>
      </c>
      <c r="D2313" s="15" t="s">
        <v>4012</v>
      </c>
      <c r="E2313" s="16" t="s">
        <v>13032</v>
      </c>
      <c r="F2313" s="12">
        <v>40240.330555555556</v>
      </c>
      <c r="G2313" s="17" t="s">
        <v>13000</v>
      </c>
      <c r="H2313" s="35" t="s">
        <v>2613</v>
      </c>
      <c r="I2313" s="18" t="s">
        <v>2614</v>
      </c>
    </row>
    <row r="2314" spans="1:9" s="33" customFormat="1" ht="60">
      <c r="A2314" s="12">
        <v>43568.66479166667</v>
      </c>
      <c r="B2314" s="13" t="s">
        <v>14714</v>
      </c>
      <c r="C2314" s="14" t="s">
        <v>2611</v>
      </c>
      <c r="D2314" s="15" t="s">
        <v>4672</v>
      </c>
      <c r="E2314" s="16" t="s">
        <v>13032</v>
      </c>
      <c r="F2314" s="12">
        <v>40240.330555555556</v>
      </c>
      <c r="G2314" s="17" t="s">
        <v>13000</v>
      </c>
      <c r="H2314" s="35" t="s">
        <v>2613</v>
      </c>
      <c r="I2314" s="18" t="s">
        <v>2614</v>
      </c>
    </row>
    <row r="2315" spans="1:9" s="33" customFormat="1" ht="90">
      <c r="A2315" s="12">
        <v>43566.417581018519</v>
      </c>
      <c r="B2315" s="13" t="s">
        <v>14714</v>
      </c>
      <c r="C2315" s="14" t="s">
        <v>2611</v>
      </c>
      <c r="D2315" s="15" t="s">
        <v>5547</v>
      </c>
      <c r="E2315" s="16" t="s">
        <v>13011</v>
      </c>
      <c r="F2315" s="12">
        <v>40240.330555555556</v>
      </c>
      <c r="G2315" s="17" t="s">
        <v>13000</v>
      </c>
      <c r="H2315" s="35" t="s">
        <v>2613</v>
      </c>
      <c r="I2315" s="18" t="s">
        <v>2614</v>
      </c>
    </row>
    <row r="2316" spans="1:9" s="33" customFormat="1" ht="90">
      <c r="A2316" s="12">
        <v>43579.513298611113</v>
      </c>
      <c r="B2316" s="13" t="s">
        <v>14715</v>
      </c>
      <c r="C2316" s="14" t="s">
        <v>609</v>
      </c>
      <c r="D2316" s="15" t="s">
        <v>610</v>
      </c>
      <c r="E2316" s="16" t="s">
        <v>13027</v>
      </c>
      <c r="F2316" s="12">
        <v>41627.867488425924</v>
      </c>
      <c r="G2316" s="17" t="s">
        <v>13000</v>
      </c>
      <c r="H2316" s="35" t="s">
        <v>611</v>
      </c>
      <c r="I2316" s="18" t="s">
        <v>612</v>
      </c>
    </row>
    <row r="2317" spans="1:9" s="33" customFormat="1" ht="90">
      <c r="A2317" s="12">
        <v>43573.40829861111</v>
      </c>
      <c r="B2317" s="13" t="s">
        <v>14715</v>
      </c>
      <c r="C2317" s="14" t="s">
        <v>609</v>
      </c>
      <c r="D2317" s="15" t="s">
        <v>2889</v>
      </c>
      <c r="E2317" s="16" t="s">
        <v>13027</v>
      </c>
      <c r="F2317" s="12">
        <v>41627.867488425924</v>
      </c>
      <c r="G2317" s="17" t="s">
        <v>13000</v>
      </c>
      <c r="H2317" s="35" t="s">
        <v>611</v>
      </c>
      <c r="I2317" s="18" t="s">
        <v>612</v>
      </c>
    </row>
    <row r="2318" spans="1:9" s="33" customFormat="1" ht="75">
      <c r="A2318" s="12">
        <v>43571.784039351856</v>
      </c>
      <c r="B2318" s="13" t="s">
        <v>14716</v>
      </c>
      <c r="C2318" s="14" t="s">
        <v>3549</v>
      </c>
      <c r="D2318" s="15" t="s">
        <v>3550</v>
      </c>
      <c r="E2318" s="16" t="s">
        <v>13032</v>
      </c>
      <c r="F2318" s="12">
        <v>39994.898553240739</v>
      </c>
      <c r="G2318" s="24" t="s">
        <v>13000</v>
      </c>
      <c r="H2318" s="35" t="s">
        <v>3551</v>
      </c>
      <c r="I2318" s="18" t="s">
        <v>3552</v>
      </c>
    </row>
    <row r="2319" spans="1:9" s="33" customFormat="1" ht="105">
      <c r="A2319" s="12">
        <v>43567.604166666672</v>
      </c>
      <c r="B2319" s="13" t="s">
        <v>14717</v>
      </c>
      <c r="C2319" s="14" t="s">
        <v>5026</v>
      </c>
      <c r="D2319" s="15" t="s">
        <v>5027</v>
      </c>
      <c r="E2319" s="16" t="s">
        <v>13490</v>
      </c>
      <c r="F2319" s="12">
        <v>41337.403796296298</v>
      </c>
      <c r="G2319" s="24" t="s">
        <v>13000</v>
      </c>
      <c r="H2319" s="35" t="s">
        <v>5028</v>
      </c>
      <c r="I2319" s="18" t="s">
        <v>5029</v>
      </c>
    </row>
    <row r="2320" spans="1:9" s="33" customFormat="1" ht="90">
      <c r="A2320" s="4">
        <v>43558.523634259254</v>
      </c>
      <c r="B2320" s="5" t="s">
        <v>14718</v>
      </c>
      <c r="C2320" s="6" t="s">
        <v>12143</v>
      </c>
      <c r="D2320" s="7" t="s">
        <v>12144</v>
      </c>
      <c r="E2320" s="8" t="s">
        <v>13034</v>
      </c>
      <c r="F2320" s="4">
        <v>41642.631493055553</v>
      </c>
      <c r="G2320" s="24" t="s">
        <v>13000</v>
      </c>
      <c r="H2320" s="35" t="s">
        <v>595</v>
      </c>
      <c r="I2320" s="10" t="s">
        <v>12145</v>
      </c>
    </row>
    <row r="2321" spans="1:9" s="33" customFormat="1" ht="105">
      <c r="A2321" s="12">
        <v>43579.535370370373</v>
      </c>
      <c r="B2321" s="13" t="s">
        <v>14719</v>
      </c>
      <c r="C2321" s="14" t="s">
        <v>593</v>
      </c>
      <c r="D2321" s="15" t="s">
        <v>594</v>
      </c>
      <c r="E2321" s="16" t="s">
        <v>13009</v>
      </c>
      <c r="F2321" s="12">
        <v>43557.621898148151</v>
      </c>
      <c r="G2321" s="24" t="s">
        <v>13000</v>
      </c>
      <c r="H2321" s="35" t="s">
        <v>595</v>
      </c>
      <c r="I2321" s="18" t="s">
        <v>596</v>
      </c>
    </row>
    <row r="2322" spans="1:9" s="33" customFormat="1" ht="105">
      <c r="A2322" s="12">
        <v>43574.780497685184</v>
      </c>
      <c r="B2322" s="13" t="s">
        <v>14720</v>
      </c>
      <c r="C2322" s="14" t="s">
        <v>2452</v>
      </c>
      <c r="D2322" s="15" t="s">
        <v>2453</v>
      </c>
      <c r="E2322" s="16" t="s">
        <v>14721</v>
      </c>
      <c r="F2322" s="12">
        <v>40221.335636574076</v>
      </c>
      <c r="G2322" s="24" t="s">
        <v>13000</v>
      </c>
      <c r="H2322" s="35" t="s">
        <v>595</v>
      </c>
      <c r="I2322" s="18" t="s">
        <v>2454</v>
      </c>
    </row>
    <row r="2323" spans="1:9" s="33" customFormat="1" ht="120">
      <c r="A2323" s="19">
        <v>43542.648483796293</v>
      </c>
      <c r="B2323" s="20" t="s">
        <v>14722</v>
      </c>
      <c r="C2323" s="21" t="s">
        <v>10045</v>
      </c>
      <c r="D2323" s="22" t="s">
        <v>10046</v>
      </c>
      <c r="E2323" s="23" t="s">
        <v>13009</v>
      </c>
      <c r="F2323" s="19">
        <v>42593.38380787037</v>
      </c>
      <c r="G2323" s="24" t="s">
        <v>13000</v>
      </c>
      <c r="H2323" s="35" t="s">
        <v>10047</v>
      </c>
      <c r="I2323" s="25" t="s">
        <v>10048</v>
      </c>
    </row>
    <row r="2324" spans="1:9" s="33" customFormat="1" ht="120">
      <c r="A2324" s="12">
        <v>43576.80532407407</v>
      </c>
      <c r="B2324" s="13" t="s">
        <v>14723</v>
      </c>
      <c r="C2324" s="14" t="s">
        <v>1827</v>
      </c>
      <c r="D2324" s="15" t="s">
        <v>1828</v>
      </c>
      <c r="E2324" s="16" t="s">
        <v>13009</v>
      </c>
      <c r="F2324" s="12">
        <v>40864.467546296299</v>
      </c>
      <c r="G2324" s="24" t="s">
        <v>13000</v>
      </c>
      <c r="H2324" s="35" t="s">
        <v>1829</v>
      </c>
      <c r="I2324" s="18" t="s">
        <v>1830</v>
      </c>
    </row>
    <row r="2325" spans="1:9" s="33" customFormat="1" ht="60">
      <c r="A2325" s="19">
        <v>43545.036238425921</v>
      </c>
      <c r="B2325" s="20" t="s">
        <v>14724</v>
      </c>
      <c r="C2325" s="21" t="s">
        <v>9291</v>
      </c>
      <c r="D2325" s="22" t="s">
        <v>9292</v>
      </c>
      <c r="E2325" s="23" t="s">
        <v>13032</v>
      </c>
      <c r="F2325" s="19">
        <v>43366.439375000002</v>
      </c>
      <c r="G2325" s="24" t="s">
        <v>13000</v>
      </c>
      <c r="H2325" s="35" t="s">
        <v>9293</v>
      </c>
      <c r="I2325" s="25"/>
    </row>
    <row r="2326" spans="1:9" s="33" customFormat="1" ht="75">
      <c r="A2326" s="12">
        <v>43570.226469907408</v>
      </c>
      <c r="B2326" s="13" t="s">
        <v>14725</v>
      </c>
      <c r="C2326" s="14" t="s">
        <v>4290</v>
      </c>
      <c r="D2326" s="15" t="s">
        <v>4291</v>
      </c>
      <c r="E2326" s="16" t="s">
        <v>13120</v>
      </c>
      <c r="F2326" s="12">
        <v>39156.577245370368</v>
      </c>
      <c r="G2326" s="17" t="s">
        <v>13000</v>
      </c>
      <c r="H2326" s="35" t="s">
        <v>4292</v>
      </c>
      <c r="I2326" s="18" t="s">
        <v>4293</v>
      </c>
    </row>
    <row r="2327" spans="1:9" s="33" customFormat="1" ht="75">
      <c r="A2327" s="12">
        <v>43569.283206018517</v>
      </c>
      <c r="B2327" s="13" t="s">
        <v>14725</v>
      </c>
      <c r="C2327" s="14" t="s">
        <v>4290</v>
      </c>
      <c r="D2327" s="15" t="s">
        <v>4565</v>
      </c>
      <c r="E2327" s="16" t="s">
        <v>13120</v>
      </c>
      <c r="F2327" s="12">
        <v>39156.577245370368</v>
      </c>
      <c r="G2327" s="17" t="s">
        <v>13000</v>
      </c>
      <c r="H2327" s="35" t="s">
        <v>4292</v>
      </c>
      <c r="I2327" s="18" t="s">
        <v>4293</v>
      </c>
    </row>
    <row r="2328" spans="1:9" s="33" customFormat="1" ht="75">
      <c r="A2328" s="4">
        <v>43563.281388888892</v>
      </c>
      <c r="B2328" s="5" t="s">
        <v>14726</v>
      </c>
      <c r="C2328" s="6" t="s">
        <v>10411</v>
      </c>
      <c r="D2328" s="7" t="s">
        <v>10412</v>
      </c>
      <c r="E2328" s="8" t="s">
        <v>13011</v>
      </c>
      <c r="F2328" s="4">
        <v>41527.774780092594</v>
      </c>
      <c r="G2328" s="9" t="s">
        <v>13000</v>
      </c>
      <c r="H2328" s="35" t="s">
        <v>10413</v>
      </c>
      <c r="I2328" s="10" t="s">
        <v>10414</v>
      </c>
    </row>
    <row r="2329" spans="1:9" s="33" customFormat="1" ht="105">
      <c r="A2329" s="4">
        <v>43561.961076388892</v>
      </c>
      <c r="B2329" s="5" t="s">
        <v>14726</v>
      </c>
      <c r="C2329" s="6" t="s">
        <v>10411</v>
      </c>
      <c r="D2329" s="7" t="s">
        <v>10793</v>
      </c>
      <c r="E2329" s="8" t="s">
        <v>13011</v>
      </c>
      <c r="F2329" s="4">
        <v>41527.774780092594</v>
      </c>
      <c r="G2329" s="9" t="s">
        <v>13000</v>
      </c>
      <c r="H2329" s="35" t="s">
        <v>10413</v>
      </c>
      <c r="I2329" s="10" t="s">
        <v>10414</v>
      </c>
    </row>
    <row r="2330" spans="1:9" s="33" customFormat="1" ht="120">
      <c r="A2330" s="19">
        <v>43542.975254629629</v>
      </c>
      <c r="B2330" s="20" t="s">
        <v>14727</v>
      </c>
      <c r="C2330" s="21" t="s">
        <v>9973</v>
      </c>
      <c r="D2330" s="22" t="s">
        <v>9974</v>
      </c>
      <c r="E2330" s="23" t="s">
        <v>13009</v>
      </c>
      <c r="F2330" s="19">
        <v>41750.68818287037</v>
      </c>
      <c r="G2330" s="24" t="s">
        <v>13000</v>
      </c>
      <c r="H2330" s="35" t="s">
        <v>9975</v>
      </c>
      <c r="I2330" s="25" t="s">
        <v>9976</v>
      </c>
    </row>
    <row r="2331" spans="1:9" s="33" customFormat="1" ht="135">
      <c r="A2331" s="19">
        <v>43549.409143518518</v>
      </c>
      <c r="B2331" s="20" t="s">
        <v>14728</v>
      </c>
      <c r="C2331" s="21" t="s">
        <v>2033</v>
      </c>
      <c r="D2331" s="22" t="s">
        <v>8047</v>
      </c>
      <c r="E2331" s="23" t="s">
        <v>13009</v>
      </c>
      <c r="F2331" s="19">
        <v>42490.355833333335</v>
      </c>
      <c r="G2331" s="17" t="s">
        <v>13000</v>
      </c>
      <c r="H2331" s="35" t="s">
        <v>1495</v>
      </c>
      <c r="I2331" s="25" t="s">
        <v>2035</v>
      </c>
    </row>
    <row r="2332" spans="1:9" s="33" customFormat="1" ht="135">
      <c r="A2332" s="19">
        <v>43549.402245370366</v>
      </c>
      <c r="B2332" s="20" t="s">
        <v>14728</v>
      </c>
      <c r="C2332" s="21" t="s">
        <v>2033</v>
      </c>
      <c r="D2332" s="22" t="s">
        <v>8059</v>
      </c>
      <c r="E2332" s="23" t="s">
        <v>13009</v>
      </c>
      <c r="F2332" s="19">
        <v>42490.355833333335</v>
      </c>
      <c r="G2332" s="17" t="s">
        <v>13000</v>
      </c>
      <c r="H2332" s="35" t="s">
        <v>1495</v>
      </c>
      <c r="I2332" s="25" t="s">
        <v>2035</v>
      </c>
    </row>
    <row r="2333" spans="1:9" s="33" customFormat="1" ht="135">
      <c r="A2333" s="19">
        <v>43549.188449074078</v>
      </c>
      <c r="B2333" s="20" t="s">
        <v>14728</v>
      </c>
      <c r="C2333" s="21" t="s">
        <v>2033</v>
      </c>
      <c r="D2333" s="22" t="s">
        <v>8133</v>
      </c>
      <c r="E2333" s="23" t="s">
        <v>13009</v>
      </c>
      <c r="F2333" s="19">
        <v>42490.355833333335</v>
      </c>
      <c r="G2333" s="17" t="s">
        <v>13000</v>
      </c>
      <c r="H2333" s="35" t="s">
        <v>1495</v>
      </c>
      <c r="I2333" s="25" t="s">
        <v>2035</v>
      </c>
    </row>
    <row r="2334" spans="1:9" s="33" customFormat="1" ht="135">
      <c r="A2334" s="19">
        <v>43549.128553240742</v>
      </c>
      <c r="B2334" s="20" t="s">
        <v>14728</v>
      </c>
      <c r="C2334" s="21" t="s">
        <v>2033</v>
      </c>
      <c r="D2334" s="22" t="s">
        <v>8154</v>
      </c>
      <c r="E2334" s="23" t="s">
        <v>13009</v>
      </c>
      <c r="F2334" s="19">
        <v>42490.355833333335</v>
      </c>
      <c r="G2334" s="17" t="s">
        <v>13000</v>
      </c>
      <c r="H2334" s="35" t="s">
        <v>1495</v>
      </c>
      <c r="I2334" s="25" t="s">
        <v>2035</v>
      </c>
    </row>
    <row r="2335" spans="1:9" s="33" customFormat="1" ht="135">
      <c r="A2335" s="19">
        <v>43549.124212962968</v>
      </c>
      <c r="B2335" s="20" t="s">
        <v>14728</v>
      </c>
      <c r="C2335" s="21" t="s">
        <v>2033</v>
      </c>
      <c r="D2335" s="22" t="s">
        <v>8159</v>
      </c>
      <c r="E2335" s="23" t="s">
        <v>13009</v>
      </c>
      <c r="F2335" s="19">
        <v>42490.355833333335</v>
      </c>
      <c r="G2335" s="17" t="s">
        <v>13000</v>
      </c>
      <c r="H2335" s="35" t="s">
        <v>1495</v>
      </c>
      <c r="I2335" s="25" t="s">
        <v>2035</v>
      </c>
    </row>
    <row r="2336" spans="1:9" s="33" customFormat="1" ht="135">
      <c r="A2336" s="19">
        <v>43548.15111111111</v>
      </c>
      <c r="B2336" s="20" t="s">
        <v>14728</v>
      </c>
      <c r="C2336" s="21" t="s">
        <v>2033</v>
      </c>
      <c r="D2336" s="22" t="s">
        <v>8393</v>
      </c>
      <c r="E2336" s="23" t="s">
        <v>13009</v>
      </c>
      <c r="F2336" s="19">
        <v>42490.355833333335</v>
      </c>
      <c r="G2336" s="17" t="s">
        <v>13000</v>
      </c>
      <c r="H2336" s="35" t="s">
        <v>1495</v>
      </c>
      <c r="I2336" s="25" t="s">
        <v>2035</v>
      </c>
    </row>
    <row r="2337" spans="1:9" s="33" customFormat="1" ht="135">
      <c r="A2337" s="19">
        <v>43548.139328703706</v>
      </c>
      <c r="B2337" s="20" t="s">
        <v>14728</v>
      </c>
      <c r="C2337" s="21" t="s">
        <v>2033</v>
      </c>
      <c r="D2337" s="22" t="s">
        <v>8395</v>
      </c>
      <c r="E2337" s="23" t="s">
        <v>13009</v>
      </c>
      <c r="F2337" s="19">
        <v>42490.355833333335</v>
      </c>
      <c r="G2337" s="17" t="s">
        <v>13000</v>
      </c>
      <c r="H2337" s="35" t="s">
        <v>1495</v>
      </c>
      <c r="I2337" s="25" t="s">
        <v>2035</v>
      </c>
    </row>
    <row r="2338" spans="1:9" s="33" customFormat="1" ht="135">
      <c r="A2338" s="19">
        <v>43544.194189814814</v>
      </c>
      <c r="B2338" s="20" t="s">
        <v>14728</v>
      </c>
      <c r="C2338" s="21" t="s">
        <v>2033</v>
      </c>
      <c r="D2338" s="22" t="s">
        <v>9581</v>
      </c>
      <c r="E2338" s="23" t="s">
        <v>13009</v>
      </c>
      <c r="F2338" s="19">
        <v>42490.355833333335</v>
      </c>
      <c r="G2338" s="17" t="s">
        <v>13000</v>
      </c>
      <c r="H2338" s="35" t="s">
        <v>1495</v>
      </c>
      <c r="I2338" s="25" t="s">
        <v>2035</v>
      </c>
    </row>
    <row r="2339" spans="1:9" s="33" customFormat="1" ht="135">
      <c r="A2339" s="19">
        <v>43544.15115740741</v>
      </c>
      <c r="B2339" s="20" t="s">
        <v>14728</v>
      </c>
      <c r="C2339" s="21" t="s">
        <v>2033</v>
      </c>
      <c r="D2339" s="22" t="s">
        <v>9597</v>
      </c>
      <c r="E2339" s="23" t="s">
        <v>13009</v>
      </c>
      <c r="F2339" s="19">
        <v>42490.355833333335</v>
      </c>
      <c r="G2339" s="17" t="s">
        <v>13000</v>
      </c>
      <c r="H2339" s="35" t="s">
        <v>1495</v>
      </c>
      <c r="I2339" s="25" t="s">
        <v>2035</v>
      </c>
    </row>
    <row r="2340" spans="1:9" s="33" customFormat="1" ht="135">
      <c r="A2340" s="19">
        <v>43544.146608796298</v>
      </c>
      <c r="B2340" s="20" t="s">
        <v>14728</v>
      </c>
      <c r="C2340" s="21" t="s">
        <v>2033</v>
      </c>
      <c r="D2340" s="22" t="s">
        <v>9598</v>
      </c>
      <c r="E2340" s="23" t="s">
        <v>13009</v>
      </c>
      <c r="F2340" s="19">
        <v>42490.355833333335</v>
      </c>
      <c r="G2340" s="17" t="s">
        <v>13000</v>
      </c>
      <c r="H2340" s="35" t="s">
        <v>1495</v>
      </c>
      <c r="I2340" s="25" t="s">
        <v>2035</v>
      </c>
    </row>
    <row r="2341" spans="1:9" s="33" customFormat="1" ht="135">
      <c r="A2341" s="4">
        <v>43565.236990740741</v>
      </c>
      <c r="B2341" s="5" t="s">
        <v>14728</v>
      </c>
      <c r="C2341" s="6" t="s">
        <v>2033</v>
      </c>
      <c r="D2341" s="7" t="s">
        <v>6214</v>
      </c>
      <c r="E2341" s="8" t="s">
        <v>13009</v>
      </c>
      <c r="F2341" s="4">
        <v>42490.355833333335</v>
      </c>
      <c r="G2341" s="17" t="s">
        <v>13000</v>
      </c>
      <c r="H2341" s="35" t="s">
        <v>1495</v>
      </c>
      <c r="I2341" s="10" t="s">
        <v>2035</v>
      </c>
    </row>
    <row r="2342" spans="1:9" s="33" customFormat="1" ht="135">
      <c r="A2342" s="4">
        <v>43564.472893518519</v>
      </c>
      <c r="B2342" s="5" t="s">
        <v>14728</v>
      </c>
      <c r="C2342" s="6" t="s">
        <v>2033</v>
      </c>
      <c r="D2342" s="7" t="s">
        <v>6587</v>
      </c>
      <c r="E2342" s="8" t="s">
        <v>13009</v>
      </c>
      <c r="F2342" s="4">
        <v>42490.355833333335</v>
      </c>
      <c r="G2342" s="17" t="s">
        <v>13000</v>
      </c>
      <c r="H2342" s="35" t="s">
        <v>1495</v>
      </c>
      <c r="I2342" s="10" t="s">
        <v>2035</v>
      </c>
    </row>
    <row r="2343" spans="1:9" s="33" customFormat="1" ht="135">
      <c r="A2343" s="4">
        <v>43564.470277777778</v>
      </c>
      <c r="B2343" s="5" t="s">
        <v>14728</v>
      </c>
      <c r="C2343" s="6" t="s">
        <v>2033</v>
      </c>
      <c r="D2343" s="7" t="s">
        <v>6590</v>
      </c>
      <c r="E2343" s="8" t="s">
        <v>13009</v>
      </c>
      <c r="F2343" s="4">
        <v>42490.355833333335</v>
      </c>
      <c r="G2343" s="17" t="s">
        <v>13000</v>
      </c>
      <c r="H2343" s="35" t="s">
        <v>1495</v>
      </c>
      <c r="I2343" s="10" t="s">
        <v>2035</v>
      </c>
    </row>
    <row r="2344" spans="1:9" s="33" customFormat="1" ht="135">
      <c r="A2344" s="4">
        <v>43564.239988425921</v>
      </c>
      <c r="B2344" s="5" t="s">
        <v>14728</v>
      </c>
      <c r="C2344" s="6" t="s">
        <v>2033</v>
      </c>
      <c r="D2344" s="7" t="s">
        <v>6725</v>
      </c>
      <c r="E2344" s="8" t="s">
        <v>13009</v>
      </c>
      <c r="F2344" s="4">
        <v>42490.355833333335</v>
      </c>
      <c r="G2344" s="17" t="s">
        <v>13000</v>
      </c>
      <c r="H2344" s="35" t="s">
        <v>1495</v>
      </c>
      <c r="I2344" s="10" t="s">
        <v>2035</v>
      </c>
    </row>
    <row r="2345" spans="1:9" s="33" customFormat="1" ht="135">
      <c r="A2345" s="4">
        <v>43564.237557870365</v>
      </c>
      <c r="B2345" s="5" t="s">
        <v>14728</v>
      </c>
      <c r="C2345" s="6" t="s">
        <v>2033</v>
      </c>
      <c r="D2345" s="7" t="s">
        <v>6727</v>
      </c>
      <c r="E2345" s="8" t="s">
        <v>13009</v>
      </c>
      <c r="F2345" s="4">
        <v>42490.355833333335</v>
      </c>
      <c r="G2345" s="17" t="s">
        <v>13000</v>
      </c>
      <c r="H2345" s="35" t="s">
        <v>1495</v>
      </c>
      <c r="I2345" s="10" t="s">
        <v>2035</v>
      </c>
    </row>
    <row r="2346" spans="1:9" s="33" customFormat="1" ht="135">
      <c r="A2346" s="4">
        <v>43561.206087962964</v>
      </c>
      <c r="B2346" s="5" t="s">
        <v>14728</v>
      </c>
      <c r="C2346" s="6" t="s">
        <v>2033</v>
      </c>
      <c r="D2346" s="7" t="s">
        <v>11031</v>
      </c>
      <c r="E2346" s="8" t="s">
        <v>13009</v>
      </c>
      <c r="F2346" s="4">
        <v>42490.355833333335</v>
      </c>
      <c r="G2346" s="17" t="s">
        <v>13000</v>
      </c>
      <c r="H2346" s="35" t="s">
        <v>1495</v>
      </c>
      <c r="I2346" s="10" t="s">
        <v>2035</v>
      </c>
    </row>
    <row r="2347" spans="1:9" s="33" customFormat="1" ht="135">
      <c r="A2347" s="4">
        <v>43561.204432870371</v>
      </c>
      <c r="B2347" s="5" t="s">
        <v>14728</v>
      </c>
      <c r="C2347" s="6" t="s">
        <v>2033</v>
      </c>
      <c r="D2347" s="7" t="s">
        <v>11035</v>
      </c>
      <c r="E2347" s="8" t="s">
        <v>13009</v>
      </c>
      <c r="F2347" s="4">
        <v>42490.355833333335</v>
      </c>
      <c r="G2347" s="17" t="s">
        <v>13000</v>
      </c>
      <c r="H2347" s="35" t="s">
        <v>1495</v>
      </c>
      <c r="I2347" s="10" t="s">
        <v>2035</v>
      </c>
    </row>
    <row r="2348" spans="1:9" s="33" customFormat="1" ht="135">
      <c r="A2348" s="4">
        <v>43561.06931712963</v>
      </c>
      <c r="B2348" s="5" t="s">
        <v>14728</v>
      </c>
      <c r="C2348" s="6" t="s">
        <v>2033</v>
      </c>
      <c r="D2348" s="7" t="s">
        <v>11089</v>
      </c>
      <c r="E2348" s="8" t="s">
        <v>13009</v>
      </c>
      <c r="F2348" s="4">
        <v>42490.355833333335</v>
      </c>
      <c r="G2348" s="17" t="s">
        <v>13000</v>
      </c>
      <c r="H2348" s="35" t="s">
        <v>1495</v>
      </c>
      <c r="I2348" s="10" t="s">
        <v>2035</v>
      </c>
    </row>
    <row r="2349" spans="1:9" s="33" customFormat="1" ht="135">
      <c r="A2349" s="4">
        <v>43561.066030092596</v>
      </c>
      <c r="B2349" s="5" t="s">
        <v>14728</v>
      </c>
      <c r="C2349" s="6" t="s">
        <v>2033</v>
      </c>
      <c r="D2349" s="7" t="s">
        <v>11090</v>
      </c>
      <c r="E2349" s="8" t="s">
        <v>13009</v>
      </c>
      <c r="F2349" s="4">
        <v>42490.355833333335</v>
      </c>
      <c r="G2349" s="17" t="s">
        <v>13000</v>
      </c>
      <c r="H2349" s="35" t="s">
        <v>1495</v>
      </c>
      <c r="I2349" s="10" t="s">
        <v>2035</v>
      </c>
    </row>
    <row r="2350" spans="1:9" s="33" customFormat="1" ht="135">
      <c r="A2350" s="4">
        <v>43560.294999999998</v>
      </c>
      <c r="B2350" s="5" t="s">
        <v>14728</v>
      </c>
      <c r="C2350" s="6" t="s">
        <v>2033</v>
      </c>
      <c r="D2350" s="7" t="s">
        <v>11488</v>
      </c>
      <c r="E2350" s="8" t="s">
        <v>13009</v>
      </c>
      <c r="F2350" s="4">
        <v>42490.355833333335</v>
      </c>
      <c r="G2350" s="17" t="s">
        <v>13000</v>
      </c>
      <c r="H2350" s="35" t="s">
        <v>1495</v>
      </c>
      <c r="I2350" s="10" t="s">
        <v>2035</v>
      </c>
    </row>
    <row r="2351" spans="1:9" s="33" customFormat="1" ht="135">
      <c r="A2351" s="4">
        <v>43560.283831018518</v>
      </c>
      <c r="B2351" s="5" t="s">
        <v>14728</v>
      </c>
      <c r="C2351" s="6" t="s">
        <v>2033</v>
      </c>
      <c r="D2351" s="7" t="s">
        <v>11508</v>
      </c>
      <c r="E2351" s="8" t="s">
        <v>13009</v>
      </c>
      <c r="F2351" s="4">
        <v>42490.355833333335</v>
      </c>
      <c r="G2351" s="17" t="s">
        <v>13000</v>
      </c>
      <c r="H2351" s="35" t="s">
        <v>1495</v>
      </c>
      <c r="I2351" s="10" t="s">
        <v>2035</v>
      </c>
    </row>
    <row r="2352" spans="1:9" s="33" customFormat="1" ht="135">
      <c r="A2352" s="4">
        <v>43560.283067129625</v>
      </c>
      <c r="B2352" s="5" t="s">
        <v>14728</v>
      </c>
      <c r="C2352" s="6" t="s">
        <v>2033</v>
      </c>
      <c r="D2352" s="7" t="s">
        <v>11509</v>
      </c>
      <c r="E2352" s="8" t="s">
        <v>13009</v>
      </c>
      <c r="F2352" s="4">
        <v>42490.355833333335</v>
      </c>
      <c r="G2352" s="17" t="s">
        <v>13000</v>
      </c>
      <c r="H2352" s="35" t="s">
        <v>1495</v>
      </c>
      <c r="I2352" s="10" t="s">
        <v>2035</v>
      </c>
    </row>
    <row r="2353" spans="1:9" s="33" customFormat="1" ht="135">
      <c r="A2353" s="4">
        <v>43560.281898148147</v>
      </c>
      <c r="B2353" s="5" t="s">
        <v>14728</v>
      </c>
      <c r="C2353" s="6" t="s">
        <v>2033</v>
      </c>
      <c r="D2353" s="7" t="s">
        <v>11510</v>
      </c>
      <c r="E2353" s="8" t="s">
        <v>13009</v>
      </c>
      <c r="F2353" s="4">
        <v>42490.355833333335</v>
      </c>
      <c r="G2353" s="17" t="s">
        <v>13000</v>
      </c>
      <c r="H2353" s="35" t="s">
        <v>1495</v>
      </c>
      <c r="I2353" s="10" t="s">
        <v>2035</v>
      </c>
    </row>
    <row r="2354" spans="1:9" s="33" customFormat="1" ht="135">
      <c r="A2354" s="4">
        <v>43560.280694444446</v>
      </c>
      <c r="B2354" s="5" t="s">
        <v>14728</v>
      </c>
      <c r="C2354" s="6" t="s">
        <v>2033</v>
      </c>
      <c r="D2354" s="7" t="s">
        <v>11511</v>
      </c>
      <c r="E2354" s="8" t="s">
        <v>13009</v>
      </c>
      <c r="F2354" s="4">
        <v>42490.355833333335</v>
      </c>
      <c r="G2354" s="17" t="s">
        <v>13000</v>
      </c>
      <c r="H2354" s="35" t="s">
        <v>1495</v>
      </c>
      <c r="I2354" s="10" t="s">
        <v>2035</v>
      </c>
    </row>
    <row r="2355" spans="1:9" s="33" customFormat="1" ht="135">
      <c r="A2355" s="4">
        <v>43558.194062499999</v>
      </c>
      <c r="B2355" s="5" t="s">
        <v>14728</v>
      </c>
      <c r="C2355" s="6" t="s">
        <v>2033</v>
      </c>
      <c r="D2355" s="7" t="s">
        <v>12286</v>
      </c>
      <c r="E2355" s="8" t="s">
        <v>13009</v>
      </c>
      <c r="F2355" s="4">
        <v>42490.355833333335</v>
      </c>
      <c r="G2355" s="17" t="s">
        <v>13000</v>
      </c>
      <c r="H2355" s="35" t="s">
        <v>1495</v>
      </c>
      <c r="I2355" s="10" t="s">
        <v>2035</v>
      </c>
    </row>
    <row r="2356" spans="1:9" s="33" customFormat="1" ht="135">
      <c r="A2356" s="4">
        <v>43558.191458333335</v>
      </c>
      <c r="B2356" s="5" t="s">
        <v>14728</v>
      </c>
      <c r="C2356" s="6" t="s">
        <v>2033</v>
      </c>
      <c r="D2356" s="7" t="s">
        <v>12287</v>
      </c>
      <c r="E2356" s="8" t="s">
        <v>13009</v>
      </c>
      <c r="F2356" s="4">
        <v>42490.355833333335</v>
      </c>
      <c r="G2356" s="17" t="s">
        <v>13000</v>
      </c>
      <c r="H2356" s="35" t="s">
        <v>1495</v>
      </c>
      <c r="I2356" s="10" t="s">
        <v>2035</v>
      </c>
    </row>
    <row r="2357" spans="1:9" s="33" customFormat="1" ht="135">
      <c r="A2357" s="4">
        <v>43558.189791666664</v>
      </c>
      <c r="B2357" s="5" t="s">
        <v>14728</v>
      </c>
      <c r="C2357" s="6" t="s">
        <v>2033</v>
      </c>
      <c r="D2357" s="7" t="s">
        <v>12292</v>
      </c>
      <c r="E2357" s="8" t="s">
        <v>13009</v>
      </c>
      <c r="F2357" s="4">
        <v>42490.355833333335</v>
      </c>
      <c r="G2357" s="17" t="s">
        <v>13000</v>
      </c>
      <c r="H2357" s="35" t="s">
        <v>1495</v>
      </c>
      <c r="I2357" s="10" t="s">
        <v>2035</v>
      </c>
    </row>
    <row r="2358" spans="1:9" s="33" customFormat="1" ht="120">
      <c r="A2358" s="12">
        <v>43577.792662037042</v>
      </c>
      <c r="B2358" s="13" t="s">
        <v>14729</v>
      </c>
      <c r="C2358" s="14" t="s">
        <v>1493</v>
      </c>
      <c r="D2358" s="15" t="s">
        <v>1494</v>
      </c>
      <c r="E2358" s="16" t="s">
        <v>13011</v>
      </c>
      <c r="F2358" s="12">
        <v>43198.315833333334</v>
      </c>
      <c r="G2358" s="17" t="s">
        <v>13000</v>
      </c>
      <c r="H2358" s="35" t="s">
        <v>1495</v>
      </c>
      <c r="I2358" s="18" t="s">
        <v>1496</v>
      </c>
    </row>
    <row r="2359" spans="1:9" s="33" customFormat="1" ht="120">
      <c r="A2359" s="12">
        <v>43577.78805555556</v>
      </c>
      <c r="B2359" s="13" t="s">
        <v>14730</v>
      </c>
      <c r="C2359" s="14" t="s">
        <v>1501</v>
      </c>
      <c r="D2359" s="15" t="s">
        <v>1502</v>
      </c>
      <c r="E2359" s="16" t="s">
        <v>13011</v>
      </c>
      <c r="F2359" s="12">
        <v>43447.181990740741</v>
      </c>
      <c r="G2359" s="17" t="s">
        <v>13000</v>
      </c>
      <c r="H2359" s="35" t="s">
        <v>1495</v>
      </c>
      <c r="I2359" s="18" t="s">
        <v>1503</v>
      </c>
    </row>
    <row r="2360" spans="1:9" s="33" customFormat="1" ht="135">
      <c r="A2360" s="12">
        <v>43576.195196759261</v>
      </c>
      <c r="B2360" s="13" t="s">
        <v>14728</v>
      </c>
      <c r="C2360" s="14" t="s">
        <v>2033</v>
      </c>
      <c r="D2360" s="15" t="s">
        <v>2034</v>
      </c>
      <c r="E2360" s="16" t="s">
        <v>13009</v>
      </c>
      <c r="F2360" s="12">
        <v>42490.355833333335</v>
      </c>
      <c r="G2360" s="17" t="s">
        <v>13000</v>
      </c>
      <c r="H2360" s="35" t="s">
        <v>1495</v>
      </c>
      <c r="I2360" s="18" t="s">
        <v>2035</v>
      </c>
    </row>
    <row r="2361" spans="1:9" s="33" customFormat="1" ht="135">
      <c r="A2361" s="12">
        <v>43576.194224537037</v>
      </c>
      <c r="B2361" s="13" t="s">
        <v>14728</v>
      </c>
      <c r="C2361" s="14" t="s">
        <v>2033</v>
      </c>
      <c r="D2361" s="15" t="s">
        <v>2034</v>
      </c>
      <c r="E2361" s="16" t="s">
        <v>13009</v>
      </c>
      <c r="F2361" s="12">
        <v>42490.355833333335</v>
      </c>
      <c r="G2361" s="17" t="s">
        <v>13000</v>
      </c>
      <c r="H2361" s="35" t="s">
        <v>1495</v>
      </c>
      <c r="I2361" s="18" t="s">
        <v>2035</v>
      </c>
    </row>
    <row r="2362" spans="1:9" s="33" customFormat="1" ht="135">
      <c r="A2362" s="12">
        <v>43575.152696759258</v>
      </c>
      <c r="B2362" s="13" t="s">
        <v>14728</v>
      </c>
      <c r="C2362" s="14" t="s">
        <v>2033</v>
      </c>
      <c r="D2362" s="15" t="s">
        <v>2353</v>
      </c>
      <c r="E2362" s="16" t="s">
        <v>13009</v>
      </c>
      <c r="F2362" s="12">
        <v>42490.355833333335</v>
      </c>
      <c r="G2362" s="17" t="s">
        <v>13000</v>
      </c>
      <c r="H2362" s="35" t="s">
        <v>1495</v>
      </c>
      <c r="I2362" s="18" t="s">
        <v>2035</v>
      </c>
    </row>
    <row r="2363" spans="1:9" s="33" customFormat="1" ht="135">
      <c r="A2363" s="12">
        <v>43574.834282407406</v>
      </c>
      <c r="B2363" s="13" t="s">
        <v>14728</v>
      </c>
      <c r="C2363" s="14" t="s">
        <v>2033</v>
      </c>
      <c r="D2363" s="15" t="s">
        <v>2422</v>
      </c>
      <c r="E2363" s="16" t="s">
        <v>13009</v>
      </c>
      <c r="F2363" s="12">
        <v>42490.355833333335</v>
      </c>
      <c r="G2363" s="17" t="s">
        <v>13000</v>
      </c>
      <c r="H2363" s="35" t="s">
        <v>1495</v>
      </c>
      <c r="I2363" s="18" t="s">
        <v>2035</v>
      </c>
    </row>
    <row r="2364" spans="1:9" s="33" customFormat="1" ht="135">
      <c r="A2364" s="12">
        <v>43574.831006944441</v>
      </c>
      <c r="B2364" s="13" t="s">
        <v>14728</v>
      </c>
      <c r="C2364" s="14" t="s">
        <v>2033</v>
      </c>
      <c r="D2364" s="15" t="s">
        <v>2423</v>
      </c>
      <c r="E2364" s="16" t="s">
        <v>13009</v>
      </c>
      <c r="F2364" s="12">
        <v>42490.355833333335</v>
      </c>
      <c r="G2364" s="17" t="s">
        <v>13000</v>
      </c>
      <c r="H2364" s="35" t="s">
        <v>1495</v>
      </c>
      <c r="I2364" s="18" t="s">
        <v>2035</v>
      </c>
    </row>
    <row r="2365" spans="1:9" s="33" customFormat="1" ht="135">
      <c r="A2365" s="12">
        <v>43574.828888888893</v>
      </c>
      <c r="B2365" s="13" t="s">
        <v>14728</v>
      </c>
      <c r="C2365" s="14" t="s">
        <v>2033</v>
      </c>
      <c r="D2365" s="15" t="s">
        <v>2424</v>
      </c>
      <c r="E2365" s="16" t="s">
        <v>13009</v>
      </c>
      <c r="F2365" s="12">
        <v>42490.355833333335</v>
      </c>
      <c r="G2365" s="17" t="s">
        <v>13000</v>
      </c>
      <c r="H2365" s="35" t="s">
        <v>1495</v>
      </c>
      <c r="I2365" s="18" t="s">
        <v>2035</v>
      </c>
    </row>
    <row r="2366" spans="1:9" s="33" customFormat="1" ht="135">
      <c r="A2366" s="12">
        <v>43574.827210648145</v>
      </c>
      <c r="B2366" s="13" t="s">
        <v>14728</v>
      </c>
      <c r="C2366" s="14" t="s">
        <v>2033</v>
      </c>
      <c r="D2366" s="15" t="s">
        <v>2425</v>
      </c>
      <c r="E2366" s="16" t="s">
        <v>13009</v>
      </c>
      <c r="F2366" s="12">
        <v>42490.355833333335</v>
      </c>
      <c r="G2366" s="17" t="s">
        <v>13000</v>
      </c>
      <c r="H2366" s="35" t="s">
        <v>1495</v>
      </c>
      <c r="I2366" s="18" t="s">
        <v>2035</v>
      </c>
    </row>
    <row r="2367" spans="1:9" s="33" customFormat="1" ht="135">
      <c r="A2367" s="12">
        <v>43574.818738425922</v>
      </c>
      <c r="B2367" s="13" t="s">
        <v>14728</v>
      </c>
      <c r="C2367" s="14" t="s">
        <v>2033</v>
      </c>
      <c r="D2367" s="15" t="s">
        <v>2429</v>
      </c>
      <c r="E2367" s="16" t="s">
        <v>13009</v>
      </c>
      <c r="F2367" s="12">
        <v>42490.355833333335</v>
      </c>
      <c r="G2367" s="17" t="s">
        <v>13000</v>
      </c>
      <c r="H2367" s="35" t="s">
        <v>1495</v>
      </c>
      <c r="I2367" s="18" t="s">
        <v>2035</v>
      </c>
    </row>
    <row r="2368" spans="1:9" s="33" customFormat="1" ht="135">
      <c r="A2368" s="12">
        <v>43572.767488425925</v>
      </c>
      <c r="B2368" s="13" t="s">
        <v>14728</v>
      </c>
      <c r="C2368" s="14" t="s">
        <v>2033</v>
      </c>
      <c r="D2368" s="15" t="s">
        <v>3093</v>
      </c>
      <c r="E2368" s="16" t="s">
        <v>13009</v>
      </c>
      <c r="F2368" s="12">
        <v>42490.355833333335</v>
      </c>
      <c r="G2368" s="17" t="s">
        <v>13000</v>
      </c>
      <c r="H2368" s="35" t="s">
        <v>1495</v>
      </c>
      <c r="I2368" s="18" t="s">
        <v>2035</v>
      </c>
    </row>
    <row r="2369" spans="1:9" s="33" customFormat="1" ht="60">
      <c r="A2369" s="4">
        <v>43564.187152777777</v>
      </c>
      <c r="B2369" s="5" t="s">
        <v>14731</v>
      </c>
      <c r="C2369" s="6" t="s">
        <v>6746</v>
      </c>
      <c r="D2369" s="7" t="s">
        <v>6747</v>
      </c>
      <c r="E2369" s="8" t="s">
        <v>13032</v>
      </c>
      <c r="F2369" s="4">
        <v>39929.549062500002</v>
      </c>
      <c r="G2369" s="17" t="s">
        <v>13000</v>
      </c>
      <c r="H2369" s="35" t="s">
        <v>6748</v>
      </c>
      <c r="I2369" s="10" t="s">
        <v>6749</v>
      </c>
    </row>
    <row r="2370" spans="1:9" s="33" customFormat="1" ht="105">
      <c r="A2370" s="4">
        <v>43562.02752314815</v>
      </c>
      <c r="B2370" s="5" t="s">
        <v>14732</v>
      </c>
      <c r="C2370" s="6" t="s">
        <v>10770</v>
      </c>
      <c r="D2370" s="7" t="s">
        <v>10771</v>
      </c>
      <c r="E2370" s="8" t="s">
        <v>13011</v>
      </c>
      <c r="F2370" s="4">
        <v>40164.990856481483</v>
      </c>
      <c r="G2370" s="9" t="s">
        <v>13000</v>
      </c>
      <c r="H2370" s="35" t="s">
        <v>10772</v>
      </c>
      <c r="I2370" s="10" t="s">
        <v>10773</v>
      </c>
    </row>
    <row r="2371" spans="1:9" s="33" customFormat="1" ht="75">
      <c r="A2371" s="19">
        <v>43550.292696759258</v>
      </c>
      <c r="B2371" s="20" t="s">
        <v>14733</v>
      </c>
      <c r="C2371" s="21" t="s">
        <v>7744</v>
      </c>
      <c r="D2371" s="22" t="s">
        <v>7745</v>
      </c>
      <c r="E2371" s="23" t="s">
        <v>13018</v>
      </c>
      <c r="F2371" s="19">
        <v>40084.278252314813</v>
      </c>
      <c r="G2371" s="24" t="s">
        <v>13000</v>
      </c>
      <c r="H2371" s="35" t="s">
        <v>7746</v>
      </c>
      <c r="I2371" s="25" t="s">
        <v>7747</v>
      </c>
    </row>
    <row r="2372" spans="1:9" s="33" customFormat="1" ht="120">
      <c r="A2372" s="12">
        <v>43571.822453703702</v>
      </c>
      <c r="B2372" s="13" t="s">
        <v>14734</v>
      </c>
      <c r="C2372" s="14" t="s">
        <v>3537</v>
      </c>
      <c r="D2372" s="15" t="s">
        <v>3538</v>
      </c>
      <c r="E2372" s="16" t="s">
        <v>13011</v>
      </c>
      <c r="F2372" s="12">
        <v>42999.320196759261</v>
      </c>
      <c r="G2372" s="17" t="s">
        <v>13000</v>
      </c>
      <c r="H2372" s="35" t="s">
        <v>3539</v>
      </c>
      <c r="I2372" s="18" t="s">
        <v>3540</v>
      </c>
    </row>
    <row r="2373" spans="1:9" s="33" customFormat="1" ht="90">
      <c r="A2373" s="4">
        <v>43563.144004629634</v>
      </c>
      <c r="B2373" s="5" t="s">
        <v>14735</v>
      </c>
      <c r="C2373" s="6" t="s">
        <v>10449</v>
      </c>
      <c r="D2373" s="7" t="s">
        <v>10450</v>
      </c>
      <c r="E2373" s="8" t="s">
        <v>13013</v>
      </c>
      <c r="F2373" s="4">
        <v>40577.434687499997</v>
      </c>
      <c r="G2373" s="9" t="s">
        <v>13000</v>
      </c>
      <c r="H2373" s="35" t="s">
        <v>10451</v>
      </c>
      <c r="I2373" s="10" t="s">
        <v>10452</v>
      </c>
    </row>
    <row r="2374" spans="1:9" s="33" customFormat="1" ht="90">
      <c r="A2374" s="4">
        <v>43560.513888888891</v>
      </c>
      <c r="B2374" s="5" t="s">
        <v>14736</v>
      </c>
      <c r="C2374" s="6" t="s">
        <v>11323</v>
      </c>
      <c r="D2374" s="7" t="s">
        <v>11324</v>
      </c>
      <c r="E2374" s="8" t="s">
        <v>13011</v>
      </c>
      <c r="F2374" s="4">
        <v>40904.937569444446</v>
      </c>
      <c r="G2374" s="9" t="s">
        <v>13000</v>
      </c>
      <c r="H2374" s="35" t="s">
        <v>11325</v>
      </c>
      <c r="I2374" s="10" t="s">
        <v>11326</v>
      </c>
    </row>
    <row r="2375" spans="1:9" s="33" customFormat="1" ht="75">
      <c r="A2375" s="4">
        <v>43558.853252314817</v>
      </c>
      <c r="B2375" s="5" t="s">
        <v>14737</v>
      </c>
      <c r="C2375" s="6" t="s">
        <v>12011</v>
      </c>
      <c r="D2375" s="7" t="s">
        <v>12012</v>
      </c>
      <c r="E2375" s="8" t="s">
        <v>13011</v>
      </c>
      <c r="F2375" s="4">
        <v>41006.717557870368</v>
      </c>
      <c r="G2375" s="9" t="s">
        <v>13000</v>
      </c>
      <c r="H2375" s="35" t="s">
        <v>12013</v>
      </c>
      <c r="I2375" s="10"/>
    </row>
    <row r="2376" spans="1:9" s="33" customFormat="1" ht="90">
      <c r="A2376" s="4">
        <v>43560.207245370373</v>
      </c>
      <c r="B2376" s="5" t="s">
        <v>14738</v>
      </c>
      <c r="C2376" s="6" t="s">
        <v>11571</v>
      </c>
      <c r="D2376" s="7" t="s">
        <v>11572</v>
      </c>
      <c r="E2376" s="8" t="s">
        <v>13018</v>
      </c>
      <c r="F2376" s="4">
        <v>39910.696180555555</v>
      </c>
      <c r="G2376" s="9" t="s">
        <v>13000</v>
      </c>
      <c r="H2376" s="35" t="s">
        <v>11573</v>
      </c>
      <c r="I2376" s="10" t="s">
        <v>11574</v>
      </c>
    </row>
    <row r="2377" spans="1:9" s="33" customFormat="1" ht="60">
      <c r="A2377" s="12">
        <v>43578.759780092594</v>
      </c>
      <c r="B2377" s="13" t="s">
        <v>14739</v>
      </c>
      <c r="C2377" s="14" t="s">
        <v>1042</v>
      </c>
      <c r="D2377" s="15" t="s">
        <v>1043</v>
      </c>
      <c r="E2377" s="16" t="s">
        <v>13840</v>
      </c>
      <c r="F2377" s="12">
        <v>40981.649097222224</v>
      </c>
      <c r="G2377" s="17" t="s">
        <v>13000</v>
      </c>
      <c r="H2377" s="35" t="s">
        <v>1044</v>
      </c>
      <c r="I2377" s="18" t="s">
        <v>1045</v>
      </c>
    </row>
    <row r="2378" spans="1:9" s="33" customFormat="1" ht="90">
      <c r="A2378" s="19">
        <v>43548.454166666663</v>
      </c>
      <c r="B2378" s="20" t="s">
        <v>14740</v>
      </c>
      <c r="C2378" s="21" t="s">
        <v>2849</v>
      </c>
      <c r="D2378" s="22" t="s">
        <v>8312</v>
      </c>
      <c r="E2378" s="23" t="s">
        <v>13120</v>
      </c>
      <c r="F2378" s="19">
        <v>40051.709270833337</v>
      </c>
      <c r="G2378" s="17" t="s">
        <v>13000</v>
      </c>
      <c r="H2378" s="35" t="s">
        <v>8313</v>
      </c>
      <c r="I2378" s="25" t="s">
        <v>8314</v>
      </c>
    </row>
    <row r="2379" spans="1:9" s="33" customFormat="1" ht="90">
      <c r="A2379" s="19">
        <v>43546.453472222223</v>
      </c>
      <c r="B2379" s="20" t="s">
        <v>14740</v>
      </c>
      <c r="C2379" s="21" t="s">
        <v>2849</v>
      </c>
      <c r="D2379" s="22" t="s">
        <v>8842</v>
      </c>
      <c r="E2379" s="23" t="s">
        <v>13120</v>
      </c>
      <c r="F2379" s="19">
        <v>40051.709270833337</v>
      </c>
      <c r="G2379" s="17" t="s">
        <v>13000</v>
      </c>
      <c r="H2379" s="35" t="s">
        <v>8313</v>
      </c>
      <c r="I2379" s="25" t="s">
        <v>8314</v>
      </c>
    </row>
    <row r="2380" spans="1:9" s="33" customFormat="1" ht="105">
      <c r="A2380" s="19">
        <v>43546.925659722227</v>
      </c>
      <c r="B2380" s="20" t="s">
        <v>14741</v>
      </c>
      <c r="C2380" s="21" t="s">
        <v>4635</v>
      </c>
      <c r="D2380" s="22" t="s">
        <v>8704</v>
      </c>
      <c r="E2380" s="23" t="s">
        <v>13013</v>
      </c>
      <c r="F2380" s="19">
        <v>43508.906111111108</v>
      </c>
      <c r="G2380" s="17" t="s">
        <v>13000</v>
      </c>
      <c r="H2380" s="35" t="s">
        <v>4637</v>
      </c>
      <c r="I2380" s="25" t="s">
        <v>4638</v>
      </c>
    </row>
    <row r="2381" spans="1:9" s="33" customFormat="1" ht="105">
      <c r="A2381" s="4">
        <v>43556.81868055556</v>
      </c>
      <c r="B2381" s="5" t="s">
        <v>14741</v>
      </c>
      <c r="C2381" s="6" t="s">
        <v>4635</v>
      </c>
      <c r="D2381" s="7" t="s">
        <v>12731</v>
      </c>
      <c r="E2381" s="8" t="s">
        <v>13013</v>
      </c>
      <c r="F2381" s="4">
        <v>43508.906111111108</v>
      </c>
      <c r="G2381" s="17" t="s">
        <v>13000</v>
      </c>
      <c r="H2381" s="35" t="s">
        <v>4637</v>
      </c>
      <c r="I2381" s="10" t="s">
        <v>4638</v>
      </c>
    </row>
    <row r="2382" spans="1:9" s="33" customFormat="1" ht="120">
      <c r="A2382" s="4">
        <v>43556.721944444449</v>
      </c>
      <c r="B2382" s="5" t="s">
        <v>14742</v>
      </c>
      <c r="C2382" s="6" t="s">
        <v>12761</v>
      </c>
      <c r="D2382" s="7" t="s">
        <v>12731</v>
      </c>
      <c r="E2382" s="8" t="s">
        <v>13013</v>
      </c>
      <c r="F2382" s="4">
        <v>43382.953078703707</v>
      </c>
      <c r="G2382" s="17" t="s">
        <v>13000</v>
      </c>
      <c r="H2382" s="35" t="s">
        <v>4637</v>
      </c>
      <c r="I2382" s="10" t="s">
        <v>12762</v>
      </c>
    </row>
    <row r="2383" spans="1:9" s="33" customFormat="1" ht="105">
      <c r="A2383" s="12">
        <v>43568.90552083333</v>
      </c>
      <c r="B2383" s="13" t="s">
        <v>14741</v>
      </c>
      <c r="C2383" s="14" t="s">
        <v>4635</v>
      </c>
      <c r="D2383" s="15" t="s">
        <v>4636</v>
      </c>
      <c r="E2383" s="16" t="s">
        <v>13013</v>
      </c>
      <c r="F2383" s="12">
        <v>43508.906111111108</v>
      </c>
      <c r="G2383" s="17" t="s">
        <v>13000</v>
      </c>
      <c r="H2383" s="35" t="s">
        <v>4637</v>
      </c>
      <c r="I2383" s="18" t="s">
        <v>4638</v>
      </c>
    </row>
    <row r="2384" spans="1:9" s="33" customFormat="1" ht="90">
      <c r="A2384" s="12">
        <v>43576.834282407406</v>
      </c>
      <c r="B2384" s="13" t="s">
        <v>14743</v>
      </c>
      <c r="C2384" s="14" t="s">
        <v>1808</v>
      </c>
      <c r="D2384" s="15" t="s">
        <v>1809</v>
      </c>
      <c r="E2384" s="16" t="s">
        <v>13013</v>
      </c>
      <c r="F2384" s="12">
        <v>40880.350231481483</v>
      </c>
      <c r="G2384" s="17" t="s">
        <v>13000</v>
      </c>
      <c r="H2384" s="35" t="s">
        <v>1810</v>
      </c>
      <c r="I2384" s="18" t="s">
        <v>1811</v>
      </c>
    </row>
    <row r="2385" spans="1:9" s="33" customFormat="1" ht="60">
      <c r="A2385" s="12">
        <v>43573.559641203705</v>
      </c>
      <c r="B2385" s="13" t="s">
        <v>14744</v>
      </c>
      <c r="C2385" s="14" t="s">
        <v>2821</v>
      </c>
      <c r="D2385" s="15" t="s">
        <v>2822</v>
      </c>
      <c r="E2385" s="16" t="s">
        <v>13032</v>
      </c>
      <c r="F2385" s="12">
        <v>39927.525150462963</v>
      </c>
      <c r="G2385" s="17" t="s">
        <v>13000</v>
      </c>
      <c r="H2385" s="35" t="s">
        <v>2823</v>
      </c>
      <c r="I2385" s="18" t="s">
        <v>2824</v>
      </c>
    </row>
    <row r="2386" spans="1:9" s="33" customFormat="1" ht="120">
      <c r="A2386" s="4">
        <v>43565.729884259257</v>
      </c>
      <c r="B2386" s="5" t="s">
        <v>14745</v>
      </c>
      <c r="C2386" s="6" t="s">
        <v>5926</v>
      </c>
      <c r="D2386" s="7" t="s">
        <v>5927</v>
      </c>
      <c r="E2386" s="8" t="s">
        <v>13027</v>
      </c>
      <c r="F2386" s="4">
        <v>42741.61383101852</v>
      </c>
      <c r="G2386" s="24" t="s">
        <v>13000</v>
      </c>
      <c r="H2386" s="35" t="s">
        <v>5928</v>
      </c>
      <c r="I2386" s="10" t="s">
        <v>5929</v>
      </c>
    </row>
    <row r="2387" spans="1:9" s="33" customFormat="1" ht="75">
      <c r="A2387" s="19">
        <v>43542.851087962961</v>
      </c>
      <c r="B2387" s="20" t="s">
        <v>14746</v>
      </c>
      <c r="C2387" s="21" t="s">
        <v>10002</v>
      </c>
      <c r="D2387" s="22" t="s">
        <v>10003</v>
      </c>
      <c r="E2387" s="23" t="s">
        <v>13032</v>
      </c>
      <c r="F2387" s="19">
        <v>40746.657337962963</v>
      </c>
      <c r="G2387" s="24" t="s">
        <v>13000</v>
      </c>
      <c r="H2387" s="35" t="s">
        <v>10004</v>
      </c>
      <c r="I2387" s="25" t="s">
        <v>10005</v>
      </c>
    </row>
    <row r="2388" spans="1:9" s="33" customFormat="1" ht="30">
      <c r="A2388" s="19">
        <v>43545.333495370374</v>
      </c>
      <c r="B2388" s="20" t="s">
        <v>14747</v>
      </c>
      <c r="C2388" s="21" t="s">
        <v>9198</v>
      </c>
      <c r="D2388" s="22" t="s">
        <v>9199</v>
      </c>
      <c r="E2388" s="23" t="s">
        <v>13009</v>
      </c>
      <c r="F2388" s="19">
        <v>41246.031585648147</v>
      </c>
      <c r="G2388" s="24" t="s">
        <v>13000</v>
      </c>
      <c r="H2388" s="35" t="s">
        <v>9200</v>
      </c>
      <c r="I2388" s="25" t="s">
        <v>9201</v>
      </c>
    </row>
    <row r="2389" spans="1:9" s="33" customFormat="1" ht="75">
      <c r="A2389" s="4">
        <v>43563.334513888884</v>
      </c>
      <c r="B2389" s="5" t="s">
        <v>14748</v>
      </c>
      <c r="C2389" s="6" t="s">
        <v>10358</v>
      </c>
      <c r="D2389" s="7" t="s">
        <v>10359</v>
      </c>
      <c r="E2389" s="8" t="s">
        <v>13009</v>
      </c>
      <c r="F2389" s="4">
        <v>43156.828206018516</v>
      </c>
      <c r="G2389" s="24" t="s">
        <v>13000</v>
      </c>
      <c r="H2389" s="35" t="s">
        <v>9200</v>
      </c>
      <c r="I2389" s="10" t="s">
        <v>10360</v>
      </c>
    </row>
    <row r="2390" spans="1:9" s="33" customFormat="1" ht="60">
      <c r="A2390" s="4">
        <v>43563.331805555557</v>
      </c>
      <c r="B2390" s="5" t="s">
        <v>14748</v>
      </c>
      <c r="C2390" s="6" t="s">
        <v>10358</v>
      </c>
      <c r="D2390" s="7" t="s">
        <v>10362</v>
      </c>
      <c r="E2390" s="8" t="s">
        <v>13009</v>
      </c>
      <c r="F2390" s="4">
        <v>43156.828206018516</v>
      </c>
      <c r="G2390" s="24" t="s">
        <v>13000</v>
      </c>
      <c r="H2390" s="35" t="s">
        <v>9200</v>
      </c>
      <c r="I2390" s="10" t="s">
        <v>10360</v>
      </c>
    </row>
    <row r="2391" spans="1:9" s="33" customFormat="1" ht="135">
      <c r="A2391" s="4">
        <v>43562.585995370369</v>
      </c>
      <c r="B2391" s="5" t="s">
        <v>14749</v>
      </c>
      <c r="C2391" s="6" t="s">
        <v>10645</v>
      </c>
      <c r="D2391" s="7" t="s">
        <v>10646</v>
      </c>
      <c r="E2391" s="8" t="s">
        <v>13009</v>
      </c>
      <c r="F2391" s="4">
        <v>42112.869340277779</v>
      </c>
      <c r="G2391" s="24" t="s">
        <v>13000</v>
      </c>
      <c r="H2391" s="35" t="s">
        <v>129</v>
      </c>
      <c r="I2391" s="10" t="s">
        <v>10647</v>
      </c>
    </row>
    <row r="2392" spans="1:9" s="33" customFormat="1" ht="195">
      <c r="A2392" s="4">
        <v>43562.409560185188</v>
      </c>
      <c r="B2392" s="5" t="s">
        <v>14749</v>
      </c>
      <c r="C2392" s="6" t="s">
        <v>10645</v>
      </c>
      <c r="D2392" s="7" t="s">
        <v>10686</v>
      </c>
      <c r="E2392" s="8" t="s">
        <v>13009</v>
      </c>
      <c r="F2392" s="4">
        <v>42112.869340277779</v>
      </c>
      <c r="G2392" s="24" t="s">
        <v>13000</v>
      </c>
      <c r="H2392" s="35" t="s">
        <v>129</v>
      </c>
      <c r="I2392" s="10" t="s">
        <v>10647</v>
      </c>
    </row>
    <row r="2393" spans="1:9" s="33" customFormat="1" ht="105">
      <c r="A2393" s="12">
        <v>43580.721944444449</v>
      </c>
      <c r="B2393" s="13" t="s">
        <v>14750</v>
      </c>
      <c r="C2393" s="14" t="s">
        <v>127</v>
      </c>
      <c r="D2393" s="15" t="s">
        <v>128</v>
      </c>
      <c r="E2393" s="16" t="s">
        <v>13009</v>
      </c>
      <c r="F2393" s="12">
        <v>40538.284687499996</v>
      </c>
      <c r="G2393" s="24" t="s">
        <v>13000</v>
      </c>
      <c r="H2393" s="35" t="s">
        <v>129</v>
      </c>
      <c r="I2393" s="18" t="s">
        <v>130</v>
      </c>
    </row>
    <row r="2394" spans="1:9" s="33" customFormat="1" ht="105">
      <c r="A2394" s="12">
        <v>43580.721203703702</v>
      </c>
      <c r="B2394" s="13" t="s">
        <v>14750</v>
      </c>
      <c r="C2394" s="14" t="s">
        <v>127</v>
      </c>
      <c r="D2394" s="15" t="s">
        <v>131</v>
      </c>
      <c r="E2394" s="16" t="s">
        <v>13009</v>
      </c>
      <c r="F2394" s="12">
        <v>40538.284687499996</v>
      </c>
      <c r="G2394" s="24" t="s">
        <v>13000</v>
      </c>
      <c r="H2394" s="35" t="s">
        <v>129</v>
      </c>
      <c r="I2394" s="18" t="s">
        <v>130</v>
      </c>
    </row>
    <row r="2395" spans="1:9" s="33" customFormat="1" ht="30">
      <c r="A2395" s="4">
        <v>43561.694479166668</v>
      </c>
      <c r="B2395" s="5" t="s">
        <v>14751</v>
      </c>
      <c r="C2395" s="6" t="s">
        <v>1428</v>
      </c>
      <c r="D2395" s="7" t="s">
        <v>10861</v>
      </c>
      <c r="E2395" s="8" t="s">
        <v>13009</v>
      </c>
      <c r="F2395" s="4">
        <v>39862.354710648149</v>
      </c>
      <c r="G2395" s="24" t="s">
        <v>13000</v>
      </c>
      <c r="H2395" s="35" t="s">
        <v>1430</v>
      </c>
      <c r="I2395" s="10" t="s">
        <v>1431</v>
      </c>
    </row>
    <row r="2396" spans="1:9" s="33" customFormat="1" ht="30">
      <c r="A2396" s="4">
        <v>43561.538483796292</v>
      </c>
      <c r="B2396" s="5" t="s">
        <v>14751</v>
      </c>
      <c r="C2396" s="6" t="s">
        <v>1428</v>
      </c>
      <c r="D2396" s="7" t="s">
        <v>10939</v>
      </c>
      <c r="E2396" s="8" t="s">
        <v>13009</v>
      </c>
      <c r="F2396" s="4">
        <v>39862.354710648149</v>
      </c>
      <c r="G2396" s="24" t="s">
        <v>13000</v>
      </c>
      <c r="H2396" s="35" t="s">
        <v>1430</v>
      </c>
      <c r="I2396" s="10" t="s">
        <v>1431</v>
      </c>
    </row>
    <row r="2397" spans="1:9" s="33" customFormat="1" ht="30">
      <c r="A2397" s="12">
        <v>43578.015405092592</v>
      </c>
      <c r="B2397" s="13" t="s">
        <v>14751</v>
      </c>
      <c r="C2397" s="14" t="s">
        <v>1428</v>
      </c>
      <c r="D2397" s="15" t="s">
        <v>1429</v>
      </c>
      <c r="E2397" s="16" t="s">
        <v>13009</v>
      </c>
      <c r="F2397" s="12">
        <v>39862.354710648149</v>
      </c>
      <c r="G2397" s="24" t="s">
        <v>13000</v>
      </c>
      <c r="H2397" s="35" t="s">
        <v>1430</v>
      </c>
      <c r="I2397" s="18" t="s">
        <v>1431</v>
      </c>
    </row>
    <row r="2398" spans="1:9" s="33" customFormat="1" ht="45">
      <c r="A2398" s="12">
        <v>43578.006342592591</v>
      </c>
      <c r="B2398" s="13" t="s">
        <v>14751</v>
      </c>
      <c r="C2398" s="14" t="s">
        <v>1428</v>
      </c>
      <c r="D2398" s="15" t="s">
        <v>1437</v>
      </c>
      <c r="E2398" s="16" t="s">
        <v>13009</v>
      </c>
      <c r="F2398" s="12">
        <v>39862.354710648149</v>
      </c>
      <c r="G2398" s="24" t="s">
        <v>13000</v>
      </c>
      <c r="H2398" s="35" t="s">
        <v>1430</v>
      </c>
      <c r="I2398" s="18" t="s">
        <v>1431</v>
      </c>
    </row>
    <row r="2399" spans="1:9" s="33" customFormat="1" ht="60">
      <c r="A2399" s="12">
        <v>43573.525219907402</v>
      </c>
      <c r="B2399" s="13" t="s">
        <v>14751</v>
      </c>
      <c r="C2399" s="14" t="s">
        <v>1428</v>
      </c>
      <c r="D2399" s="15" t="s">
        <v>2837</v>
      </c>
      <c r="E2399" s="16" t="s">
        <v>13032</v>
      </c>
      <c r="F2399" s="12">
        <v>39862.354710648149</v>
      </c>
      <c r="G2399" s="24" t="s">
        <v>13000</v>
      </c>
      <c r="H2399" s="35" t="s">
        <v>1430</v>
      </c>
      <c r="I2399" s="18" t="s">
        <v>1431</v>
      </c>
    </row>
    <row r="2400" spans="1:9" s="33" customFormat="1" ht="120">
      <c r="A2400" s="12">
        <v>43570.74150462963</v>
      </c>
      <c r="B2400" s="13" t="s">
        <v>14752</v>
      </c>
      <c r="C2400" s="14" t="s">
        <v>3986</v>
      </c>
      <c r="D2400" s="15" t="s">
        <v>3987</v>
      </c>
      <c r="E2400" s="16" t="s">
        <v>13130</v>
      </c>
      <c r="F2400" s="12">
        <v>43553.658819444448</v>
      </c>
      <c r="G2400" s="24" t="s">
        <v>13000</v>
      </c>
      <c r="H2400" s="35" t="s">
        <v>3988</v>
      </c>
      <c r="I2400" s="18" t="s">
        <v>3989</v>
      </c>
    </row>
    <row r="2401" spans="1:9" s="33" customFormat="1" ht="90">
      <c r="A2401" s="4">
        <v>43565.728680555556</v>
      </c>
      <c r="B2401" s="5" t="s">
        <v>14753</v>
      </c>
      <c r="C2401" s="6" t="s">
        <v>5931</v>
      </c>
      <c r="D2401" s="7" t="s">
        <v>5932</v>
      </c>
      <c r="E2401" s="8" t="s">
        <v>13027</v>
      </c>
      <c r="F2401" s="4">
        <v>41250.474328703705</v>
      </c>
      <c r="G2401" s="24" t="s">
        <v>13000</v>
      </c>
      <c r="H2401" s="35" t="s">
        <v>5933</v>
      </c>
      <c r="I2401" s="10" t="s">
        <v>5934</v>
      </c>
    </row>
    <row r="2402" spans="1:9" s="33" customFormat="1" ht="60">
      <c r="A2402" s="19">
        <v>43546.808958333335</v>
      </c>
      <c r="B2402" s="20" t="s">
        <v>14754</v>
      </c>
      <c r="C2402" s="21" t="s">
        <v>8719</v>
      </c>
      <c r="D2402" s="22" t="s">
        <v>8720</v>
      </c>
      <c r="E2402" s="23" t="s">
        <v>13032</v>
      </c>
      <c r="F2402" s="19">
        <v>39866.923321759255</v>
      </c>
      <c r="G2402" s="24" t="s">
        <v>13000</v>
      </c>
      <c r="H2402" s="35" t="s">
        <v>8721</v>
      </c>
      <c r="I2402" s="25"/>
    </row>
    <row r="2403" spans="1:9" s="33" customFormat="1" ht="90">
      <c r="A2403" s="12">
        <v>43575.339780092589</v>
      </c>
      <c r="B2403" s="13" t="s">
        <v>14755</v>
      </c>
      <c r="C2403" s="14" t="s">
        <v>2282</v>
      </c>
      <c r="D2403" s="15" t="s">
        <v>2283</v>
      </c>
      <c r="E2403" s="16" t="s">
        <v>13011</v>
      </c>
      <c r="F2403" s="12">
        <v>40506.220046296294</v>
      </c>
      <c r="G2403" s="17" t="s">
        <v>13000</v>
      </c>
      <c r="H2403" s="35" t="s">
        <v>2284</v>
      </c>
      <c r="I2403" s="18" t="s">
        <v>2285</v>
      </c>
    </row>
    <row r="2404" spans="1:9" s="33" customFormat="1" ht="105">
      <c r="A2404" s="19">
        <v>43546.3125</v>
      </c>
      <c r="B2404" s="20" t="s">
        <v>14756</v>
      </c>
      <c r="C2404" s="21" t="s">
        <v>8912</v>
      </c>
      <c r="D2404" s="22" t="s">
        <v>8913</v>
      </c>
      <c r="E2404" s="23" t="s">
        <v>13120</v>
      </c>
      <c r="F2404" s="19">
        <v>39827.614340277782</v>
      </c>
      <c r="G2404" s="24" t="s">
        <v>13000</v>
      </c>
      <c r="H2404" s="35" t="s">
        <v>8914</v>
      </c>
      <c r="I2404" s="25" t="s">
        <v>8915</v>
      </c>
    </row>
    <row r="2405" spans="1:9" s="33" customFormat="1" ht="60">
      <c r="A2405" s="19">
        <v>43547.407199074078</v>
      </c>
      <c r="B2405" s="20" t="s">
        <v>14757</v>
      </c>
      <c r="C2405" s="21" t="s">
        <v>8566</v>
      </c>
      <c r="D2405" s="22" t="s">
        <v>8567</v>
      </c>
      <c r="E2405" s="23" t="s">
        <v>13032</v>
      </c>
      <c r="F2405" s="19">
        <v>39853.428379629629</v>
      </c>
      <c r="G2405" s="24" t="s">
        <v>13000</v>
      </c>
      <c r="H2405" s="35" t="s">
        <v>8568</v>
      </c>
      <c r="I2405" s="25" t="s">
        <v>8569</v>
      </c>
    </row>
    <row r="2406" spans="1:9" s="33" customFormat="1" ht="120">
      <c r="A2406" s="4">
        <v>43563.189652777779</v>
      </c>
      <c r="B2406" s="5" t="s">
        <v>14758</v>
      </c>
      <c r="C2406" s="6" t="s">
        <v>10438</v>
      </c>
      <c r="D2406" s="7" t="s">
        <v>10439</v>
      </c>
      <c r="E2406" s="8" t="s">
        <v>13013</v>
      </c>
      <c r="F2406" s="4">
        <v>40887.660763888889</v>
      </c>
      <c r="G2406" s="9" t="s">
        <v>13000</v>
      </c>
      <c r="H2406" s="35" t="s">
        <v>10440</v>
      </c>
      <c r="I2406" s="10" t="s">
        <v>10441</v>
      </c>
    </row>
    <row r="2407" spans="1:9" s="33" customFormat="1" ht="105">
      <c r="A2407" s="12">
        <v>43570.675196759257</v>
      </c>
      <c r="B2407" s="13" t="s">
        <v>14759</v>
      </c>
      <c r="C2407" s="14" t="s">
        <v>4003</v>
      </c>
      <c r="D2407" s="15" t="s">
        <v>4004</v>
      </c>
      <c r="E2407" s="16" t="s">
        <v>13013</v>
      </c>
      <c r="F2407" s="12">
        <v>40210.943437499998</v>
      </c>
      <c r="G2407" s="17" t="s">
        <v>13000</v>
      </c>
      <c r="H2407" s="35" t="s">
        <v>4005</v>
      </c>
      <c r="I2407" s="18" t="s">
        <v>4006</v>
      </c>
    </row>
    <row r="2408" spans="1:9" s="33" customFormat="1" ht="90">
      <c r="A2408" s="12">
        <v>43575.715474537035</v>
      </c>
      <c r="B2408" s="13" t="s">
        <v>14760</v>
      </c>
      <c r="C2408" s="14" t="s">
        <v>2137</v>
      </c>
      <c r="D2408" s="15" t="s">
        <v>2138</v>
      </c>
      <c r="E2408" s="16" t="s">
        <v>13013</v>
      </c>
      <c r="F2408" s="12">
        <v>43204.796041666668</v>
      </c>
      <c r="G2408" s="17" t="s">
        <v>13000</v>
      </c>
      <c r="H2408" s="35" t="s">
        <v>2139</v>
      </c>
      <c r="I2408" s="18" t="s">
        <v>2140</v>
      </c>
    </row>
    <row r="2409" spans="1:9" s="33" customFormat="1" ht="45">
      <c r="A2409" s="12">
        <v>43566.86550925926</v>
      </c>
      <c r="B2409" s="13" t="s">
        <v>14761</v>
      </c>
      <c r="C2409" s="14" t="s">
        <v>5317</v>
      </c>
      <c r="D2409" s="15" t="s">
        <v>5318</v>
      </c>
      <c r="E2409" s="16" t="s">
        <v>5317</v>
      </c>
      <c r="F2409" s="12">
        <v>42461.267581018517</v>
      </c>
      <c r="G2409" s="17" t="s">
        <v>13000</v>
      </c>
      <c r="H2409" s="35" t="s">
        <v>5319</v>
      </c>
      <c r="I2409" s="18" t="s">
        <v>5320</v>
      </c>
    </row>
    <row r="2410" spans="1:9" s="33" customFormat="1" ht="135">
      <c r="A2410" s="4">
        <v>43563.845763888894</v>
      </c>
      <c r="B2410" s="5" t="s">
        <v>14762</v>
      </c>
      <c r="C2410" s="6" t="s">
        <v>6860</v>
      </c>
      <c r="D2410" s="7" t="s">
        <v>6861</v>
      </c>
      <c r="E2410" s="8" t="s">
        <v>13009</v>
      </c>
      <c r="F2410" s="4">
        <v>39934.72997685185</v>
      </c>
      <c r="G2410" s="17" t="s">
        <v>13000</v>
      </c>
      <c r="H2410" s="35" t="s">
        <v>6862</v>
      </c>
      <c r="I2410" s="10" t="s">
        <v>6863</v>
      </c>
    </row>
    <row r="2411" spans="1:9" s="33" customFormat="1" ht="75">
      <c r="A2411" s="4">
        <v>43561.597916666666</v>
      </c>
      <c r="B2411" s="5" t="s">
        <v>14763</v>
      </c>
      <c r="C2411" s="6" t="s">
        <v>10912</v>
      </c>
      <c r="D2411" s="7" t="s">
        <v>10913</v>
      </c>
      <c r="E2411" s="8" t="s">
        <v>13120</v>
      </c>
      <c r="F2411" s="4">
        <v>43272.551469907412</v>
      </c>
      <c r="G2411" s="9" t="s">
        <v>13000</v>
      </c>
      <c r="H2411" s="35" t="s">
        <v>10914</v>
      </c>
      <c r="I2411" s="10" t="s">
        <v>10915</v>
      </c>
    </row>
    <row r="2412" spans="1:9" s="33" customFormat="1" ht="105">
      <c r="A2412" s="4">
        <v>43561.538194444445</v>
      </c>
      <c r="B2412" s="5" t="s">
        <v>14764</v>
      </c>
      <c r="C2412" s="6" t="s">
        <v>10940</v>
      </c>
      <c r="D2412" s="7" t="s">
        <v>10913</v>
      </c>
      <c r="E2412" s="8" t="s">
        <v>13120</v>
      </c>
      <c r="F2412" s="4">
        <v>41600.307337962964</v>
      </c>
      <c r="G2412" s="9" t="s">
        <v>13000</v>
      </c>
      <c r="H2412" s="35" t="s">
        <v>10941</v>
      </c>
      <c r="I2412" s="10" t="s">
        <v>10942</v>
      </c>
    </row>
    <row r="2413" spans="1:9" s="33" customFormat="1" ht="45">
      <c r="A2413" s="12">
        <v>43570.780798611115</v>
      </c>
      <c r="B2413" s="13" t="s">
        <v>14765</v>
      </c>
      <c r="C2413" s="14" t="s">
        <v>3979</v>
      </c>
      <c r="D2413" s="15" t="s">
        <v>3980</v>
      </c>
      <c r="E2413" s="16" t="s">
        <v>13011</v>
      </c>
      <c r="F2413" s="12">
        <v>40798.887245370366</v>
      </c>
      <c r="G2413" s="17" t="s">
        <v>13000</v>
      </c>
      <c r="H2413" s="35" t="s">
        <v>3981</v>
      </c>
      <c r="I2413" s="18" t="s">
        <v>3982</v>
      </c>
    </row>
    <row r="2414" spans="1:9" s="33" customFormat="1" ht="120">
      <c r="A2414" s="12">
        <v>43568.636284722219</v>
      </c>
      <c r="B2414" s="13" t="s">
        <v>14766</v>
      </c>
      <c r="C2414" s="14" t="s">
        <v>4682</v>
      </c>
      <c r="D2414" s="15" t="s">
        <v>4683</v>
      </c>
      <c r="E2414" s="16" t="s">
        <v>13009</v>
      </c>
      <c r="F2414" s="12">
        <v>39952.553263888891</v>
      </c>
      <c r="G2414" s="24" t="s">
        <v>13000</v>
      </c>
      <c r="H2414" s="35" t="s">
        <v>4684</v>
      </c>
      <c r="I2414" s="18" t="s">
        <v>4685</v>
      </c>
    </row>
    <row r="2415" spans="1:9" s="33" customFormat="1" ht="105">
      <c r="A2415" s="19">
        <v>43542.539814814816</v>
      </c>
      <c r="B2415" s="20" t="s">
        <v>14767</v>
      </c>
      <c r="C2415" s="21" t="s">
        <v>10122</v>
      </c>
      <c r="D2415" s="22" t="s">
        <v>10123</v>
      </c>
      <c r="E2415" s="23" t="s">
        <v>13011</v>
      </c>
      <c r="F2415" s="19">
        <v>40786.503101851849</v>
      </c>
      <c r="G2415" s="24" t="s">
        <v>13000</v>
      </c>
      <c r="H2415" s="35" t="s">
        <v>10124</v>
      </c>
      <c r="I2415" s="25" t="s">
        <v>10125</v>
      </c>
    </row>
    <row r="2416" spans="1:9" s="33" customFormat="1" ht="120">
      <c r="A2416" s="19">
        <v>43544.80940972222</v>
      </c>
      <c r="B2416" s="20" t="s">
        <v>14768</v>
      </c>
      <c r="C2416" s="21" t="s">
        <v>9326</v>
      </c>
      <c r="D2416" s="22" t="s">
        <v>9327</v>
      </c>
      <c r="E2416" s="23" t="s">
        <v>13032</v>
      </c>
      <c r="F2416" s="19">
        <v>43214.559166666666</v>
      </c>
      <c r="G2416" s="24" t="s">
        <v>13000</v>
      </c>
      <c r="H2416" s="35" t="s">
        <v>9328</v>
      </c>
      <c r="I2416" s="25" t="s">
        <v>9329</v>
      </c>
    </row>
    <row r="2417" spans="1:9" s="33" customFormat="1" ht="75">
      <c r="A2417" s="12">
        <v>43576.226365740746</v>
      </c>
      <c r="B2417" s="13" t="s">
        <v>14769</v>
      </c>
      <c r="C2417" s="14" t="s">
        <v>2025</v>
      </c>
      <c r="D2417" s="15" t="s">
        <v>2026</v>
      </c>
      <c r="E2417" s="16" t="s">
        <v>13032</v>
      </c>
      <c r="F2417" s="12">
        <v>39779.584398148145</v>
      </c>
      <c r="G2417" s="17" t="s">
        <v>13000</v>
      </c>
      <c r="H2417" s="35" t="s">
        <v>2027</v>
      </c>
      <c r="I2417" s="18" t="s">
        <v>2028</v>
      </c>
    </row>
    <row r="2418" spans="1:9" s="33" customFormat="1" ht="75">
      <c r="A2418" s="12">
        <v>43573.464421296296</v>
      </c>
      <c r="B2418" s="13" t="s">
        <v>14770</v>
      </c>
      <c r="C2418" s="14" t="s">
        <v>2845</v>
      </c>
      <c r="D2418" s="15" t="s">
        <v>2846</v>
      </c>
      <c r="E2418" s="16" t="s">
        <v>13006</v>
      </c>
      <c r="F2418" s="12">
        <v>40385.704236111109</v>
      </c>
      <c r="G2418" s="24" t="s">
        <v>13000</v>
      </c>
      <c r="H2418" s="35" t="s">
        <v>2847</v>
      </c>
      <c r="I2418" s="18" t="s">
        <v>2848</v>
      </c>
    </row>
    <row r="2419" spans="1:9" s="33" customFormat="1" ht="75">
      <c r="A2419" s="4">
        <v>43560.777187500003</v>
      </c>
      <c r="B2419" s="5" t="s">
        <v>14771</v>
      </c>
      <c r="C2419" s="6" t="s">
        <v>11166</v>
      </c>
      <c r="D2419" s="7" t="s">
        <v>11167</v>
      </c>
      <c r="E2419" s="8" t="s">
        <v>13009</v>
      </c>
      <c r="F2419" s="4">
        <v>41722.276712962965</v>
      </c>
      <c r="G2419" s="24" t="s">
        <v>13000</v>
      </c>
      <c r="H2419" s="35" t="s">
        <v>11168</v>
      </c>
      <c r="I2419" s="10" t="s">
        <v>11169</v>
      </c>
    </row>
    <row r="2420" spans="1:9" s="33" customFormat="1" ht="30">
      <c r="A2420" s="19">
        <v>43545.828252314815</v>
      </c>
      <c r="B2420" s="20" t="s">
        <v>14772</v>
      </c>
      <c r="C2420" s="21" t="s">
        <v>9034</v>
      </c>
      <c r="D2420" s="22" t="s">
        <v>9035</v>
      </c>
      <c r="E2420" s="23" t="s">
        <v>14773</v>
      </c>
      <c r="F2420" s="19">
        <v>39814.606956018521</v>
      </c>
      <c r="G2420" s="24" t="s">
        <v>13000</v>
      </c>
      <c r="H2420" s="35" t="s">
        <v>3165</v>
      </c>
      <c r="I2420" s="25" t="s">
        <v>9036</v>
      </c>
    </row>
    <row r="2421" spans="1:9" s="33" customFormat="1" ht="60">
      <c r="A2421" s="4">
        <v>43565.745613425926</v>
      </c>
      <c r="B2421" s="5" t="s">
        <v>14774</v>
      </c>
      <c r="C2421" s="6" t="s">
        <v>5918</v>
      </c>
      <c r="D2421" s="7" t="s">
        <v>5919</v>
      </c>
      <c r="E2421" s="8" t="s">
        <v>13011</v>
      </c>
      <c r="F2421" s="4">
        <v>40632.234236111108</v>
      </c>
      <c r="G2421" s="24" t="s">
        <v>13000</v>
      </c>
      <c r="H2421" s="35" t="s">
        <v>5920</v>
      </c>
      <c r="I2421" s="10" t="s">
        <v>5921</v>
      </c>
    </row>
    <row r="2422" spans="1:9" s="33" customFormat="1" ht="135">
      <c r="A2422" s="4">
        <v>43563.463171296295</v>
      </c>
      <c r="B2422" s="5" t="s">
        <v>14775</v>
      </c>
      <c r="C2422" s="6" t="s">
        <v>10273</v>
      </c>
      <c r="D2422" s="7" t="s">
        <v>10274</v>
      </c>
      <c r="E2422" s="8" t="s">
        <v>13013</v>
      </c>
      <c r="F2422" s="4">
        <v>40933.881111111114</v>
      </c>
      <c r="G2422" s="24" t="s">
        <v>13000</v>
      </c>
      <c r="H2422" s="35" t="s">
        <v>3165</v>
      </c>
      <c r="I2422" s="10" t="s">
        <v>10275</v>
      </c>
    </row>
    <row r="2423" spans="1:9" s="33" customFormat="1" ht="60">
      <c r="A2423" s="12">
        <v>43572.558356481481</v>
      </c>
      <c r="B2423" s="13" t="s">
        <v>14776</v>
      </c>
      <c r="C2423" s="14" t="s">
        <v>3163</v>
      </c>
      <c r="D2423" s="15" t="s">
        <v>3164</v>
      </c>
      <c r="E2423" s="16" t="s">
        <v>13011</v>
      </c>
      <c r="F2423" s="12">
        <v>40028.637627314813</v>
      </c>
      <c r="G2423" s="24" t="s">
        <v>13000</v>
      </c>
      <c r="H2423" s="35" t="s">
        <v>3165</v>
      </c>
      <c r="I2423" s="18" t="s">
        <v>3166</v>
      </c>
    </row>
    <row r="2424" spans="1:9" s="33" customFormat="1" ht="105">
      <c r="A2424" s="12">
        <v>43568.544594907406</v>
      </c>
      <c r="B2424" s="13" t="s">
        <v>14777</v>
      </c>
      <c r="C2424" s="14" t="s">
        <v>4707</v>
      </c>
      <c r="D2424" s="15" t="s">
        <v>4708</v>
      </c>
      <c r="E2424" s="16" t="s">
        <v>13032</v>
      </c>
      <c r="F2424" s="12">
        <v>40196.535925925928</v>
      </c>
      <c r="G2424" s="24" t="s">
        <v>13000</v>
      </c>
      <c r="H2424" s="35" t="s">
        <v>3165</v>
      </c>
      <c r="I2424" s="18" t="s">
        <v>4709</v>
      </c>
    </row>
    <row r="2425" spans="1:9" s="33" customFormat="1">
      <c r="A2425" s="12">
        <v>43566.880486111113</v>
      </c>
      <c r="B2425" s="13" t="s">
        <v>14778</v>
      </c>
      <c r="C2425" s="14" t="s">
        <v>5311</v>
      </c>
      <c r="D2425" s="15" t="s">
        <v>5040</v>
      </c>
      <c r="E2425" s="16" t="s">
        <v>13009</v>
      </c>
      <c r="F2425" s="12">
        <v>40303.112337962964</v>
      </c>
      <c r="G2425" s="24" t="s">
        <v>13000</v>
      </c>
      <c r="H2425" s="35" t="s">
        <v>3165</v>
      </c>
      <c r="I2425" s="18" t="s">
        <v>5312</v>
      </c>
    </row>
    <row r="2426" spans="1:9" s="33" customFormat="1" ht="30">
      <c r="A2426" s="12">
        <v>43575.344918981486</v>
      </c>
      <c r="B2426" s="13" t="s">
        <v>14779</v>
      </c>
      <c r="C2426" s="14" t="s">
        <v>2268</v>
      </c>
      <c r="D2426" s="15" t="s">
        <v>2269</v>
      </c>
      <c r="E2426" s="16" t="s">
        <v>13011</v>
      </c>
      <c r="F2426" s="12">
        <v>41763.705879629633</v>
      </c>
      <c r="G2426" s="24" t="s">
        <v>13000</v>
      </c>
      <c r="H2426" s="35" t="s">
        <v>2270</v>
      </c>
      <c r="I2426" s="18" t="s">
        <v>2271</v>
      </c>
    </row>
    <row r="2427" spans="1:9" s="33" customFormat="1" ht="45">
      <c r="A2427" s="12">
        <v>43578.624652777777</v>
      </c>
      <c r="B2427" s="13" t="s">
        <v>14780</v>
      </c>
      <c r="C2427" s="14" t="s">
        <v>1130</v>
      </c>
      <c r="D2427" s="15" t="s">
        <v>1131</v>
      </c>
      <c r="E2427" s="16" t="s">
        <v>13011</v>
      </c>
      <c r="F2427" s="12">
        <v>40091.327210648145</v>
      </c>
      <c r="G2427" s="24" t="s">
        <v>13000</v>
      </c>
      <c r="H2427" s="35" t="s">
        <v>1132</v>
      </c>
      <c r="I2427" s="18" t="s">
        <v>1133</v>
      </c>
    </row>
    <row r="2428" spans="1:9" s="33" customFormat="1" ht="90">
      <c r="A2428" s="19">
        <v>43543.410717592589</v>
      </c>
      <c r="B2428" s="20" t="s">
        <v>14781</v>
      </c>
      <c r="C2428" s="21" t="s">
        <v>9820</v>
      </c>
      <c r="D2428" s="22" t="s">
        <v>9821</v>
      </c>
      <c r="E2428" s="23" t="s">
        <v>13009</v>
      </c>
      <c r="F2428" s="19">
        <v>41221.508194444446</v>
      </c>
      <c r="G2428" s="24" t="s">
        <v>13000</v>
      </c>
      <c r="H2428" s="35" t="s">
        <v>9822</v>
      </c>
      <c r="I2428" s="25" t="s">
        <v>9823</v>
      </c>
    </row>
    <row r="2429" spans="1:9" s="33" customFormat="1" ht="120">
      <c r="A2429" s="19">
        <v>43547.53324074074</v>
      </c>
      <c r="B2429" s="20" t="s">
        <v>14782</v>
      </c>
      <c r="C2429" s="21" t="s">
        <v>8512</v>
      </c>
      <c r="D2429" s="22" t="s">
        <v>8513</v>
      </c>
      <c r="E2429" s="23" t="s">
        <v>13009</v>
      </c>
      <c r="F2429" s="19">
        <v>43048.612037037034</v>
      </c>
      <c r="G2429" s="24" t="s">
        <v>13000</v>
      </c>
      <c r="H2429" s="35" t="s">
        <v>8514</v>
      </c>
      <c r="I2429" s="25" t="s">
        <v>8515</v>
      </c>
    </row>
    <row r="2430" spans="1:9" s="33" customFormat="1" ht="105">
      <c r="A2430" s="12">
        <v>43573.314120370371</v>
      </c>
      <c r="B2430" s="13" t="s">
        <v>14783</v>
      </c>
      <c r="C2430" s="14" t="s">
        <v>2934</v>
      </c>
      <c r="D2430" s="15" t="s">
        <v>2935</v>
      </c>
      <c r="E2430" s="16" t="s">
        <v>13009</v>
      </c>
      <c r="F2430" s="12">
        <v>39973.311921296292</v>
      </c>
      <c r="G2430" s="24" t="s">
        <v>13000</v>
      </c>
      <c r="H2430" s="35" t="s">
        <v>2936</v>
      </c>
      <c r="I2430" s="18" t="s">
        <v>2937</v>
      </c>
    </row>
    <row r="2431" spans="1:9" s="33" customFormat="1" ht="75">
      <c r="A2431" s="19">
        <v>43543.428483796291</v>
      </c>
      <c r="B2431" s="20" t="s">
        <v>14784</v>
      </c>
      <c r="C2431" s="21" t="s">
        <v>9807</v>
      </c>
      <c r="D2431" s="22" t="s">
        <v>9808</v>
      </c>
      <c r="E2431" s="23" t="s">
        <v>13034</v>
      </c>
      <c r="F2431" s="19">
        <v>40990.683287037034</v>
      </c>
      <c r="G2431" s="24" t="s">
        <v>13000</v>
      </c>
      <c r="H2431" s="35" t="s">
        <v>9809</v>
      </c>
      <c r="I2431" s="25" t="s">
        <v>9810</v>
      </c>
    </row>
    <row r="2432" spans="1:9" s="33" customFormat="1" ht="75">
      <c r="A2432" s="19">
        <v>43542.506967592592</v>
      </c>
      <c r="B2432" s="20" t="s">
        <v>14784</v>
      </c>
      <c r="C2432" s="21" t="s">
        <v>9807</v>
      </c>
      <c r="D2432" s="22" t="s">
        <v>10132</v>
      </c>
      <c r="E2432" s="23" t="s">
        <v>13034</v>
      </c>
      <c r="F2432" s="19">
        <v>40990.683287037034</v>
      </c>
      <c r="G2432" s="24" t="s">
        <v>13000</v>
      </c>
      <c r="H2432" s="35" t="s">
        <v>9809</v>
      </c>
      <c r="I2432" s="25" t="s">
        <v>9810</v>
      </c>
    </row>
    <row r="2433" spans="1:9" s="33" customFormat="1" ht="120">
      <c r="A2433" s="19">
        <v>43551.625717592593</v>
      </c>
      <c r="B2433" s="20" t="s">
        <v>14785</v>
      </c>
      <c r="C2433" s="21" t="s">
        <v>538</v>
      </c>
      <c r="D2433" s="22" t="s">
        <v>7085</v>
      </c>
      <c r="E2433" s="23" t="s">
        <v>13034</v>
      </c>
      <c r="F2433" s="19">
        <v>40025.674039351856</v>
      </c>
      <c r="G2433" s="17" t="s">
        <v>13000</v>
      </c>
      <c r="H2433" s="35" t="s">
        <v>540</v>
      </c>
      <c r="I2433" s="25" t="s">
        <v>541</v>
      </c>
    </row>
    <row r="2434" spans="1:9" s="33" customFormat="1" ht="90">
      <c r="A2434" s="19">
        <v>43551.417476851857</v>
      </c>
      <c r="B2434" s="20" t="s">
        <v>14786</v>
      </c>
      <c r="C2434" s="21" t="s">
        <v>1594</v>
      </c>
      <c r="D2434" s="22" t="s">
        <v>7212</v>
      </c>
      <c r="E2434" s="23" t="s">
        <v>13290</v>
      </c>
      <c r="F2434" s="19">
        <v>43487.805902777778</v>
      </c>
      <c r="G2434" s="17" t="s">
        <v>13000</v>
      </c>
      <c r="H2434" s="35" t="s">
        <v>540</v>
      </c>
      <c r="I2434" s="25"/>
    </row>
    <row r="2435" spans="1:9" s="33" customFormat="1" ht="120">
      <c r="A2435" s="19">
        <v>43550.605567129634</v>
      </c>
      <c r="B2435" s="20" t="s">
        <v>14785</v>
      </c>
      <c r="C2435" s="21" t="s">
        <v>538</v>
      </c>
      <c r="D2435" s="22" t="s">
        <v>7593</v>
      </c>
      <c r="E2435" s="23" t="s">
        <v>13034</v>
      </c>
      <c r="F2435" s="19">
        <v>40025.674039351856</v>
      </c>
      <c r="G2435" s="17" t="s">
        <v>13000</v>
      </c>
      <c r="H2435" s="35" t="s">
        <v>540</v>
      </c>
      <c r="I2435" s="25" t="s">
        <v>541</v>
      </c>
    </row>
    <row r="2436" spans="1:9" s="33" customFormat="1" ht="120">
      <c r="A2436" s="19">
        <v>43549.563912037032</v>
      </c>
      <c r="B2436" s="20" t="s">
        <v>14785</v>
      </c>
      <c r="C2436" s="21" t="s">
        <v>538</v>
      </c>
      <c r="D2436" s="22" t="s">
        <v>7985</v>
      </c>
      <c r="E2436" s="23" t="s">
        <v>13034</v>
      </c>
      <c r="F2436" s="19">
        <v>40025.674039351856</v>
      </c>
      <c r="G2436" s="17" t="s">
        <v>13000</v>
      </c>
      <c r="H2436" s="35" t="s">
        <v>540</v>
      </c>
      <c r="I2436" s="25" t="s">
        <v>541</v>
      </c>
    </row>
    <row r="2437" spans="1:9" s="33" customFormat="1" ht="120">
      <c r="A2437" s="19">
        <v>43545.522245370375</v>
      </c>
      <c r="B2437" s="20" t="s">
        <v>14785</v>
      </c>
      <c r="C2437" s="21" t="s">
        <v>538</v>
      </c>
      <c r="D2437" s="22" t="s">
        <v>9111</v>
      </c>
      <c r="E2437" s="23" t="s">
        <v>13034</v>
      </c>
      <c r="F2437" s="19">
        <v>40025.674039351856</v>
      </c>
      <c r="G2437" s="17" t="s">
        <v>13000</v>
      </c>
      <c r="H2437" s="35" t="s">
        <v>540</v>
      </c>
      <c r="I2437" s="25" t="s">
        <v>541</v>
      </c>
    </row>
    <row r="2438" spans="1:9" s="33" customFormat="1" ht="120">
      <c r="A2438" s="19">
        <v>43544.62572916667</v>
      </c>
      <c r="B2438" s="20" t="s">
        <v>14785</v>
      </c>
      <c r="C2438" s="21" t="s">
        <v>538</v>
      </c>
      <c r="D2438" s="22" t="s">
        <v>9383</v>
      </c>
      <c r="E2438" s="23" t="s">
        <v>13034</v>
      </c>
      <c r="F2438" s="19">
        <v>40025.674039351856</v>
      </c>
      <c r="G2438" s="17" t="s">
        <v>13000</v>
      </c>
      <c r="H2438" s="35" t="s">
        <v>540</v>
      </c>
      <c r="I2438" s="25" t="s">
        <v>541</v>
      </c>
    </row>
    <row r="2439" spans="1:9" s="33" customFormat="1" ht="120">
      <c r="A2439" s="19">
        <v>43543.605578703704</v>
      </c>
      <c r="B2439" s="20" t="s">
        <v>14785</v>
      </c>
      <c r="C2439" s="21" t="s">
        <v>538</v>
      </c>
      <c r="D2439" s="22" t="s">
        <v>9742</v>
      </c>
      <c r="E2439" s="23" t="s">
        <v>13034</v>
      </c>
      <c r="F2439" s="19">
        <v>40025.674039351856</v>
      </c>
      <c r="G2439" s="17" t="s">
        <v>13000</v>
      </c>
      <c r="H2439" s="35" t="s">
        <v>540</v>
      </c>
      <c r="I2439" s="25" t="s">
        <v>541</v>
      </c>
    </row>
    <row r="2440" spans="1:9" s="33" customFormat="1" ht="120">
      <c r="A2440" s="19">
        <v>43542.563900462963</v>
      </c>
      <c r="B2440" s="20" t="s">
        <v>14785</v>
      </c>
      <c r="C2440" s="21" t="s">
        <v>538</v>
      </c>
      <c r="D2440" s="22" t="s">
        <v>10107</v>
      </c>
      <c r="E2440" s="23" t="s">
        <v>13034</v>
      </c>
      <c r="F2440" s="19">
        <v>40025.674039351856</v>
      </c>
      <c r="G2440" s="17" t="s">
        <v>13000</v>
      </c>
      <c r="H2440" s="35" t="s">
        <v>540</v>
      </c>
      <c r="I2440" s="25" t="s">
        <v>541</v>
      </c>
    </row>
    <row r="2441" spans="1:9" s="33" customFormat="1" ht="120">
      <c r="A2441" s="4">
        <v>43565.625706018516</v>
      </c>
      <c r="B2441" s="5" t="s">
        <v>14785</v>
      </c>
      <c r="C2441" s="6" t="s">
        <v>538</v>
      </c>
      <c r="D2441" s="7" t="s">
        <v>5985</v>
      </c>
      <c r="E2441" s="8" t="s">
        <v>13034</v>
      </c>
      <c r="F2441" s="4">
        <v>40025.674039351856</v>
      </c>
      <c r="G2441" s="17" t="s">
        <v>13000</v>
      </c>
      <c r="H2441" s="35" t="s">
        <v>540</v>
      </c>
      <c r="I2441" s="10" t="s">
        <v>541</v>
      </c>
    </row>
    <row r="2442" spans="1:9" s="33" customFormat="1" ht="90">
      <c r="A2442" s="4">
        <v>43565.375219907408</v>
      </c>
      <c r="B2442" s="5" t="s">
        <v>14786</v>
      </c>
      <c r="C2442" s="6" t="s">
        <v>1594</v>
      </c>
      <c r="D2442" s="7" t="s">
        <v>6141</v>
      </c>
      <c r="E2442" s="8" t="s">
        <v>13290</v>
      </c>
      <c r="F2442" s="4">
        <v>43487.805902777778</v>
      </c>
      <c r="G2442" s="17" t="s">
        <v>13000</v>
      </c>
      <c r="H2442" s="35" t="s">
        <v>540</v>
      </c>
      <c r="I2442" s="10"/>
    </row>
    <row r="2443" spans="1:9" s="33" customFormat="1" ht="120">
      <c r="A2443" s="4">
        <v>43564.605578703704</v>
      </c>
      <c r="B2443" s="5" t="s">
        <v>14785</v>
      </c>
      <c r="C2443" s="6" t="s">
        <v>538</v>
      </c>
      <c r="D2443" s="7" t="s">
        <v>6512</v>
      </c>
      <c r="E2443" s="8" t="s">
        <v>13034</v>
      </c>
      <c r="F2443" s="4">
        <v>40025.674039351856</v>
      </c>
      <c r="G2443" s="17" t="s">
        <v>13000</v>
      </c>
      <c r="H2443" s="35" t="s">
        <v>540</v>
      </c>
      <c r="I2443" s="10" t="s">
        <v>541</v>
      </c>
    </row>
    <row r="2444" spans="1:9" s="33" customFormat="1" ht="120">
      <c r="A2444" s="4">
        <v>43563.563912037032</v>
      </c>
      <c r="B2444" s="5" t="s">
        <v>14785</v>
      </c>
      <c r="C2444" s="6" t="s">
        <v>538</v>
      </c>
      <c r="D2444" s="7" t="s">
        <v>10221</v>
      </c>
      <c r="E2444" s="8" t="s">
        <v>13034</v>
      </c>
      <c r="F2444" s="4">
        <v>40025.674039351856</v>
      </c>
      <c r="G2444" s="17" t="s">
        <v>13000</v>
      </c>
      <c r="H2444" s="35" t="s">
        <v>540</v>
      </c>
      <c r="I2444" s="10" t="s">
        <v>541</v>
      </c>
    </row>
    <row r="2445" spans="1:9" s="33" customFormat="1" ht="90">
      <c r="A2445" s="4">
        <v>43563.3752662037</v>
      </c>
      <c r="B2445" s="5" t="s">
        <v>14786</v>
      </c>
      <c r="C2445" s="6" t="s">
        <v>1594</v>
      </c>
      <c r="D2445" s="7" t="s">
        <v>10324</v>
      </c>
      <c r="E2445" s="8" t="s">
        <v>13290</v>
      </c>
      <c r="F2445" s="4">
        <v>43487.805902777778</v>
      </c>
      <c r="G2445" s="17" t="s">
        <v>13000</v>
      </c>
      <c r="H2445" s="35" t="s">
        <v>540</v>
      </c>
      <c r="I2445" s="10"/>
    </row>
    <row r="2446" spans="1:9" s="33" customFormat="1" ht="75">
      <c r="A2446" s="4">
        <v>43562.500150462962</v>
      </c>
      <c r="B2446" s="5" t="s">
        <v>14786</v>
      </c>
      <c r="C2446" s="6" t="s">
        <v>1594</v>
      </c>
      <c r="D2446" s="7" t="s">
        <v>10658</v>
      </c>
      <c r="E2446" s="8" t="s">
        <v>13290</v>
      </c>
      <c r="F2446" s="4">
        <v>43487.805902777778</v>
      </c>
      <c r="G2446" s="17" t="s">
        <v>13000</v>
      </c>
      <c r="H2446" s="35" t="s">
        <v>540</v>
      </c>
      <c r="I2446" s="10"/>
    </row>
    <row r="2447" spans="1:9" s="33" customFormat="1" ht="90">
      <c r="A2447" s="4">
        <v>43561.375277777777</v>
      </c>
      <c r="B2447" s="5" t="s">
        <v>14786</v>
      </c>
      <c r="C2447" s="6" t="s">
        <v>1594</v>
      </c>
      <c r="D2447" s="7" t="s">
        <v>10997</v>
      </c>
      <c r="E2447" s="8" t="s">
        <v>13290</v>
      </c>
      <c r="F2447" s="4">
        <v>43487.805902777778</v>
      </c>
      <c r="G2447" s="17" t="s">
        <v>13000</v>
      </c>
      <c r="H2447" s="35" t="s">
        <v>540</v>
      </c>
      <c r="I2447" s="10"/>
    </row>
    <row r="2448" spans="1:9" s="33" customFormat="1" ht="120">
      <c r="A2448" s="4">
        <v>43559.522233796291</v>
      </c>
      <c r="B2448" s="5" t="s">
        <v>14785</v>
      </c>
      <c r="C2448" s="6" t="s">
        <v>538</v>
      </c>
      <c r="D2448" s="7" t="s">
        <v>11780</v>
      </c>
      <c r="E2448" s="8" t="s">
        <v>13034</v>
      </c>
      <c r="F2448" s="4">
        <v>40025.674039351856</v>
      </c>
      <c r="G2448" s="17" t="s">
        <v>13000</v>
      </c>
      <c r="H2448" s="35" t="s">
        <v>540</v>
      </c>
      <c r="I2448" s="10" t="s">
        <v>541</v>
      </c>
    </row>
    <row r="2449" spans="1:9" s="33" customFormat="1" ht="90">
      <c r="A2449" s="4">
        <v>43559.375335648147</v>
      </c>
      <c r="B2449" s="5" t="s">
        <v>14786</v>
      </c>
      <c r="C2449" s="6" t="s">
        <v>1594</v>
      </c>
      <c r="D2449" s="7" t="s">
        <v>11869</v>
      </c>
      <c r="E2449" s="8" t="s">
        <v>13290</v>
      </c>
      <c r="F2449" s="4">
        <v>43487.805902777778</v>
      </c>
      <c r="G2449" s="17" t="s">
        <v>13000</v>
      </c>
      <c r="H2449" s="35" t="s">
        <v>540</v>
      </c>
      <c r="I2449" s="10"/>
    </row>
    <row r="2450" spans="1:9" s="33" customFormat="1" ht="120">
      <c r="A2450" s="4">
        <v>43558.625717592593</v>
      </c>
      <c r="B2450" s="5" t="s">
        <v>14785</v>
      </c>
      <c r="C2450" s="6" t="s">
        <v>538</v>
      </c>
      <c r="D2450" s="7" t="s">
        <v>12099</v>
      </c>
      <c r="E2450" s="8" t="s">
        <v>13034</v>
      </c>
      <c r="F2450" s="4">
        <v>40025.674039351856</v>
      </c>
      <c r="G2450" s="17" t="s">
        <v>13000</v>
      </c>
      <c r="H2450" s="35" t="s">
        <v>540</v>
      </c>
      <c r="I2450" s="10" t="s">
        <v>541</v>
      </c>
    </row>
    <row r="2451" spans="1:9" s="33" customFormat="1" ht="90">
      <c r="A2451" s="4">
        <v>43558.375381944439</v>
      </c>
      <c r="B2451" s="5" t="s">
        <v>14786</v>
      </c>
      <c r="C2451" s="6" t="s">
        <v>1594</v>
      </c>
      <c r="D2451" s="7" t="s">
        <v>12220</v>
      </c>
      <c r="E2451" s="8" t="s">
        <v>13290</v>
      </c>
      <c r="F2451" s="4">
        <v>43487.805902777778</v>
      </c>
      <c r="G2451" s="17" t="s">
        <v>13000</v>
      </c>
      <c r="H2451" s="35" t="s">
        <v>540</v>
      </c>
      <c r="I2451" s="10"/>
    </row>
    <row r="2452" spans="1:9" s="33" customFormat="1" ht="120">
      <c r="A2452" s="4">
        <v>43557.605567129634</v>
      </c>
      <c r="B2452" s="5" t="s">
        <v>14785</v>
      </c>
      <c r="C2452" s="6" t="s">
        <v>538</v>
      </c>
      <c r="D2452" s="7" t="s">
        <v>12445</v>
      </c>
      <c r="E2452" s="8" t="s">
        <v>13034</v>
      </c>
      <c r="F2452" s="4">
        <v>40025.674039351856</v>
      </c>
      <c r="G2452" s="17" t="s">
        <v>13000</v>
      </c>
      <c r="H2452" s="35" t="s">
        <v>540</v>
      </c>
      <c r="I2452" s="10" t="s">
        <v>541</v>
      </c>
    </row>
    <row r="2453" spans="1:9" s="33" customFormat="1" ht="90">
      <c r="A2453" s="4">
        <v>43557.50037037037</v>
      </c>
      <c r="B2453" s="5" t="s">
        <v>14786</v>
      </c>
      <c r="C2453" s="6" t="s">
        <v>1594</v>
      </c>
      <c r="D2453" s="7" t="s">
        <v>12499</v>
      </c>
      <c r="E2453" s="8" t="s">
        <v>13290</v>
      </c>
      <c r="F2453" s="4">
        <v>43487.805902777778</v>
      </c>
      <c r="G2453" s="17" t="s">
        <v>13000</v>
      </c>
      <c r="H2453" s="35" t="s">
        <v>540</v>
      </c>
      <c r="I2453" s="10"/>
    </row>
    <row r="2454" spans="1:9" s="33" customFormat="1" ht="75">
      <c r="A2454" s="4">
        <v>43557.336863425924</v>
      </c>
      <c r="B2454" s="5" t="s">
        <v>14786</v>
      </c>
      <c r="C2454" s="6" t="s">
        <v>1594</v>
      </c>
      <c r="D2454" s="7" t="s">
        <v>12551</v>
      </c>
      <c r="E2454" s="8" t="s">
        <v>13290</v>
      </c>
      <c r="F2454" s="4">
        <v>43487.805902777778</v>
      </c>
      <c r="G2454" s="17" t="s">
        <v>13000</v>
      </c>
      <c r="H2454" s="35" t="s">
        <v>540</v>
      </c>
      <c r="I2454" s="10"/>
    </row>
    <row r="2455" spans="1:9" s="33" customFormat="1" ht="120">
      <c r="A2455" s="12">
        <v>43579.625706018516</v>
      </c>
      <c r="B2455" s="13" t="s">
        <v>14785</v>
      </c>
      <c r="C2455" s="14" t="s">
        <v>538</v>
      </c>
      <c r="D2455" s="15" t="s">
        <v>539</v>
      </c>
      <c r="E2455" s="16" t="s">
        <v>13034</v>
      </c>
      <c r="F2455" s="12">
        <v>40025.674039351856</v>
      </c>
      <c r="G2455" s="17" t="s">
        <v>13000</v>
      </c>
      <c r="H2455" s="35" t="s">
        <v>540</v>
      </c>
      <c r="I2455" s="18" t="s">
        <v>541</v>
      </c>
    </row>
    <row r="2456" spans="1:9" s="33" customFormat="1" ht="120">
      <c r="A2456" s="12">
        <v>43578.605567129634</v>
      </c>
      <c r="B2456" s="13" t="s">
        <v>14785</v>
      </c>
      <c r="C2456" s="14" t="s">
        <v>538</v>
      </c>
      <c r="D2456" s="15" t="s">
        <v>1138</v>
      </c>
      <c r="E2456" s="16" t="s">
        <v>13034</v>
      </c>
      <c r="F2456" s="12">
        <v>40025.674039351856</v>
      </c>
      <c r="G2456" s="17" t="s">
        <v>13000</v>
      </c>
      <c r="H2456" s="35" t="s">
        <v>540</v>
      </c>
      <c r="I2456" s="18" t="s">
        <v>541</v>
      </c>
    </row>
    <row r="2457" spans="1:9" s="33" customFormat="1" ht="90">
      <c r="A2457" s="12">
        <v>43577.500104166669</v>
      </c>
      <c r="B2457" s="13" t="s">
        <v>14786</v>
      </c>
      <c r="C2457" s="14" t="s">
        <v>1594</v>
      </c>
      <c r="D2457" s="15" t="s">
        <v>1595</v>
      </c>
      <c r="E2457" s="16" t="s">
        <v>13290</v>
      </c>
      <c r="F2457" s="12">
        <v>43487.805902777778</v>
      </c>
      <c r="G2457" s="17" t="s">
        <v>13000</v>
      </c>
      <c r="H2457" s="35" t="s">
        <v>540</v>
      </c>
      <c r="I2457" s="18"/>
    </row>
    <row r="2458" spans="1:9" s="33" customFormat="1" ht="90">
      <c r="A2458" s="12">
        <v>43575.500092592592</v>
      </c>
      <c r="B2458" s="13" t="s">
        <v>14786</v>
      </c>
      <c r="C2458" s="14" t="s">
        <v>1594</v>
      </c>
      <c r="D2458" s="15" t="s">
        <v>2187</v>
      </c>
      <c r="E2458" s="16" t="s">
        <v>13290</v>
      </c>
      <c r="F2458" s="12">
        <v>43487.805902777778</v>
      </c>
      <c r="G2458" s="17" t="s">
        <v>13000</v>
      </c>
      <c r="H2458" s="35" t="s">
        <v>540</v>
      </c>
      <c r="I2458" s="18"/>
    </row>
    <row r="2459" spans="1:9" s="33" customFormat="1" ht="75">
      <c r="A2459" s="12">
        <v>43575.388333333336</v>
      </c>
      <c r="B2459" s="13" t="s">
        <v>14787</v>
      </c>
      <c r="C2459" s="13" t="s">
        <v>2241</v>
      </c>
      <c r="D2459" s="15" t="s">
        <v>2242</v>
      </c>
      <c r="E2459" s="16" t="s">
        <v>13013</v>
      </c>
      <c r="F2459" s="12">
        <v>43337.856539351851</v>
      </c>
      <c r="G2459" s="17" t="s">
        <v>13000</v>
      </c>
      <c r="H2459" s="35" t="s">
        <v>540</v>
      </c>
      <c r="I2459" s="18" t="s">
        <v>2243</v>
      </c>
    </row>
    <row r="2460" spans="1:9" s="33" customFormat="1" ht="90">
      <c r="A2460" s="12">
        <v>43574.375196759254</v>
      </c>
      <c r="B2460" s="13" t="s">
        <v>14786</v>
      </c>
      <c r="C2460" s="14" t="s">
        <v>1594</v>
      </c>
      <c r="D2460" s="15" t="s">
        <v>2571</v>
      </c>
      <c r="E2460" s="16" t="s">
        <v>13290</v>
      </c>
      <c r="F2460" s="12">
        <v>43487.805902777778</v>
      </c>
      <c r="G2460" s="17" t="s">
        <v>13000</v>
      </c>
      <c r="H2460" s="35" t="s">
        <v>540</v>
      </c>
      <c r="I2460" s="18"/>
    </row>
    <row r="2461" spans="1:9" s="33" customFormat="1" ht="120">
      <c r="A2461" s="12">
        <v>43572.625706018516</v>
      </c>
      <c r="B2461" s="13" t="s">
        <v>14785</v>
      </c>
      <c r="C2461" s="14" t="s">
        <v>538</v>
      </c>
      <c r="D2461" s="15" t="s">
        <v>3131</v>
      </c>
      <c r="E2461" s="16" t="s">
        <v>13034</v>
      </c>
      <c r="F2461" s="12">
        <v>40025.674039351856</v>
      </c>
      <c r="G2461" s="17" t="s">
        <v>13000</v>
      </c>
      <c r="H2461" s="35" t="s">
        <v>540</v>
      </c>
      <c r="I2461" s="18" t="s">
        <v>541</v>
      </c>
    </row>
    <row r="2462" spans="1:9" s="33" customFormat="1" ht="90">
      <c r="A2462" s="12">
        <v>43572.500138888892</v>
      </c>
      <c r="B2462" s="13" t="s">
        <v>14786</v>
      </c>
      <c r="C2462" s="14" t="s">
        <v>1594</v>
      </c>
      <c r="D2462" s="15" t="s">
        <v>3216</v>
      </c>
      <c r="E2462" s="16" t="s">
        <v>13290</v>
      </c>
      <c r="F2462" s="12">
        <v>43487.805902777778</v>
      </c>
      <c r="G2462" s="17" t="s">
        <v>13000</v>
      </c>
      <c r="H2462" s="35" t="s">
        <v>540</v>
      </c>
      <c r="I2462" s="18"/>
    </row>
    <row r="2463" spans="1:9" s="33" customFormat="1" ht="120">
      <c r="A2463" s="12">
        <v>43571.605578703704</v>
      </c>
      <c r="B2463" s="13" t="s">
        <v>14785</v>
      </c>
      <c r="C2463" s="14" t="s">
        <v>538</v>
      </c>
      <c r="D2463" s="15" t="s">
        <v>3619</v>
      </c>
      <c r="E2463" s="16" t="s">
        <v>13034</v>
      </c>
      <c r="F2463" s="12">
        <v>40025.674039351856</v>
      </c>
      <c r="G2463" s="17" t="s">
        <v>13000</v>
      </c>
      <c r="H2463" s="35" t="s">
        <v>540</v>
      </c>
      <c r="I2463" s="18" t="s">
        <v>541</v>
      </c>
    </row>
    <row r="2464" spans="1:9" s="33" customFormat="1" ht="120">
      <c r="A2464" s="12">
        <v>43570.563900462963</v>
      </c>
      <c r="B2464" s="13" t="s">
        <v>14785</v>
      </c>
      <c r="C2464" s="14" t="s">
        <v>538</v>
      </c>
      <c r="D2464" s="15" t="s">
        <v>4076</v>
      </c>
      <c r="E2464" s="16" t="s">
        <v>13034</v>
      </c>
      <c r="F2464" s="12">
        <v>40025.674039351856</v>
      </c>
      <c r="G2464" s="17" t="s">
        <v>13000</v>
      </c>
      <c r="H2464" s="35" t="s">
        <v>540</v>
      </c>
      <c r="I2464" s="18" t="s">
        <v>541</v>
      </c>
    </row>
    <row r="2465" spans="1:9" s="33" customFormat="1" ht="90">
      <c r="A2465" s="12">
        <v>43569.500104166669</v>
      </c>
      <c r="B2465" s="13" t="s">
        <v>14786</v>
      </c>
      <c r="C2465" s="14" t="s">
        <v>1594</v>
      </c>
      <c r="D2465" s="15" t="s">
        <v>4503</v>
      </c>
      <c r="E2465" s="16" t="s">
        <v>13290</v>
      </c>
      <c r="F2465" s="12">
        <v>43487.805902777778</v>
      </c>
      <c r="G2465" s="17" t="s">
        <v>13000</v>
      </c>
      <c r="H2465" s="35" t="s">
        <v>540</v>
      </c>
      <c r="I2465" s="18"/>
    </row>
    <row r="2466" spans="1:9" s="33" customFormat="1" ht="105">
      <c r="A2466" s="12">
        <v>43568.500115740739</v>
      </c>
      <c r="B2466" s="13" t="s">
        <v>14786</v>
      </c>
      <c r="C2466" s="14" t="s">
        <v>1594</v>
      </c>
      <c r="D2466" s="15" t="s">
        <v>4726</v>
      </c>
      <c r="E2466" s="16" t="s">
        <v>13290</v>
      </c>
      <c r="F2466" s="12">
        <v>43487.805902777778</v>
      </c>
      <c r="G2466" s="17" t="s">
        <v>13000</v>
      </c>
      <c r="H2466" s="35" t="s">
        <v>540</v>
      </c>
      <c r="I2466" s="18"/>
    </row>
    <row r="2467" spans="1:9" s="33" customFormat="1" ht="90">
      <c r="A2467" s="12">
        <v>43567.375185185185</v>
      </c>
      <c r="B2467" s="13" t="s">
        <v>14786</v>
      </c>
      <c r="C2467" s="14" t="s">
        <v>1594</v>
      </c>
      <c r="D2467" s="15" t="s">
        <v>5134</v>
      </c>
      <c r="E2467" s="16" t="s">
        <v>13290</v>
      </c>
      <c r="F2467" s="12">
        <v>43487.805902777778</v>
      </c>
      <c r="G2467" s="17" t="s">
        <v>13000</v>
      </c>
      <c r="H2467" s="35" t="s">
        <v>540</v>
      </c>
      <c r="I2467" s="18"/>
    </row>
    <row r="2468" spans="1:9" s="33" customFormat="1" ht="120">
      <c r="A2468" s="12">
        <v>43566.522233796291</v>
      </c>
      <c r="B2468" s="13" t="s">
        <v>14785</v>
      </c>
      <c r="C2468" s="14" t="s">
        <v>538</v>
      </c>
      <c r="D2468" s="15" t="s">
        <v>5459</v>
      </c>
      <c r="E2468" s="16" t="s">
        <v>13034</v>
      </c>
      <c r="F2468" s="12">
        <v>40025.674039351856</v>
      </c>
      <c r="G2468" s="17" t="s">
        <v>13000</v>
      </c>
      <c r="H2468" s="35" t="s">
        <v>540</v>
      </c>
      <c r="I2468" s="18" t="s">
        <v>541</v>
      </c>
    </row>
    <row r="2469" spans="1:9" s="33" customFormat="1" ht="90">
      <c r="A2469" s="12">
        <v>43566.500150462962</v>
      </c>
      <c r="B2469" s="13" t="s">
        <v>14786</v>
      </c>
      <c r="C2469" s="14" t="s">
        <v>1594</v>
      </c>
      <c r="D2469" s="15" t="s">
        <v>5479</v>
      </c>
      <c r="E2469" s="16" t="s">
        <v>13290</v>
      </c>
      <c r="F2469" s="12">
        <v>43487.805902777778</v>
      </c>
      <c r="G2469" s="17" t="s">
        <v>13000</v>
      </c>
      <c r="H2469" s="35" t="s">
        <v>540</v>
      </c>
      <c r="I2469" s="18"/>
    </row>
    <row r="2470" spans="1:9" s="33" customFormat="1" ht="105">
      <c r="A2470" s="19">
        <v>43543.705682870372</v>
      </c>
      <c r="B2470" s="20" t="s">
        <v>14788</v>
      </c>
      <c r="C2470" s="21" t="s">
        <v>9695</v>
      </c>
      <c r="D2470" s="22" t="s">
        <v>9696</v>
      </c>
      <c r="E2470" s="23" t="s">
        <v>13120</v>
      </c>
      <c r="F2470" s="19">
        <v>39776.038506944446</v>
      </c>
      <c r="G2470" s="17" t="s">
        <v>13000</v>
      </c>
      <c r="H2470" s="35" t="s">
        <v>9697</v>
      </c>
      <c r="I2470" s="25" t="s">
        <v>9698</v>
      </c>
    </row>
    <row r="2471" spans="1:9" s="33" customFormat="1" ht="105">
      <c r="A2471" s="19">
        <v>43545.611805555556</v>
      </c>
      <c r="B2471" s="20" t="s">
        <v>14789</v>
      </c>
      <c r="C2471" s="21" t="s">
        <v>9073</v>
      </c>
      <c r="D2471" s="22" t="s">
        <v>9074</v>
      </c>
      <c r="E2471" s="23" t="s">
        <v>13120</v>
      </c>
      <c r="F2471" s="19">
        <v>40056.609247685185</v>
      </c>
      <c r="G2471" s="17" t="s">
        <v>13000</v>
      </c>
      <c r="H2471" s="35" t="s">
        <v>9075</v>
      </c>
      <c r="I2471" s="25" t="s">
        <v>9076</v>
      </c>
    </row>
    <row r="2472" spans="1:9" s="33" customFormat="1" ht="135">
      <c r="A2472" s="19">
        <v>43549.590185185181</v>
      </c>
      <c r="B2472" s="20" t="s">
        <v>14790</v>
      </c>
      <c r="C2472" s="21" t="s">
        <v>7977</v>
      </c>
      <c r="D2472" s="22" t="s">
        <v>7978</v>
      </c>
      <c r="E2472" s="23" t="s">
        <v>13011</v>
      </c>
      <c r="F2472" s="19">
        <v>39715.196608796294</v>
      </c>
      <c r="G2472" s="17" t="s">
        <v>13000</v>
      </c>
      <c r="H2472" s="35" t="s">
        <v>6068</v>
      </c>
      <c r="I2472" s="25" t="s">
        <v>7979</v>
      </c>
    </row>
    <row r="2473" spans="1:9" s="33" customFormat="1" ht="120">
      <c r="A2473" s="4">
        <v>43565.472222222219</v>
      </c>
      <c r="B2473" s="5" t="s">
        <v>14791</v>
      </c>
      <c r="C2473" s="6" t="s">
        <v>6066</v>
      </c>
      <c r="D2473" s="7" t="s">
        <v>6067</v>
      </c>
      <c r="E2473" s="8" t="s">
        <v>13120</v>
      </c>
      <c r="F2473" s="4">
        <v>41456.618229166663</v>
      </c>
      <c r="G2473" s="17" t="s">
        <v>13000</v>
      </c>
      <c r="H2473" s="35" t="s">
        <v>6068</v>
      </c>
      <c r="I2473" s="10" t="s">
        <v>6069</v>
      </c>
    </row>
    <row r="2474" spans="1:9" s="33" customFormat="1" ht="105">
      <c r="A2474" s="4">
        <v>43562.464594907404</v>
      </c>
      <c r="B2474" s="5" t="s">
        <v>14792</v>
      </c>
      <c r="C2474" s="6" t="s">
        <v>10671</v>
      </c>
      <c r="D2474" s="7" t="s">
        <v>10672</v>
      </c>
      <c r="E2474" s="8" t="s">
        <v>13013</v>
      </c>
      <c r="F2474" s="4">
        <v>41341.839618055557</v>
      </c>
      <c r="G2474" s="9" t="s">
        <v>13000</v>
      </c>
      <c r="H2474" s="35" t="s">
        <v>10673</v>
      </c>
      <c r="I2474" s="10" t="s">
        <v>10674</v>
      </c>
    </row>
    <row r="2475" spans="1:9" s="33" customFormat="1" ht="60">
      <c r="A2475" s="4">
        <v>43557.564699074079</v>
      </c>
      <c r="B2475" s="5" t="s">
        <v>14793</v>
      </c>
      <c r="C2475" s="6" t="s">
        <v>12472</v>
      </c>
      <c r="D2475" s="7" t="s">
        <v>12473</v>
      </c>
      <c r="E2475" s="8" t="s">
        <v>13032</v>
      </c>
      <c r="F2475" s="4">
        <v>43285.372743055559</v>
      </c>
      <c r="G2475" s="9" t="s">
        <v>13000</v>
      </c>
      <c r="H2475" s="35" t="s">
        <v>12474</v>
      </c>
      <c r="I2475" s="10" t="s">
        <v>12475</v>
      </c>
    </row>
    <row r="2476" spans="1:9" s="33" customFormat="1" ht="75">
      <c r="A2476" s="4">
        <v>43562.061076388884</v>
      </c>
      <c r="B2476" s="5" t="s">
        <v>14794</v>
      </c>
      <c r="C2476" s="6" t="s">
        <v>10763</v>
      </c>
      <c r="D2476" s="7" t="s">
        <v>12788</v>
      </c>
      <c r="E2476" s="8" t="s">
        <v>13006</v>
      </c>
      <c r="F2476" s="4">
        <v>41646.337361111109</v>
      </c>
      <c r="G2476" s="17" t="s">
        <v>13000</v>
      </c>
      <c r="H2476" s="35" t="s">
        <v>12999</v>
      </c>
      <c r="I2476" s="10" t="s">
        <v>10764</v>
      </c>
    </row>
    <row r="2477" spans="1:9" s="33" customFormat="1" ht="105">
      <c r="A2477" s="19">
        <v>43550.470775462964</v>
      </c>
      <c r="B2477" s="20" t="s">
        <v>14795</v>
      </c>
      <c r="C2477" s="21" t="s">
        <v>75</v>
      </c>
      <c r="D2477" s="22" t="s">
        <v>7661</v>
      </c>
      <c r="E2477" s="23" t="s">
        <v>13009</v>
      </c>
      <c r="F2477" s="19">
        <v>42068.677650462967</v>
      </c>
      <c r="G2477" s="17" t="s">
        <v>13000</v>
      </c>
      <c r="H2477" s="35" t="s">
        <v>77</v>
      </c>
      <c r="I2477" s="25" t="s">
        <v>78</v>
      </c>
    </row>
    <row r="2478" spans="1:9" s="33" customFormat="1" ht="105">
      <c r="A2478" s="19">
        <v>43550.385648148149</v>
      </c>
      <c r="B2478" s="20" t="s">
        <v>14795</v>
      </c>
      <c r="C2478" s="21" t="s">
        <v>75</v>
      </c>
      <c r="D2478" s="22" t="s">
        <v>1240</v>
      </c>
      <c r="E2478" s="23" t="s">
        <v>13812</v>
      </c>
      <c r="F2478" s="19">
        <v>42068.677650462967</v>
      </c>
      <c r="G2478" s="17" t="s">
        <v>13000</v>
      </c>
      <c r="H2478" s="35" t="s">
        <v>77</v>
      </c>
      <c r="I2478" s="25" t="s">
        <v>78</v>
      </c>
    </row>
    <row r="2479" spans="1:9" s="33" customFormat="1" ht="105">
      <c r="A2479" s="19">
        <v>43549.854722222226</v>
      </c>
      <c r="B2479" s="20" t="s">
        <v>14796</v>
      </c>
      <c r="C2479" s="21" t="s">
        <v>7890</v>
      </c>
      <c r="D2479" s="22" t="s">
        <v>7891</v>
      </c>
      <c r="E2479" s="23" t="s">
        <v>13011</v>
      </c>
      <c r="F2479" s="19">
        <v>43540.437928240739</v>
      </c>
      <c r="G2479" s="17" t="s">
        <v>13000</v>
      </c>
      <c r="H2479" s="35" t="s">
        <v>77</v>
      </c>
      <c r="I2479" s="25" t="s">
        <v>7892</v>
      </c>
    </row>
    <row r="2480" spans="1:9" s="33" customFormat="1" ht="105">
      <c r="A2480" s="19">
        <v>43547.705034722225</v>
      </c>
      <c r="B2480" s="20" t="s">
        <v>14795</v>
      </c>
      <c r="C2480" s="21" t="s">
        <v>75</v>
      </c>
      <c r="D2480" s="22" t="s">
        <v>2141</v>
      </c>
      <c r="E2480" s="23" t="s">
        <v>13812</v>
      </c>
      <c r="F2480" s="19">
        <v>42068.677650462967</v>
      </c>
      <c r="G2480" s="17" t="s">
        <v>13000</v>
      </c>
      <c r="H2480" s="35" t="s">
        <v>77</v>
      </c>
      <c r="I2480" s="25" t="s">
        <v>78</v>
      </c>
    </row>
    <row r="2481" spans="1:9" s="33" customFormat="1" ht="105">
      <c r="A2481" s="19">
        <v>43545.323194444441</v>
      </c>
      <c r="B2481" s="20" t="s">
        <v>14795</v>
      </c>
      <c r="C2481" s="21" t="s">
        <v>75</v>
      </c>
      <c r="D2481" s="22" t="s">
        <v>76</v>
      </c>
      <c r="E2481" s="23" t="s">
        <v>13812</v>
      </c>
      <c r="F2481" s="19">
        <v>42068.677650462967</v>
      </c>
      <c r="G2481" s="17" t="s">
        <v>13000</v>
      </c>
      <c r="H2481" s="35" t="s">
        <v>77</v>
      </c>
      <c r="I2481" s="25" t="s">
        <v>78</v>
      </c>
    </row>
    <row r="2482" spans="1:9" s="33" customFormat="1" ht="105">
      <c r="A2482" s="19">
        <v>43543.458703703705</v>
      </c>
      <c r="B2482" s="20" t="s">
        <v>14795</v>
      </c>
      <c r="C2482" s="21" t="s">
        <v>75</v>
      </c>
      <c r="D2482" s="22" t="s">
        <v>1240</v>
      </c>
      <c r="E2482" s="23" t="s">
        <v>13812</v>
      </c>
      <c r="F2482" s="19">
        <v>42068.677650462967</v>
      </c>
      <c r="G2482" s="17" t="s">
        <v>13000</v>
      </c>
      <c r="H2482" s="35" t="s">
        <v>77</v>
      </c>
      <c r="I2482" s="25" t="s">
        <v>78</v>
      </c>
    </row>
    <row r="2483" spans="1:9" s="33" customFormat="1" ht="60">
      <c r="A2483" s="4">
        <v>43565.103900462964</v>
      </c>
      <c r="B2483" s="5" t="s">
        <v>14797</v>
      </c>
      <c r="C2483" s="6" t="s">
        <v>6281</v>
      </c>
      <c r="D2483" s="7" t="s">
        <v>6282</v>
      </c>
      <c r="E2483" s="8" t="s">
        <v>13011</v>
      </c>
      <c r="F2483" s="4">
        <v>40208.963078703702</v>
      </c>
      <c r="G2483" s="17" t="s">
        <v>13000</v>
      </c>
      <c r="H2483" s="35" t="s">
        <v>77</v>
      </c>
      <c r="I2483" s="10" t="s">
        <v>6283</v>
      </c>
    </row>
    <row r="2484" spans="1:9" s="33" customFormat="1" ht="75">
      <c r="A2484" s="4">
        <v>43564.558391203704</v>
      </c>
      <c r="B2484" s="5" t="s">
        <v>14798</v>
      </c>
      <c r="C2484" s="6" t="s">
        <v>6554</v>
      </c>
      <c r="D2484" s="7" t="s">
        <v>6555</v>
      </c>
      <c r="E2484" s="8" t="s">
        <v>13009</v>
      </c>
      <c r="F2484" s="4">
        <v>42862.357233796298</v>
      </c>
      <c r="G2484" s="17" t="s">
        <v>13000</v>
      </c>
      <c r="H2484" s="35" t="s">
        <v>77</v>
      </c>
      <c r="I2484" s="10" t="s">
        <v>6556</v>
      </c>
    </row>
    <row r="2485" spans="1:9" s="33" customFormat="1" ht="105">
      <c r="A2485" s="4">
        <v>43564.385694444441</v>
      </c>
      <c r="B2485" s="5" t="s">
        <v>14795</v>
      </c>
      <c r="C2485" s="6" t="s">
        <v>75</v>
      </c>
      <c r="D2485" s="7" t="s">
        <v>1240</v>
      </c>
      <c r="E2485" s="8" t="s">
        <v>13812</v>
      </c>
      <c r="F2485" s="4">
        <v>42068.677650462967</v>
      </c>
      <c r="G2485" s="17" t="s">
        <v>13000</v>
      </c>
      <c r="H2485" s="35" t="s">
        <v>77</v>
      </c>
      <c r="I2485" s="10" t="s">
        <v>78</v>
      </c>
    </row>
    <row r="2486" spans="1:9" s="33" customFormat="1" ht="90">
      <c r="A2486" s="4">
        <v>43563.289884259255</v>
      </c>
      <c r="B2486" s="5" t="s">
        <v>14799</v>
      </c>
      <c r="C2486" s="6" t="s">
        <v>10399</v>
      </c>
      <c r="D2486" s="7" t="s">
        <v>10400</v>
      </c>
      <c r="E2486" s="8" t="s">
        <v>13009</v>
      </c>
      <c r="F2486" s="4">
        <v>43151.477893518517</v>
      </c>
      <c r="G2486" s="17" t="s">
        <v>13000</v>
      </c>
      <c r="H2486" s="35" t="s">
        <v>77</v>
      </c>
      <c r="I2486" s="10" t="s">
        <v>10401</v>
      </c>
    </row>
    <row r="2487" spans="1:9" s="33" customFormat="1" ht="105">
      <c r="A2487" s="4">
        <v>43561.704942129625</v>
      </c>
      <c r="B2487" s="5" t="s">
        <v>14795</v>
      </c>
      <c r="C2487" s="6" t="s">
        <v>75</v>
      </c>
      <c r="D2487" s="7" t="s">
        <v>2141</v>
      </c>
      <c r="E2487" s="8" t="s">
        <v>13812</v>
      </c>
      <c r="F2487" s="4">
        <v>42068.677650462967</v>
      </c>
      <c r="G2487" s="17" t="s">
        <v>13000</v>
      </c>
      <c r="H2487" s="35" t="s">
        <v>77</v>
      </c>
      <c r="I2487" s="10" t="s">
        <v>78</v>
      </c>
    </row>
    <row r="2488" spans="1:9" s="33" customFormat="1" ht="90">
      <c r="A2488" s="4">
        <v>43561.545173611114</v>
      </c>
      <c r="B2488" s="5" t="s">
        <v>14800</v>
      </c>
      <c r="C2488" s="6" t="s">
        <v>10933</v>
      </c>
      <c r="D2488" s="7" t="s">
        <v>10934</v>
      </c>
      <c r="E2488" s="8" t="s">
        <v>13018</v>
      </c>
      <c r="F2488" s="4">
        <v>40437.60832175926</v>
      </c>
      <c r="G2488" s="17" t="s">
        <v>13000</v>
      </c>
      <c r="H2488" s="35" t="s">
        <v>77</v>
      </c>
      <c r="I2488" s="10" t="s">
        <v>10935</v>
      </c>
    </row>
    <row r="2489" spans="1:9" s="33" customFormat="1" ht="90">
      <c r="A2489" s="4">
        <v>43560.100717592592</v>
      </c>
      <c r="B2489" s="5" t="s">
        <v>14800</v>
      </c>
      <c r="C2489" s="6" t="s">
        <v>10933</v>
      </c>
      <c r="D2489" s="7" t="s">
        <v>10934</v>
      </c>
      <c r="E2489" s="8" t="s">
        <v>13018</v>
      </c>
      <c r="F2489" s="4">
        <v>40437.60832175926</v>
      </c>
      <c r="G2489" s="17" t="s">
        <v>13000</v>
      </c>
      <c r="H2489" s="35" t="s">
        <v>77</v>
      </c>
      <c r="I2489" s="10" t="s">
        <v>10935</v>
      </c>
    </row>
    <row r="2490" spans="1:9" s="33" customFormat="1" ht="90">
      <c r="A2490" s="4">
        <v>43559.336851851855</v>
      </c>
      <c r="B2490" s="5" t="s">
        <v>14800</v>
      </c>
      <c r="C2490" s="6" t="s">
        <v>10933</v>
      </c>
      <c r="D2490" s="7" t="s">
        <v>10934</v>
      </c>
      <c r="E2490" s="8" t="s">
        <v>13018</v>
      </c>
      <c r="F2490" s="4">
        <v>40437.60832175926</v>
      </c>
      <c r="G2490" s="17" t="s">
        <v>13000</v>
      </c>
      <c r="H2490" s="35" t="s">
        <v>77</v>
      </c>
      <c r="I2490" s="10" t="s">
        <v>10935</v>
      </c>
    </row>
    <row r="2491" spans="1:9" s="33" customFormat="1" ht="105">
      <c r="A2491" s="4">
        <v>43559.32309027778</v>
      </c>
      <c r="B2491" s="5" t="s">
        <v>14795</v>
      </c>
      <c r="C2491" s="6" t="s">
        <v>75</v>
      </c>
      <c r="D2491" s="7" t="s">
        <v>76</v>
      </c>
      <c r="E2491" s="8" t="s">
        <v>13812</v>
      </c>
      <c r="F2491" s="4">
        <v>42068.677650462967</v>
      </c>
      <c r="G2491" s="17" t="s">
        <v>13000</v>
      </c>
      <c r="H2491" s="35" t="s">
        <v>77</v>
      </c>
      <c r="I2491" s="10" t="s">
        <v>78</v>
      </c>
    </row>
    <row r="2492" spans="1:9" s="33" customFormat="1" ht="120">
      <c r="A2492" s="4">
        <v>43558.672812500001</v>
      </c>
      <c r="B2492" s="5" t="s">
        <v>14801</v>
      </c>
      <c r="C2492" s="6" t="s">
        <v>12075</v>
      </c>
      <c r="D2492" s="7" t="s">
        <v>12076</v>
      </c>
      <c r="E2492" s="8" t="s">
        <v>13009</v>
      </c>
      <c r="F2492" s="4">
        <v>42840.464965277773</v>
      </c>
      <c r="G2492" s="17" t="s">
        <v>13000</v>
      </c>
      <c r="H2492" s="35" t="s">
        <v>77</v>
      </c>
      <c r="I2492" s="10" t="s">
        <v>12077</v>
      </c>
    </row>
    <row r="2493" spans="1:9" s="33" customFormat="1" ht="105">
      <c r="A2493" s="4">
        <v>43557.458587962959</v>
      </c>
      <c r="B2493" s="5" t="s">
        <v>14795</v>
      </c>
      <c r="C2493" s="6" t="s">
        <v>75</v>
      </c>
      <c r="D2493" s="7" t="s">
        <v>1240</v>
      </c>
      <c r="E2493" s="8" t="s">
        <v>13812</v>
      </c>
      <c r="F2493" s="4">
        <v>42068.677650462967</v>
      </c>
      <c r="G2493" s="17" t="s">
        <v>13000</v>
      </c>
      <c r="H2493" s="35" t="s">
        <v>77</v>
      </c>
      <c r="I2493" s="10" t="s">
        <v>78</v>
      </c>
    </row>
    <row r="2494" spans="1:9" s="33" customFormat="1" ht="105">
      <c r="A2494" s="12">
        <v>43580.7815625</v>
      </c>
      <c r="B2494" s="13" t="s">
        <v>14795</v>
      </c>
      <c r="C2494" s="14" t="s">
        <v>75</v>
      </c>
      <c r="D2494" s="15" t="s">
        <v>76</v>
      </c>
      <c r="E2494" s="16" t="s">
        <v>13812</v>
      </c>
      <c r="F2494" s="12">
        <v>42069.177650462967</v>
      </c>
      <c r="G2494" s="17" t="s">
        <v>13000</v>
      </c>
      <c r="H2494" s="35" t="s">
        <v>77</v>
      </c>
      <c r="I2494" s="18" t="s">
        <v>78</v>
      </c>
    </row>
    <row r="2495" spans="1:9" s="33" customFormat="1" ht="135">
      <c r="A2495" s="12">
        <v>43579.325555555552</v>
      </c>
      <c r="B2495" s="13" t="s">
        <v>14802</v>
      </c>
      <c r="C2495" s="14" t="s">
        <v>764</v>
      </c>
      <c r="D2495" s="15" t="s">
        <v>765</v>
      </c>
      <c r="E2495" s="16" t="s">
        <v>13009</v>
      </c>
      <c r="F2495" s="12">
        <v>40331.054467592592</v>
      </c>
      <c r="G2495" s="17" t="s">
        <v>13000</v>
      </c>
      <c r="H2495" s="35" t="s">
        <v>77</v>
      </c>
      <c r="I2495" s="18" t="s">
        <v>766</v>
      </c>
    </row>
    <row r="2496" spans="1:9" s="33" customFormat="1" ht="105">
      <c r="A2496" s="12">
        <v>43578.385497685187</v>
      </c>
      <c r="B2496" s="13" t="s">
        <v>14795</v>
      </c>
      <c r="C2496" s="14" t="s">
        <v>75</v>
      </c>
      <c r="D2496" s="15" t="s">
        <v>1240</v>
      </c>
      <c r="E2496" s="16" t="s">
        <v>13812</v>
      </c>
      <c r="F2496" s="12">
        <v>42068.677650462967</v>
      </c>
      <c r="G2496" s="17" t="s">
        <v>13000</v>
      </c>
      <c r="H2496" s="35" t="s">
        <v>77</v>
      </c>
      <c r="I2496" s="18" t="s">
        <v>78</v>
      </c>
    </row>
    <row r="2497" spans="1:9" s="33" customFormat="1" ht="105">
      <c r="A2497" s="12">
        <v>43575.705208333333</v>
      </c>
      <c r="B2497" s="13" t="s">
        <v>14795</v>
      </c>
      <c r="C2497" s="14" t="s">
        <v>75</v>
      </c>
      <c r="D2497" s="15" t="s">
        <v>2141</v>
      </c>
      <c r="E2497" s="16" t="s">
        <v>13812</v>
      </c>
      <c r="F2497" s="12">
        <v>42068.677650462967</v>
      </c>
      <c r="G2497" s="17" t="s">
        <v>13000</v>
      </c>
      <c r="H2497" s="35" t="s">
        <v>77</v>
      </c>
      <c r="I2497" s="18" t="s">
        <v>78</v>
      </c>
    </row>
    <row r="2498" spans="1:9" s="33" customFormat="1" ht="105">
      <c r="A2498" s="12">
        <v>43573.323124999995</v>
      </c>
      <c r="B2498" s="13" t="s">
        <v>14795</v>
      </c>
      <c r="C2498" s="14" t="s">
        <v>75</v>
      </c>
      <c r="D2498" s="15" t="s">
        <v>76</v>
      </c>
      <c r="E2498" s="16" t="s">
        <v>13812</v>
      </c>
      <c r="F2498" s="12">
        <v>42068.677650462967</v>
      </c>
      <c r="G2498" s="17" t="s">
        <v>13000</v>
      </c>
      <c r="H2498" s="35" t="s">
        <v>77</v>
      </c>
      <c r="I2498" s="18" t="s">
        <v>78</v>
      </c>
    </row>
    <row r="2499" spans="1:9" s="33" customFormat="1" ht="120">
      <c r="A2499" s="12">
        <v>43572.84375</v>
      </c>
      <c r="B2499" s="13" t="s">
        <v>14803</v>
      </c>
      <c r="C2499" s="14" t="s">
        <v>3076</v>
      </c>
      <c r="D2499" s="15" t="s">
        <v>405</v>
      </c>
      <c r="E2499" s="16" t="s">
        <v>13034</v>
      </c>
      <c r="F2499" s="12">
        <v>40568.382835648146</v>
      </c>
      <c r="G2499" s="17" t="s">
        <v>13000</v>
      </c>
      <c r="H2499" s="35" t="s">
        <v>77</v>
      </c>
      <c r="I2499" s="18" t="s">
        <v>3077</v>
      </c>
    </row>
    <row r="2500" spans="1:9" s="33" customFormat="1" ht="75">
      <c r="A2500" s="12">
        <v>43572.375092592592</v>
      </c>
      <c r="B2500" s="13" t="s">
        <v>14804</v>
      </c>
      <c r="C2500" s="14" t="s">
        <v>3287</v>
      </c>
      <c r="D2500" s="15" t="s">
        <v>3288</v>
      </c>
      <c r="E2500" s="16" t="s">
        <v>13034</v>
      </c>
      <c r="F2500" s="12">
        <v>43480.139641203699</v>
      </c>
      <c r="G2500" s="17" t="s">
        <v>13000</v>
      </c>
      <c r="H2500" s="35" t="s">
        <v>77</v>
      </c>
      <c r="I2500" s="18" t="s">
        <v>3289</v>
      </c>
    </row>
    <row r="2501" spans="1:9" s="33" customFormat="1" ht="105">
      <c r="A2501" s="12">
        <v>43571.458726851852</v>
      </c>
      <c r="B2501" s="13" t="s">
        <v>14795</v>
      </c>
      <c r="C2501" s="14" t="s">
        <v>75</v>
      </c>
      <c r="D2501" s="15" t="s">
        <v>1240</v>
      </c>
      <c r="E2501" s="16" t="s">
        <v>13812</v>
      </c>
      <c r="F2501" s="12">
        <v>42068.677650462967</v>
      </c>
      <c r="G2501" s="17" t="s">
        <v>13000</v>
      </c>
      <c r="H2501" s="35" t="s">
        <v>77</v>
      </c>
      <c r="I2501" s="18" t="s">
        <v>78</v>
      </c>
    </row>
    <row r="2502" spans="1:9" s="33" customFormat="1" ht="105">
      <c r="A2502" s="12">
        <v>43568.766041666662</v>
      </c>
      <c r="B2502" s="13" t="s">
        <v>14805</v>
      </c>
      <c r="C2502" s="14" t="s">
        <v>4662</v>
      </c>
      <c r="D2502" s="15" t="s">
        <v>4663</v>
      </c>
      <c r="E2502" s="16" t="s">
        <v>13013</v>
      </c>
      <c r="F2502" s="12">
        <v>41821.284212962964</v>
      </c>
      <c r="G2502" s="17" t="s">
        <v>13000</v>
      </c>
      <c r="H2502" s="35" t="s">
        <v>77</v>
      </c>
      <c r="I2502" s="18" t="s">
        <v>4664</v>
      </c>
    </row>
    <row r="2503" spans="1:9" s="33" customFormat="1" ht="105">
      <c r="A2503" s="12">
        <v>43568.705208333333</v>
      </c>
      <c r="B2503" s="13" t="s">
        <v>14795</v>
      </c>
      <c r="C2503" s="14" t="s">
        <v>75</v>
      </c>
      <c r="D2503" s="15" t="s">
        <v>2141</v>
      </c>
      <c r="E2503" s="16" t="s">
        <v>13812</v>
      </c>
      <c r="F2503" s="12">
        <v>42068.677650462967</v>
      </c>
      <c r="G2503" s="17" t="s">
        <v>13000</v>
      </c>
      <c r="H2503" s="35" t="s">
        <v>77</v>
      </c>
      <c r="I2503" s="18" t="s">
        <v>78</v>
      </c>
    </row>
    <row r="2504" spans="1:9" s="33" customFormat="1" ht="60">
      <c r="A2504" s="12">
        <v>43566.828877314816</v>
      </c>
      <c r="B2504" s="13" t="s">
        <v>14806</v>
      </c>
      <c r="C2504" s="14" t="s">
        <v>5335</v>
      </c>
      <c r="D2504" s="15" t="s">
        <v>5336</v>
      </c>
      <c r="E2504" s="16" t="s">
        <v>13013</v>
      </c>
      <c r="F2504" s="12">
        <v>40443.134502314817</v>
      </c>
      <c r="G2504" s="17" t="s">
        <v>13000</v>
      </c>
      <c r="H2504" s="35" t="s">
        <v>77</v>
      </c>
      <c r="I2504" s="18" t="s">
        <v>5337</v>
      </c>
    </row>
    <row r="2505" spans="1:9" s="33" customFormat="1" ht="105">
      <c r="A2505" s="12">
        <v>43566.323287037041</v>
      </c>
      <c r="B2505" s="13" t="s">
        <v>14795</v>
      </c>
      <c r="C2505" s="14" t="s">
        <v>75</v>
      </c>
      <c r="D2505" s="15" t="s">
        <v>76</v>
      </c>
      <c r="E2505" s="16" t="s">
        <v>13812</v>
      </c>
      <c r="F2505" s="12">
        <v>42068.677650462967</v>
      </c>
      <c r="G2505" s="17" t="s">
        <v>13000</v>
      </c>
      <c r="H2505" s="35" t="s">
        <v>77</v>
      </c>
      <c r="I2505" s="18" t="s">
        <v>78</v>
      </c>
    </row>
    <row r="2506" spans="1:9" s="33" customFormat="1" ht="60">
      <c r="A2506" s="4">
        <v>43560.325092592597</v>
      </c>
      <c r="B2506" s="5" t="s">
        <v>14807</v>
      </c>
      <c r="C2506" s="6" t="s">
        <v>11443</v>
      </c>
      <c r="D2506" s="7" t="s">
        <v>11444</v>
      </c>
      <c r="E2506" s="8" t="s">
        <v>13032</v>
      </c>
      <c r="F2506" s="4">
        <v>40855.759606481479</v>
      </c>
      <c r="G2506" s="9" t="s">
        <v>13000</v>
      </c>
      <c r="H2506" s="35" t="s">
        <v>11445</v>
      </c>
      <c r="I2506" s="10"/>
    </row>
    <row r="2507" spans="1:9" s="33" customFormat="1" ht="45">
      <c r="A2507" s="12">
        <v>43579.773414351846</v>
      </c>
      <c r="B2507" s="13" t="s">
        <v>14808</v>
      </c>
      <c r="C2507" s="14" t="s">
        <v>455</v>
      </c>
      <c r="D2507" s="15" t="s">
        <v>456</v>
      </c>
      <c r="E2507" s="16" t="s">
        <v>13011</v>
      </c>
      <c r="F2507" s="12">
        <v>40727.544247685189</v>
      </c>
      <c r="G2507" s="17" t="s">
        <v>13000</v>
      </c>
      <c r="H2507" s="35" t="s">
        <v>457</v>
      </c>
      <c r="I2507" s="18" t="s">
        <v>458</v>
      </c>
    </row>
    <row r="2508" spans="1:9" s="33" customFormat="1" ht="120">
      <c r="A2508" s="4">
        <v>43562.670451388884</v>
      </c>
      <c r="B2508" s="5" t="s">
        <v>14809</v>
      </c>
      <c r="C2508" s="6" t="s">
        <v>10619</v>
      </c>
      <c r="D2508" s="7" t="s">
        <v>10620</v>
      </c>
      <c r="E2508" s="8" t="s">
        <v>13006</v>
      </c>
      <c r="F2508" s="4">
        <v>39858.174745370372</v>
      </c>
      <c r="G2508" s="9" t="s">
        <v>13000</v>
      </c>
      <c r="H2508" s="35" t="s">
        <v>10621</v>
      </c>
      <c r="I2508" s="10" t="s">
        <v>10622</v>
      </c>
    </row>
    <row r="2509" spans="1:9" s="33" customFormat="1" ht="90">
      <c r="A2509" s="4">
        <v>43560.89099537037</v>
      </c>
      <c r="B2509" s="5" t="s">
        <v>14810</v>
      </c>
      <c r="C2509" s="6" t="s">
        <v>11129</v>
      </c>
      <c r="D2509" s="7" t="s">
        <v>11130</v>
      </c>
      <c r="E2509" s="8" t="s">
        <v>13009</v>
      </c>
      <c r="F2509" s="4">
        <v>39920.689155092594</v>
      </c>
      <c r="G2509" s="9" t="s">
        <v>13000</v>
      </c>
      <c r="H2509" s="35" t="s">
        <v>11131</v>
      </c>
      <c r="I2509" s="10" t="s">
        <v>11132</v>
      </c>
    </row>
    <row r="2510" spans="1:9" s="33" customFormat="1" ht="105">
      <c r="A2510" s="19">
        <v>43548.305497685185</v>
      </c>
      <c r="B2510" s="20" t="s">
        <v>14811</v>
      </c>
      <c r="C2510" s="21" t="s">
        <v>1317</v>
      </c>
      <c r="D2510" s="22" t="s">
        <v>8353</v>
      </c>
      <c r="E2510" s="23" t="s">
        <v>13009</v>
      </c>
      <c r="F2510" s="19">
        <v>41390.553807870368</v>
      </c>
      <c r="G2510" s="17" t="s">
        <v>13000</v>
      </c>
      <c r="H2510" s="35" t="s">
        <v>1319</v>
      </c>
      <c r="I2510" s="25" t="s">
        <v>1320</v>
      </c>
    </row>
    <row r="2511" spans="1:9" s="33" customFormat="1" ht="105">
      <c r="A2511" s="19">
        <v>43545.481608796297</v>
      </c>
      <c r="B2511" s="20" t="s">
        <v>14811</v>
      </c>
      <c r="C2511" s="21" t="s">
        <v>1317</v>
      </c>
      <c r="D2511" s="22" t="s">
        <v>9120</v>
      </c>
      <c r="E2511" s="23" t="s">
        <v>13009</v>
      </c>
      <c r="F2511" s="19">
        <v>41390.553807870368</v>
      </c>
      <c r="G2511" s="17" t="s">
        <v>13000</v>
      </c>
      <c r="H2511" s="35" t="s">
        <v>1319</v>
      </c>
      <c r="I2511" s="25" t="s">
        <v>1320</v>
      </c>
    </row>
    <row r="2512" spans="1:9" s="33" customFormat="1" ht="105">
      <c r="A2512" s="19">
        <v>43544.758761574078</v>
      </c>
      <c r="B2512" s="20" t="s">
        <v>14811</v>
      </c>
      <c r="C2512" s="21" t="s">
        <v>1317</v>
      </c>
      <c r="D2512" s="22" t="s">
        <v>9350</v>
      </c>
      <c r="E2512" s="23" t="s">
        <v>13009</v>
      </c>
      <c r="F2512" s="19">
        <v>41390.553807870368</v>
      </c>
      <c r="G2512" s="17" t="s">
        <v>13000</v>
      </c>
      <c r="H2512" s="35" t="s">
        <v>1319</v>
      </c>
      <c r="I2512" s="25" t="s">
        <v>1320</v>
      </c>
    </row>
    <row r="2513" spans="1:9" s="33" customFormat="1" ht="105">
      <c r="A2513" s="4">
        <v>43558.420578703706</v>
      </c>
      <c r="B2513" s="5" t="s">
        <v>14811</v>
      </c>
      <c r="C2513" s="6" t="s">
        <v>1317</v>
      </c>
      <c r="D2513" s="7" t="s">
        <v>12201</v>
      </c>
      <c r="E2513" s="8" t="s">
        <v>13009</v>
      </c>
      <c r="F2513" s="4">
        <v>41390.553807870368</v>
      </c>
      <c r="G2513" s="17" t="s">
        <v>13000</v>
      </c>
      <c r="H2513" s="35" t="s">
        <v>1319</v>
      </c>
      <c r="I2513" s="10" t="s">
        <v>1320</v>
      </c>
    </row>
    <row r="2514" spans="1:9" s="33" customFormat="1" ht="105">
      <c r="A2514" s="4">
        <v>43558.34746527778</v>
      </c>
      <c r="B2514" s="5" t="s">
        <v>14811</v>
      </c>
      <c r="C2514" s="6" t="s">
        <v>1317</v>
      </c>
      <c r="D2514" s="7" t="s">
        <v>12225</v>
      </c>
      <c r="E2514" s="8" t="s">
        <v>13009</v>
      </c>
      <c r="F2514" s="4">
        <v>41390.553807870368</v>
      </c>
      <c r="G2514" s="17" t="s">
        <v>13000</v>
      </c>
      <c r="H2514" s="35" t="s">
        <v>1319</v>
      </c>
      <c r="I2514" s="10" t="s">
        <v>1320</v>
      </c>
    </row>
    <row r="2515" spans="1:9" s="33" customFormat="1" ht="105">
      <c r="A2515" s="4">
        <v>43557.878171296295</v>
      </c>
      <c r="B2515" s="5" t="s">
        <v>14811</v>
      </c>
      <c r="C2515" s="6" t="s">
        <v>1317</v>
      </c>
      <c r="D2515" s="7" t="s">
        <v>12371</v>
      </c>
      <c r="E2515" s="8" t="s">
        <v>13011</v>
      </c>
      <c r="F2515" s="4">
        <v>41390.553807870368</v>
      </c>
      <c r="G2515" s="17" t="s">
        <v>13000</v>
      </c>
      <c r="H2515" s="35" t="s">
        <v>1319</v>
      </c>
      <c r="I2515" s="10" t="s">
        <v>1320</v>
      </c>
    </row>
    <row r="2516" spans="1:9" s="33" customFormat="1" ht="120">
      <c r="A2516" s="4">
        <v>43557.742650462962</v>
      </c>
      <c r="B2516" s="5" t="s">
        <v>14811</v>
      </c>
      <c r="C2516" s="6" t="s">
        <v>1317</v>
      </c>
      <c r="D2516" s="7" t="s">
        <v>12397</v>
      </c>
      <c r="E2516" s="8" t="s">
        <v>13011</v>
      </c>
      <c r="F2516" s="4">
        <v>41390.553807870368</v>
      </c>
      <c r="G2516" s="17" t="s">
        <v>13000</v>
      </c>
      <c r="H2516" s="35" t="s">
        <v>1319</v>
      </c>
      <c r="I2516" s="10" t="s">
        <v>1320</v>
      </c>
    </row>
    <row r="2517" spans="1:9" s="33" customFormat="1" ht="105">
      <c r="A2517" s="12">
        <v>43578.285497685181</v>
      </c>
      <c r="B2517" s="13" t="s">
        <v>14811</v>
      </c>
      <c r="C2517" s="14" t="s">
        <v>1317</v>
      </c>
      <c r="D2517" s="15" t="s">
        <v>1318</v>
      </c>
      <c r="E2517" s="16" t="s">
        <v>13009</v>
      </c>
      <c r="F2517" s="12">
        <v>41390.553807870368</v>
      </c>
      <c r="G2517" s="17" t="s">
        <v>13000</v>
      </c>
      <c r="H2517" s="35" t="s">
        <v>1319</v>
      </c>
      <c r="I2517" s="18" t="s">
        <v>1320</v>
      </c>
    </row>
    <row r="2518" spans="1:9" s="33" customFormat="1" ht="105">
      <c r="A2518" s="12">
        <v>43577.884999999995</v>
      </c>
      <c r="B2518" s="13" t="s">
        <v>14811</v>
      </c>
      <c r="C2518" s="14" t="s">
        <v>1317</v>
      </c>
      <c r="D2518" s="15" t="s">
        <v>1475</v>
      </c>
      <c r="E2518" s="16" t="s">
        <v>13011</v>
      </c>
      <c r="F2518" s="12">
        <v>41390.553807870368</v>
      </c>
      <c r="G2518" s="17" t="s">
        <v>13000</v>
      </c>
      <c r="H2518" s="35" t="s">
        <v>1319</v>
      </c>
      <c r="I2518" s="18" t="s">
        <v>1320</v>
      </c>
    </row>
    <row r="2519" spans="1:9" s="33" customFormat="1" ht="105">
      <c r="A2519" s="12">
        <v>43577.750046296293</v>
      </c>
      <c r="B2519" s="13" t="s">
        <v>14811</v>
      </c>
      <c r="C2519" s="14" t="s">
        <v>1317</v>
      </c>
      <c r="D2519" s="15" t="s">
        <v>1513</v>
      </c>
      <c r="E2519" s="16" t="s">
        <v>13011</v>
      </c>
      <c r="F2519" s="12">
        <v>41390.553807870368</v>
      </c>
      <c r="G2519" s="17" t="s">
        <v>13000</v>
      </c>
      <c r="H2519" s="35" t="s">
        <v>1319</v>
      </c>
      <c r="I2519" s="18" t="s">
        <v>1320</v>
      </c>
    </row>
    <row r="2520" spans="1:9" s="33" customFormat="1" ht="105">
      <c r="A2520" s="12">
        <v>43577.29241898148</v>
      </c>
      <c r="B2520" s="13" t="s">
        <v>14811</v>
      </c>
      <c r="C2520" s="14" t="s">
        <v>1317</v>
      </c>
      <c r="D2520" s="15" t="s">
        <v>1681</v>
      </c>
      <c r="E2520" s="16" t="s">
        <v>13009</v>
      </c>
      <c r="F2520" s="12">
        <v>41390.553807870368</v>
      </c>
      <c r="G2520" s="17" t="s">
        <v>13000</v>
      </c>
      <c r="H2520" s="35" t="s">
        <v>1319</v>
      </c>
      <c r="I2520" s="18" t="s">
        <v>1320</v>
      </c>
    </row>
    <row r="2521" spans="1:9" s="33" customFormat="1" ht="105">
      <c r="A2521" s="12">
        <v>43572.347361111111</v>
      </c>
      <c r="B2521" s="13" t="s">
        <v>14811</v>
      </c>
      <c r="C2521" s="14" t="s">
        <v>1317</v>
      </c>
      <c r="D2521" s="15" t="s">
        <v>3309</v>
      </c>
      <c r="E2521" s="16" t="s">
        <v>13009</v>
      </c>
      <c r="F2521" s="12">
        <v>41390.553807870368</v>
      </c>
      <c r="G2521" s="17" t="s">
        <v>13000</v>
      </c>
      <c r="H2521" s="35" t="s">
        <v>1319</v>
      </c>
      <c r="I2521" s="18" t="s">
        <v>1320</v>
      </c>
    </row>
    <row r="2522" spans="1:9" s="33" customFormat="1" ht="120">
      <c r="A2522" s="19">
        <v>43549.838275462964</v>
      </c>
      <c r="B2522" s="20" t="s">
        <v>14812</v>
      </c>
      <c r="C2522" s="21" t="s">
        <v>7900</v>
      </c>
      <c r="D2522" s="22" t="s">
        <v>7901</v>
      </c>
      <c r="E2522" s="23" t="s">
        <v>13006</v>
      </c>
      <c r="F2522" s="19">
        <v>40990.992314814815</v>
      </c>
      <c r="G2522" s="9" t="s">
        <v>13000</v>
      </c>
      <c r="H2522" s="35" t="s">
        <v>7902</v>
      </c>
      <c r="I2522" s="25" t="s">
        <v>7903</v>
      </c>
    </row>
    <row r="2523" spans="1:9" s="33" customFormat="1" ht="120">
      <c r="A2523" s="19">
        <v>43549.837280092594</v>
      </c>
      <c r="B2523" s="20" t="s">
        <v>14812</v>
      </c>
      <c r="C2523" s="21" t="s">
        <v>7900</v>
      </c>
      <c r="D2523" s="22" t="s">
        <v>7904</v>
      </c>
      <c r="E2523" s="23" t="s">
        <v>13032</v>
      </c>
      <c r="F2523" s="19">
        <v>40990.992314814815</v>
      </c>
      <c r="G2523" s="9" t="s">
        <v>13000</v>
      </c>
      <c r="H2523" s="35" t="s">
        <v>7902</v>
      </c>
      <c r="I2523" s="25" t="s">
        <v>7903</v>
      </c>
    </row>
    <row r="2524" spans="1:9" s="33" customFormat="1" ht="120">
      <c r="A2524" s="19">
        <v>43549.800324074073</v>
      </c>
      <c r="B2524" s="20" t="s">
        <v>14812</v>
      </c>
      <c r="C2524" s="21" t="s">
        <v>7900</v>
      </c>
      <c r="D2524" s="22" t="s">
        <v>7924</v>
      </c>
      <c r="E2524" s="23" t="s">
        <v>13032</v>
      </c>
      <c r="F2524" s="19">
        <v>40990.992314814815</v>
      </c>
      <c r="G2524" s="9" t="s">
        <v>13000</v>
      </c>
      <c r="H2524" s="35" t="s">
        <v>7902</v>
      </c>
      <c r="I2524" s="25" t="s">
        <v>7903</v>
      </c>
    </row>
    <row r="2525" spans="1:9" s="33" customFormat="1" ht="120">
      <c r="A2525" s="19">
        <v>43547.852789351848</v>
      </c>
      <c r="B2525" s="20" t="s">
        <v>14812</v>
      </c>
      <c r="C2525" s="21" t="s">
        <v>7900</v>
      </c>
      <c r="D2525" s="22" t="s">
        <v>8466</v>
      </c>
      <c r="E2525" s="23" t="s">
        <v>13006</v>
      </c>
      <c r="F2525" s="19">
        <v>40990.992314814815</v>
      </c>
      <c r="G2525" s="9" t="s">
        <v>13000</v>
      </c>
      <c r="H2525" s="35" t="s">
        <v>7902</v>
      </c>
      <c r="I2525" s="25" t="s">
        <v>7903</v>
      </c>
    </row>
    <row r="2526" spans="1:9" s="33" customFormat="1" ht="120">
      <c r="A2526" s="4">
        <v>43556.723310185189</v>
      </c>
      <c r="B2526" s="5" t="s">
        <v>14812</v>
      </c>
      <c r="C2526" s="6" t="s">
        <v>7900</v>
      </c>
      <c r="D2526" s="7" t="s">
        <v>12759</v>
      </c>
      <c r="E2526" s="8" t="s">
        <v>13006</v>
      </c>
      <c r="F2526" s="4">
        <v>40990.992314814815</v>
      </c>
      <c r="G2526" s="9" t="s">
        <v>13000</v>
      </c>
      <c r="H2526" s="35" t="s">
        <v>7902</v>
      </c>
      <c r="I2526" s="10" t="s">
        <v>7903</v>
      </c>
    </row>
    <row r="2527" spans="1:9" s="33" customFormat="1" ht="120">
      <c r="A2527" s="4">
        <v>43556.722604166665</v>
      </c>
      <c r="B2527" s="5" t="s">
        <v>14812</v>
      </c>
      <c r="C2527" s="6" t="s">
        <v>7900</v>
      </c>
      <c r="D2527" s="7" t="s">
        <v>12760</v>
      </c>
      <c r="E2527" s="8" t="s">
        <v>13032</v>
      </c>
      <c r="F2527" s="4">
        <v>40990.992314814815</v>
      </c>
      <c r="G2527" s="9" t="s">
        <v>13000</v>
      </c>
      <c r="H2527" s="35" t="s">
        <v>7902</v>
      </c>
      <c r="I2527" s="10" t="s">
        <v>7903</v>
      </c>
    </row>
    <row r="2528" spans="1:9" s="33" customFormat="1" ht="60">
      <c r="A2528" s="12">
        <v>43577.595532407402</v>
      </c>
      <c r="B2528" s="13" t="s">
        <v>14813</v>
      </c>
      <c r="C2528" s="14" t="s">
        <v>1552</v>
      </c>
      <c r="D2528" s="15" t="s">
        <v>1553</v>
      </c>
      <c r="E2528" s="16" t="s">
        <v>13032</v>
      </c>
      <c r="F2528" s="12">
        <v>41540.335393518515</v>
      </c>
      <c r="G2528" s="17" t="s">
        <v>13000</v>
      </c>
      <c r="H2528" s="35" t="s">
        <v>1554</v>
      </c>
      <c r="I2528" s="18" t="s">
        <v>1555</v>
      </c>
    </row>
    <row r="2529" spans="1:9" s="33" customFormat="1" ht="30">
      <c r="A2529" s="12">
        <v>43570.454687500001</v>
      </c>
      <c r="B2529" s="13" t="s">
        <v>14813</v>
      </c>
      <c r="C2529" s="14" t="s">
        <v>1552</v>
      </c>
      <c r="D2529" s="15" t="s">
        <v>4141</v>
      </c>
      <c r="E2529" s="16" t="s">
        <v>13032</v>
      </c>
      <c r="F2529" s="12">
        <v>41540.335393518515</v>
      </c>
      <c r="G2529" s="17" t="s">
        <v>13000</v>
      </c>
      <c r="H2529" s="35" t="s">
        <v>1554</v>
      </c>
      <c r="I2529" s="18" t="s">
        <v>1555</v>
      </c>
    </row>
    <row r="2530" spans="1:9" s="33" customFormat="1" ht="75">
      <c r="A2530" s="19">
        <v>43545.429085648153</v>
      </c>
      <c r="B2530" s="20" t="s">
        <v>14814</v>
      </c>
      <c r="C2530" s="21" t="s">
        <v>9137</v>
      </c>
      <c r="D2530" s="22" t="s">
        <v>9138</v>
      </c>
      <c r="E2530" s="23" t="s">
        <v>13009</v>
      </c>
      <c r="F2530" s="19">
        <v>40017.329699074078</v>
      </c>
      <c r="G2530" s="24" t="s">
        <v>13000</v>
      </c>
      <c r="H2530" s="35" t="s">
        <v>9139</v>
      </c>
      <c r="I2530" s="25" t="s">
        <v>9140</v>
      </c>
    </row>
    <row r="2531" spans="1:9" s="33" customFormat="1" ht="75">
      <c r="A2531" s="19">
        <v>43549.395138888889</v>
      </c>
      <c r="B2531" s="20" t="s">
        <v>14815</v>
      </c>
      <c r="C2531" s="21" t="s">
        <v>2849</v>
      </c>
      <c r="D2531" s="22" t="s">
        <v>8064</v>
      </c>
      <c r="E2531" s="23" t="s">
        <v>13120</v>
      </c>
      <c r="F2531" s="19">
        <v>42740.412465277783</v>
      </c>
      <c r="G2531" s="24" t="s">
        <v>13000</v>
      </c>
      <c r="H2531" s="35" t="s">
        <v>8065</v>
      </c>
      <c r="I2531" s="25" t="s">
        <v>8066</v>
      </c>
    </row>
    <row r="2532" spans="1:9" s="33" customFormat="1" ht="75">
      <c r="A2532" s="19">
        <v>43548.39444444445</v>
      </c>
      <c r="B2532" s="20" t="s">
        <v>14815</v>
      </c>
      <c r="C2532" s="21" t="s">
        <v>2849</v>
      </c>
      <c r="D2532" s="22" t="s">
        <v>8333</v>
      </c>
      <c r="E2532" s="23" t="s">
        <v>13120</v>
      </c>
      <c r="F2532" s="19">
        <v>42740.412465277783</v>
      </c>
      <c r="G2532" s="24" t="s">
        <v>13000</v>
      </c>
      <c r="H2532" s="35" t="s">
        <v>8065</v>
      </c>
      <c r="I2532" s="25" t="s">
        <v>8066</v>
      </c>
    </row>
    <row r="2533" spans="1:9" s="33" customFormat="1" ht="75">
      <c r="A2533" s="19">
        <v>43551.429791666669</v>
      </c>
      <c r="B2533" s="20" t="s">
        <v>14816</v>
      </c>
      <c r="C2533" s="21" t="s">
        <v>7200</v>
      </c>
      <c r="D2533" s="22" t="s">
        <v>7201</v>
      </c>
      <c r="E2533" s="23" t="s">
        <v>13011</v>
      </c>
      <c r="F2533" s="19">
        <v>41760.759699074071</v>
      </c>
      <c r="G2533" s="17" t="s">
        <v>13000</v>
      </c>
      <c r="H2533" s="35" t="s">
        <v>603</v>
      </c>
      <c r="I2533" s="25" t="s">
        <v>7202</v>
      </c>
    </row>
    <row r="2534" spans="1:9" s="33" customFormat="1" ht="135">
      <c r="A2534" s="19">
        <v>43545.354537037041</v>
      </c>
      <c r="B2534" s="20" t="s">
        <v>14817</v>
      </c>
      <c r="C2534" s="21" t="s">
        <v>9174</v>
      </c>
      <c r="D2534" s="22" t="s">
        <v>9175</v>
      </c>
      <c r="E2534" s="23" t="s">
        <v>13013</v>
      </c>
      <c r="F2534" s="19">
        <v>41268.511736111112</v>
      </c>
      <c r="G2534" s="17" t="s">
        <v>13000</v>
      </c>
      <c r="H2534" s="35" t="s">
        <v>603</v>
      </c>
      <c r="I2534" s="25" t="s">
        <v>9176</v>
      </c>
    </row>
    <row r="2535" spans="1:9" s="33" customFormat="1" ht="45">
      <c r="A2535" s="19">
        <v>43543.397615740745</v>
      </c>
      <c r="B2535" s="20" t="s">
        <v>14818</v>
      </c>
      <c r="C2535" s="21" t="s">
        <v>5721</v>
      </c>
      <c r="D2535" s="22" t="s">
        <v>9829</v>
      </c>
      <c r="E2535" s="23" t="s">
        <v>13009</v>
      </c>
      <c r="F2535" s="19">
        <v>40581.804456018523</v>
      </c>
      <c r="G2535" s="17" t="s">
        <v>13000</v>
      </c>
      <c r="H2535" s="35" t="s">
        <v>603</v>
      </c>
      <c r="I2535" s="25" t="s">
        <v>5723</v>
      </c>
    </row>
    <row r="2536" spans="1:9" s="33" customFormat="1" ht="45">
      <c r="A2536" s="19">
        <v>43543.257916666669</v>
      </c>
      <c r="B2536" s="20" t="s">
        <v>14818</v>
      </c>
      <c r="C2536" s="21" t="s">
        <v>5721</v>
      </c>
      <c r="D2536" s="22" t="s">
        <v>9881</v>
      </c>
      <c r="E2536" s="23" t="s">
        <v>13011</v>
      </c>
      <c r="F2536" s="19">
        <v>40581.804456018523</v>
      </c>
      <c r="G2536" s="17" t="s">
        <v>13000</v>
      </c>
      <c r="H2536" s="35" t="s">
        <v>603</v>
      </c>
      <c r="I2536" s="25" t="s">
        <v>5723</v>
      </c>
    </row>
    <row r="2537" spans="1:9" s="33" customFormat="1" ht="180">
      <c r="A2537" s="4">
        <v>43565.383206018523</v>
      </c>
      <c r="B2537" s="5" t="s">
        <v>14819</v>
      </c>
      <c r="C2537" s="6" t="s">
        <v>6126</v>
      </c>
      <c r="D2537" s="7" t="s">
        <v>6127</v>
      </c>
      <c r="E2537" s="8" t="s">
        <v>13011</v>
      </c>
      <c r="F2537" s="4">
        <v>40568.380729166667</v>
      </c>
      <c r="G2537" s="17" t="s">
        <v>13000</v>
      </c>
      <c r="H2537" s="35" t="s">
        <v>603</v>
      </c>
      <c r="I2537" s="10" t="s">
        <v>10179</v>
      </c>
    </row>
    <row r="2538" spans="1:9" s="33" customFormat="1" ht="75">
      <c r="A2538" s="4">
        <v>43564.567754629628</v>
      </c>
      <c r="B2538" s="5" t="s">
        <v>14819</v>
      </c>
      <c r="C2538" s="6" t="s">
        <v>6126</v>
      </c>
      <c r="D2538" s="7" t="s">
        <v>6545</v>
      </c>
      <c r="E2538" s="8" t="s">
        <v>13011</v>
      </c>
      <c r="F2538" s="4">
        <v>40568.380729166667</v>
      </c>
      <c r="G2538" s="17" t="s">
        <v>13000</v>
      </c>
      <c r="H2538" s="35" t="s">
        <v>603</v>
      </c>
      <c r="I2538" s="10" t="s">
        <v>10179</v>
      </c>
    </row>
    <row r="2539" spans="1:9" s="33" customFormat="1" ht="60">
      <c r="A2539" s="4">
        <v>43562.761979166666</v>
      </c>
      <c r="B2539" s="5" t="s">
        <v>14820</v>
      </c>
      <c r="C2539" s="6" t="s">
        <v>10593</v>
      </c>
      <c r="D2539" s="7" t="s">
        <v>10594</v>
      </c>
      <c r="E2539" s="8" t="s">
        <v>13011</v>
      </c>
      <c r="F2539" s="4">
        <v>39782.227233796293</v>
      </c>
      <c r="G2539" s="17" t="s">
        <v>13000</v>
      </c>
      <c r="H2539" s="35" t="s">
        <v>603</v>
      </c>
      <c r="I2539" s="10" t="s">
        <v>10595</v>
      </c>
    </row>
    <row r="2540" spans="1:9" s="33" customFormat="1" ht="60">
      <c r="A2540" s="4">
        <v>43560.260289351849</v>
      </c>
      <c r="B2540" s="5" t="s">
        <v>14821</v>
      </c>
      <c r="C2540" s="6" t="s">
        <v>11526</v>
      </c>
      <c r="D2540" s="7" t="s">
        <v>11527</v>
      </c>
      <c r="E2540" s="8" t="s">
        <v>13011</v>
      </c>
      <c r="F2540" s="4">
        <v>40490.42260416667</v>
      </c>
      <c r="G2540" s="17" t="s">
        <v>13000</v>
      </c>
      <c r="H2540" s="35" t="s">
        <v>603</v>
      </c>
      <c r="I2540" s="10" t="s">
        <v>11528</v>
      </c>
    </row>
    <row r="2541" spans="1:9" s="33" customFormat="1" ht="60">
      <c r="A2541" s="4">
        <v>43558.430601851855</v>
      </c>
      <c r="B2541" s="5" t="s">
        <v>14822</v>
      </c>
      <c r="C2541" s="6" t="s">
        <v>12194</v>
      </c>
      <c r="D2541" s="7" t="s">
        <v>12195</v>
      </c>
      <c r="E2541" s="8" t="s">
        <v>13013</v>
      </c>
      <c r="F2541" s="4">
        <v>40583.792662037034</v>
      </c>
      <c r="G2541" s="17" t="s">
        <v>13000</v>
      </c>
      <c r="H2541" s="35" t="s">
        <v>603</v>
      </c>
      <c r="I2541" s="10" t="s">
        <v>12196</v>
      </c>
    </row>
    <row r="2542" spans="1:9" s="33" customFormat="1" ht="105">
      <c r="A2542" s="12">
        <v>43579.523043981477</v>
      </c>
      <c r="B2542" s="13" t="s">
        <v>14823</v>
      </c>
      <c r="C2542" s="14" t="s">
        <v>601</v>
      </c>
      <c r="D2542" s="15" t="s">
        <v>602</v>
      </c>
      <c r="E2542" s="16" t="s">
        <v>13011</v>
      </c>
      <c r="F2542" s="12">
        <v>39959.400775462964</v>
      </c>
      <c r="G2542" s="17" t="s">
        <v>13000</v>
      </c>
      <c r="H2542" s="35" t="s">
        <v>603</v>
      </c>
      <c r="I2542" s="18" t="s">
        <v>604</v>
      </c>
    </row>
    <row r="2543" spans="1:9" s="33" customFormat="1" ht="105">
      <c r="A2543" s="12">
        <v>43578.677743055552</v>
      </c>
      <c r="B2543" s="13" t="s">
        <v>14824</v>
      </c>
      <c r="C2543" s="14" t="s">
        <v>1109</v>
      </c>
      <c r="D2543" s="15" t="s">
        <v>1110</v>
      </c>
      <c r="E2543" s="16" t="s">
        <v>13120</v>
      </c>
      <c r="F2543" s="12">
        <v>41058.603217592594</v>
      </c>
      <c r="G2543" s="17" t="s">
        <v>13000</v>
      </c>
      <c r="H2543" s="35" t="s">
        <v>603</v>
      </c>
      <c r="I2543" s="18" t="s">
        <v>1111</v>
      </c>
    </row>
    <row r="2544" spans="1:9" s="33" customFormat="1" ht="105">
      <c r="A2544" s="12">
        <v>43578.529074074075</v>
      </c>
      <c r="B2544" s="13" t="s">
        <v>14823</v>
      </c>
      <c r="C2544" s="14" t="s">
        <v>601</v>
      </c>
      <c r="D2544" s="15" t="s">
        <v>1159</v>
      </c>
      <c r="E2544" s="16" t="s">
        <v>13011</v>
      </c>
      <c r="F2544" s="12">
        <v>39959.400775462964</v>
      </c>
      <c r="G2544" s="17" t="s">
        <v>13000</v>
      </c>
      <c r="H2544" s="35" t="s">
        <v>603</v>
      </c>
      <c r="I2544" s="18" t="s">
        <v>604</v>
      </c>
    </row>
    <row r="2545" spans="1:9" s="33" customFormat="1" ht="45">
      <c r="A2545" s="12">
        <v>43569.330636574072</v>
      </c>
      <c r="B2545" s="13" t="s">
        <v>14825</v>
      </c>
      <c r="C2545" s="14" t="s">
        <v>4549</v>
      </c>
      <c r="D2545" s="15" t="s">
        <v>4550</v>
      </c>
      <c r="E2545" s="16" t="s">
        <v>13011</v>
      </c>
      <c r="F2545" s="12">
        <v>41688.791377314818</v>
      </c>
      <c r="G2545" s="17" t="s">
        <v>13000</v>
      </c>
      <c r="H2545" s="35" t="s">
        <v>603</v>
      </c>
      <c r="I2545" s="18" t="s">
        <v>4551</v>
      </c>
    </row>
    <row r="2546" spans="1:9" s="33" customFormat="1" ht="105">
      <c r="A2546" s="12">
        <v>43566.513587962967</v>
      </c>
      <c r="B2546" s="13" t="s">
        <v>14826</v>
      </c>
      <c r="C2546" s="14" t="s">
        <v>5468</v>
      </c>
      <c r="D2546" s="15" t="s">
        <v>5469</v>
      </c>
      <c r="E2546" s="16" t="s">
        <v>13009</v>
      </c>
      <c r="F2546" s="12">
        <v>41258.48846064815</v>
      </c>
      <c r="G2546" s="17" t="s">
        <v>13000</v>
      </c>
      <c r="H2546" s="35" t="s">
        <v>603</v>
      </c>
      <c r="I2546" s="18" t="s">
        <v>5470</v>
      </c>
    </row>
    <row r="2547" spans="1:9" s="33" customFormat="1" ht="75">
      <c r="A2547" s="12">
        <v>43566.333923611106</v>
      </c>
      <c r="B2547" s="13" t="s">
        <v>14827</v>
      </c>
      <c r="C2547" s="14" t="s">
        <v>5652</v>
      </c>
      <c r="D2547" s="15" t="s">
        <v>5653</v>
      </c>
      <c r="E2547" s="16" t="s">
        <v>13009</v>
      </c>
      <c r="F2547" s="12">
        <v>41163.803796296299</v>
      </c>
      <c r="G2547" s="17" t="s">
        <v>13000</v>
      </c>
      <c r="H2547" s="35" t="s">
        <v>603</v>
      </c>
      <c r="I2547" s="18" t="s">
        <v>5654</v>
      </c>
    </row>
    <row r="2548" spans="1:9" s="33" customFormat="1" ht="45">
      <c r="A2548" s="12">
        <v>43566.218692129631</v>
      </c>
      <c r="B2548" s="13" t="s">
        <v>14818</v>
      </c>
      <c r="C2548" s="14" t="s">
        <v>5721</v>
      </c>
      <c r="D2548" s="15" t="s">
        <v>5722</v>
      </c>
      <c r="E2548" s="16" t="s">
        <v>13011</v>
      </c>
      <c r="F2548" s="12">
        <v>40581.804456018523</v>
      </c>
      <c r="G2548" s="17" t="s">
        <v>13000</v>
      </c>
      <c r="H2548" s="35" t="s">
        <v>603</v>
      </c>
      <c r="I2548" s="18" t="s">
        <v>5723</v>
      </c>
    </row>
    <row r="2549" spans="1:9" s="33" customFormat="1" ht="180">
      <c r="A2549" s="12">
        <v>43565.383206018523</v>
      </c>
      <c r="B2549" s="13" t="s">
        <v>14819</v>
      </c>
      <c r="C2549" s="14" t="s">
        <v>6126</v>
      </c>
      <c r="D2549" s="15" t="s">
        <v>6127</v>
      </c>
      <c r="E2549" s="16" t="s">
        <v>13011</v>
      </c>
      <c r="F2549" s="12">
        <v>40568.380729166667</v>
      </c>
      <c r="G2549" s="17" t="s">
        <v>13000</v>
      </c>
      <c r="H2549" s="35" t="s">
        <v>603</v>
      </c>
      <c r="I2549" s="18" t="s">
        <v>6128</v>
      </c>
    </row>
    <row r="2550" spans="1:9" s="33" customFormat="1" ht="75">
      <c r="A2550" s="12">
        <v>43564.567754629628</v>
      </c>
      <c r="B2550" s="13" t="s">
        <v>14819</v>
      </c>
      <c r="C2550" s="14" t="s">
        <v>6126</v>
      </c>
      <c r="D2550" s="15" t="s">
        <v>6545</v>
      </c>
      <c r="E2550" s="16" t="s">
        <v>13011</v>
      </c>
      <c r="F2550" s="12">
        <v>40568.380729166667</v>
      </c>
      <c r="G2550" s="17" t="s">
        <v>13000</v>
      </c>
      <c r="H2550" s="35" t="s">
        <v>603</v>
      </c>
      <c r="I2550" s="18" t="s">
        <v>6128</v>
      </c>
    </row>
    <row r="2551" spans="1:9" s="33" customFormat="1" ht="60">
      <c r="A2551" s="4">
        <v>43560.748796296291</v>
      </c>
      <c r="B2551" s="5" t="s">
        <v>14828</v>
      </c>
      <c r="C2551" s="6" t="s">
        <v>11187</v>
      </c>
      <c r="D2551" s="7" t="s">
        <v>11188</v>
      </c>
      <c r="E2551" s="8" t="s">
        <v>13009</v>
      </c>
      <c r="F2551" s="4">
        <v>40244.366701388892</v>
      </c>
      <c r="G2551" s="17" t="s">
        <v>13000</v>
      </c>
      <c r="H2551" s="35" t="s">
        <v>11189</v>
      </c>
      <c r="I2551" s="10"/>
    </row>
    <row r="2552" spans="1:9" s="33" customFormat="1" ht="120">
      <c r="A2552" s="12">
        <v>43576.590763888889</v>
      </c>
      <c r="B2552" s="13" t="s">
        <v>14829</v>
      </c>
      <c r="C2552" s="14" t="s">
        <v>1899</v>
      </c>
      <c r="D2552" s="15" t="s">
        <v>1900</v>
      </c>
      <c r="E2552" s="16" t="s">
        <v>13032</v>
      </c>
      <c r="F2552" s="12">
        <v>40637.860219907408</v>
      </c>
      <c r="G2552" s="17" t="s">
        <v>13000</v>
      </c>
      <c r="H2552" s="35" t="s">
        <v>1901</v>
      </c>
      <c r="I2552" s="18" t="s">
        <v>1902</v>
      </c>
    </row>
    <row r="2553" spans="1:9" s="33" customFormat="1" ht="150">
      <c r="A2553" s="12">
        <v>43564.613356481481</v>
      </c>
      <c r="B2553" s="13" t="s">
        <v>14830</v>
      </c>
      <c r="C2553" s="14" t="s">
        <v>6504</v>
      </c>
      <c r="D2553" s="15" t="s">
        <v>6505</v>
      </c>
      <c r="E2553" s="16" t="s">
        <v>13011</v>
      </c>
      <c r="F2553" s="12">
        <v>39710.291493055556</v>
      </c>
      <c r="G2553" s="17" t="s">
        <v>13000</v>
      </c>
      <c r="H2553" s="35" t="s">
        <v>6506</v>
      </c>
      <c r="I2553" s="18" t="s">
        <v>6507</v>
      </c>
    </row>
    <row r="2554" spans="1:9" s="33" customFormat="1" ht="120">
      <c r="A2554" s="4">
        <v>43565.675578703704</v>
      </c>
      <c r="B2554" s="5" t="s">
        <v>14831</v>
      </c>
      <c r="C2554" s="6" t="s">
        <v>5955</v>
      </c>
      <c r="D2554" s="7" t="s">
        <v>5956</v>
      </c>
      <c r="E2554" s="8" t="s">
        <v>14832</v>
      </c>
      <c r="F2554" s="4">
        <v>40651.345289351855</v>
      </c>
      <c r="G2554" s="17" t="s">
        <v>13000</v>
      </c>
      <c r="H2554" s="35" t="s">
        <v>5957</v>
      </c>
      <c r="I2554" s="10" t="s">
        <v>5958</v>
      </c>
    </row>
    <row r="2555" spans="1:9" s="33" customFormat="1" ht="120">
      <c r="A2555" s="4">
        <v>43565.671909722223</v>
      </c>
      <c r="B2555" s="5" t="s">
        <v>14831</v>
      </c>
      <c r="C2555" s="6" t="s">
        <v>5955</v>
      </c>
      <c r="D2555" s="7" t="s">
        <v>5959</v>
      </c>
      <c r="E2555" s="8" t="s">
        <v>14832</v>
      </c>
      <c r="F2555" s="4">
        <v>40651.345289351855</v>
      </c>
      <c r="G2555" s="17" t="s">
        <v>13000</v>
      </c>
      <c r="H2555" s="35" t="s">
        <v>5957</v>
      </c>
      <c r="I2555" s="10" t="s">
        <v>5958</v>
      </c>
    </row>
    <row r="2556" spans="1:9" s="33" customFormat="1" ht="120">
      <c r="A2556" s="12">
        <v>43571.470925925925</v>
      </c>
      <c r="B2556" s="13" t="s">
        <v>14833</v>
      </c>
      <c r="C2556" s="14" t="s">
        <v>3663</v>
      </c>
      <c r="D2556" s="15" t="s">
        <v>3664</v>
      </c>
      <c r="E2556" s="16" t="s">
        <v>13011</v>
      </c>
      <c r="F2556" s="12">
        <v>42719.693182870367</v>
      </c>
      <c r="G2556" s="17" t="s">
        <v>13000</v>
      </c>
      <c r="H2556" s="35" t="s">
        <v>3665</v>
      </c>
      <c r="I2556" s="18" t="s">
        <v>3666</v>
      </c>
    </row>
    <row r="2557" spans="1:9" s="33" customFormat="1" ht="120">
      <c r="A2557" s="19">
        <v>43551.5625</v>
      </c>
      <c r="B2557" s="20" t="s">
        <v>14834</v>
      </c>
      <c r="C2557" s="21" t="s">
        <v>7125</v>
      </c>
      <c r="D2557" s="22" t="s">
        <v>7126</v>
      </c>
      <c r="E2557" s="23" t="s">
        <v>13120</v>
      </c>
      <c r="F2557" s="19">
        <v>39615.381990740745</v>
      </c>
      <c r="G2557" s="17" t="s">
        <v>13000</v>
      </c>
      <c r="H2557" s="35" t="s">
        <v>580</v>
      </c>
      <c r="I2557" s="25" t="s">
        <v>7127</v>
      </c>
    </row>
    <row r="2558" spans="1:9" s="33" customFormat="1" ht="30">
      <c r="A2558" s="19">
        <v>43550.556446759263</v>
      </c>
      <c r="B2558" s="20" t="s">
        <v>14835</v>
      </c>
      <c r="C2558" s="21" t="s">
        <v>7614</v>
      </c>
      <c r="D2558" s="22" t="s">
        <v>7615</v>
      </c>
      <c r="E2558" s="23" t="s">
        <v>13011</v>
      </c>
      <c r="F2558" s="19">
        <v>40406.357453703706</v>
      </c>
      <c r="G2558" s="17" t="s">
        <v>13000</v>
      </c>
      <c r="H2558" s="35" t="s">
        <v>580</v>
      </c>
      <c r="I2558" s="25" t="s">
        <v>7616</v>
      </c>
    </row>
    <row r="2559" spans="1:9" s="33" customFormat="1" ht="105">
      <c r="A2559" s="19">
        <v>43546.222719907411</v>
      </c>
      <c r="B2559" s="20" t="s">
        <v>14836</v>
      </c>
      <c r="C2559" s="20" t="s">
        <v>8930</v>
      </c>
      <c r="D2559" s="22" t="s">
        <v>8931</v>
      </c>
      <c r="E2559" s="23" t="s">
        <v>13009</v>
      </c>
      <c r="F2559" s="19">
        <v>40716.294942129629</v>
      </c>
      <c r="G2559" s="17" t="s">
        <v>13000</v>
      </c>
      <c r="H2559" s="35" t="s">
        <v>580</v>
      </c>
      <c r="I2559" s="25" t="s">
        <v>8932</v>
      </c>
    </row>
    <row r="2560" spans="1:9" s="33" customFormat="1" ht="90">
      <c r="A2560" s="4">
        <v>43560.800393518519</v>
      </c>
      <c r="B2560" s="5" t="s">
        <v>14837</v>
      </c>
      <c r="C2560" s="6" t="s">
        <v>11155</v>
      </c>
      <c r="D2560" s="7" t="s">
        <v>11156</v>
      </c>
      <c r="E2560" s="8" t="s">
        <v>13015</v>
      </c>
      <c r="F2560" s="4">
        <v>40064.580185185187</v>
      </c>
      <c r="G2560" s="17" t="s">
        <v>13000</v>
      </c>
      <c r="H2560" s="35" t="s">
        <v>580</v>
      </c>
      <c r="I2560" s="10" t="s">
        <v>11157</v>
      </c>
    </row>
    <row r="2561" spans="1:9" s="33" customFormat="1" ht="105">
      <c r="A2561" s="4">
        <v>43556.682453703703</v>
      </c>
      <c r="B2561" s="5" t="s">
        <v>14838</v>
      </c>
      <c r="C2561" s="6" t="s">
        <v>12775</v>
      </c>
      <c r="D2561" s="7" t="s">
        <v>12776</v>
      </c>
      <c r="E2561" s="8" t="s">
        <v>13009</v>
      </c>
      <c r="F2561" s="4">
        <v>40939.562777777777</v>
      </c>
      <c r="G2561" s="17" t="s">
        <v>13000</v>
      </c>
      <c r="H2561" s="35" t="s">
        <v>580</v>
      </c>
      <c r="I2561" s="10" t="s">
        <v>12777</v>
      </c>
    </row>
    <row r="2562" spans="1:9" s="33" customFormat="1" ht="150">
      <c r="A2562" s="12">
        <v>43579.556261574078</v>
      </c>
      <c r="B2562" s="13" t="s">
        <v>14839</v>
      </c>
      <c r="C2562" s="14" t="s">
        <v>578</v>
      </c>
      <c r="D2562" s="15" t="s">
        <v>579</v>
      </c>
      <c r="E2562" s="16" t="s">
        <v>13011</v>
      </c>
      <c r="F2562" s="12">
        <v>40223.471180555556</v>
      </c>
      <c r="G2562" s="17" t="s">
        <v>13000</v>
      </c>
      <c r="H2562" s="35" t="s">
        <v>580</v>
      </c>
      <c r="I2562" s="18" t="s">
        <v>581</v>
      </c>
    </row>
    <row r="2563" spans="1:9" s="33" customFormat="1" ht="90">
      <c r="A2563" s="19">
        <v>43546.956087962964</v>
      </c>
      <c r="B2563" s="20" t="s">
        <v>14840</v>
      </c>
      <c r="C2563" s="21" t="s">
        <v>8695</v>
      </c>
      <c r="D2563" s="22" t="s">
        <v>8696</v>
      </c>
      <c r="E2563" s="23" t="s">
        <v>13032</v>
      </c>
      <c r="F2563" s="19">
        <v>40221.851967592593</v>
      </c>
      <c r="G2563" s="17" t="s">
        <v>13000</v>
      </c>
      <c r="H2563" s="35" t="s">
        <v>797</v>
      </c>
      <c r="I2563" s="25" t="s">
        <v>8697</v>
      </c>
    </row>
    <row r="2564" spans="1:9" s="33" customFormat="1" ht="135">
      <c r="A2564" s="19">
        <v>43545.840717592597</v>
      </c>
      <c r="B2564" s="20" t="s">
        <v>14841</v>
      </c>
      <c r="C2564" s="21" t="s">
        <v>9021</v>
      </c>
      <c r="D2564" s="22" t="s">
        <v>9022</v>
      </c>
      <c r="E2564" s="23" t="s">
        <v>13006</v>
      </c>
      <c r="F2564" s="19">
        <v>39724.783217592594</v>
      </c>
      <c r="G2564" s="17" t="s">
        <v>13000</v>
      </c>
      <c r="H2564" s="35" t="s">
        <v>797</v>
      </c>
      <c r="I2564" s="25" t="s">
        <v>9023</v>
      </c>
    </row>
    <row r="2565" spans="1:9" s="33" customFormat="1" ht="90">
      <c r="A2565" s="4">
        <v>43562.258298611108</v>
      </c>
      <c r="B2565" s="5" t="s">
        <v>14840</v>
      </c>
      <c r="C2565" s="6" t="s">
        <v>8695</v>
      </c>
      <c r="D2565" s="7" t="s">
        <v>10719</v>
      </c>
      <c r="E2565" s="8" t="s">
        <v>13032</v>
      </c>
      <c r="F2565" s="4">
        <v>40221.851967592593</v>
      </c>
      <c r="G2565" s="17" t="s">
        <v>13000</v>
      </c>
      <c r="H2565" s="35" t="s">
        <v>797</v>
      </c>
      <c r="I2565" s="10" t="s">
        <v>8697</v>
      </c>
    </row>
    <row r="2566" spans="1:9" s="33" customFormat="1" ht="90">
      <c r="A2566" s="4">
        <v>43558.523831018523</v>
      </c>
      <c r="B2566" s="5" t="s">
        <v>14840</v>
      </c>
      <c r="C2566" s="6" t="s">
        <v>8695</v>
      </c>
      <c r="D2566" s="7" t="s">
        <v>12142</v>
      </c>
      <c r="E2566" s="8" t="s">
        <v>13032</v>
      </c>
      <c r="F2566" s="4">
        <v>40221.851967592593</v>
      </c>
      <c r="G2566" s="17" t="s">
        <v>13000</v>
      </c>
      <c r="H2566" s="35" t="s">
        <v>797</v>
      </c>
      <c r="I2566" s="10" t="s">
        <v>8697</v>
      </c>
    </row>
    <row r="2567" spans="1:9" s="33" customFormat="1" ht="75">
      <c r="A2567" s="12">
        <v>43579.294432870374</v>
      </c>
      <c r="B2567" s="13" t="s">
        <v>14842</v>
      </c>
      <c r="C2567" s="14" t="s">
        <v>795</v>
      </c>
      <c r="D2567" s="15" t="s">
        <v>796</v>
      </c>
      <c r="E2567" s="16" t="s">
        <v>13027</v>
      </c>
      <c r="F2567" s="12">
        <v>40297.726851851854</v>
      </c>
      <c r="G2567" s="17" t="s">
        <v>13000</v>
      </c>
      <c r="H2567" s="35" t="s">
        <v>797</v>
      </c>
      <c r="I2567" s="18" t="s">
        <v>798</v>
      </c>
    </row>
    <row r="2568" spans="1:9" s="33" customFormat="1" ht="75">
      <c r="A2568" s="12">
        <v>43577.294363425928</v>
      </c>
      <c r="B2568" s="13" t="s">
        <v>14842</v>
      </c>
      <c r="C2568" s="14" t="s">
        <v>795</v>
      </c>
      <c r="D2568" s="15" t="s">
        <v>1680</v>
      </c>
      <c r="E2568" s="16" t="s">
        <v>13027</v>
      </c>
      <c r="F2568" s="12">
        <v>40297.726851851854</v>
      </c>
      <c r="G2568" s="17" t="s">
        <v>13000</v>
      </c>
      <c r="H2568" s="35" t="s">
        <v>797</v>
      </c>
      <c r="I2568" s="18" t="s">
        <v>798</v>
      </c>
    </row>
    <row r="2569" spans="1:9" s="33" customFormat="1" ht="75">
      <c r="A2569" s="12">
        <v>43571.793854166666</v>
      </c>
      <c r="B2569" s="13" t="s">
        <v>14842</v>
      </c>
      <c r="C2569" s="14" t="s">
        <v>795</v>
      </c>
      <c r="D2569" s="15" t="s">
        <v>3544</v>
      </c>
      <c r="E2569" s="16" t="s">
        <v>13027</v>
      </c>
      <c r="F2569" s="12">
        <v>40297.726851851854</v>
      </c>
      <c r="G2569" s="17" t="s">
        <v>13000</v>
      </c>
      <c r="H2569" s="35" t="s">
        <v>797</v>
      </c>
      <c r="I2569" s="18" t="s">
        <v>798</v>
      </c>
    </row>
    <row r="2570" spans="1:9" s="33" customFormat="1" ht="75">
      <c r="A2570" s="12">
        <v>43571.293958333335</v>
      </c>
      <c r="B2570" s="13" t="s">
        <v>14842</v>
      </c>
      <c r="C2570" s="14" t="s">
        <v>795</v>
      </c>
      <c r="D2570" s="15" t="s">
        <v>3750</v>
      </c>
      <c r="E2570" s="16" t="s">
        <v>13027</v>
      </c>
      <c r="F2570" s="12">
        <v>40297.726851851854</v>
      </c>
      <c r="G2570" s="17" t="s">
        <v>13000</v>
      </c>
      <c r="H2570" s="35" t="s">
        <v>797</v>
      </c>
      <c r="I2570" s="18" t="s">
        <v>798</v>
      </c>
    </row>
    <row r="2571" spans="1:9" s="33" customFormat="1" ht="75">
      <c r="A2571" s="4">
        <v>43557.620381944449</v>
      </c>
      <c r="B2571" s="5" t="s">
        <v>14843</v>
      </c>
      <c r="C2571" s="6" t="s">
        <v>12437</v>
      </c>
      <c r="D2571" s="7" t="s">
        <v>12438</v>
      </c>
      <c r="E2571" s="8" t="s">
        <v>13011</v>
      </c>
      <c r="F2571" s="4">
        <v>39973.282280092593</v>
      </c>
      <c r="G2571" s="17" t="s">
        <v>13000</v>
      </c>
      <c r="H2571" s="35" t="s">
        <v>12439</v>
      </c>
      <c r="I2571" s="10" t="s">
        <v>12440</v>
      </c>
    </row>
    <row r="2572" spans="1:9" s="33" customFormat="1" ht="90">
      <c r="A2572" s="19">
        <v>43551.573240740741</v>
      </c>
      <c r="B2572" s="20" t="s">
        <v>14844</v>
      </c>
      <c r="C2572" s="21" t="s">
        <v>7115</v>
      </c>
      <c r="D2572" s="22" t="s">
        <v>7116</v>
      </c>
      <c r="E2572" s="23" t="s">
        <v>13018</v>
      </c>
      <c r="F2572" s="19">
        <v>40947.078402777777</v>
      </c>
      <c r="G2572" s="17" t="s">
        <v>13000</v>
      </c>
      <c r="H2572" s="35" t="s">
        <v>711</v>
      </c>
      <c r="I2572" s="25" t="s">
        <v>7117</v>
      </c>
    </row>
    <row r="2573" spans="1:9" s="33" customFormat="1" ht="75">
      <c r="A2573" s="19">
        <v>43550.484583333338</v>
      </c>
      <c r="B2573" s="20" t="s">
        <v>14845</v>
      </c>
      <c r="C2573" s="21" t="s">
        <v>7649</v>
      </c>
      <c r="D2573" s="22" t="s">
        <v>7650</v>
      </c>
      <c r="E2573" s="23" t="s">
        <v>13009</v>
      </c>
      <c r="F2573" s="19">
        <v>43495.669641203705</v>
      </c>
      <c r="G2573" s="17" t="s">
        <v>13000</v>
      </c>
      <c r="H2573" s="35" t="s">
        <v>711</v>
      </c>
      <c r="I2573" s="25" t="s">
        <v>7651</v>
      </c>
    </row>
    <row r="2574" spans="1:9" s="33" customFormat="1" ht="120">
      <c r="A2574" s="19">
        <v>43548.300555555557</v>
      </c>
      <c r="B2574" s="20" t="s">
        <v>14846</v>
      </c>
      <c r="C2574" s="21" t="s">
        <v>8354</v>
      </c>
      <c r="D2574" s="22" t="s">
        <v>8355</v>
      </c>
      <c r="E2574" s="23" t="s">
        <v>13032</v>
      </c>
      <c r="F2574" s="19">
        <v>40581.698958333334</v>
      </c>
      <c r="G2574" s="17" t="s">
        <v>13000</v>
      </c>
      <c r="H2574" s="35" t="s">
        <v>711</v>
      </c>
      <c r="I2574" s="25" t="s">
        <v>8356</v>
      </c>
    </row>
    <row r="2575" spans="1:9" s="33" customFormat="1" ht="105">
      <c r="A2575" s="19">
        <v>43548.256261574075</v>
      </c>
      <c r="B2575" s="20" t="s">
        <v>14847</v>
      </c>
      <c r="C2575" s="21" t="s">
        <v>8365</v>
      </c>
      <c r="D2575" s="22" t="s">
        <v>8366</v>
      </c>
      <c r="E2575" s="23" t="s">
        <v>13034</v>
      </c>
      <c r="F2575" s="19">
        <v>39709.514710648145</v>
      </c>
      <c r="G2575" s="17" t="s">
        <v>13000</v>
      </c>
      <c r="H2575" s="35" t="s">
        <v>711</v>
      </c>
      <c r="I2575" s="25" t="s">
        <v>8367</v>
      </c>
    </row>
    <row r="2576" spans="1:9" s="33" customFormat="1" ht="105">
      <c r="A2576" s="19">
        <v>43547.472256944442</v>
      </c>
      <c r="B2576" s="20" t="s">
        <v>14847</v>
      </c>
      <c r="C2576" s="21" t="s">
        <v>8365</v>
      </c>
      <c r="D2576" s="22" t="s">
        <v>8532</v>
      </c>
      <c r="E2576" s="23" t="s">
        <v>13034</v>
      </c>
      <c r="F2576" s="19">
        <v>39709.514710648145</v>
      </c>
      <c r="G2576" s="17" t="s">
        <v>13000</v>
      </c>
      <c r="H2576" s="35" t="s">
        <v>711</v>
      </c>
      <c r="I2576" s="25" t="s">
        <v>8367</v>
      </c>
    </row>
    <row r="2577" spans="1:9" s="33" customFormat="1" ht="105">
      <c r="A2577" s="19">
        <v>43545.738217592589</v>
      </c>
      <c r="B2577" s="20" t="s">
        <v>14847</v>
      </c>
      <c r="C2577" s="21" t="s">
        <v>8365</v>
      </c>
      <c r="D2577" s="22" t="s">
        <v>8366</v>
      </c>
      <c r="E2577" s="23" t="s">
        <v>13034</v>
      </c>
      <c r="F2577" s="19">
        <v>39709.514710648145</v>
      </c>
      <c r="G2577" s="17" t="s">
        <v>13000</v>
      </c>
      <c r="H2577" s="35" t="s">
        <v>711</v>
      </c>
      <c r="I2577" s="25" t="s">
        <v>8367</v>
      </c>
    </row>
    <row r="2578" spans="1:9" s="33" customFormat="1" ht="60">
      <c r="A2578" s="19">
        <v>43545.375115740739</v>
      </c>
      <c r="B2578" s="20" t="s">
        <v>14848</v>
      </c>
      <c r="C2578" s="21" t="s">
        <v>9166</v>
      </c>
      <c r="D2578" s="22" t="s">
        <v>9167</v>
      </c>
      <c r="E2578" s="23" t="s">
        <v>13034</v>
      </c>
      <c r="F2578" s="19">
        <v>43040.321238425924</v>
      </c>
      <c r="G2578" s="17" t="s">
        <v>13000</v>
      </c>
      <c r="H2578" s="35" t="s">
        <v>711</v>
      </c>
      <c r="I2578" s="25" t="s">
        <v>9168</v>
      </c>
    </row>
    <row r="2579" spans="1:9" s="33" customFormat="1" ht="105">
      <c r="A2579" s="4">
        <v>43564.733055555553</v>
      </c>
      <c r="B2579" s="5" t="s">
        <v>14849</v>
      </c>
      <c r="C2579" s="6" t="s">
        <v>6440</v>
      </c>
      <c r="D2579" s="7" t="s">
        <v>6441</v>
      </c>
      <c r="E2579" s="8" t="s">
        <v>13009</v>
      </c>
      <c r="F2579" s="4">
        <v>43564.645451388889</v>
      </c>
      <c r="G2579" s="17" t="s">
        <v>13000</v>
      </c>
      <c r="H2579" s="35" t="s">
        <v>711</v>
      </c>
      <c r="I2579" s="10" t="s">
        <v>6442</v>
      </c>
    </row>
    <row r="2580" spans="1:9" s="33" customFormat="1" ht="105">
      <c r="A2580" s="4">
        <v>43564.672523148147</v>
      </c>
      <c r="B2580" s="5" t="s">
        <v>14849</v>
      </c>
      <c r="C2580" s="6" t="s">
        <v>6440</v>
      </c>
      <c r="D2580" s="7" t="s">
        <v>6458</v>
      </c>
      <c r="E2580" s="8" t="s">
        <v>13009</v>
      </c>
      <c r="F2580" s="4">
        <v>43564.645451388889</v>
      </c>
      <c r="G2580" s="17" t="s">
        <v>13000</v>
      </c>
      <c r="H2580" s="35" t="s">
        <v>711</v>
      </c>
      <c r="I2580" s="10" t="s">
        <v>6442</v>
      </c>
    </row>
    <row r="2581" spans="1:9" s="33" customFormat="1" ht="75">
      <c r="A2581" s="4">
        <v>43564.636678240742</v>
      </c>
      <c r="B2581" s="5" t="s">
        <v>14850</v>
      </c>
      <c r="C2581" s="6" t="s">
        <v>4483</v>
      </c>
      <c r="D2581" s="7" t="s">
        <v>6481</v>
      </c>
      <c r="E2581" s="8" t="s">
        <v>13013</v>
      </c>
      <c r="F2581" s="4">
        <v>41557.490763888891</v>
      </c>
      <c r="G2581" s="17" t="s">
        <v>13000</v>
      </c>
      <c r="H2581" s="35" t="s">
        <v>711</v>
      </c>
      <c r="I2581" s="10" t="s">
        <v>10209</v>
      </c>
    </row>
    <row r="2582" spans="1:9" s="33" customFormat="1" ht="60">
      <c r="A2582" s="4">
        <v>43563.589768518519</v>
      </c>
      <c r="B2582" s="5" t="s">
        <v>14851</v>
      </c>
      <c r="C2582" s="6" t="s">
        <v>1566</v>
      </c>
      <c r="D2582" s="7" t="s">
        <v>6960</v>
      </c>
      <c r="E2582" s="8" t="s">
        <v>13011</v>
      </c>
      <c r="F2582" s="4">
        <v>40345.816168981481</v>
      </c>
      <c r="G2582" s="17" t="s">
        <v>13000</v>
      </c>
      <c r="H2582" s="35" t="s">
        <v>711</v>
      </c>
      <c r="I2582" s="10" t="s">
        <v>1568</v>
      </c>
    </row>
    <row r="2583" spans="1:9" s="33" customFormat="1" ht="60">
      <c r="A2583" s="4">
        <v>43563.58898148148</v>
      </c>
      <c r="B2583" s="5" t="s">
        <v>14851</v>
      </c>
      <c r="C2583" s="6" t="s">
        <v>1566</v>
      </c>
      <c r="D2583" s="7" t="s">
        <v>6960</v>
      </c>
      <c r="E2583" s="8" t="s">
        <v>13011</v>
      </c>
      <c r="F2583" s="4">
        <v>40345.816168981481</v>
      </c>
      <c r="G2583" s="17" t="s">
        <v>13000</v>
      </c>
      <c r="H2583" s="35" t="s">
        <v>711</v>
      </c>
      <c r="I2583" s="10" t="s">
        <v>1568</v>
      </c>
    </row>
    <row r="2584" spans="1:9" s="33" customFormat="1" ht="90">
      <c r="A2584" s="4">
        <v>43563.557858796295</v>
      </c>
      <c r="B2584" s="5" t="s">
        <v>14852</v>
      </c>
      <c r="C2584" s="6" t="s">
        <v>10229</v>
      </c>
      <c r="D2584" s="7" t="s">
        <v>10230</v>
      </c>
      <c r="E2584" s="8" t="s">
        <v>13009</v>
      </c>
      <c r="F2584" s="4">
        <v>43332.426192129627</v>
      </c>
      <c r="G2584" s="17" t="s">
        <v>13000</v>
      </c>
      <c r="H2584" s="35" t="s">
        <v>711</v>
      </c>
      <c r="I2584" s="10" t="s">
        <v>10231</v>
      </c>
    </row>
    <row r="2585" spans="1:9" s="33" customFormat="1" ht="75">
      <c r="A2585" s="4">
        <v>43563.40420138889</v>
      </c>
      <c r="B2585" s="5" t="s">
        <v>14853</v>
      </c>
      <c r="C2585" s="6" t="s">
        <v>10309</v>
      </c>
      <c r="D2585" s="7" t="s">
        <v>10310</v>
      </c>
      <c r="E2585" s="8" t="s">
        <v>13011</v>
      </c>
      <c r="F2585" s="4">
        <v>42164.309872685189</v>
      </c>
      <c r="G2585" s="17" t="s">
        <v>13000</v>
      </c>
      <c r="H2585" s="35" t="s">
        <v>711</v>
      </c>
      <c r="I2585" s="10" t="s">
        <v>10311</v>
      </c>
    </row>
    <row r="2586" spans="1:9" s="33" customFormat="1" ht="105">
      <c r="A2586" s="4">
        <v>43563.212974537033</v>
      </c>
      <c r="B2586" s="5" t="s">
        <v>14854</v>
      </c>
      <c r="C2586" s="6" t="s">
        <v>10430</v>
      </c>
      <c r="D2586" s="7" t="s">
        <v>10431</v>
      </c>
      <c r="E2586" s="8" t="s">
        <v>13009</v>
      </c>
      <c r="F2586" s="4">
        <v>42044.939340277779</v>
      </c>
      <c r="G2586" s="17" t="s">
        <v>13000</v>
      </c>
      <c r="H2586" s="35" t="s">
        <v>711</v>
      </c>
      <c r="I2586" s="10" t="s">
        <v>10432</v>
      </c>
    </row>
    <row r="2587" spans="1:9" s="33" customFormat="1" ht="135">
      <c r="A2587" s="4">
        <v>43562.904490740737</v>
      </c>
      <c r="B2587" s="5" t="s">
        <v>14855</v>
      </c>
      <c r="C2587" s="6" t="s">
        <v>10552</v>
      </c>
      <c r="D2587" s="7" t="s">
        <v>10553</v>
      </c>
      <c r="E2587" s="8" t="s">
        <v>13011</v>
      </c>
      <c r="F2587" s="4">
        <v>40751.468263888892</v>
      </c>
      <c r="G2587" s="17" t="s">
        <v>13000</v>
      </c>
      <c r="H2587" s="35" t="s">
        <v>711</v>
      </c>
      <c r="I2587" s="10" t="s">
        <v>10554</v>
      </c>
    </row>
    <row r="2588" spans="1:9" s="33" customFormat="1" ht="135">
      <c r="A2588" s="4">
        <v>43562.90425925926</v>
      </c>
      <c r="B2588" s="5" t="s">
        <v>14855</v>
      </c>
      <c r="C2588" s="6" t="s">
        <v>10552</v>
      </c>
      <c r="D2588" s="7" t="s">
        <v>10553</v>
      </c>
      <c r="E2588" s="8" t="s">
        <v>13011</v>
      </c>
      <c r="F2588" s="4">
        <v>40751.468263888892</v>
      </c>
      <c r="G2588" s="17" t="s">
        <v>13000</v>
      </c>
      <c r="H2588" s="35" t="s">
        <v>711</v>
      </c>
      <c r="I2588" s="10" t="s">
        <v>10554</v>
      </c>
    </row>
    <row r="2589" spans="1:9" s="33" customFormat="1" ht="135">
      <c r="A2589" s="4">
        <v>43562.904108796298</v>
      </c>
      <c r="B2589" s="5" t="s">
        <v>14855</v>
      </c>
      <c r="C2589" s="6" t="s">
        <v>10552</v>
      </c>
      <c r="D2589" s="7" t="s">
        <v>10553</v>
      </c>
      <c r="E2589" s="8" t="s">
        <v>13011</v>
      </c>
      <c r="F2589" s="4">
        <v>40751.468263888892</v>
      </c>
      <c r="G2589" s="17" t="s">
        <v>13000</v>
      </c>
      <c r="H2589" s="35" t="s">
        <v>711</v>
      </c>
      <c r="I2589" s="10" t="s">
        <v>10554</v>
      </c>
    </row>
    <row r="2590" spans="1:9" s="33" customFormat="1" ht="105">
      <c r="A2590" s="4">
        <v>43560.756504629629</v>
      </c>
      <c r="B2590" s="5" t="s">
        <v>14856</v>
      </c>
      <c r="C2590" s="6" t="s">
        <v>3960</v>
      </c>
      <c r="D2590" s="7" t="s">
        <v>11178</v>
      </c>
      <c r="E2590" s="8" t="s">
        <v>13011</v>
      </c>
      <c r="F2590" s="4">
        <v>42494.475474537037</v>
      </c>
      <c r="G2590" s="17" t="s">
        <v>13000</v>
      </c>
      <c r="H2590" s="35" t="s">
        <v>711</v>
      </c>
      <c r="I2590" s="10" t="s">
        <v>11179</v>
      </c>
    </row>
    <row r="2591" spans="1:9" s="33" customFormat="1" ht="135">
      <c r="A2591" s="4">
        <v>43560.372175925921</v>
      </c>
      <c r="B2591" s="5" t="s">
        <v>14855</v>
      </c>
      <c r="C2591" s="6" t="s">
        <v>10552</v>
      </c>
      <c r="D2591" s="7" t="s">
        <v>10553</v>
      </c>
      <c r="E2591" s="8" t="s">
        <v>13011</v>
      </c>
      <c r="F2591" s="4">
        <v>40751.468263888892</v>
      </c>
      <c r="G2591" s="17" t="s">
        <v>13000</v>
      </c>
      <c r="H2591" s="35" t="s">
        <v>711</v>
      </c>
      <c r="I2591" s="10" t="s">
        <v>10554</v>
      </c>
    </row>
    <row r="2592" spans="1:9" s="33" customFormat="1" ht="135">
      <c r="A2592" s="4">
        <v>43560.372037037036</v>
      </c>
      <c r="B2592" s="5" t="s">
        <v>14855</v>
      </c>
      <c r="C2592" s="6" t="s">
        <v>10552</v>
      </c>
      <c r="D2592" s="7" t="s">
        <v>10553</v>
      </c>
      <c r="E2592" s="8" t="s">
        <v>13011</v>
      </c>
      <c r="F2592" s="4">
        <v>40751.468263888892</v>
      </c>
      <c r="G2592" s="17" t="s">
        <v>13000</v>
      </c>
      <c r="H2592" s="35" t="s">
        <v>711</v>
      </c>
      <c r="I2592" s="10" t="s">
        <v>10554</v>
      </c>
    </row>
    <row r="2593" spans="1:9" s="33" customFormat="1" ht="135">
      <c r="A2593" s="4">
        <v>43560.371805555551</v>
      </c>
      <c r="B2593" s="5" t="s">
        <v>14855</v>
      </c>
      <c r="C2593" s="6" t="s">
        <v>10552</v>
      </c>
      <c r="D2593" s="7" t="s">
        <v>10553</v>
      </c>
      <c r="E2593" s="8" t="s">
        <v>13011</v>
      </c>
      <c r="F2593" s="4">
        <v>40751.468263888892</v>
      </c>
      <c r="G2593" s="17" t="s">
        <v>13000</v>
      </c>
      <c r="H2593" s="35" t="s">
        <v>711</v>
      </c>
      <c r="I2593" s="10" t="s">
        <v>10554</v>
      </c>
    </row>
    <row r="2594" spans="1:9" s="33" customFormat="1" ht="135">
      <c r="A2594" s="4">
        <v>43560.371493055558</v>
      </c>
      <c r="B2594" s="5" t="s">
        <v>14855</v>
      </c>
      <c r="C2594" s="6" t="s">
        <v>10552</v>
      </c>
      <c r="D2594" s="7" t="s">
        <v>10553</v>
      </c>
      <c r="E2594" s="8" t="s">
        <v>13011</v>
      </c>
      <c r="F2594" s="4">
        <v>40751.468263888892</v>
      </c>
      <c r="G2594" s="17" t="s">
        <v>13000</v>
      </c>
      <c r="H2594" s="35" t="s">
        <v>711</v>
      </c>
      <c r="I2594" s="10" t="s">
        <v>10554</v>
      </c>
    </row>
    <row r="2595" spans="1:9" s="33" customFormat="1" ht="135">
      <c r="A2595" s="4">
        <v>43560.36513888889</v>
      </c>
      <c r="B2595" s="5" t="s">
        <v>14855</v>
      </c>
      <c r="C2595" s="6" t="s">
        <v>10552</v>
      </c>
      <c r="D2595" s="7" t="s">
        <v>10553</v>
      </c>
      <c r="E2595" s="8" t="s">
        <v>13011</v>
      </c>
      <c r="F2595" s="4">
        <v>40751.468263888892</v>
      </c>
      <c r="G2595" s="17" t="s">
        <v>13000</v>
      </c>
      <c r="H2595" s="35" t="s">
        <v>711</v>
      </c>
      <c r="I2595" s="10" t="s">
        <v>10554</v>
      </c>
    </row>
    <row r="2596" spans="1:9" s="33" customFormat="1" ht="60">
      <c r="A2596" s="4">
        <v>43559.3753587963</v>
      </c>
      <c r="B2596" s="5" t="s">
        <v>14848</v>
      </c>
      <c r="C2596" s="6" t="s">
        <v>9166</v>
      </c>
      <c r="D2596" s="7" t="s">
        <v>11868</v>
      </c>
      <c r="E2596" s="8" t="s">
        <v>13034</v>
      </c>
      <c r="F2596" s="4">
        <v>43040.321238425924</v>
      </c>
      <c r="G2596" s="17" t="s">
        <v>13000</v>
      </c>
      <c r="H2596" s="35" t="s">
        <v>711</v>
      </c>
      <c r="I2596" s="10" t="s">
        <v>9168</v>
      </c>
    </row>
    <row r="2597" spans="1:9" s="33" customFormat="1" ht="75">
      <c r="A2597" s="4">
        <v>43557.642650462964</v>
      </c>
      <c r="B2597" s="5" t="s">
        <v>14851</v>
      </c>
      <c r="C2597" s="6" t="s">
        <v>1566</v>
      </c>
      <c r="D2597" s="7" t="s">
        <v>12429</v>
      </c>
      <c r="E2597" s="8" t="s">
        <v>13009</v>
      </c>
      <c r="F2597" s="4">
        <v>40345.816168981481</v>
      </c>
      <c r="G2597" s="17" t="s">
        <v>13000</v>
      </c>
      <c r="H2597" s="35" t="s">
        <v>711</v>
      </c>
      <c r="I2597" s="10" t="s">
        <v>1568</v>
      </c>
    </row>
    <row r="2598" spans="1:9" s="33" customFormat="1" ht="105">
      <c r="A2598" s="4">
        <v>43557.461273148147</v>
      </c>
      <c r="B2598" s="5" t="s">
        <v>14851</v>
      </c>
      <c r="C2598" s="6" t="s">
        <v>1566</v>
      </c>
      <c r="D2598" s="7" t="s">
        <v>12510</v>
      </c>
      <c r="E2598" s="8" t="s">
        <v>13009</v>
      </c>
      <c r="F2598" s="4">
        <v>40345.816168981481</v>
      </c>
      <c r="G2598" s="17" t="s">
        <v>13000</v>
      </c>
      <c r="H2598" s="35" t="s">
        <v>711</v>
      </c>
      <c r="I2598" s="10" t="s">
        <v>1568</v>
      </c>
    </row>
    <row r="2599" spans="1:9" s="33" customFormat="1" ht="120">
      <c r="A2599" s="4">
        <v>43557.402662037042</v>
      </c>
      <c r="B2599" s="5" t="s">
        <v>14846</v>
      </c>
      <c r="C2599" s="6" t="s">
        <v>8354</v>
      </c>
      <c r="D2599" s="7" t="s">
        <v>12527</v>
      </c>
      <c r="E2599" s="8" t="s">
        <v>13032</v>
      </c>
      <c r="F2599" s="4">
        <v>40581.698958333334</v>
      </c>
      <c r="G2599" s="17" t="s">
        <v>13000</v>
      </c>
      <c r="H2599" s="35" t="s">
        <v>711</v>
      </c>
      <c r="I2599" s="10" t="s">
        <v>8356</v>
      </c>
    </row>
    <row r="2600" spans="1:9" s="33" customFormat="1" ht="120">
      <c r="A2600" s="4">
        <v>43556.91375</v>
      </c>
      <c r="B2600" s="5" t="s">
        <v>14846</v>
      </c>
      <c r="C2600" s="6" t="s">
        <v>8354</v>
      </c>
      <c r="D2600" s="7" t="s">
        <v>12707</v>
      </c>
      <c r="E2600" s="8" t="s">
        <v>13032</v>
      </c>
      <c r="F2600" s="4">
        <v>40581.698958333334</v>
      </c>
      <c r="G2600" s="17" t="s">
        <v>13000</v>
      </c>
      <c r="H2600" s="35" t="s">
        <v>711</v>
      </c>
      <c r="I2600" s="10" t="s">
        <v>8356</v>
      </c>
    </row>
    <row r="2601" spans="1:9" s="33" customFormat="1" ht="180">
      <c r="A2601" s="12">
        <v>43579.383263888885</v>
      </c>
      <c r="B2601" s="13" t="s">
        <v>14857</v>
      </c>
      <c r="C2601" s="14" t="s">
        <v>709</v>
      </c>
      <c r="D2601" s="15" t="s">
        <v>710</v>
      </c>
      <c r="E2601" s="16" t="s">
        <v>13015</v>
      </c>
      <c r="F2601" s="12">
        <v>40755.57340277778</v>
      </c>
      <c r="G2601" s="17" t="s">
        <v>13000</v>
      </c>
      <c r="H2601" s="35" t="s">
        <v>711</v>
      </c>
      <c r="I2601" s="18" t="s">
        <v>712</v>
      </c>
    </row>
    <row r="2602" spans="1:9" s="33" customFormat="1" ht="45">
      <c r="A2602" s="12">
        <v>43577.583969907406</v>
      </c>
      <c r="B2602" s="13" t="s">
        <v>14851</v>
      </c>
      <c r="C2602" s="14" t="s">
        <v>1566</v>
      </c>
      <c r="D2602" s="15" t="s">
        <v>1567</v>
      </c>
      <c r="E2602" s="16" t="s">
        <v>13009</v>
      </c>
      <c r="F2602" s="12">
        <v>40345.816168981481</v>
      </c>
      <c r="G2602" s="17" t="s">
        <v>13000</v>
      </c>
      <c r="H2602" s="35" t="s">
        <v>711</v>
      </c>
      <c r="I2602" s="18" t="s">
        <v>1568</v>
      </c>
    </row>
    <row r="2603" spans="1:9" s="33" customFormat="1" ht="105">
      <c r="A2603" s="12">
        <v>43575.498738425929</v>
      </c>
      <c r="B2603" s="13" t="s">
        <v>14858</v>
      </c>
      <c r="C2603" s="14" t="s">
        <v>2188</v>
      </c>
      <c r="D2603" s="15" t="s">
        <v>2189</v>
      </c>
      <c r="E2603" s="16" t="s">
        <v>13013</v>
      </c>
      <c r="F2603" s="12">
        <v>39166.818159722221</v>
      </c>
      <c r="G2603" s="17" t="s">
        <v>13000</v>
      </c>
      <c r="H2603" s="35" t="s">
        <v>711</v>
      </c>
      <c r="I2603" s="18" t="s">
        <v>2190</v>
      </c>
    </row>
    <row r="2604" spans="1:9" s="33" customFormat="1" ht="120">
      <c r="A2604" s="12">
        <v>43575.336921296301</v>
      </c>
      <c r="B2604" s="13" t="s">
        <v>14859</v>
      </c>
      <c r="C2604" s="14" t="s">
        <v>2288</v>
      </c>
      <c r="D2604" s="15" t="s">
        <v>2289</v>
      </c>
      <c r="E2604" s="16" t="s">
        <v>13290</v>
      </c>
      <c r="F2604" s="12">
        <v>39861.288935185185</v>
      </c>
      <c r="G2604" s="17" t="s">
        <v>13000</v>
      </c>
      <c r="H2604" s="35" t="s">
        <v>711</v>
      </c>
      <c r="I2604" s="18" t="s">
        <v>2290</v>
      </c>
    </row>
    <row r="2605" spans="1:9" s="33" customFormat="1" ht="105">
      <c r="A2605" s="12">
        <v>43572.593877314815</v>
      </c>
      <c r="B2605" s="13" t="s">
        <v>14860</v>
      </c>
      <c r="C2605" s="14" t="s">
        <v>3136</v>
      </c>
      <c r="D2605" s="15" t="s">
        <v>3137</v>
      </c>
      <c r="E2605" s="16" t="s">
        <v>13018</v>
      </c>
      <c r="F2605" s="12">
        <v>39730.528599537036</v>
      </c>
      <c r="G2605" s="17" t="s">
        <v>13000</v>
      </c>
      <c r="H2605" s="35" t="s">
        <v>711</v>
      </c>
      <c r="I2605" s="18" t="s">
        <v>3138</v>
      </c>
    </row>
    <row r="2606" spans="1:9" s="33" customFormat="1" ht="105">
      <c r="A2606" s="12">
        <v>43571.877638888887</v>
      </c>
      <c r="B2606" s="13" t="s">
        <v>14861</v>
      </c>
      <c r="C2606" s="14" t="s">
        <v>3512</v>
      </c>
      <c r="D2606" s="15" t="s">
        <v>3513</v>
      </c>
      <c r="E2606" s="16" t="s">
        <v>13013</v>
      </c>
      <c r="F2606" s="12">
        <v>43571.502141203702</v>
      </c>
      <c r="G2606" s="17" t="s">
        <v>13000</v>
      </c>
      <c r="H2606" s="35" t="s">
        <v>711</v>
      </c>
      <c r="I2606" s="18" t="s">
        <v>3514</v>
      </c>
    </row>
    <row r="2607" spans="1:9" s="33" customFormat="1" ht="90">
      <c r="A2607" s="12">
        <v>43570.839282407411</v>
      </c>
      <c r="B2607" s="13" t="s">
        <v>14856</v>
      </c>
      <c r="C2607" s="14" t="s">
        <v>3960</v>
      </c>
      <c r="D2607" s="15" t="s">
        <v>3961</v>
      </c>
      <c r="E2607" s="16" t="s">
        <v>13011</v>
      </c>
      <c r="F2607" s="12">
        <v>42494.475474537037</v>
      </c>
      <c r="G2607" s="17" t="s">
        <v>13000</v>
      </c>
      <c r="H2607" s="35" t="s">
        <v>711</v>
      </c>
      <c r="I2607" s="18" t="s">
        <v>3962</v>
      </c>
    </row>
    <row r="2608" spans="1:9" s="33" customFormat="1" ht="90">
      <c r="A2608" s="12">
        <v>43570.813680555555</v>
      </c>
      <c r="B2608" s="13" t="s">
        <v>14856</v>
      </c>
      <c r="C2608" s="14" t="s">
        <v>3960</v>
      </c>
      <c r="D2608" s="15" t="s">
        <v>3976</v>
      </c>
      <c r="E2608" s="16" t="s">
        <v>13011</v>
      </c>
      <c r="F2608" s="12">
        <v>42494.475474537037</v>
      </c>
      <c r="G2608" s="17" t="s">
        <v>13000</v>
      </c>
      <c r="H2608" s="35" t="s">
        <v>711</v>
      </c>
      <c r="I2608" s="18" t="s">
        <v>3962</v>
      </c>
    </row>
    <row r="2609" spans="1:9" s="33" customFormat="1" ht="90">
      <c r="A2609" s="12">
        <v>43569.558842592596</v>
      </c>
      <c r="B2609" s="13" t="s">
        <v>14850</v>
      </c>
      <c r="C2609" s="14" t="s">
        <v>4483</v>
      </c>
      <c r="D2609" s="15" t="s">
        <v>4484</v>
      </c>
      <c r="E2609" s="16" t="s">
        <v>13013</v>
      </c>
      <c r="F2609" s="12">
        <v>41557.490763888891</v>
      </c>
      <c r="G2609" s="17" t="s">
        <v>13000</v>
      </c>
      <c r="H2609" s="35" t="s">
        <v>711</v>
      </c>
      <c r="I2609" s="18" t="s">
        <v>4485</v>
      </c>
    </row>
    <row r="2610" spans="1:9" s="33" customFormat="1" ht="90">
      <c r="A2610" s="12">
        <v>43564.636678240742</v>
      </c>
      <c r="B2610" s="13" t="s">
        <v>14850</v>
      </c>
      <c r="C2610" s="14" t="s">
        <v>4483</v>
      </c>
      <c r="D2610" s="15" t="s">
        <v>6481</v>
      </c>
      <c r="E2610" s="16" t="s">
        <v>13013</v>
      </c>
      <c r="F2610" s="12">
        <v>41557.490763888891</v>
      </c>
      <c r="G2610" s="17" t="s">
        <v>13000</v>
      </c>
      <c r="H2610" s="35" t="s">
        <v>711</v>
      </c>
      <c r="I2610" s="18" t="s">
        <v>4485</v>
      </c>
    </row>
    <row r="2611" spans="1:9" s="33" customFormat="1" ht="75">
      <c r="A2611" s="19">
        <v>43550.635497685187</v>
      </c>
      <c r="B2611" s="20" t="s">
        <v>14862</v>
      </c>
      <c r="C2611" s="21" t="s">
        <v>7580</v>
      </c>
      <c r="D2611" s="22" t="s">
        <v>7581</v>
      </c>
      <c r="E2611" s="23" t="s">
        <v>13018</v>
      </c>
      <c r="F2611" s="19">
        <v>39797.800219907411</v>
      </c>
      <c r="G2611" s="17" t="s">
        <v>13000</v>
      </c>
      <c r="H2611" s="35" t="s">
        <v>4645</v>
      </c>
      <c r="I2611" s="25"/>
    </row>
    <row r="2612" spans="1:9" s="33" customFormat="1" ht="120">
      <c r="A2612" s="19">
        <v>43546.654467592598</v>
      </c>
      <c r="B2612" s="20" t="s">
        <v>14863</v>
      </c>
      <c r="C2612" s="21" t="s">
        <v>8775</v>
      </c>
      <c r="D2612" s="22" t="s">
        <v>8776</v>
      </c>
      <c r="E2612" s="23" t="s">
        <v>13009</v>
      </c>
      <c r="F2612" s="19">
        <v>39984.70957175926</v>
      </c>
      <c r="G2612" s="17" t="s">
        <v>13000</v>
      </c>
      <c r="H2612" s="35" t="s">
        <v>4645</v>
      </c>
      <c r="I2612" s="25" t="s">
        <v>8777</v>
      </c>
    </row>
    <row r="2613" spans="1:9" s="33" customFormat="1" ht="105">
      <c r="A2613" s="12">
        <v>43568.879178240742</v>
      </c>
      <c r="B2613" s="13" t="s">
        <v>14864</v>
      </c>
      <c r="C2613" s="14" t="s">
        <v>4643</v>
      </c>
      <c r="D2613" s="15" t="s">
        <v>4644</v>
      </c>
      <c r="E2613" s="16" t="s">
        <v>13077</v>
      </c>
      <c r="F2613" s="12">
        <v>42071.364837962959</v>
      </c>
      <c r="G2613" s="17" t="s">
        <v>13000</v>
      </c>
      <c r="H2613" s="35" t="s">
        <v>4645</v>
      </c>
      <c r="I2613" s="18" t="s">
        <v>4646</v>
      </c>
    </row>
    <row r="2614" spans="1:9" s="33" customFormat="1" ht="90">
      <c r="A2614" s="12">
        <v>43578.681597222225</v>
      </c>
      <c r="B2614" s="13" t="s">
        <v>14865</v>
      </c>
      <c r="C2614" s="14" t="s">
        <v>1101</v>
      </c>
      <c r="D2614" s="15" t="s">
        <v>1102</v>
      </c>
      <c r="E2614" s="16" t="s">
        <v>13013</v>
      </c>
      <c r="F2614" s="12">
        <v>39853.4144212963</v>
      </c>
      <c r="G2614" s="17" t="s">
        <v>13000</v>
      </c>
      <c r="H2614" s="35" t="s">
        <v>1103</v>
      </c>
      <c r="I2614" s="18" t="s">
        <v>1104</v>
      </c>
    </row>
    <row r="2615" spans="1:9" s="33" customFormat="1" ht="45">
      <c r="A2615" s="19">
        <v>43550.588796296295</v>
      </c>
      <c r="B2615" s="20" t="s">
        <v>14866</v>
      </c>
      <c r="C2615" s="21" t="s">
        <v>718</v>
      </c>
      <c r="D2615" s="22" t="s">
        <v>7604</v>
      </c>
      <c r="E2615" s="23" t="s">
        <v>13009</v>
      </c>
      <c r="F2615" s="19">
        <v>41900.373668981483</v>
      </c>
      <c r="G2615" s="17" t="s">
        <v>13000</v>
      </c>
      <c r="H2615" s="35" t="s">
        <v>720</v>
      </c>
      <c r="I2615" s="25"/>
    </row>
    <row r="2616" spans="1:9" s="33" customFormat="1" ht="60">
      <c r="A2616" s="12">
        <v>43579.374907407408</v>
      </c>
      <c r="B2616" s="13" t="s">
        <v>14866</v>
      </c>
      <c r="C2616" s="14" t="s">
        <v>718</v>
      </c>
      <c r="D2616" s="15" t="s">
        <v>719</v>
      </c>
      <c r="E2616" s="16" t="s">
        <v>13009</v>
      </c>
      <c r="F2616" s="12">
        <v>41900.373668981483</v>
      </c>
      <c r="G2616" s="17" t="s">
        <v>13000</v>
      </c>
      <c r="H2616" s="35" t="s">
        <v>720</v>
      </c>
      <c r="I2616" s="18"/>
    </row>
    <row r="2617" spans="1:9" s="33" customFormat="1" ht="45">
      <c r="A2617" s="12">
        <v>43573.422731481478</v>
      </c>
      <c r="B2617" s="13" t="s">
        <v>14866</v>
      </c>
      <c r="C2617" s="14" t="s">
        <v>718</v>
      </c>
      <c r="D2617" s="15" t="s">
        <v>2873</v>
      </c>
      <c r="E2617" s="16" t="s">
        <v>13009</v>
      </c>
      <c r="F2617" s="12">
        <v>41900.373668981483</v>
      </c>
      <c r="G2617" s="17" t="s">
        <v>13000</v>
      </c>
      <c r="H2617" s="35" t="s">
        <v>720</v>
      </c>
      <c r="I2617" s="18"/>
    </row>
    <row r="2618" spans="1:9" s="33" customFormat="1" ht="75">
      <c r="A2618" s="19">
        <v>43549.794594907406</v>
      </c>
      <c r="B2618" s="20" t="s">
        <v>14867</v>
      </c>
      <c r="C2618" s="21" t="s">
        <v>7925</v>
      </c>
      <c r="D2618" s="22" t="s">
        <v>7926</v>
      </c>
      <c r="E2618" s="23" t="s">
        <v>13006</v>
      </c>
      <c r="F2618" s="19">
        <v>39804.557233796295</v>
      </c>
      <c r="G2618" s="9" t="s">
        <v>13000</v>
      </c>
      <c r="H2618" s="35" t="s">
        <v>7927</v>
      </c>
      <c r="I2618" s="25" t="s">
        <v>7928</v>
      </c>
    </row>
    <row r="2619" spans="1:9" s="33" customFormat="1" ht="90">
      <c r="A2619" s="19">
        <v>43547.274328703701</v>
      </c>
      <c r="B2619" s="20" t="s">
        <v>14867</v>
      </c>
      <c r="C2619" s="21" t="s">
        <v>7925</v>
      </c>
      <c r="D2619" s="22" t="s">
        <v>8602</v>
      </c>
      <c r="E2619" s="23" t="s">
        <v>13006</v>
      </c>
      <c r="F2619" s="19">
        <v>39804.557233796295</v>
      </c>
      <c r="G2619" s="9" t="s">
        <v>13000</v>
      </c>
      <c r="H2619" s="35" t="s">
        <v>7927</v>
      </c>
      <c r="I2619" s="25" t="s">
        <v>7928</v>
      </c>
    </row>
    <row r="2620" spans="1:9" s="33" customFormat="1" ht="90">
      <c r="A2620" s="19">
        <v>43546.82130787037</v>
      </c>
      <c r="B2620" s="20" t="s">
        <v>14867</v>
      </c>
      <c r="C2620" s="21" t="s">
        <v>7925</v>
      </c>
      <c r="D2620" s="22" t="s">
        <v>8602</v>
      </c>
      <c r="E2620" s="23" t="s">
        <v>13006</v>
      </c>
      <c r="F2620" s="19">
        <v>39804.557233796295</v>
      </c>
      <c r="G2620" s="9" t="s">
        <v>13000</v>
      </c>
      <c r="H2620" s="35" t="s">
        <v>7927</v>
      </c>
      <c r="I2620" s="25" t="s">
        <v>7928</v>
      </c>
    </row>
    <row r="2621" spans="1:9" s="33" customFormat="1" ht="90">
      <c r="A2621" s="4">
        <v>43563.562534722223</v>
      </c>
      <c r="B2621" s="5" t="s">
        <v>14868</v>
      </c>
      <c r="C2621" s="6" t="s">
        <v>10226</v>
      </c>
      <c r="D2621" s="7" t="s">
        <v>10227</v>
      </c>
      <c r="E2621" s="8" t="s">
        <v>14021</v>
      </c>
      <c r="F2621" s="4">
        <v>43098.422442129631</v>
      </c>
      <c r="G2621" s="9" t="s">
        <v>13000</v>
      </c>
      <c r="H2621" s="35" t="s">
        <v>7927</v>
      </c>
      <c r="I2621" s="10" t="s">
        <v>10228</v>
      </c>
    </row>
    <row r="2622" spans="1:9" s="33" customFormat="1" ht="120">
      <c r="A2622" s="4">
        <v>43560.749340277776</v>
      </c>
      <c r="B2622" s="5" t="s">
        <v>14869</v>
      </c>
      <c r="C2622" s="6" t="s">
        <v>11183</v>
      </c>
      <c r="D2622" s="7" t="s">
        <v>11184</v>
      </c>
      <c r="E2622" s="8" t="s">
        <v>13011</v>
      </c>
      <c r="F2622" s="4">
        <v>40939.65766203704</v>
      </c>
      <c r="G2622" s="9" t="s">
        <v>13000</v>
      </c>
      <c r="H2622" s="35" t="s">
        <v>11185</v>
      </c>
      <c r="I2622" s="10" t="s">
        <v>11186</v>
      </c>
    </row>
    <row r="2623" spans="1:9" s="33" customFormat="1" ht="60">
      <c r="A2623" s="4">
        <v>43561.469525462962</v>
      </c>
      <c r="B2623" s="5" t="s">
        <v>14870</v>
      </c>
      <c r="C2623" s="6" t="s">
        <v>10965</v>
      </c>
      <c r="D2623" s="7" t="s">
        <v>10966</v>
      </c>
      <c r="E2623" s="8" t="s">
        <v>13032</v>
      </c>
      <c r="F2623" s="4">
        <v>43551.665995370371</v>
      </c>
      <c r="G2623" s="17" t="s">
        <v>13000</v>
      </c>
      <c r="H2623" s="35" t="s">
        <v>10967</v>
      </c>
      <c r="I2623" s="10" t="s">
        <v>10968</v>
      </c>
    </row>
    <row r="2624" spans="1:9" s="33" customFormat="1" ht="90">
      <c r="A2624" s="19">
        <v>43543.631238425922</v>
      </c>
      <c r="B2624" s="20" t="s">
        <v>14871</v>
      </c>
      <c r="C2624" s="21" t="s">
        <v>9724</v>
      </c>
      <c r="D2624" s="22" t="s">
        <v>9725</v>
      </c>
      <c r="E2624" s="23" t="s">
        <v>13009</v>
      </c>
      <c r="F2624" s="19">
        <v>42030.623020833329</v>
      </c>
      <c r="G2624" s="24" t="s">
        <v>13000</v>
      </c>
      <c r="H2624" s="35" t="s">
        <v>9726</v>
      </c>
      <c r="I2624" s="25" t="s">
        <v>9727</v>
      </c>
    </row>
    <row r="2625" spans="1:9" s="33" customFormat="1" ht="135">
      <c r="A2625" s="19">
        <v>43550.895902777775</v>
      </c>
      <c r="B2625" s="20" t="s">
        <v>14872</v>
      </c>
      <c r="C2625" s="21" t="s">
        <v>7471</v>
      </c>
      <c r="D2625" s="22" t="s">
        <v>7456</v>
      </c>
      <c r="E2625" s="23" t="s">
        <v>13034</v>
      </c>
      <c r="F2625" s="19">
        <v>39202.312974537039</v>
      </c>
      <c r="G2625" s="24" t="s">
        <v>13000</v>
      </c>
      <c r="H2625" s="35" t="s">
        <v>7472</v>
      </c>
      <c r="I2625" s="25" t="s">
        <v>7473</v>
      </c>
    </row>
    <row r="2626" spans="1:9" s="33" customFormat="1" ht="75">
      <c r="A2626" s="12">
        <v>43572.239710648151</v>
      </c>
      <c r="B2626" s="13" t="s">
        <v>14873</v>
      </c>
      <c r="C2626" s="14" t="s">
        <v>3362</v>
      </c>
      <c r="D2626" s="15" t="s">
        <v>3363</v>
      </c>
      <c r="E2626" s="16" t="s">
        <v>13018</v>
      </c>
      <c r="F2626" s="12">
        <v>41445.513877314814</v>
      </c>
      <c r="G2626" s="17" t="s">
        <v>13000</v>
      </c>
      <c r="H2626" s="35" t="s">
        <v>3364</v>
      </c>
      <c r="I2626" s="18" t="s">
        <v>3365</v>
      </c>
    </row>
    <row r="2627" spans="1:9" s="33" customFormat="1" ht="105">
      <c r="A2627" s="12">
        <v>43566.518692129626</v>
      </c>
      <c r="B2627" s="13" t="s">
        <v>14874</v>
      </c>
      <c r="C2627" s="14" t="s">
        <v>5460</v>
      </c>
      <c r="D2627" s="15" t="s">
        <v>5461</v>
      </c>
      <c r="E2627" s="16" t="s">
        <v>13013</v>
      </c>
      <c r="F2627" s="12">
        <v>42221.614039351851</v>
      </c>
      <c r="G2627" s="17" t="s">
        <v>13000</v>
      </c>
      <c r="H2627" s="35" t="s">
        <v>5462</v>
      </c>
      <c r="I2627" s="18" t="s">
        <v>5463</v>
      </c>
    </row>
    <row r="2628" spans="1:9" s="33" customFormat="1" ht="105">
      <c r="A2628" s="19">
        <v>43547.191481481481</v>
      </c>
      <c r="B2628" s="20" t="s">
        <v>14875</v>
      </c>
      <c r="C2628" s="21" t="s">
        <v>637</v>
      </c>
      <c r="D2628" s="22" t="s">
        <v>8640</v>
      </c>
      <c r="E2628" s="23" t="s">
        <v>13011</v>
      </c>
      <c r="F2628" s="19">
        <v>43089.324016203704</v>
      </c>
      <c r="G2628" s="17" t="s">
        <v>13000</v>
      </c>
      <c r="H2628" s="35" t="s">
        <v>639</v>
      </c>
      <c r="I2628" s="25" t="s">
        <v>640</v>
      </c>
    </row>
    <row r="2629" spans="1:9" s="33" customFormat="1" ht="105">
      <c r="A2629" s="4">
        <v>43562.170381944445</v>
      </c>
      <c r="B2629" s="5" t="s">
        <v>14875</v>
      </c>
      <c r="C2629" s="6" t="s">
        <v>637</v>
      </c>
      <c r="D2629" s="7" t="s">
        <v>10737</v>
      </c>
      <c r="E2629" s="8" t="s">
        <v>13011</v>
      </c>
      <c r="F2629" s="4">
        <v>43089.324016203704</v>
      </c>
      <c r="G2629" s="17" t="s">
        <v>13000</v>
      </c>
      <c r="H2629" s="35" t="s">
        <v>639</v>
      </c>
      <c r="I2629" s="10" t="s">
        <v>640</v>
      </c>
    </row>
    <row r="2630" spans="1:9" s="33" customFormat="1" ht="105">
      <c r="A2630" s="12">
        <v>43579.474745370375</v>
      </c>
      <c r="B2630" s="13" t="s">
        <v>14875</v>
      </c>
      <c r="C2630" s="14" t="s">
        <v>637</v>
      </c>
      <c r="D2630" s="15" t="s">
        <v>638</v>
      </c>
      <c r="E2630" s="16" t="s">
        <v>13011</v>
      </c>
      <c r="F2630" s="12">
        <v>43089.324016203704</v>
      </c>
      <c r="G2630" s="17" t="s">
        <v>13000</v>
      </c>
      <c r="H2630" s="35" t="s">
        <v>639</v>
      </c>
      <c r="I2630" s="18" t="s">
        <v>640</v>
      </c>
    </row>
    <row r="2631" spans="1:9" s="33" customFormat="1" ht="105">
      <c r="A2631" s="12">
        <v>43577.157534722224</v>
      </c>
      <c r="B2631" s="13" t="s">
        <v>14875</v>
      </c>
      <c r="C2631" s="14" t="s">
        <v>637</v>
      </c>
      <c r="D2631" s="15" t="s">
        <v>1735</v>
      </c>
      <c r="E2631" s="16" t="s">
        <v>13011</v>
      </c>
      <c r="F2631" s="12">
        <v>43089.324016203704</v>
      </c>
      <c r="G2631" s="17" t="s">
        <v>13000</v>
      </c>
      <c r="H2631" s="35" t="s">
        <v>639</v>
      </c>
      <c r="I2631" s="18" t="s">
        <v>640</v>
      </c>
    </row>
    <row r="2632" spans="1:9" s="33" customFormat="1" ht="105">
      <c r="A2632" s="12">
        <v>43577.150300925925</v>
      </c>
      <c r="B2632" s="13" t="s">
        <v>14875</v>
      </c>
      <c r="C2632" s="14" t="s">
        <v>637</v>
      </c>
      <c r="D2632" s="15" t="s">
        <v>1737</v>
      </c>
      <c r="E2632" s="16" t="s">
        <v>13011</v>
      </c>
      <c r="F2632" s="12">
        <v>43089.324016203704</v>
      </c>
      <c r="G2632" s="17" t="s">
        <v>13000</v>
      </c>
      <c r="H2632" s="35" t="s">
        <v>639</v>
      </c>
      <c r="I2632" s="18" t="s">
        <v>640</v>
      </c>
    </row>
    <row r="2633" spans="1:9" s="33" customFormat="1" ht="105">
      <c r="A2633" s="12">
        <v>43575.312881944439</v>
      </c>
      <c r="B2633" s="13" t="s">
        <v>14875</v>
      </c>
      <c r="C2633" s="14" t="s">
        <v>637</v>
      </c>
      <c r="D2633" s="15" t="s">
        <v>2301</v>
      </c>
      <c r="E2633" s="16" t="s">
        <v>13011</v>
      </c>
      <c r="F2633" s="12">
        <v>43089.324016203704</v>
      </c>
      <c r="G2633" s="17" t="s">
        <v>13000</v>
      </c>
      <c r="H2633" s="35" t="s">
        <v>639</v>
      </c>
      <c r="I2633" s="18" t="s">
        <v>640</v>
      </c>
    </row>
    <row r="2634" spans="1:9" s="33" customFormat="1" ht="105">
      <c r="A2634" s="12">
        <v>43572.72274305555</v>
      </c>
      <c r="B2634" s="13" t="s">
        <v>14875</v>
      </c>
      <c r="C2634" s="14" t="s">
        <v>637</v>
      </c>
      <c r="D2634" s="15" t="s">
        <v>3108</v>
      </c>
      <c r="E2634" s="16" t="s">
        <v>13011</v>
      </c>
      <c r="F2634" s="12">
        <v>43089.324016203704</v>
      </c>
      <c r="G2634" s="17" t="s">
        <v>13000</v>
      </c>
      <c r="H2634" s="35" t="s">
        <v>639</v>
      </c>
      <c r="I2634" s="18" t="s">
        <v>640</v>
      </c>
    </row>
    <row r="2635" spans="1:9" s="33" customFormat="1" ht="60">
      <c r="A2635" s="12">
        <v>43571.84211805556</v>
      </c>
      <c r="B2635" s="13" t="s">
        <v>14876</v>
      </c>
      <c r="C2635" s="14" t="s">
        <v>3524</v>
      </c>
      <c r="D2635" s="15" t="s">
        <v>3525</v>
      </c>
      <c r="E2635" s="16" t="s">
        <v>13013</v>
      </c>
      <c r="F2635" s="12">
        <v>40052.494571759264</v>
      </c>
      <c r="G2635" s="17" t="s">
        <v>13000</v>
      </c>
      <c r="H2635" s="35" t="s">
        <v>3526</v>
      </c>
      <c r="I2635" s="18" t="s">
        <v>3527</v>
      </c>
    </row>
    <row r="2636" spans="1:9" s="33" customFormat="1" ht="30">
      <c r="A2636" s="12">
        <v>43577.133020833338</v>
      </c>
      <c r="B2636" s="13" t="s">
        <v>14877</v>
      </c>
      <c r="C2636" s="14" t="s">
        <v>1741</v>
      </c>
      <c r="D2636" s="15" t="s">
        <v>1742</v>
      </c>
      <c r="E2636" s="16" t="s">
        <v>13756</v>
      </c>
      <c r="F2636" s="12">
        <v>39883.973263888889</v>
      </c>
      <c r="G2636" s="9" t="s">
        <v>13000</v>
      </c>
      <c r="H2636" s="35" t="s">
        <v>1743</v>
      </c>
      <c r="I2636" s="18" t="s">
        <v>1744</v>
      </c>
    </row>
    <row r="2637" spans="1:9" s="33" customFormat="1" ht="150">
      <c r="A2637" s="4">
        <v>43564.15623842593</v>
      </c>
      <c r="B2637" s="5" t="s">
        <v>14878</v>
      </c>
      <c r="C2637" s="6" t="s">
        <v>6759</v>
      </c>
      <c r="D2637" s="7" t="s">
        <v>6760</v>
      </c>
      <c r="E2637" s="8" t="s">
        <v>13011</v>
      </c>
      <c r="F2637" s="4">
        <v>43125.548206018517</v>
      </c>
      <c r="G2637" s="9" t="s">
        <v>13000</v>
      </c>
      <c r="H2637" s="35" t="s">
        <v>6761</v>
      </c>
      <c r="I2637" s="10" t="s">
        <v>6762</v>
      </c>
    </row>
    <row r="2638" spans="1:9" s="33" customFormat="1" ht="150">
      <c r="A2638" s="19">
        <v>43546.341192129628</v>
      </c>
      <c r="B2638" s="20" t="s">
        <v>14879</v>
      </c>
      <c r="C2638" s="21" t="s">
        <v>8895</v>
      </c>
      <c r="D2638" s="22" t="s">
        <v>8896</v>
      </c>
      <c r="E2638" s="23" t="s">
        <v>13006</v>
      </c>
      <c r="F2638" s="19">
        <v>39878.561412037037</v>
      </c>
      <c r="G2638" s="9" t="s">
        <v>13000</v>
      </c>
      <c r="H2638" s="35" t="s">
        <v>8897</v>
      </c>
      <c r="I2638" s="25" t="s">
        <v>8898</v>
      </c>
    </row>
    <row r="2639" spans="1:9" s="33" customFormat="1" ht="60">
      <c r="A2639" s="4">
        <v>43560.746967592597</v>
      </c>
      <c r="B2639" s="5" t="s">
        <v>14880</v>
      </c>
      <c r="C2639" s="6" t="s">
        <v>11199</v>
      </c>
      <c r="D2639" s="7" t="s">
        <v>11200</v>
      </c>
      <c r="E2639" s="8" t="s">
        <v>13011</v>
      </c>
      <c r="F2639" s="4">
        <v>43533.478495370371</v>
      </c>
      <c r="G2639" s="9" t="s">
        <v>13000</v>
      </c>
      <c r="H2639" s="35" t="s">
        <v>11201</v>
      </c>
      <c r="I2639" s="10" t="s">
        <v>11202</v>
      </c>
    </row>
    <row r="2640" spans="1:9" s="33" customFormat="1" ht="120">
      <c r="A2640" s="4">
        <v>43558.525648148148</v>
      </c>
      <c r="B2640" s="5" t="s">
        <v>14881</v>
      </c>
      <c r="C2640" s="6" t="s">
        <v>2727</v>
      </c>
      <c r="D2640" s="7" t="s">
        <v>12141</v>
      </c>
      <c r="E2640" s="8" t="s">
        <v>13009</v>
      </c>
      <c r="F2640" s="4">
        <v>42223.351631944446</v>
      </c>
      <c r="G2640" s="17" t="s">
        <v>13000</v>
      </c>
      <c r="H2640" s="35" t="s">
        <v>2729</v>
      </c>
      <c r="I2640" s="10" t="s">
        <v>2730</v>
      </c>
    </row>
    <row r="2641" spans="1:9" s="33" customFormat="1" ht="120">
      <c r="A2641" s="12">
        <v>43573.821979166663</v>
      </c>
      <c r="B2641" s="13" t="s">
        <v>14881</v>
      </c>
      <c r="C2641" s="14" t="s">
        <v>2727</v>
      </c>
      <c r="D2641" s="15" t="s">
        <v>2728</v>
      </c>
      <c r="E2641" s="16" t="s">
        <v>13009</v>
      </c>
      <c r="F2641" s="12">
        <v>42223.351631944446</v>
      </c>
      <c r="G2641" s="17" t="s">
        <v>13000</v>
      </c>
      <c r="H2641" s="35" t="s">
        <v>2729</v>
      </c>
      <c r="I2641" s="18" t="s">
        <v>2730</v>
      </c>
    </row>
    <row r="2642" spans="1:9" s="33" customFormat="1" ht="75">
      <c r="A2642" s="12">
        <v>43565.949525462958</v>
      </c>
      <c r="B2642" s="13" t="s">
        <v>14882</v>
      </c>
      <c r="C2642" s="14" t="s">
        <v>5839</v>
      </c>
      <c r="D2642" s="15" t="s">
        <v>5840</v>
      </c>
      <c r="E2642" s="16" t="s">
        <v>14883</v>
      </c>
      <c r="F2642" s="12">
        <v>39876.521354166667</v>
      </c>
      <c r="G2642" s="17" t="s">
        <v>13000</v>
      </c>
      <c r="H2642" s="35" t="s">
        <v>5841</v>
      </c>
      <c r="I2642" s="18" t="s">
        <v>5842</v>
      </c>
    </row>
    <row r="2643" spans="1:9" s="33" customFormat="1" ht="90">
      <c r="A2643" s="19">
        <v>43551.496747685189</v>
      </c>
      <c r="B2643" s="20" t="s">
        <v>14884</v>
      </c>
      <c r="C2643" s="21" t="s">
        <v>108</v>
      </c>
      <c r="D2643" s="22" t="s">
        <v>7159</v>
      </c>
      <c r="E2643" s="23" t="s">
        <v>13011</v>
      </c>
      <c r="F2643" s="19">
        <v>43182.268159722225</v>
      </c>
      <c r="G2643" s="24" t="s">
        <v>13000</v>
      </c>
      <c r="H2643" s="35" t="s">
        <v>106</v>
      </c>
      <c r="I2643" s="25" t="s">
        <v>110</v>
      </c>
    </row>
    <row r="2644" spans="1:9" s="33" customFormat="1" ht="75">
      <c r="A2644" s="19">
        <v>43550.795439814814</v>
      </c>
      <c r="B2644" s="20" t="s">
        <v>14885</v>
      </c>
      <c r="C2644" s="21" t="s">
        <v>7503</v>
      </c>
      <c r="D2644" s="22" t="s">
        <v>7504</v>
      </c>
      <c r="E2644" s="23" t="s">
        <v>13013</v>
      </c>
      <c r="F2644" s="19">
        <v>39898.878032407403</v>
      </c>
      <c r="G2644" s="24" t="s">
        <v>13000</v>
      </c>
      <c r="H2644" s="35" t="s">
        <v>106</v>
      </c>
      <c r="I2644" s="25" t="s">
        <v>7505</v>
      </c>
    </row>
    <row r="2645" spans="1:9" s="33" customFormat="1" ht="75">
      <c r="A2645" s="19">
        <v>43550.708368055552</v>
      </c>
      <c r="B2645" s="20" t="s">
        <v>14886</v>
      </c>
      <c r="C2645" s="21" t="s">
        <v>3446</v>
      </c>
      <c r="D2645" s="22" t="s">
        <v>7531</v>
      </c>
      <c r="E2645" s="23" t="s">
        <v>13034</v>
      </c>
      <c r="F2645" s="19">
        <v>42832.147986111115</v>
      </c>
      <c r="G2645" s="24" t="s">
        <v>13000</v>
      </c>
      <c r="H2645" s="35" t="s">
        <v>106</v>
      </c>
      <c r="I2645" s="25" t="s">
        <v>3448</v>
      </c>
    </row>
    <row r="2646" spans="1:9" s="33" customFormat="1" ht="120">
      <c r="A2646" s="19">
        <v>43550.645231481481</v>
      </c>
      <c r="B2646" s="20" t="s">
        <v>14887</v>
      </c>
      <c r="C2646" s="21" t="s">
        <v>1971</v>
      </c>
      <c r="D2646" s="22" t="s">
        <v>7578</v>
      </c>
      <c r="E2646" s="23" t="s">
        <v>13032</v>
      </c>
      <c r="F2646" s="19">
        <v>39997.894976851851</v>
      </c>
      <c r="G2646" s="24" t="s">
        <v>13000</v>
      </c>
      <c r="H2646" s="35" t="s">
        <v>106</v>
      </c>
      <c r="I2646" s="25" t="s">
        <v>1973</v>
      </c>
    </row>
    <row r="2647" spans="1:9" s="33" customFormat="1" ht="120">
      <c r="A2647" s="19">
        <v>43550.644513888888</v>
      </c>
      <c r="B2647" s="20" t="s">
        <v>14887</v>
      </c>
      <c r="C2647" s="21" t="s">
        <v>1971</v>
      </c>
      <c r="D2647" s="22" t="s">
        <v>7579</v>
      </c>
      <c r="E2647" s="23" t="s">
        <v>13032</v>
      </c>
      <c r="F2647" s="19">
        <v>39997.894976851851</v>
      </c>
      <c r="G2647" s="24" t="s">
        <v>13000</v>
      </c>
      <c r="H2647" s="35" t="s">
        <v>106</v>
      </c>
      <c r="I2647" s="25" t="s">
        <v>1973</v>
      </c>
    </row>
    <row r="2648" spans="1:9" s="33" customFormat="1" ht="75">
      <c r="A2648" s="19">
        <v>43549.951562499999</v>
      </c>
      <c r="B2648" s="20" t="s">
        <v>14888</v>
      </c>
      <c r="C2648" s="21" t="s">
        <v>1717</v>
      </c>
      <c r="D2648" s="22" t="s">
        <v>3158</v>
      </c>
      <c r="E2648" s="23" t="s">
        <v>13009</v>
      </c>
      <c r="F2648" s="19">
        <v>42574.170451388884</v>
      </c>
      <c r="G2648" s="24" t="s">
        <v>13000</v>
      </c>
      <c r="H2648" s="35" t="s">
        <v>106</v>
      </c>
      <c r="I2648" s="25" t="s">
        <v>1719</v>
      </c>
    </row>
    <row r="2649" spans="1:9" s="33" customFormat="1" ht="75">
      <c r="A2649" s="19">
        <v>43549.833449074074</v>
      </c>
      <c r="B2649" s="20" t="s">
        <v>14886</v>
      </c>
      <c r="C2649" s="21" t="s">
        <v>3446</v>
      </c>
      <c r="D2649" s="22" t="s">
        <v>7908</v>
      </c>
      <c r="E2649" s="23" t="s">
        <v>13034</v>
      </c>
      <c r="F2649" s="19">
        <v>42832.147986111115</v>
      </c>
      <c r="G2649" s="24" t="s">
        <v>13000</v>
      </c>
      <c r="H2649" s="35" t="s">
        <v>106</v>
      </c>
      <c r="I2649" s="25" t="s">
        <v>3448</v>
      </c>
    </row>
    <row r="2650" spans="1:9" s="33" customFormat="1" ht="120">
      <c r="A2650" s="19">
        <v>43549.719467592593</v>
      </c>
      <c r="B2650" s="20" t="s">
        <v>14887</v>
      </c>
      <c r="C2650" s="21" t="s">
        <v>1971</v>
      </c>
      <c r="D2650" s="22" t="s">
        <v>7937</v>
      </c>
      <c r="E2650" s="23" t="s">
        <v>13032</v>
      </c>
      <c r="F2650" s="19">
        <v>39997.894976851851</v>
      </c>
      <c r="G2650" s="24" t="s">
        <v>13000</v>
      </c>
      <c r="H2650" s="35" t="s">
        <v>106</v>
      </c>
      <c r="I2650" s="25" t="s">
        <v>1973</v>
      </c>
    </row>
    <row r="2651" spans="1:9" s="33" customFormat="1" ht="120">
      <c r="A2651" s="19">
        <v>43549.718287037038</v>
      </c>
      <c r="B2651" s="20" t="s">
        <v>14887</v>
      </c>
      <c r="C2651" s="21" t="s">
        <v>1971</v>
      </c>
      <c r="D2651" s="22" t="s">
        <v>7938</v>
      </c>
      <c r="E2651" s="23" t="s">
        <v>13032</v>
      </c>
      <c r="F2651" s="19">
        <v>39997.894976851851</v>
      </c>
      <c r="G2651" s="24" t="s">
        <v>13000</v>
      </c>
      <c r="H2651" s="35" t="s">
        <v>106</v>
      </c>
      <c r="I2651" s="25" t="s">
        <v>1973</v>
      </c>
    </row>
    <row r="2652" spans="1:9" s="33" customFormat="1" ht="105">
      <c r="A2652" s="19">
        <v>43549.619456018518</v>
      </c>
      <c r="B2652" s="20" t="s">
        <v>14889</v>
      </c>
      <c r="C2652" s="21" t="s">
        <v>2560</v>
      </c>
      <c r="D2652" s="22" t="s">
        <v>7959</v>
      </c>
      <c r="E2652" s="23" t="s">
        <v>13443</v>
      </c>
      <c r="F2652" s="19">
        <v>42893.499884259261</v>
      </c>
      <c r="G2652" s="24" t="s">
        <v>13000</v>
      </c>
      <c r="H2652" s="35" t="s">
        <v>106</v>
      </c>
      <c r="I2652" s="25" t="s">
        <v>2562</v>
      </c>
    </row>
    <row r="2653" spans="1:9" s="33" customFormat="1" ht="75">
      <c r="A2653" s="19">
        <v>43549.583506944444</v>
      </c>
      <c r="B2653" s="20" t="s">
        <v>14886</v>
      </c>
      <c r="C2653" s="21" t="s">
        <v>3446</v>
      </c>
      <c r="D2653" s="22" t="s">
        <v>7980</v>
      </c>
      <c r="E2653" s="23" t="s">
        <v>13034</v>
      </c>
      <c r="F2653" s="19">
        <v>42832.147986111115</v>
      </c>
      <c r="G2653" s="24" t="s">
        <v>13000</v>
      </c>
      <c r="H2653" s="35" t="s">
        <v>106</v>
      </c>
      <c r="I2653" s="25" t="s">
        <v>3448</v>
      </c>
    </row>
    <row r="2654" spans="1:9" s="33" customFormat="1" ht="90">
      <c r="A2654" s="19">
        <v>43549.506215277783</v>
      </c>
      <c r="B2654" s="20" t="s">
        <v>14884</v>
      </c>
      <c r="C2654" s="21" t="s">
        <v>108</v>
      </c>
      <c r="D2654" s="22" t="s">
        <v>8011</v>
      </c>
      <c r="E2654" s="23" t="s">
        <v>13011</v>
      </c>
      <c r="F2654" s="19">
        <v>43182.268159722225</v>
      </c>
      <c r="G2654" s="24" t="s">
        <v>13000</v>
      </c>
      <c r="H2654" s="35" t="s">
        <v>106</v>
      </c>
      <c r="I2654" s="25" t="s">
        <v>110</v>
      </c>
    </row>
    <row r="2655" spans="1:9" s="33" customFormat="1" ht="75">
      <c r="A2655" s="19">
        <v>43549.274317129632</v>
      </c>
      <c r="B2655" s="20" t="s">
        <v>14885</v>
      </c>
      <c r="C2655" s="21" t="s">
        <v>7503</v>
      </c>
      <c r="D2655" s="22" t="s">
        <v>8111</v>
      </c>
      <c r="E2655" s="23" t="s">
        <v>13013</v>
      </c>
      <c r="F2655" s="19">
        <v>39898.878032407403</v>
      </c>
      <c r="G2655" s="24" t="s">
        <v>13000</v>
      </c>
      <c r="H2655" s="35" t="s">
        <v>106</v>
      </c>
      <c r="I2655" s="25" t="s">
        <v>7505</v>
      </c>
    </row>
    <row r="2656" spans="1:9" s="33" customFormat="1" ht="75">
      <c r="A2656" s="19">
        <v>43549.270138888889</v>
      </c>
      <c r="B2656" s="20" t="s">
        <v>14890</v>
      </c>
      <c r="C2656" s="21" t="s">
        <v>3571</v>
      </c>
      <c r="D2656" s="22" t="s">
        <v>6859</v>
      </c>
      <c r="E2656" s="23" t="s">
        <v>13034</v>
      </c>
      <c r="F2656" s="19">
        <v>43265.764976851853</v>
      </c>
      <c r="G2656" s="24" t="s">
        <v>13000</v>
      </c>
      <c r="H2656" s="35" t="s">
        <v>106</v>
      </c>
      <c r="I2656" s="25" t="s">
        <v>3573</v>
      </c>
    </row>
    <row r="2657" spans="1:9" s="33" customFormat="1" ht="75">
      <c r="A2657" s="19">
        <v>43549.208530092597</v>
      </c>
      <c r="B2657" s="20" t="s">
        <v>14886</v>
      </c>
      <c r="C2657" s="21" t="s">
        <v>3446</v>
      </c>
      <c r="D2657" s="22" t="s">
        <v>8132</v>
      </c>
      <c r="E2657" s="23" t="s">
        <v>13034</v>
      </c>
      <c r="F2657" s="19">
        <v>42832.147986111115</v>
      </c>
      <c r="G2657" s="24" t="s">
        <v>13000</v>
      </c>
      <c r="H2657" s="35" t="s">
        <v>106</v>
      </c>
      <c r="I2657" s="25" t="s">
        <v>3448</v>
      </c>
    </row>
    <row r="2658" spans="1:9" s="33" customFormat="1" ht="75">
      <c r="A2658" s="19">
        <v>43549.125115740739</v>
      </c>
      <c r="B2658" s="20" t="s">
        <v>14890</v>
      </c>
      <c r="C2658" s="21" t="s">
        <v>3571</v>
      </c>
      <c r="D2658" s="22" t="s">
        <v>5340</v>
      </c>
      <c r="E2658" s="23" t="s">
        <v>13034</v>
      </c>
      <c r="F2658" s="19">
        <v>43265.764976851853</v>
      </c>
      <c r="G2658" s="24" t="s">
        <v>13000</v>
      </c>
      <c r="H2658" s="35" t="s">
        <v>106</v>
      </c>
      <c r="I2658" s="25" t="s">
        <v>3573</v>
      </c>
    </row>
    <row r="2659" spans="1:9" s="33" customFormat="1" ht="105">
      <c r="A2659" s="19">
        <v>43549.104699074072</v>
      </c>
      <c r="B2659" s="20" t="s">
        <v>14891</v>
      </c>
      <c r="C2659" s="20" t="s">
        <v>8168</v>
      </c>
      <c r="D2659" s="22" t="s">
        <v>8169</v>
      </c>
      <c r="E2659" s="23" t="s">
        <v>13011</v>
      </c>
      <c r="F2659" s="19">
        <v>42757.427662037036</v>
      </c>
      <c r="G2659" s="24" t="s">
        <v>13000</v>
      </c>
      <c r="H2659" s="35" t="s">
        <v>106</v>
      </c>
      <c r="I2659" s="25" t="s">
        <v>8170</v>
      </c>
    </row>
    <row r="2660" spans="1:9" s="33" customFormat="1" ht="75">
      <c r="A2660" s="19">
        <v>43549.000023148154</v>
      </c>
      <c r="B2660" s="20" t="s">
        <v>14890</v>
      </c>
      <c r="C2660" s="21" t="s">
        <v>3571</v>
      </c>
      <c r="D2660" s="22" t="s">
        <v>6061</v>
      </c>
      <c r="E2660" s="23" t="s">
        <v>13034</v>
      </c>
      <c r="F2660" s="19">
        <v>43265.764976851853</v>
      </c>
      <c r="G2660" s="24" t="s">
        <v>13000</v>
      </c>
      <c r="H2660" s="35" t="s">
        <v>106</v>
      </c>
      <c r="I2660" s="25" t="s">
        <v>3573</v>
      </c>
    </row>
    <row r="2661" spans="1:9" s="33" customFormat="1" ht="120">
      <c r="A2661" s="19">
        <v>43548.96876157407</v>
      </c>
      <c r="B2661" s="20" t="s">
        <v>14892</v>
      </c>
      <c r="C2661" s="21" t="s">
        <v>8191</v>
      </c>
      <c r="D2661" s="22" t="s">
        <v>8192</v>
      </c>
      <c r="E2661" s="23" t="s">
        <v>13011</v>
      </c>
      <c r="F2661" s="19">
        <v>43523.448622685188</v>
      </c>
      <c r="G2661" s="24" t="s">
        <v>13000</v>
      </c>
      <c r="H2661" s="35" t="s">
        <v>106</v>
      </c>
      <c r="I2661" s="25" t="s">
        <v>8193</v>
      </c>
    </row>
    <row r="2662" spans="1:9" s="33" customFormat="1" ht="90">
      <c r="A2662" s="19">
        <v>43548.958460648151</v>
      </c>
      <c r="B2662" s="20" t="s">
        <v>14886</v>
      </c>
      <c r="C2662" s="21" t="s">
        <v>3446</v>
      </c>
      <c r="D2662" s="22" t="s">
        <v>8195</v>
      </c>
      <c r="E2662" s="23" t="s">
        <v>13034</v>
      </c>
      <c r="F2662" s="19">
        <v>42832.147986111115</v>
      </c>
      <c r="G2662" s="24" t="s">
        <v>13000</v>
      </c>
      <c r="H2662" s="35" t="s">
        <v>106</v>
      </c>
      <c r="I2662" s="25" t="s">
        <v>3448</v>
      </c>
    </row>
    <row r="2663" spans="1:9" s="33" customFormat="1" ht="75">
      <c r="A2663" s="19">
        <v>43548.840486111112</v>
      </c>
      <c r="B2663" s="20" t="s">
        <v>14888</v>
      </c>
      <c r="C2663" s="21" t="s">
        <v>1717</v>
      </c>
      <c r="D2663" s="22" t="s">
        <v>4263</v>
      </c>
      <c r="E2663" s="23" t="s">
        <v>13009</v>
      </c>
      <c r="F2663" s="19">
        <v>42574.170451388884</v>
      </c>
      <c r="G2663" s="24" t="s">
        <v>13000</v>
      </c>
      <c r="H2663" s="35" t="s">
        <v>106</v>
      </c>
      <c r="I2663" s="25" t="s">
        <v>1719</v>
      </c>
    </row>
    <row r="2664" spans="1:9" s="33" customFormat="1" ht="75">
      <c r="A2664" s="19">
        <v>43548.541666666672</v>
      </c>
      <c r="B2664" s="20" t="s">
        <v>14890</v>
      </c>
      <c r="C2664" s="21" t="s">
        <v>3571</v>
      </c>
      <c r="D2664" s="22" t="s">
        <v>8292</v>
      </c>
      <c r="E2664" s="23" t="s">
        <v>13034</v>
      </c>
      <c r="F2664" s="19">
        <v>43265.764976851853</v>
      </c>
      <c r="G2664" s="24" t="s">
        <v>13000</v>
      </c>
      <c r="H2664" s="35" t="s">
        <v>106</v>
      </c>
      <c r="I2664" s="25" t="s">
        <v>3573</v>
      </c>
    </row>
    <row r="2665" spans="1:9" s="33" customFormat="1" ht="75">
      <c r="A2665" s="19">
        <v>43548.431261574078</v>
      </c>
      <c r="B2665" s="20" t="s">
        <v>14893</v>
      </c>
      <c r="C2665" s="21" t="s">
        <v>8322</v>
      </c>
      <c r="D2665" s="22" t="s">
        <v>8323</v>
      </c>
      <c r="E2665" s="23" t="s">
        <v>13013</v>
      </c>
      <c r="F2665" s="19">
        <v>42201.901087962964</v>
      </c>
      <c r="G2665" s="24" t="s">
        <v>13000</v>
      </c>
      <c r="H2665" s="35" t="s">
        <v>106</v>
      </c>
      <c r="I2665" s="25" t="s">
        <v>8324</v>
      </c>
    </row>
    <row r="2666" spans="1:9" s="33" customFormat="1" ht="75">
      <c r="A2666" s="19">
        <v>43548.41678240741</v>
      </c>
      <c r="B2666" s="20" t="s">
        <v>14890</v>
      </c>
      <c r="C2666" s="21" t="s">
        <v>3571</v>
      </c>
      <c r="D2666" s="22" t="s">
        <v>8327</v>
      </c>
      <c r="E2666" s="23" t="s">
        <v>13034</v>
      </c>
      <c r="F2666" s="19">
        <v>43265.764976851853</v>
      </c>
      <c r="G2666" s="24" t="s">
        <v>13000</v>
      </c>
      <c r="H2666" s="35" t="s">
        <v>106</v>
      </c>
      <c r="I2666" s="25" t="s">
        <v>3573</v>
      </c>
    </row>
    <row r="2667" spans="1:9" s="33" customFormat="1" ht="75">
      <c r="A2667" s="19">
        <v>43548.375069444446</v>
      </c>
      <c r="B2667" s="20" t="s">
        <v>14886</v>
      </c>
      <c r="C2667" s="21" t="s">
        <v>3446</v>
      </c>
      <c r="D2667" s="22" t="s">
        <v>8340</v>
      </c>
      <c r="E2667" s="23" t="s">
        <v>13034</v>
      </c>
      <c r="F2667" s="19">
        <v>42832.147986111115</v>
      </c>
      <c r="G2667" s="24" t="s">
        <v>13000</v>
      </c>
      <c r="H2667" s="35" t="s">
        <v>106</v>
      </c>
      <c r="I2667" s="25" t="s">
        <v>3448</v>
      </c>
    </row>
    <row r="2668" spans="1:9" s="33" customFormat="1" ht="75">
      <c r="A2668" s="19">
        <v>43548.29179398148</v>
      </c>
      <c r="B2668" s="20" t="s">
        <v>14890</v>
      </c>
      <c r="C2668" s="21" t="s">
        <v>3571</v>
      </c>
      <c r="D2668" s="22" t="s">
        <v>8308</v>
      </c>
      <c r="E2668" s="23" t="s">
        <v>13034</v>
      </c>
      <c r="F2668" s="19">
        <v>43265.764976851853</v>
      </c>
      <c r="G2668" s="24" t="s">
        <v>13000</v>
      </c>
      <c r="H2668" s="35" t="s">
        <v>106</v>
      </c>
      <c r="I2668" s="25" t="s">
        <v>3573</v>
      </c>
    </row>
    <row r="2669" spans="1:9" s="33" customFormat="1" ht="75">
      <c r="A2669" s="19">
        <v>43548.250196759254</v>
      </c>
      <c r="B2669" s="20" t="s">
        <v>14886</v>
      </c>
      <c r="C2669" s="21" t="s">
        <v>3446</v>
      </c>
      <c r="D2669" s="22" t="s">
        <v>8371</v>
      </c>
      <c r="E2669" s="23" t="s">
        <v>13034</v>
      </c>
      <c r="F2669" s="19">
        <v>42832.147986111115</v>
      </c>
      <c r="G2669" s="24" t="s">
        <v>13000</v>
      </c>
      <c r="H2669" s="35" t="s">
        <v>106</v>
      </c>
      <c r="I2669" s="25" t="s">
        <v>3448</v>
      </c>
    </row>
    <row r="2670" spans="1:9" s="33" customFormat="1" ht="105">
      <c r="A2670" s="19">
        <v>43548.239444444444</v>
      </c>
      <c r="B2670" s="20" t="s">
        <v>14894</v>
      </c>
      <c r="C2670" s="21" t="s">
        <v>8378</v>
      </c>
      <c r="D2670" s="22" t="s">
        <v>8379</v>
      </c>
      <c r="E2670" s="23" t="s">
        <v>13011</v>
      </c>
      <c r="F2670" s="19">
        <v>42488.247476851851</v>
      </c>
      <c r="G2670" s="24" t="s">
        <v>13000</v>
      </c>
      <c r="H2670" s="35" t="s">
        <v>106</v>
      </c>
      <c r="I2670" s="25" t="s">
        <v>8380</v>
      </c>
    </row>
    <row r="2671" spans="1:9" s="33" customFormat="1" ht="75">
      <c r="A2671" s="19">
        <v>43547</v>
      </c>
      <c r="B2671" s="20" t="s">
        <v>14886</v>
      </c>
      <c r="C2671" s="21" t="s">
        <v>3446</v>
      </c>
      <c r="D2671" s="22" t="s">
        <v>5515</v>
      </c>
      <c r="E2671" s="23" t="s">
        <v>13034</v>
      </c>
      <c r="F2671" s="19">
        <v>42832.147986111115</v>
      </c>
      <c r="G2671" s="24" t="s">
        <v>13000</v>
      </c>
      <c r="H2671" s="35" t="s">
        <v>106</v>
      </c>
      <c r="I2671" s="25" t="s">
        <v>3448</v>
      </c>
    </row>
    <row r="2672" spans="1:9" s="33" customFormat="1" ht="75">
      <c r="A2672" s="19">
        <v>43546.916666666672</v>
      </c>
      <c r="B2672" s="20" t="s">
        <v>14890</v>
      </c>
      <c r="C2672" s="21" t="s">
        <v>3571</v>
      </c>
      <c r="D2672" s="22" t="s">
        <v>5340</v>
      </c>
      <c r="E2672" s="23" t="s">
        <v>13034</v>
      </c>
      <c r="F2672" s="19">
        <v>43265.764976851853</v>
      </c>
      <c r="G2672" s="24" t="s">
        <v>13000</v>
      </c>
      <c r="H2672" s="35" t="s">
        <v>106</v>
      </c>
      <c r="I2672" s="25" t="s">
        <v>3573</v>
      </c>
    </row>
    <row r="2673" spans="1:9" s="33" customFormat="1" ht="60">
      <c r="A2673" s="19">
        <v>43546.8753587963</v>
      </c>
      <c r="B2673" s="20" t="s">
        <v>14886</v>
      </c>
      <c r="C2673" s="21" t="s">
        <v>3446</v>
      </c>
      <c r="D2673" s="22" t="s">
        <v>6391</v>
      </c>
      <c r="E2673" s="23" t="s">
        <v>13034</v>
      </c>
      <c r="F2673" s="19">
        <v>42832.147986111115</v>
      </c>
      <c r="G2673" s="24" t="s">
        <v>13000</v>
      </c>
      <c r="H2673" s="35" t="s">
        <v>106</v>
      </c>
      <c r="I2673" s="25" t="s">
        <v>3448</v>
      </c>
    </row>
    <row r="2674" spans="1:9" s="33" customFormat="1" ht="75">
      <c r="A2674" s="19">
        <v>43546.79178240741</v>
      </c>
      <c r="B2674" s="20" t="s">
        <v>14890</v>
      </c>
      <c r="C2674" s="21" t="s">
        <v>3571</v>
      </c>
      <c r="D2674" s="22" t="s">
        <v>6061</v>
      </c>
      <c r="E2674" s="23" t="s">
        <v>13034</v>
      </c>
      <c r="F2674" s="19">
        <v>43265.764976851853</v>
      </c>
      <c r="G2674" s="24" t="s">
        <v>13000</v>
      </c>
      <c r="H2674" s="35" t="s">
        <v>106</v>
      </c>
      <c r="I2674" s="25" t="s">
        <v>3573</v>
      </c>
    </row>
    <row r="2675" spans="1:9" s="33" customFormat="1" ht="75">
      <c r="A2675" s="19">
        <v>43546.750150462962</v>
      </c>
      <c r="B2675" s="20" t="s">
        <v>14886</v>
      </c>
      <c r="C2675" s="21" t="s">
        <v>3446</v>
      </c>
      <c r="D2675" s="22" t="s">
        <v>8741</v>
      </c>
      <c r="E2675" s="23" t="s">
        <v>13034</v>
      </c>
      <c r="F2675" s="19">
        <v>42832.147986111115</v>
      </c>
      <c r="G2675" s="24" t="s">
        <v>13000</v>
      </c>
      <c r="H2675" s="35" t="s">
        <v>106</v>
      </c>
      <c r="I2675" s="25" t="s">
        <v>3448</v>
      </c>
    </row>
    <row r="2676" spans="1:9" s="33" customFormat="1" ht="105">
      <c r="A2676" s="19">
        <v>43546.708506944444</v>
      </c>
      <c r="B2676" s="20" t="s">
        <v>14895</v>
      </c>
      <c r="C2676" s="21" t="s">
        <v>8752</v>
      </c>
      <c r="D2676" s="22" t="s">
        <v>8753</v>
      </c>
      <c r="E2676" s="23" t="s">
        <v>13034</v>
      </c>
      <c r="F2676" s="19">
        <v>42916.555937500001</v>
      </c>
      <c r="G2676" s="24" t="s">
        <v>13000</v>
      </c>
      <c r="H2676" s="35" t="s">
        <v>106</v>
      </c>
      <c r="I2676" s="25" t="s">
        <v>8754</v>
      </c>
    </row>
    <row r="2677" spans="1:9" s="33" customFormat="1" ht="90">
      <c r="A2677" s="19">
        <v>43546.667025462964</v>
      </c>
      <c r="B2677" s="20" t="s">
        <v>14890</v>
      </c>
      <c r="C2677" s="21" t="s">
        <v>3571</v>
      </c>
      <c r="D2677" s="22" t="s">
        <v>8768</v>
      </c>
      <c r="E2677" s="23" t="s">
        <v>13034</v>
      </c>
      <c r="F2677" s="19">
        <v>43265.764976851853</v>
      </c>
      <c r="G2677" s="24" t="s">
        <v>13000</v>
      </c>
      <c r="H2677" s="35" t="s">
        <v>106</v>
      </c>
      <c r="I2677" s="25" t="s">
        <v>3573</v>
      </c>
    </row>
    <row r="2678" spans="1:9" s="33" customFormat="1" ht="90">
      <c r="A2678" s="19">
        <v>43546.651030092587</v>
      </c>
      <c r="B2678" s="20" t="s">
        <v>14896</v>
      </c>
      <c r="C2678" s="21" t="s">
        <v>1098</v>
      </c>
      <c r="D2678" s="22" t="s">
        <v>8782</v>
      </c>
      <c r="E2678" s="23" t="s">
        <v>13006</v>
      </c>
      <c r="F2678" s="19">
        <v>41846.565393518518</v>
      </c>
      <c r="G2678" s="24" t="s">
        <v>13000</v>
      </c>
      <c r="H2678" s="35" t="s">
        <v>106</v>
      </c>
      <c r="I2678" s="25" t="s">
        <v>1100</v>
      </c>
    </row>
    <row r="2679" spans="1:9" s="33" customFormat="1" ht="75">
      <c r="A2679" s="19">
        <v>43546.625127314815</v>
      </c>
      <c r="B2679" s="20" t="s">
        <v>14886</v>
      </c>
      <c r="C2679" s="21" t="s">
        <v>3446</v>
      </c>
      <c r="D2679" s="22" t="s">
        <v>8785</v>
      </c>
      <c r="E2679" s="23" t="s">
        <v>13034</v>
      </c>
      <c r="F2679" s="19">
        <v>42832.147986111115</v>
      </c>
      <c r="G2679" s="24" t="s">
        <v>13000</v>
      </c>
      <c r="H2679" s="35" t="s">
        <v>106</v>
      </c>
      <c r="I2679" s="25" t="s">
        <v>3448</v>
      </c>
    </row>
    <row r="2680" spans="1:9" s="33" customFormat="1" ht="105">
      <c r="A2680" s="19">
        <v>43546.547210648147</v>
      </c>
      <c r="B2680" s="20" t="s">
        <v>14889</v>
      </c>
      <c r="C2680" s="21" t="s">
        <v>2560</v>
      </c>
      <c r="D2680" s="22" t="s">
        <v>8813</v>
      </c>
      <c r="E2680" s="23" t="s">
        <v>13443</v>
      </c>
      <c r="F2680" s="19">
        <v>42893.499884259261</v>
      </c>
      <c r="G2680" s="24" t="s">
        <v>13000</v>
      </c>
      <c r="H2680" s="35" t="s">
        <v>106</v>
      </c>
      <c r="I2680" s="25" t="s">
        <v>2562</v>
      </c>
    </row>
    <row r="2681" spans="1:9" s="33" customFormat="1" ht="90">
      <c r="A2681" s="19">
        <v>43546.511504629627</v>
      </c>
      <c r="B2681" s="20" t="s">
        <v>14884</v>
      </c>
      <c r="C2681" s="21" t="s">
        <v>108</v>
      </c>
      <c r="D2681" s="22" t="s">
        <v>8817</v>
      </c>
      <c r="E2681" s="23" t="s">
        <v>13011</v>
      </c>
      <c r="F2681" s="19">
        <v>43182.268159722225</v>
      </c>
      <c r="G2681" s="24" t="s">
        <v>13000</v>
      </c>
      <c r="H2681" s="35" t="s">
        <v>106</v>
      </c>
      <c r="I2681" s="25" t="s">
        <v>110</v>
      </c>
    </row>
    <row r="2682" spans="1:9" s="33" customFormat="1" ht="75">
      <c r="A2682" s="19">
        <v>43546.292037037041</v>
      </c>
      <c r="B2682" s="20" t="s">
        <v>14888</v>
      </c>
      <c r="C2682" s="21" t="s">
        <v>1717</v>
      </c>
      <c r="D2682" s="22" t="s">
        <v>8916</v>
      </c>
      <c r="E2682" s="23" t="s">
        <v>13009</v>
      </c>
      <c r="F2682" s="19">
        <v>42574.170451388884</v>
      </c>
      <c r="G2682" s="24" t="s">
        <v>13000</v>
      </c>
      <c r="H2682" s="35" t="s">
        <v>106</v>
      </c>
      <c r="I2682" s="25" t="s">
        <v>1719</v>
      </c>
    </row>
    <row r="2683" spans="1:9" s="33" customFormat="1" ht="75">
      <c r="A2683" s="19">
        <v>43545.958402777775</v>
      </c>
      <c r="B2683" s="20" t="s">
        <v>14886</v>
      </c>
      <c r="C2683" s="21" t="s">
        <v>3446</v>
      </c>
      <c r="D2683" s="22" t="s">
        <v>8990</v>
      </c>
      <c r="E2683" s="23" t="s">
        <v>13034</v>
      </c>
      <c r="F2683" s="19">
        <v>42832.147986111115</v>
      </c>
      <c r="G2683" s="24" t="s">
        <v>13000</v>
      </c>
      <c r="H2683" s="35" t="s">
        <v>106</v>
      </c>
      <c r="I2683" s="25" t="s">
        <v>3448</v>
      </c>
    </row>
    <row r="2684" spans="1:9" s="33" customFormat="1" ht="45">
      <c r="A2684" s="19">
        <v>43545.335902777777</v>
      </c>
      <c r="B2684" s="20" t="s">
        <v>14897</v>
      </c>
      <c r="C2684" s="21" t="s">
        <v>9195</v>
      </c>
      <c r="D2684" s="22" t="s">
        <v>9196</v>
      </c>
      <c r="E2684" s="23" t="s">
        <v>13282</v>
      </c>
      <c r="F2684" s="19">
        <v>41463.336273148147</v>
      </c>
      <c r="G2684" s="24" t="s">
        <v>13000</v>
      </c>
      <c r="H2684" s="35" t="s">
        <v>106</v>
      </c>
      <c r="I2684" s="25" t="s">
        <v>9197</v>
      </c>
    </row>
    <row r="2685" spans="1:9" s="33" customFormat="1" ht="60">
      <c r="A2685" s="19">
        <v>43545.265833333338</v>
      </c>
      <c r="B2685" s="20" t="s">
        <v>14898</v>
      </c>
      <c r="C2685" s="21" t="s">
        <v>183</v>
      </c>
      <c r="D2685" s="22" t="s">
        <v>9228</v>
      </c>
      <c r="E2685" s="23" t="s">
        <v>13440</v>
      </c>
      <c r="F2685" s="19">
        <v>42222.517465277779</v>
      </c>
      <c r="G2685" s="24" t="s">
        <v>13000</v>
      </c>
      <c r="H2685" s="35" t="s">
        <v>106</v>
      </c>
      <c r="I2685" s="25" t="s">
        <v>185</v>
      </c>
    </row>
    <row r="2686" spans="1:9" s="33" customFormat="1" ht="60">
      <c r="A2686" s="19">
        <v>43545.208483796298</v>
      </c>
      <c r="B2686" s="20" t="s">
        <v>14890</v>
      </c>
      <c r="C2686" s="21" t="s">
        <v>3571</v>
      </c>
      <c r="D2686" s="22" t="s">
        <v>7507</v>
      </c>
      <c r="E2686" s="23" t="s">
        <v>13034</v>
      </c>
      <c r="F2686" s="19">
        <v>43265.764976851853</v>
      </c>
      <c r="G2686" s="24" t="s">
        <v>13000</v>
      </c>
      <c r="H2686" s="35" t="s">
        <v>106</v>
      </c>
      <c r="I2686" s="25" t="s">
        <v>3573</v>
      </c>
    </row>
    <row r="2687" spans="1:9" s="33" customFormat="1" ht="105">
      <c r="A2687" s="19">
        <v>43544.617094907408</v>
      </c>
      <c r="B2687" s="20" t="s">
        <v>14889</v>
      </c>
      <c r="C2687" s="21" t="s">
        <v>2560</v>
      </c>
      <c r="D2687" s="22" t="s">
        <v>9397</v>
      </c>
      <c r="E2687" s="23" t="s">
        <v>13009</v>
      </c>
      <c r="F2687" s="19">
        <v>42893.499884259261</v>
      </c>
      <c r="G2687" s="24" t="s">
        <v>13000</v>
      </c>
      <c r="H2687" s="35" t="s">
        <v>106</v>
      </c>
      <c r="I2687" s="25" t="s">
        <v>2562</v>
      </c>
    </row>
    <row r="2688" spans="1:9" s="33" customFormat="1" ht="90">
      <c r="A2688" s="19">
        <v>43544.458761574075</v>
      </c>
      <c r="B2688" s="20" t="s">
        <v>14890</v>
      </c>
      <c r="C2688" s="21" t="s">
        <v>3571</v>
      </c>
      <c r="D2688" s="22" t="s">
        <v>9459</v>
      </c>
      <c r="E2688" s="23" t="s">
        <v>13034</v>
      </c>
      <c r="F2688" s="19">
        <v>43265.764976851853</v>
      </c>
      <c r="G2688" s="24" t="s">
        <v>13000</v>
      </c>
      <c r="H2688" s="35" t="s">
        <v>106</v>
      </c>
      <c r="I2688" s="25" t="s">
        <v>3573</v>
      </c>
    </row>
    <row r="2689" spans="1:9" s="33" customFormat="1" ht="90">
      <c r="A2689" s="19">
        <v>43544.44903935185</v>
      </c>
      <c r="B2689" s="20" t="s">
        <v>14884</v>
      </c>
      <c r="C2689" s="21" t="s">
        <v>108</v>
      </c>
      <c r="D2689" s="22" t="s">
        <v>9461</v>
      </c>
      <c r="E2689" s="23" t="s">
        <v>13011</v>
      </c>
      <c r="F2689" s="19">
        <v>43182.268159722225</v>
      </c>
      <c r="G2689" s="24" t="s">
        <v>13000</v>
      </c>
      <c r="H2689" s="35" t="s">
        <v>106</v>
      </c>
      <c r="I2689" s="25" t="s">
        <v>110</v>
      </c>
    </row>
    <row r="2690" spans="1:9" s="33" customFormat="1" ht="75">
      <c r="A2690" s="19">
        <v>43544.417071759264</v>
      </c>
      <c r="B2690" s="20" t="s">
        <v>14886</v>
      </c>
      <c r="C2690" s="21" t="s">
        <v>3446</v>
      </c>
      <c r="D2690" s="22" t="s">
        <v>9475</v>
      </c>
      <c r="E2690" s="23" t="s">
        <v>13034</v>
      </c>
      <c r="F2690" s="19">
        <v>42832.147986111115</v>
      </c>
      <c r="G2690" s="24" t="s">
        <v>13000</v>
      </c>
      <c r="H2690" s="35" t="s">
        <v>106</v>
      </c>
      <c r="I2690" s="25" t="s">
        <v>3448</v>
      </c>
    </row>
    <row r="2691" spans="1:9" s="33" customFormat="1" ht="105">
      <c r="A2691" s="19">
        <v>43543.985289351855</v>
      </c>
      <c r="B2691" s="20" t="s">
        <v>14899</v>
      </c>
      <c r="C2691" s="21" t="s">
        <v>9647</v>
      </c>
      <c r="D2691" s="22" t="s">
        <v>9648</v>
      </c>
      <c r="E2691" s="23" t="s">
        <v>13027</v>
      </c>
      <c r="F2691" s="19">
        <v>39542.506203703706</v>
      </c>
      <c r="G2691" s="24" t="s">
        <v>13000</v>
      </c>
      <c r="H2691" s="35" t="s">
        <v>106</v>
      </c>
      <c r="I2691" s="25" t="s">
        <v>9649</v>
      </c>
    </row>
    <row r="2692" spans="1:9" s="33" customFormat="1" ht="75">
      <c r="A2692" s="19">
        <v>43543.87501157407</v>
      </c>
      <c r="B2692" s="20" t="s">
        <v>14890</v>
      </c>
      <c r="C2692" s="21" t="s">
        <v>3571</v>
      </c>
      <c r="D2692" s="22" t="s">
        <v>6061</v>
      </c>
      <c r="E2692" s="23" t="s">
        <v>13034</v>
      </c>
      <c r="F2692" s="19">
        <v>43265.764976851853</v>
      </c>
      <c r="G2692" s="24" t="s">
        <v>13000</v>
      </c>
      <c r="H2692" s="35" t="s">
        <v>106</v>
      </c>
      <c r="I2692" s="25" t="s">
        <v>3573</v>
      </c>
    </row>
    <row r="2693" spans="1:9" s="33" customFormat="1" ht="75">
      <c r="A2693" s="19">
        <v>43543.833483796298</v>
      </c>
      <c r="B2693" s="20" t="s">
        <v>14886</v>
      </c>
      <c r="C2693" s="21" t="s">
        <v>3446</v>
      </c>
      <c r="D2693" s="22" t="s">
        <v>9676</v>
      </c>
      <c r="E2693" s="23" t="s">
        <v>13034</v>
      </c>
      <c r="F2693" s="19">
        <v>42832.147986111115</v>
      </c>
      <c r="G2693" s="24" t="s">
        <v>13000</v>
      </c>
      <c r="H2693" s="35" t="s">
        <v>106</v>
      </c>
      <c r="I2693" s="25" t="s">
        <v>3448</v>
      </c>
    </row>
    <row r="2694" spans="1:9" s="33" customFormat="1" ht="75">
      <c r="A2694" s="19">
        <v>43543.750069444446</v>
      </c>
      <c r="B2694" s="20" t="s">
        <v>14890</v>
      </c>
      <c r="C2694" s="21" t="s">
        <v>3571</v>
      </c>
      <c r="D2694" s="22" t="s">
        <v>9684</v>
      </c>
      <c r="E2694" s="23" t="s">
        <v>13034</v>
      </c>
      <c r="F2694" s="19">
        <v>43265.764976851853</v>
      </c>
      <c r="G2694" s="24" t="s">
        <v>13000</v>
      </c>
      <c r="H2694" s="35" t="s">
        <v>106</v>
      </c>
      <c r="I2694" s="25" t="s">
        <v>3573</v>
      </c>
    </row>
    <row r="2695" spans="1:9" s="33" customFormat="1" ht="75">
      <c r="A2695" s="19">
        <v>43543.708622685182</v>
      </c>
      <c r="B2695" s="20" t="s">
        <v>14886</v>
      </c>
      <c r="C2695" s="21" t="s">
        <v>3446</v>
      </c>
      <c r="D2695" s="22" t="s">
        <v>9693</v>
      </c>
      <c r="E2695" s="23" t="s">
        <v>13034</v>
      </c>
      <c r="F2695" s="19">
        <v>42832.147986111115</v>
      </c>
      <c r="G2695" s="24" t="s">
        <v>13000</v>
      </c>
      <c r="H2695" s="35" t="s">
        <v>106</v>
      </c>
      <c r="I2695" s="25" t="s">
        <v>3448</v>
      </c>
    </row>
    <row r="2696" spans="1:9" s="33" customFormat="1" ht="75">
      <c r="A2696" s="19">
        <v>43543.62537037037</v>
      </c>
      <c r="B2696" s="20" t="s">
        <v>14890</v>
      </c>
      <c r="C2696" s="21" t="s">
        <v>3571</v>
      </c>
      <c r="D2696" s="22" t="s">
        <v>9735</v>
      </c>
      <c r="E2696" s="23" t="s">
        <v>13034</v>
      </c>
      <c r="F2696" s="19">
        <v>43265.764976851853</v>
      </c>
      <c r="G2696" s="24" t="s">
        <v>13000</v>
      </c>
      <c r="H2696" s="35" t="s">
        <v>106</v>
      </c>
      <c r="I2696" s="25" t="s">
        <v>3573</v>
      </c>
    </row>
    <row r="2697" spans="1:9" s="33" customFormat="1" ht="105">
      <c r="A2697" s="19">
        <v>43543.616018518514</v>
      </c>
      <c r="B2697" s="20" t="s">
        <v>14889</v>
      </c>
      <c r="C2697" s="21" t="s">
        <v>2560</v>
      </c>
      <c r="D2697" s="22" t="s">
        <v>9739</v>
      </c>
      <c r="E2697" s="23" t="s">
        <v>13443</v>
      </c>
      <c r="F2697" s="19">
        <v>42893.499884259261</v>
      </c>
      <c r="G2697" s="24" t="s">
        <v>13000</v>
      </c>
      <c r="H2697" s="35" t="s">
        <v>106</v>
      </c>
      <c r="I2697" s="25" t="s">
        <v>2562</v>
      </c>
    </row>
    <row r="2698" spans="1:9" s="33" customFormat="1" ht="90">
      <c r="A2698" s="19">
        <v>43543.493298611109</v>
      </c>
      <c r="B2698" s="20" t="s">
        <v>14884</v>
      </c>
      <c r="C2698" s="21" t="s">
        <v>108</v>
      </c>
      <c r="D2698" s="22" t="s">
        <v>9777</v>
      </c>
      <c r="E2698" s="23" t="s">
        <v>13011</v>
      </c>
      <c r="F2698" s="19">
        <v>43182.268159722225</v>
      </c>
      <c r="G2698" s="24" t="s">
        <v>13000</v>
      </c>
      <c r="H2698" s="35" t="s">
        <v>106</v>
      </c>
      <c r="I2698" s="25" t="s">
        <v>110</v>
      </c>
    </row>
    <row r="2699" spans="1:9" s="33" customFormat="1" ht="120">
      <c r="A2699" s="19">
        <v>43543.182256944448</v>
      </c>
      <c r="B2699" s="20" t="s">
        <v>14887</v>
      </c>
      <c r="C2699" s="21" t="s">
        <v>1971</v>
      </c>
      <c r="D2699" s="22" t="s">
        <v>9905</v>
      </c>
      <c r="E2699" s="23" t="s">
        <v>13032</v>
      </c>
      <c r="F2699" s="19">
        <v>39997.894976851851</v>
      </c>
      <c r="G2699" s="24" t="s">
        <v>13000</v>
      </c>
      <c r="H2699" s="35" t="s">
        <v>106</v>
      </c>
      <c r="I2699" s="25" t="s">
        <v>1973</v>
      </c>
    </row>
    <row r="2700" spans="1:9" s="33" customFormat="1" ht="120">
      <c r="A2700" s="19">
        <v>43543.180983796294</v>
      </c>
      <c r="B2700" s="20" t="s">
        <v>14887</v>
      </c>
      <c r="C2700" s="21" t="s">
        <v>1971</v>
      </c>
      <c r="D2700" s="22" t="s">
        <v>9907</v>
      </c>
      <c r="E2700" s="23" t="s">
        <v>13032</v>
      </c>
      <c r="F2700" s="19">
        <v>39997.894976851851</v>
      </c>
      <c r="G2700" s="24" t="s">
        <v>13000</v>
      </c>
      <c r="H2700" s="35" t="s">
        <v>106</v>
      </c>
      <c r="I2700" s="25" t="s">
        <v>1973</v>
      </c>
    </row>
    <row r="2701" spans="1:9" s="33" customFormat="1" ht="120">
      <c r="A2701" s="19">
        <v>43543.180173611108</v>
      </c>
      <c r="B2701" s="20" t="s">
        <v>14887</v>
      </c>
      <c r="C2701" s="21" t="s">
        <v>1971</v>
      </c>
      <c r="D2701" s="22" t="s">
        <v>9908</v>
      </c>
      <c r="E2701" s="23" t="s">
        <v>13032</v>
      </c>
      <c r="F2701" s="19">
        <v>39997.894976851851</v>
      </c>
      <c r="G2701" s="24" t="s">
        <v>13000</v>
      </c>
      <c r="H2701" s="35" t="s">
        <v>106</v>
      </c>
      <c r="I2701" s="25" t="s">
        <v>1973</v>
      </c>
    </row>
    <row r="2702" spans="1:9" s="33" customFormat="1" ht="75">
      <c r="A2702" s="19">
        <v>43542.958356481482</v>
      </c>
      <c r="B2702" s="20" t="s">
        <v>14890</v>
      </c>
      <c r="C2702" s="21" t="s">
        <v>3571</v>
      </c>
      <c r="D2702" s="22" t="s">
        <v>9985</v>
      </c>
      <c r="E2702" s="23" t="s">
        <v>13034</v>
      </c>
      <c r="F2702" s="19">
        <v>43265.764976851853</v>
      </c>
      <c r="G2702" s="24" t="s">
        <v>13000</v>
      </c>
      <c r="H2702" s="35" t="s">
        <v>106</v>
      </c>
      <c r="I2702" s="25" t="s">
        <v>3573</v>
      </c>
    </row>
    <row r="2703" spans="1:9" s="33" customFormat="1" ht="60">
      <c r="A2703" s="19">
        <v>43542.91678240741</v>
      </c>
      <c r="B2703" s="20" t="s">
        <v>14886</v>
      </c>
      <c r="C2703" s="21" t="s">
        <v>3446</v>
      </c>
      <c r="D2703" s="22" t="s">
        <v>9994</v>
      </c>
      <c r="E2703" s="23" t="s">
        <v>13034</v>
      </c>
      <c r="F2703" s="19">
        <v>42832.147986111115</v>
      </c>
      <c r="G2703" s="24" t="s">
        <v>13000</v>
      </c>
      <c r="H2703" s="35" t="s">
        <v>106</v>
      </c>
      <c r="I2703" s="25" t="s">
        <v>3448</v>
      </c>
    </row>
    <row r="2704" spans="1:9" s="33" customFormat="1" ht="60">
      <c r="A2704" s="19">
        <v>43542.833414351851</v>
      </c>
      <c r="B2704" s="20" t="s">
        <v>14890</v>
      </c>
      <c r="C2704" s="21" t="s">
        <v>3571</v>
      </c>
      <c r="D2704" s="22" t="s">
        <v>10008</v>
      </c>
      <c r="E2704" s="23" t="s">
        <v>13034</v>
      </c>
      <c r="F2704" s="19">
        <v>43265.764976851853</v>
      </c>
      <c r="G2704" s="24" t="s">
        <v>13000</v>
      </c>
      <c r="H2704" s="35" t="s">
        <v>106</v>
      </c>
      <c r="I2704" s="25" t="s">
        <v>3573</v>
      </c>
    </row>
    <row r="2705" spans="1:9" s="33" customFormat="1" ht="120">
      <c r="A2705" s="19">
        <v>43542.820543981477</v>
      </c>
      <c r="B2705" s="20" t="s">
        <v>14887</v>
      </c>
      <c r="C2705" s="21" t="s">
        <v>1971</v>
      </c>
      <c r="D2705" s="22" t="s">
        <v>10009</v>
      </c>
      <c r="E2705" s="23" t="s">
        <v>13032</v>
      </c>
      <c r="F2705" s="19">
        <v>39997.894976851851</v>
      </c>
      <c r="G2705" s="24" t="s">
        <v>13000</v>
      </c>
      <c r="H2705" s="35" t="s">
        <v>106</v>
      </c>
      <c r="I2705" s="25" t="s">
        <v>1973</v>
      </c>
    </row>
    <row r="2706" spans="1:9" s="33" customFormat="1" ht="75">
      <c r="A2706" s="19">
        <v>43542.79179398148</v>
      </c>
      <c r="B2706" s="20" t="s">
        <v>14886</v>
      </c>
      <c r="C2706" s="21" t="s">
        <v>3446</v>
      </c>
      <c r="D2706" s="22" t="s">
        <v>10019</v>
      </c>
      <c r="E2706" s="23" t="s">
        <v>13034</v>
      </c>
      <c r="F2706" s="19">
        <v>42832.147986111115</v>
      </c>
      <c r="G2706" s="24" t="s">
        <v>13000</v>
      </c>
      <c r="H2706" s="35" t="s">
        <v>106</v>
      </c>
      <c r="I2706" s="25" t="s">
        <v>3448</v>
      </c>
    </row>
    <row r="2707" spans="1:9" s="33" customFormat="1" ht="75">
      <c r="A2707" s="19">
        <v>43542.708530092597</v>
      </c>
      <c r="B2707" s="20" t="s">
        <v>14890</v>
      </c>
      <c r="C2707" s="21" t="s">
        <v>3571</v>
      </c>
      <c r="D2707" s="22" t="s">
        <v>6061</v>
      </c>
      <c r="E2707" s="23" t="s">
        <v>13034</v>
      </c>
      <c r="F2707" s="19">
        <v>43265.764976851853</v>
      </c>
      <c r="G2707" s="24" t="s">
        <v>13000</v>
      </c>
      <c r="H2707" s="35" t="s">
        <v>106</v>
      </c>
      <c r="I2707" s="25" t="s">
        <v>3573</v>
      </c>
    </row>
    <row r="2708" spans="1:9" s="33" customFormat="1" ht="75">
      <c r="A2708" s="19">
        <v>43542.666689814811</v>
      </c>
      <c r="B2708" s="20" t="s">
        <v>14886</v>
      </c>
      <c r="C2708" s="21" t="s">
        <v>3446</v>
      </c>
      <c r="D2708" s="22" t="s">
        <v>6385</v>
      </c>
      <c r="E2708" s="23" t="s">
        <v>13034</v>
      </c>
      <c r="F2708" s="19">
        <v>42832.147986111115</v>
      </c>
      <c r="G2708" s="24" t="s">
        <v>13000</v>
      </c>
      <c r="H2708" s="35" t="s">
        <v>106</v>
      </c>
      <c r="I2708" s="25" t="s">
        <v>3448</v>
      </c>
    </row>
    <row r="2709" spans="1:9" s="33" customFormat="1" ht="165">
      <c r="A2709" s="19">
        <v>43542.625902777778</v>
      </c>
      <c r="B2709" s="20" t="s">
        <v>14900</v>
      </c>
      <c r="C2709" s="21" t="s">
        <v>10061</v>
      </c>
      <c r="D2709" s="22" t="s">
        <v>10062</v>
      </c>
      <c r="E2709" s="23" t="s">
        <v>13013</v>
      </c>
      <c r="F2709" s="19">
        <v>41168.669594907406</v>
      </c>
      <c r="G2709" s="24" t="s">
        <v>13000</v>
      </c>
      <c r="H2709" s="35" t="s">
        <v>106</v>
      </c>
      <c r="I2709" s="25" t="s">
        <v>10063</v>
      </c>
    </row>
    <row r="2710" spans="1:9" s="33" customFormat="1" ht="75">
      <c r="A2710" s="4">
        <v>43565.81251157407</v>
      </c>
      <c r="B2710" s="5" t="s">
        <v>14886</v>
      </c>
      <c r="C2710" s="6" t="s">
        <v>3446</v>
      </c>
      <c r="D2710" s="7" t="s">
        <v>5891</v>
      </c>
      <c r="E2710" s="8" t="s">
        <v>13034</v>
      </c>
      <c r="F2710" s="4">
        <v>42832.147986111115</v>
      </c>
      <c r="G2710" s="24" t="s">
        <v>13000</v>
      </c>
      <c r="H2710" s="35" t="s">
        <v>106</v>
      </c>
      <c r="I2710" s="10" t="s">
        <v>3448</v>
      </c>
    </row>
    <row r="2711" spans="1:9" s="33" customFormat="1" ht="75">
      <c r="A2711" s="4">
        <v>43565.729166666672</v>
      </c>
      <c r="B2711" s="5" t="s">
        <v>14890</v>
      </c>
      <c r="C2711" s="6" t="s">
        <v>3571</v>
      </c>
      <c r="D2711" s="7" t="s">
        <v>5930</v>
      </c>
      <c r="E2711" s="8" t="s">
        <v>13034</v>
      </c>
      <c r="F2711" s="4">
        <v>43265.764976851853</v>
      </c>
      <c r="G2711" s="24" t="s">
        <v>13000</v>
      </c>
      <c r="H2711" s="35" t="s">
        <v>106</v>
      </c>
      <c r="I2711" s="10" t="s">
        <v>3573</v>
      </c>
    </row>
    <row r="2712" spans="1:9" s="33" customFormat="1" ht="75">
      <c r="A2712" s="4">
        <v>43565.687534722223</v>
      </c>
      <c r="B2712" s="5" t="s">
        <v>14886</v>
      </c>
      <c r="C2712" s="6" t="s">
        <v>3446</v>
      </c>
      <c r="D2712" s="7" t="s">
        <v>5340</v>
      </c>
      <c r="E2712" s="8" t="s">
        <v>13034</v>
      </c>
      <c r="F2712" s="4">
        <v>42832.147986111115</v>
      </c>
      <c r="G2712" s="24" t="s">
        <v>13000</v>
      </c>
      <c r="H2712" s="35" t="s">
        <v>106</v>
      </c>
      <c r="I2712" s="10" t="s">
        <v>3448</v>
      </c>
    </row>
    <row r="2713" spans="1:9" s="33" customFormat="1" ht="75">
      <c r="A2713" s="4">
        <v>43565.60429398148</v>
      </c>
      <c r="B2713" s="5" t="s">
        <v>14890</v>
      </c>
      <c r="C2713" s="6" t="s">
        <v>3571</v>
      </c>
      <c r="D2713" s="7" t="s">
        <v>6000</v>
      </c>
      <c r="E2713" s="8" t="s">
        <v>13034</v>
      </c>
      <c r="F2713" s="4">
        <v>43265.764976851853</v>
      </c>
      <c r="G2713" s="24" t="s">
        <v>13000</v>
      </c>
      <c r="H2713" s="35" t="s">
        <v>106</v>
      </c>
      <c r="I2713" s="10" t="s">
        <v>3573</v>
      </c>
    </row>
    <row r="2714" spans="1:9" s="33" customFormat="1" ht="60">
      <c r="A2714" s="4">
        <v>43565.562546296293</v>
      </c>
      <c r="B2714" s="5" t="s">
        <v>14886</v>
      </c>
      <c r="C2714" s="6" t="s">
        <v>3446</v>
      </c>
      <c r="D2714" s="7" t="s">
        <v>6025</v>
      </c>
      <c r="E2714" s="8" t="s">
        <v>13034</v>
      </c>
      <c r="F2714" s="4">
        <v>42832.147986111115</v>
      </c>
      <c r="G2714" s="24" t="s">
        <v>13000</v>
      </c>
      <c r="H2714" s="35" t="s">
        <v>106</v>
      </c>
      <c r="I2714" s="10" t="s">
        <v>3448</v>
      </c>
    </row>
    <row r="2715" spans="1:9" s="33" customFormat="1" ht="75">
      <c r="A2715" s="4">
        <v>43565.479386574079</v>
      </c>
      <c r="B2715" s="5" t="s">
        <v>14890</v>
      </c>
      <c r="C2715" s="6" t="s">
        <v>3571</v>
      </c>
      <c r="D2715" s="7" t="s">
        <v>6061</v>
      </c>
      <c r="E2715" s="8" t="s">
        <v>13034</v>
      </c>
      <c r="F2715" s="4">
        <v>43265.764976851853</v>
      </c>
      <c r="G2715" s="24" t="s">
        <v>13000</v>
      </c>
      <c r="H2715" s="35" t="s">
        <v>106</v>
      </c>
      <c r="I2715" s="10" t="s">
        <v>3573</v>
      </c>
    </row>
    <row r="2716" spans="1:9" s="33" customFormat="1" ht="90">
      <c r="A2716" s="4">
        <v>43565.462384259255</v>
      </c>
      <c r="B2716" s="5" t="s">
        <v>14884</v>
      </c>
      <c r="C2716" s="6" t="s">
        <v>108</v>
      </c>
      <c r="D2716" s="7" t="s">
        <v>6070</v>
      </c>
      <c r="E2716" s="8" t="s">
        <v>13011</v>
      </c>
      <c r="F2716" s="4">
        <v>43182.268159722225</v>
      </c>
      <c r="G2716" s="24" t="s">
        <v>13000</v>
      </c>
      <c r="H2716" s="35" t="s">
        <v>106</v>
      </c>
      <c r="I2716" s="10" t="s">
        <v>110</v>
      </c>
    </row>
    <row r="2717" spans="1:9" s="33" customFormat="1" ht="75">
      <c r="A2717" s="4">
        <v>43565.43751157407</v>
      </c>
      <c r="B2717" s="5" t="s">
        <v>14886</v>
      </c>
      <c r="C2717" s="6" t="s">
        <v>3446</v>
      </c>
      <c r="D2717" s="7" t="s">
        <v>6091</v>
      </c>
      <c r="E2717" s="8" t="s">
        <v>13034</v>
      </c>
      <c r="F2717" s="4">
        <v>42832.147986111115</v>
      </c>
      <c r="G2717" s="24" t="s">
        <v>13000</v>
      </c>
      <c r="H2717" s="35" t="s">
        <v>106</v>
      </c>
      <c r="I2717" s="10" t="s">
        <v>3448</v>
      </c>
    </row>
    <row r="2718" spans="1:9" s="33" customFormat="1" ht="105">
      <c r="A2718" s="4">
        <v>43565.41978009259</v>
      </c>
      <c r="B2718" s="5" t="s">
        <v>14889</v>
      </c>
      <c r="C2718" s="6" t="s">
        <v>2560</v>
      </c>
      <c r="D2718" s="7" t="s">
        <v>6099</v>
      </c>
      <c r="E2718" s="8" t="s">
        <v>13443</v>
      </c>
      <c r="F2718" s="4">
        <v>42893.499884259261</v>
      </c>
      <c r="G2718" s="24" t="s">
        <v>13000</v>
      </c>
      <c r="H2718" s="35" t="s">
        <v>106</v>
      </c>
      <c r="I2718" s="10" t="s">
        <v>2562</v>
      </c>
    </row>
    <row r="2719" spans="1:9" s="33" customFormat="1" ht="75">
      <c r="A2719" s="4">
        <v>43565.354467592595</v>
      </c>
      <c r="B2719" s="5" t="s">
        <v>14890</v>
      </c>
      <c r="C2719" s="6" t="s">
        <v>3571</v>
      </c>
      <c r="D2719" s="7" t="s">
        <v>6147</v>
      </c>
      <c r="E2719" s="8" t="s">
        <v>13034</v>
      </c>
      <c r="F2719" s="4">
        <v>43265.764976851853</v>
      </c>
      <c r="G2719" s="24" t="s">
        <v>13000</v>
      </c>
      <c r="H2719" s="35" t="s">
        <v>106</v>
      </c>
      <c r="I2719" s="10" t="s">
        <v>3573</v>
      </c>
    </row>
    <row r="2720" spans="1:9" s="33" customFormat="1" ht="90">
      <c r="A2720" s="4">
        <v>43565.312939814816</v>
      </c>
      <c r="B2720" s="5" t="s">
        <v>14886</v>
      </c>
      <c r="C2720" s="6" t="s">
        <v>3446</v>
      </c>
      <c r="D2720" s="7" t="s">
        <v>6183</v>
      </c>
      <c r="E2720" s="8" t="s">
        <v>13034</v>
      </c>
      <c r="F2720" s="4">
        <v>42832.147986111115</v>
      </c>
      <c r="G2720" s="24" t="s">
        <v>13000</v>
      </c>
      <c r="H2720" s="35" t="s">
        <v>106</v>
      </c>
      <c r="I2720" s="10" t="s">
        <v>3448</v>
      </c>
    </row>
    <row r="2721" spans="1:9" s="33" customFormat="1" ht="75">
      <c r="A2721" s="4">
        <v>43565.125092592592</v>
      </c>
      <c r="B2721" s="5" t="s">
        <v>14890</v>
      </c>
      <c r="C2721" s="6" t="s">
        <v>3571</v>
      </c>
      <c r="D2721" s="7" t="s">
        <v>5891</v>
      </c>
      <c r="E2721" s="8" t="s">
        <v>13034</v>
      </c>
      <c r="F2721" s="4">
        <v>43265.764976851853</v>
      </c>
      <c r="G2721" s="24" t="s">
        <v>13000</v>
      </c>
      <c r="H2721" s="35" t="s">
        <v>106</v>
      </c>
      <c r="I2721" s="10" t="s">
        <v>3573</v>
      </c>
    </row>
    <row r="2722" spans="1:9" s="33" customFormat="1" ht="75">
      <c r="A2722" s="4">
        <v>43565.083518518513</v>
      </c>
      <c r="B2722" s="5" t="s">
        <v>14886</v>
      </c>
      <c r="C2722" s="6" t="s">
        <v>3446</v>
      </c>
      <c r="D2722" s="7" t="s">
        <v>5429</v>
      </c>
      <c r="E2722" s="8" t="s">
        <v>13034</v>
      </c>
      <c r="F2722" s="4">
        <v>42832.147986111115</v>
      </c>
      <c r="G2722" s="24" t="s">
        <v>13000</v>
      </c>
      <c r="H2722" s="35" t="s">
        <v>106</v>
      </c>
      <c r="I2722" s="10" t="s">
        <v>3448</v>
      </c>
    </row>
    <row r="2723" spans="1:9" s="33" customFormat="1" ht="60">
      <c r="A2723" s="4">
        <v>43565.000069444446</v>
      </c>
      <c r="B2723" s="5" t="s">
        <v>14890</v>
      </c>
      <c r="C2723" s="6" t="s">
        <v>3571</v>
      </c>
      <c r="D2723" s="7" t="s">
        <v>6346</v>
      </c>
      <c r="E2723" s="8" t="s">
        <v>13034</v>
      </c>
      <c r="F2723" s="4">
        <v>43265.764976851853</v>
      </c>
      <c r="G2723" s="24" t="s">
        <v>13000</v>
      </c>
      <c r="H2723" s="35" t="s">
        <v>106</v>
      </c>
      <c r="I2723" s="10" t="s">
        <v>3573</v>
      </c>
    </row>
    <row r="2724" spans="1:9" s="33" customFormat="1" ht="60">
      <c r="A2724" s="4">
        <v>43564.958391203705</v>
      </c>
      <c r="B2724" s="5" t="s">
        <v>14886</v>
      </c>
      <c r="C2724" s="6" t="s">
        <v>3446</v>
      </c>
      <c r="D2724" s="7" t="s">
        <v>6371</v>
      </c>
      <c r="E2724" s="8" t="s">
        <v>13034</v>
      </c>
      <c r="F2724" s="4">
        <v>42832.147986111115</v>
      </c>
      <c r="G2724" s="24" t="s">
        <v>13000</v>
      </c>
      <c r="H2724" s="35" t="s">
        <v>106</v>
      </c>
      <c r="I2724" s="10" t="s">
        <v>3448</v>
      </c>
    </row>
    <row r="2725" spans="1:9" s="33" customFormat="1" ht="75">
      <c r="A2725" s="4">
        <v>43564.93350694445</v>
      </c>
      <c r="B2725" s="5" t="s">
        <v>14901</v>
      </c>
      <c r="C2725" s="6" t="s">
        <v>3474</v>
      </c>
      <c r="D2725" s="7" t="s">
        <v>6378</v>
      </c>
      <c r="E2725" s="8" t="s">
        <v>13009</v>
      </c>
      <c r="F2725" s="4">
        <v>43405.153368055559</v>
      </c>
      <c r="G2725" s="24" t="s">
        <v>13000</v>
      </c>
      <c r="H2725" s="35" t="s">
        <v>106</v>
      </c>
      <c r="I2725" s="10" t="s">
        <v>3476</v>
      </c>
    </row>
    <row r="2726" spans="1:9" s="33" customFormat="1" ht="60">
      <c r="A2726" s="4">
        <v>43564.875</v>
      </c>
      <c r="B2726" s="5" t="s">
        <v>14890</v>
      </c>
      <c r="C2726" s="6" t="s">
        <v>3571</v>
      </c>
      <c r="D2726" s="7" t="s">
        <v>6391</v>
      </c>
      <c r="E2726" s="8" t="s">
        <v>13034</v>
      </c>
      <c r="F2726" s="4">
        <v>43265.764976851853</v>
      </c>
      <c r="G2726" s="24" t="s">
        <v>13000</v>
      </c>
      <c r="H2726" s="35" t="s">
        <v>106</v>
      </c>
      <c r="I2726" s="10" t="s">
        <v>3573</v>
      </c>
    </row>
    <row r="2727" spans="1:9" s="33" customFormat="1" ht="75">
      <c r="A2727" s="4">
        <v>43564.833344907413</v>
      </c>
      <c r="B2727" s="5" t="s">
        <v>14886</v>
      </c>
      <c r="C2727" s="6" t="s">
        <v>3446</v>
      </c>
      <c r="D2727" s="7" t="s">
        <v>6400</v>
      </c>
      <c r="E2727" s="8" t="s">
        <v>13034</v>
      </c>
      <c r="F2727" s="4">
        <v>42832.147986111115</v>
      </c>
      <c r="G2727" s="24" t="s">
        <v>13000</v>
      </c>
      <c r="H2727" s="35" t="s">
        <v>106</v>
      </c>
      <c r="I2727" s="10" t="s">
        <v>3448</v>
      </c>
    </row>
    <row r="2728" spans="1:9" s="33" customFormat="1" ht="120">
      <c r="A2728" s="4">
        <v>43564.754432870366</v>
      </c>
      <c r="B2728" s="5" t="s">
        <v>14902</v>
      </c>
      <c r="C2728" s="6" t="s">
        <v>6428</v>
      </c>
      <c r="D2728" s="7" t="s">
        <v>6429</v>
      </c>
      <c r="E2728" s="8" t="s">
        <v>13013</v>
      </c>
      <c r="F2728" s="4">
        <v>40792.383206018516</v>
      </c>
      <c r="G2728" s="24" t="s">
        <v>13000</v>
      </c>
      <c r="H2728" s="35" t="s">
        <v>106</v>
      </c>
      <c r="I2728" s="10" t="s">
        <v>6430</v>
      </c>
    </row>
    <row r="2729" spans="1:9" s="33" customFormat="1" ht="75">
      <c r="A2729" s="4">
        <v>43564.750590277778</v>
      </c>
      <c r="B2729" s="5" t="s">
        <v>14890</v>
      </c>
      <c r="C2729" s="6" t="s">
        <v>3571</v>
      </c>
      <c r="D2729" s="7" t="s">
        <v>6435</v>
      </c>
      <c r="E2729" s="8" t="s">
        <v>13034</v>
      </c>
      <c r="F2729" s="4">
        <v>43265.764976851853</v>
      </c>
      <c r="G2729" s="24" t="s">
        <v>13000</v>
      </c>
      <c r="H2729" s="35" t="s">
        <v>106</v>
      </c>
      <c r="I2729" s="10" t="s">
        <v>3573</v>
      </c>
    </row>
    <row r="2730" spans="1:9" s="33" customFormat="1" ht="60">
      <c r="A2730" s="4">
        <v>43564.708333333328</v>
      </c>
      <c r="B2730" s="5" t="s">
        <v>14886</v>
      </c>
      <c r="C2730" s="6" t="s">
        <v>3446</v>
      </c>
      <c r="D2730" s="7" t="s">
        <v>6450</v>
      </c>
      <c r="E2730" s="8" t="s">
        <v>13034</v>
      </c>
      <c r="F2730" s="4">
        <v>42832.147986111115</v>
      </c>
      <c r="G2730" s="24" t="s">
        <v>13000</v>
      </c>
      <c r="H2730" s="35" t="s">
        <v>106</v>
      </c>
      <c r="I2730" s="10" t="s">
        <v>3448</v>
      </c>
    </row>
    <row r="2731" spans="1:9" s="33" customFormat="1" ht="75">
      <c r="A2731" s="4">
        <v>43564.625150462962</v>
      </c>
      <c r="B2731" s="5" t="s">
        <v>14890</v>
      </c>
      <c r="C2731" s="6" t="s">
        <v>3571</v>
      </c>
      <c r="D2731" s="7" t="s">
        <v>6491</v>
      </c>
      <c r="E2731" s="8" t="s">
        <v>13034</v>
      </c>
      <c r="F2731" s="4">
        <v>43265.764976851853</v>
      </c>
      <c r="G2731" s="24" t="s">
        <v>13000</v>
      </c>
      <c r="H2731" s="35" t="s">
        <v>106</v>
      </c>
      <c r="I2731" s="10" t="s">
        <v>3573</v>
      </c>
    </row>
    <row r="2732" spans="1:9" s="33" customFormat="1" ht="105">
      <c r="A2732" s="4">
        <v>43564.615960648152</v>
      </c>
      <c r="B2732" s="5" t="s">
        <v>14889</v>
      </c>
      <c r="C2732" s="6" t="s">
        <v>2560</v>
      </c>
      <c r="D2732" s="7" t="s">
        <v>6503</v>
      </c>
      <c r="E2732" s="8" t="s">
        <v>13443</v>
      </c>
      <c r="F2732" s="4">
        <v>42893.499884259261</v>
      </c>
      <c r="G2732" s="24" t="s">
        <v>13000</v>
      </c>
      <c r="H2732" s="35" t="s">
        <v>106</v>
      </c>
      <c r="I2732" s="10" t="s">
        <v>2562</v>
      </c>
    </row>
    <row r="2733" spans="1:9" s="33" customFormat="1" ht="75">
      <c r="A2733" s="4">
        <v>43564.583993055552</v>
      </c>
      <c r="B2733" s="5" t="s">
        <v>14886</v>
      </c>
      <c r="C2733" s="6" t="s">
        <v>3446</v>
      </c>
      <c r="D2733" s="7" t="s">
        <v>6535</v>
      </c>
      <c r="E2733" s="8" t="s">
        <v>13034</v>
      </c>
      <c r="F2733" s="4">
        <v>42832.147986111115</v>
      </c>
      <c r="G2733" s="24" t="s">
        <v>13000</v>
      </c>
      <c r="H2733" s="35" t="s">
        <v>106</v>
      </c>
      <c r="I2733" s="10" t="s">
        <v>3448</v>
      </c>
    </row>
    <row r="2734" spans="1:9" s="33" customFormat="1" ht="75">
      <c r="A2734" s="4">
        <v>43564.500405092593</v>
      </c>
      <c r="B2734" s="5" t="s">
        <v>14890</v>
      </c>
      <c r="C2734" s="6" t="s">
        <v>3571</v>
      </c>
      <c r="D2734" s="7" t="s">
        <v>6580</v>
      </c>
      <c r="E2734" s="8" t="s">
        <v>13034</v>
      </c>
      <c r="F2734" s="4">
        <v>43265.764976851853</v>
      </c>
      <c r="G2734" s="24" t="s">
        <v>13000</v>
      </c>
      <c r="H2734" s="35" t="s">
        <v>106</v>
      </c>
      <c r="I2734" s="10" t="s">
        <v>3573</v>
      </c>
    </row>
    <row r="2735" spans="1:9" s="33" customFormat="1" ht="75">
      <c r="A2735" s="4">
        <v>43564.45857638889</v>
      </c>
      <c r="B2735" s="5" t="s">
        <v>14886</v>
      </c>
      <c r="C2735" s="6" t="s">
        <v>3446</v>
      </c>
      <c r="D2735" s="7" t="s">
        <v>6601</v>
      </c>
      <c r="E2735" s="8" t="s">
        <v>13034</v>
      </c>
      <c r="F2735" s="4">
        <v>42832.147986111115</v>
      </c>
      <c r="G2735" s="24" t="s">
        <v>13000</v>
      </c>
      <c r="H2735" s="35" t="s">
        <v>106</v>
      </c>
      <c r="I2735" s="10" t="s">
        <v>3448</v>
      </c>
    </row>
    <row r="2736" spans="1:9" s="33" customFormat="1" ht="90">
      <c r="A2736" s="4">
        <v>43564.249074074076</v>
      </c>
      <c r="B2736" s="5" t="s">
        <v>14884</v>
      </c>
      <c r="C2736" s="6" t="s">
        <v>108</v>
      </c>
      <c r="D2736" s="7" t="s">
        <v>6722</v>
      </c>
      <c r="E2736" s="8" t="s">
        <v>13011</v>
      </c>
      <c r="F2736" s="4">
        <v>43182.268159722225</v>
      </c>
      <c r="G2736" s="24" t="s">
        <v>13000</v>
      </c>
      <c r="H2736" s="35" t="s">
        <v>106</v>
      </c>
      <c r="I2736" s="10" t="s">
        <v>110</v>
      </c>
    </row>
    <row r="2737" spans="1:9" s="33" customFormat="1" ht="90">
      <c r="A2737" s="4">
        <v>43563.97729166667</v>
      </c>
      <c r="B2737" s="5" t="s">
        <v>14901</v>
      </c>
      <c r="C2737" s="6" t="s">
        <v>3474</v>
      </c>
      <c r="D2737" s="7" t="s">
        <v>6838</v>
      </c>
      <c r="E2737" s="8" t="s">
        <v>13009</v>
      </c>
      <c r="F2737" s="4">
        <v>43405.153368055559</v>
      </c>
      <c r="G2737" s="24" t="s">
        <v>13000</v>
      </c>
      <c r="H2737" s="35" t="s">
        <v>106</v>
      </c>
      <c r="I2737" s="10" t="s">
        <v>3476</v>
      </c>
    </row>
    <row r="2738" spans="1:9" s="33" customFormat="1" ht="75">
      <c r="A2738" s="4">
        <v>43563.85423611111</v>
      </c>
      <c r="B2738" s="5" t="s">
        <v>14890</v>
      </c>
      <c r="C2738" s="6" t="s">
        <v>3571</v>
      </c>
      <c r="D2738" s="7" t="s">
        <v>6859</v>
      </c>
      <c r="E2738" s="8" t="s">
        <v>13034</v>
      </c>
      <c r="F2738" s="4">
        <v>43265.764976851853</v>
      </c>
      <c r="G2738" s="24" t="s">
        <v>13000</v>
      </c>
      <c r="H2738" s="35" t="s">
        <v>106</v>
      </c>
      <c r="I2738" s="10" t="s">
        <v>3573</v>
      </c>
    </row>
    <row r="2739" spans="1:9" s="33" customFormat="1" ht="75">
      <c r="A2739" s="4">
        <v>43563.819178240738</v>
      </c>
      <c r="B2739" s="5" t="s">
        <v>14885</v>
      </c>
      <c r="C2739" s="6" t="s">
        <v>5740</v>
      </c>
      <c r="D2739" s="7" t="s">
        <v>6870</v>
      </c>
      <c r="E2739" s="8" t="s">
        <v>13013</v>
      </c>
      <c r="F2739" s="4">
        <v>39898.878032407403</v>
      </c>
      <c r="G2739" s="24" t="s">
        <v>13000</v>
      </c>
      <c r="H2739" s="35" t="s">
        <v>106</v>
      </c>
      <c r="I2739" s="10" t="s">
        <v>5742</v>
      </c>
    </row>
    <row r="2740" spans="1:9" s="33" customFormat="1" ht="75">
      <c r="A2740" s="4">
        <v>43563.812581018516</v>
      </c>
      <c r="B2740" s="5" t="s">
        <v>14886</v>
      </c>
      <c r="C2740" s="6" t="s">
        <v>3446</v>
      </c>
      <c r="D2740" s="7" t="s">
        <v>6872</v>
      </c>
      <c r="E2740" s="8" t="s">
        <v>13034</v>
      </c>
      <c r="F2740" s="4">
        <v>42832.147986111115</v>
      </c>
      <c r="G2740" s="24" t="s">
        <v>13000</v>
      </c>
      <c r="H2740" s="35" t="s">
        <v>106</v>
      </c>
      <c r="I2740" s="10" t="s">
        <v>3448</v>
      </c>
    </row>
    <row r="2741" spans="1:9" s="33" customFormat="1" ht="75">
      <c r="A2741" s="4">
        <v>43563.72928240741</v>
      </c>
      <c r="B2741" s="5" t="s">
        <v>14890</v>
      </c>
      <c r="C2741" s="6" t="s">
        <v>3571</v>
      </c>
      <c r="D2741" s="7" t="s">
        <v>6061</v>
      </c>
      <c r="E2741" s="8" t="s">
        <v>13034</v>
      </c>
      <c r="F2741" s="4">
        <v>43265.764976851853</v>
      </c>
      <c r="G2741" s="24" t="s">
        <v>13000</v>
      </c>
      <c r="H2741" s="35" t="s">
        <v>106</v>
      </c>
      <c r="I2741" s="10" t="s">
        <v>3573</v>
      </c>
    </row>
    <row r="2742" spans="1:9" s="33" customFormat="1" ht="60">
      <c r="A2742" s="4">
        <v>43563.729259259257</v>
      </c>
      <c r="B2742" s="5" t="s">
        <v>14886</v>
      </c>
      <c r="C2742" s="6" t="s">
        <v>3446</v>
      </c>
      <c r="D2742" s="7" t="s">
        <v>6911</v>
      </c>
      <c r="E2742" s="8" t="s">
        <v>13034</v>
      </c>
      <c r="F2742" s="4">
        <v>42832.147986111115</v>
      </c>
      <c r="G2742" s="24" t="s">
        <v>13000</v>
      </c>
      <c r="H2742" s="35" t="s">
        <v>106</v>
      </c>
      <c r="I2742" s="10" t="s">
        <v>3448</v>
      </c>
    </row>
    <row r="2743" spans="1:9" s="33" customFormat="1" ht="75">
      <c r="A2743" s="4">
        <v>43563.37537037037</v>
      </c>
      <c r="B2743" s="5" t="s">
        <v>14890</v>
      </c>
      <c r="C2743" s="6" t="s">
        <v>3571</v>
      </c>
      <c r="D2743" s="7" t="s">
        <v>10323</v>
      </c>
      <c r="E2743" s="8" t="s">
        <v>13034</v>
      </c>
      <c r="F2743" s="4">
        <v>43265.764976851853</v>
      </c>
      <c r="G2743" s="24" t="s">
        <v>13000</v>
      </c>
      <c r="H2743" s="35" t="s">
        <v>106</v>
      </c>
      <c r="I2743" s="10" t="s">
        <v>3573</v>
      </c>
    </row>
    <row r="2744" spans="1:9" s="33" customFormat="1" ht="105">
      <c r="A2744" s="4">
        <v>43563.369432870371</v>
      </c>
      <c r="B2744" s="5" t="s">
        <v>14903</v>
      </c>
      <c r="C2744" s="6" t="s">
        <v>10329</v>
      </c>
      <c r="D2744" s="7" t="s">
        <v>10330</v>
      </c>
      <c r="E2744" s="8" t="s">
        <v>13015</v>
      </c>
      <c r="F2744" s="4">
        <v>40269.755636574075</v>
      </c>
      <c r="G2744" s="24" t="s">
        <v>13000</v>
      </c>
      <c r="H2744" s="35" t="s">
        <v>106</v>
      </c>
      <c r="I2744" s="10" t="s">
        <v>10331</v>
      </c>
    </row>
    <row r="2745" spans="1:9" s="33" customFormat="1" ht="105">
      <c r="A2745" s="4">
        <v>43563.292361111111</v>
      </c>
      <c r="B2745" s="5" t="s">
        <v>14889</v>
      </c>
      <c r="C2745" s="6" t="s">
        <v>2560</v>
      </c>
      <c r="D2745" s="7" t="s">
        <v>10394</v>
      </c>
      <c r="E2745" s="8" t="s">
        <v>13443</v>
      </c>
      <c r="F2745" s="4">
        <v>42893.499884259261</v>
      </c>
      <c r="G2745" s="24" t="s">
        <v>13000</v>
      </c>
      <c r="H2745" s="35" t="s">
        <v>106</v>
      </c>
      <c r="I2745" s="10" t="s">
        <v>2562</v>
      </c>
    </row>
    <row r="2746" spans="1:9" s="33" customFormat="1" ht="75">
      <c r="A2746" s="4">
        <v>43563.292268518519</v>
      </c>
      <c r="B2746" s="5" t="s">
        <v>14886</v>
      </c>
      <c r="C2746" s="6" t="s">
        <v>3446</v>
      </c>
      <c r="D2746" s="7" t="s">
        <v>10395</v>
      </c>
      <c r="E2746" s="8" t="s">
        <v>13034</v>
      </c>
      <c r="F2746" s="4">
        <v>42832.147986111115</v>
      </c>
      <c r="G2746" s="24" t="s">
        <v>13000</v>
      </c>
      <c r="H2746" s="35" t="s">
        <v>106</v>
      </c>
      <c r="I2746" s="10" t="s">
        <v>3448</v>
      </c>
    </row>
    <row r="2747" spans="1:9" s="33" customFormat="1" ht="75">
      <c r="A2747" s="4">
        <v>43563.208668981482</v>
      </c>
      <c r="B2747" s="5" t="s">
        <v>14890</v>
      </c>
      <c r="C2747" s="6" t="s">
        <v>3571</v>
      </c>
      <c r="D2747" s="7" t="s">
        <v>10434</v>
      </c>
      <c r="E2747" s="8" t="s">
        <v>13034</v>
      </c>
      <c r="F2747" s="4">
        <v>43265.764976851853</v>
      </c>
      <c r="G2747" s="24" t="s">
        <v>13000</v>
      </c>
      <c r="H2747" s="35" t="s">
        <v>106</v>
      </c>
      <c r="I2747" s="10" t="s">
        <v>3573</v>
      </c>
    </row>
    <row r="2748" spans="1:9" s="33" customFormat="1" ht="60">
      <c r="A2748" s="4">
        <v>43563.166678240741</v>
      </c>
      <c r="B2748" s="5" t="s">
        <v>14886</v>
      </c>
      <c r="C2748" s="6" t="s">
        <v>3446</v>
      </c>
      <c r="D2748" s="7" t="s">
        <v>10448</v>
      </c>
      <c r="E2748" s="8" t="s">
        <v>13034</v>
      </c>
      <c r="F2748" s="4">
        <v>42832.147986111115</v>
      </c>
      <c r="G2748" s="24" t="s">
        <v>13000</v>
      </c>
      <c r="H2748" s="35" t="s">
        <v>106</v>
      </c>
      <c r="I2748" s="10" t="s">
        <v>3448</v>
      </c>
    </row>
    <row r="2749" spans="1:9" s="33" customFormat="1" ht="75">
      <c r="A2749" s="4">
        <v>43563.083553240736</v>
      </c>
      <c r="B2749" s="5" t="s">
        <v>14890</v>
      </c>
      <c r="C2749" s="6" t="s">
        <v>3571</v>
      </c>
      <c r="D2749" s="7" t="s">
        <v>5340</v>
      </c>
      <c r="E2749" s="8" t="s">
        <v>13034</v>
      </c>
      <c r="F2749" s="4">
        <v>43265.764976851853</v>
      </c>
      <c r="G2749" s="24" t="s">
        <v>13000</v>
      </c>
      <c r="H2749" s="35" t="s">
        <v>106</v>
      </c>
      <c r="I2749" s="10" t="s">
        <v>3573</v>
      </c>
    </row>
    <row r="2750" spans="1:9" s="33" customFormat="1" ht="75">
      <c r="A2750" s="4">
        <v>43563.041817129633</v>
      </c>
      <c r="B2750" s="5" t="s">
        <v>14886</v>
      </c>
      <c r="C2750" s="6" t="s">
        <v>3446</v>
      </c>
      <c r="D2750" s="7" t="s">
        <v>10492</v>
      </c>
      <c r="E2750" s="8" t="s">
        <v>13034</v>
      </c>
      <c r="F2750" s="4">
        <v>42832.147986111115</v>
      </c>
      <c r="G2750" s="24" t="s">
        <v>13000</v>
      </c>
      <c r="H2750" s="35" t="s">
        <v>106</v>
      </c>
      <c r="I2750" s="10" t="s">
        <v>3448</v>
      </c>
    </row>
    <row r="2751" spans="1:9" s="33" customFormat="1" ht="75">
      <c r="A2751" s="4">
        <v>43562.958472222221</v>
      </c>
      <c r="B2751" s="5" t="s">
        <v>14890</v>
      </c>
      <c r="C2751" s="6" t="s">
        <v>3571</v>
      </c>
      <c r="D2751" s="7" t="s">
        <v>10529</v>
      </c>
      <c r="E2751" s="8" t="s">
        <v>13034</v>
      </c>
      <c r="F2751" s="4">
        <v>43265.764976851853</v>
      </c>
      <c r="G2751" s="24" t="s">
        <v>13000</v>
      </c>
      <c r="H2751" s="35" t="s">
        <v>106</v>
      </c>
      <c r="I2751" s="10" t="s">
        <v>3573</v>
      </c>
    </row>
    <row r="2752" spans="1:9" s="33" customFormat="1" ht="75">
      <c r="A2752" s="4">
        <v>43562.916759259257</v>
      </c>
      <c r="B2752" s="5" t="s">
        <v>14886</v>
      </c>
      <c r="C2752" s="6" t="s">
        <v>3446</v>
      </c>
      <c r="D2752" s="7" t="s">
        <v>10549</v>
      </c>
      <c r="E2752" s="8" t="s">
        <v>13034</v>
      </c>
      <c r="F2752" s="4">
        <v>42832.147986111115</v>
      </c>
      <c r="G2752" s="24" t="s">
        <v>13000</v>
      </c>
      <c r="H2752" s="35" t="s">
        <v>106</v>
      </c>
      <c r="I2752" s="10" t="s">
        <v>3448</v>
      </c>
    </row>
    <row r="2753" spans="1:9" s="33" customFormat="1" ht="120">
      <c r="A2753" s="4">
        <v>43562.787025462967</v>
      </c>
      <c r="B2753" s="5" t="s">
        <v>14887</v>
      </c>
      <c r="C2753" s="6" t="s">
        <v>1971</v>
      </c>
      <c r="D2753" s="7" t="s">
        <v>10585</v>
      </c>
      <c r="E2753" s="8" t="s">
        <v>13032</v>
      </c>
      <c r="F2753" s="4">
        <v>39997.894976851851</v>
      </c>
      <c r="G2753" s="24" t="s">
        <v>13000</v>
      </c>
      <c r="H2753" s="35" t="s">
        <v>106</v>
      </c>
      <c r="I2753" s="10" t="s">
        <v>1973</v>
      </c>
    </row>
    <row r="2754" spans="1:9" s="33" customFormat="1" ht="120">
      <c r="A2754" s="4">
        <v>43562.785844907412</v>
      </c>
      <c r="B2754" s="5" t="s">
        <v>14887</v>
      </c>
      <c r="C2754" s="6" t="s">
        <v>1971</v>
      </c>
      <c r="D2754" s="7" t="s">
        <v>10587</v>
      </c>
      <c r="E2754" s="8" t="s">
        <v>13032</v>
      </c>
      <c r="F2754" s="4">
        <v>39997.894976851851</v>
      </c>
      <c r="G2754" s="24" t="s">
        <v>13000</v>
      </c>
      <c r="H2754" s="35" t="s">
        <v>106</v>
      </c>
      <c r="I2754" s="10" t="s">
        <v>1973</v>
      </c>
    </row>
    <row r="2755" spans="1:9" s="33" customFormat="1" ht="45">
      <c r="A2755" s="4">
        <v>43562.633969907409</v>
      </c>
      <c r="B2755" s="5" t="s">
        <v>14904</v>
      </c>
      <c r="C2755" s="6" t="s">
        <v>10632</v>
      </c>
      <c r="D2755" s="7" t="s">
        <v>10633</v>
      </c>
      <c r="E2755" s="8" t="s">
        <v>13011</v>
      </c>
      <c r="F2755" s="4">
        <v>43562.511249999996</v>
      </c>
      <c r="G2755" s="24" t="s">
        <v>13000</v>
      </c>
      <c r="H2755" s="35" t="s">
        <v>106</v>
      </c>
      <c r="I2755" s="10"/>
    </row>
    <row r="2756" spans="1:9" s="33" customFormat="1" ht="75">
      <c r="A2756" s="4">
        <v>43562.54210648148</v>
      </c>
      <c r="B2756" s="5" t="s">
        <v>14888</v>
      </c>
      <c r="C2756" s="6" t="s">
        <v>1717</v>
      </c>
      <c r="D2756" s="7" t="s">
        <v>10653</v>
      </c>
      <c r="E2756" s="8" t="s">
        <v>13009</v>
      </c>
      <c r="F2756" s="4">
        <v>42574.170451388884</v>
      </c>
      <c r="G2756" s="24" t="s">
        <v>13000</v>
      </c>
      <c r="H2756" s="35" t="s">
        <v>106</v>
      </c>
      <c r="I2756" s="10" t="s">
        <v>1719</v>
      </c>
    </row>
    <row r="2757" spans="1:9" s="33" customFormat="1" ht="75">
      <c r="A2757" s="4">
        <v>43562.354270833333</v>
      </c>
      <c r="B2757" s="5" t="s">
        <v>14890</v>
      </c>
      <c r="C2757" s="6" t="s">
        <v>3571</v>
      </c>
      <c r="D2757" s="7" t="s">
        <v>5891</v>
      </c>
      <c r="E2757" s="8" t="s">
        <v>13034</v>
      </c>
      <c r="F2757" s="4">
        <v>43265.764976851853</v>
      </c>
      <c r="G2757" s="24" t="s">
        <v>13000</v>
      </c>
      <c r="H2757" s="35" t="s">
        <v>106</v>
      </c>
      <c r="I2757" s="10" t="s">
        <v>3573</v>
      </c>
    </row>
    <row r="2758" spans="1:9" s="33" customFormat="1" ht="75">
      <c r="A2758" s="4">
        <v>43562.312581018516</v>
      </c>
      <c r="B2758" s="5" t="s">
        <v>14886</v>
      </c>
      <c r="C2758" s="6" t="s">
        <v>3446</v>
      </c>
      <c r="D2758" s="7" t="s">
        <v>10708</v>
      </c>
      <c r="E2758" s="8" t="s">
        <v>13034</v>
      </c>
      <c r="F2758" s="4">
        <v>42832.147986111115</v>
      </c>
      <c r="G2758" s="24" t="s">
        <v>13000</v>
      </c>
      <c r="H2758" s="35" t="s">
        <v>106</v>
      </c>
      <c r="I2758" s="10" t="s">
        <v>3448</v>
      </c>
    </row>
    <row r="2759" spans="1:9" s="33" customFormat="1" ht="60">
      <c r="A2759" s="4">
        <v>43562.229351851856</v>
      </c>
      <c r="B2759" s="5" t="s">
        <v>14890</v>
      </c>
      <c r="C2759" s="6" t="s">
        <v>3571</v>
      </c>
      <c r="D2759" s="7" t="s">
        <v>10723</v>
      </c>
      <c r="E2759" s="8" t="s">
        <v>13034</v>
      </c>
      <c r="F2759" s="4">
        <v>43265.764976851853</v>
      </c>
      <c r="G2759" s="24" t="s">
        <v>13000</v>
      </c>
      <c r="H2759" s="35" t="s">
        <v>106</v>
      </c>
      <c r="I2759" s="10" t="s">
        <v>3573</v>
      </c>
    </row>
    <row r="2760" spans="1:9" s="33" customFormat="1" ht="105">
      <c r="A2760" s="4">
        <v>43562.187835648147</v>
      </c>
      <c r="B2760" s="5" t="s">
        <v>14905</v>
      </c>
      <c r="C2760" s="6" t="s">
        <v>10729</v>
      </c>
      <c r="D2760" s="7" t="s">
        <v>10730</v>
      </c>
      <c r="E2760" s="8" t="s">
        <v>13011</v>
      </c>
      <c r="F2760" s="4">
        <v>39731.494386574072</v>
      </c>
      <c r="G2760" s="24" t="s">
        <v>13000</v>
      </c>
      <c r="H2760" s="35" t="s">
        <v>106</v>
      </c>
      <c r="I2760" s="10" t="s">
        <v>10731</v>
      </c>
    </row>
    <row r="2761" spans="1:9" s="33" customFormat="1" ht="75">
      <c r="A2761" s="4">
        <v>43562.187685185185</v>
      </c>
      <c r="B2761" s="5" t="s">
        <v>14886</v>
      </c>
      <c r="C2761" s="6" t="s">
        <v>3446</v>
      </c>
      <c r="D2761" s="7" t="s">
        <v>5429</v>
      </c>
      <c r="E2761" s="8" t="s">
        <v>13034</v>
      </c>
      <c r="F2761" s="4">
        <v>42832.147986111115</v>
      </c>
      <c r="G2761" s="24" t="s">
        <v>13000</v>
      </c>
      <c r="H2761" s="35" t="s">
        <v>106</v>
      </c>
      <c r="I2761" s="10" t="s">
        <v>3448</v>
      </c>
    </row>
    <row r="2762" spans="1:9" s="33" customFormat="1" ht="75">
      <c r="A2762" s="4">
        <v>43562.104212962964</v>
      </c>
      <c r="B2762" s="5" t="s">
        <v>14890</v>
      </c>
      <c r="C2762" s="6" t="s">
        <v>3571</v>
      </c>
      <c r="D2762" s="7" t="s">
        <v>10751</v>
      </c>
      <c r="E2762" s="8" t="s">
        <v>13034</v>
      </c>
      <c r="F2762" s="4">
        <v>43265.764976851853</v>
      </c>
      <c r="G2762" s="24" t="s">
        <v>13000</v>
      </c>
      <c r="H2762" s="35" t="s">
        <v>106</v>
      </c>
      <c r="I2762" s="10" t="s">
        <v>3573</v>
      </c>
    </row>
    <row r="2763" spans="1:9" s="33" customFormat="1" ht="75">
      <c r="A2763" s="4">
        <v>43562.062534722223</v>
      </c>
      <c r="B2763" s="5" t="s">
        <v>14886</v>
      </c>
      <c r="C2763" s="6" t="s">
        <v>3446</v>
      </c>
      <c r="D2763" s="7" t="s">
        <v>5515</v>
      </c>
      <c r="E2763" s="8" t="s">
        <v>13034</v>
      </c>
      <c r="F2763" s="4">
        <v>42832.147986111115</v>
      </c>
      <c r="G2763" s="24" t="s">
        <v>13000</v>
      </c>
      <c r="H2763" s="35" t="s">
        <v>106</v>
      </c>
      <c r="I2763" s="10" t="s">
        <v>3448</v>
      </c>
    </row>
    <row r="2764" spans="1:9" s="33" customFormat="1" ht="75">
      <c r="A2764" s="4">
        <v>43561.524027777778</v>
      </c>
      <c r="B2764" s="5" t="s">
        <v>14884</v>
      </c>
      <c r="C2764" s="6" t="s">
        <v>108</v>
      </c>
      <c r="D2764" s="7" t="s">
        <v>10947</v>
      </c>
      <c r="E2764" s="8" t="s">
        <v>13011</v>
      </c>
      <c r="F2764" s="4">
        <v>43182.268159722225</v>
      </c>
      <c r="G2764" s="24" t="s">
        <v>13000</v>
      </c>
      <c r="H2764" s="35" t="s">
        <v>106</v>
      </c>
      <c r="I2764" s="10" t="s">
        <v>110</v>
      </c>
    </row>
    <row r="2765" spans="1:9" s="33" customFormat="1" ht="90">
      <c r="A2765" s="4">
        <v>43561.365405092598</v>
      </c>
      <c r="B2765" s="5" t="s">
        <v>14896</v>
      </c>
      <c r="C2765" s="6" t="s">
        <v>1098</v>
      </c>
      <c r="D2765" s="7" t="s">
        <v>10998</v>
      </c>
      <c r="E2765" s="8" t="s">
        <v>13009</v>
      </c>
      <c r="F2765" s="4">
        <v>41846.565393518518</v>
      </c>
      <c r="G2765" s="24" t="s">
        <v>13000</v>
      </c>
      <c r="H2765" s="35" t="s">
        <v>106</v>
      </c>
      <c r="I2765" s="10" t="s">
        <v>1100</v>
      </c>
    </row>
    <row r="2766" spans="1:9" s="33" customFormat="1" ht="120">
      <c r="A2766" s="4">
        <v>43560.929629629631</v>
      </c>
      <c r="B2766" s="5" t="s">
        <v>14906</v>
      </c>
      <c r="C2766" s="6" t="s">
        <v>11126</v>
      </c>
      <c r="D2766" s="7" t="s">
        <v>11127</v>
      </c>
      <c r="E2766" s="8" t="s">
        <v>13011</v>
      </c>
      <c r="F2766" s="4">
        <v>43317.994432870371</v>
      </c>
      <c r="G2766" s="24" t="s">
        <v>13000</v>
      </c>
      <c r="H2766" s="35" t="s">
        <v>106</v>
      </c>
      <c r="I2766" s="10" t="s">
        <v>11128</v>
      </c>
    </row>
    <row r="2767" spans="1:9" s="33" customFormat="1" ht="105">
      <c r="A2767" s="4">
        <v>43560.773298611108</v>
      </c>
      <c r="B2767" s="5" t="s">
        <v>14907</v>
      </c>
      <c r="C2767" s="6" t="s">
        <v>11174</v>
      </c>
      <c r="D2767" s="7" t="s">
        <v>11175</v>
      </c>
      <c r="E2767" s="8" t="s">
        <v>13011</v>
      </c>
      <c r="F2767" s="4">
        <v>42101.492222222223</v>
      </c>
      <c r="G2767" s="24" t="s">
        <v>13000</v>
      </c>
      <c r="H2767" s="35" t="s">
        <v>106</v>
      </c>
      <c r="I2767" s="10" t="s">
        <v>11176</v>
      </c>
    </row>
    <row r="2768" spans="1:9" s="33" customFormat="1" ht="90">
      <c r="A2768" s="4">
        <v>43560.770914351851</v>
      </c>
      <c r="B2768" s="5" t="s">
        <v>14890</v>
      </c>
      <c r="C2768" s="6" t="s">
        <v>3571</v>
      </c>
      <c r="D2768" s="7" t="s">
        <v>11177</v>
      </c>
      <c r="E2768" s="8" t="s">
        <v>13034</v>
      </c>
      <c r="F2768" s="4">
        <v>43265.764976851853</v>
      </c>
      <c r="G2768" s="24" t="s">
        <v>13000</v>
      </c>
      <c r="H2768" s="35" t="s">
        <v>106</v>
      </c>
      <c r="I2768" s="10" t="s">
        <v>3573</v>
      </c>
    </row>
    <row r="2769" spans="1:9" s="33" customFormat="1" ht="75">
      <c r="A2769" s="4">
        <v>43560.729317129633</v>
      </c>
      <c r="B2769" s="5" t="s">
        <v>14886</v>
      </c>
      <c r="C2769" s="6" t="s">
        <v>3446</v>
      </c>
      <c r="D2769" s="7" t="s">
        <v>5891</v>
      </c>
      <c r="E2769" s="8" t="s">
        <v>13034</v>
      </c>
      <c r="F2769" s="4">
        <v>42832.147986111115</v>
      </c>
      <c r="G2769" s="24" t="s">
        <v>13000</v>
      </c>
      <c r="H2769" s="35" t="s">
        <v>106</v>
      </c>
      <c r="I2769" s="10" t="s">
        <v>3448</v>
      </c>
    </row>
    <row r="2770" spans="1:9" s="33" customFormat="1" ht="75">
      <c r="A2770" s="4">
        <v>43560.646018518513</v>
      </c>
      <c r="B2770" s="5" t="s">
        <v>14890</v>
      </c>
      <c r="C2770" s="6" t="s">
        <v>3571</v>
      </c>
      <c r="D2770" s="7" t="s">
        <v>11232</v>
      </c>
      <c r="E2770" s="8" t="s">
        <v>13034</v>
      </c>
      <c r="F2770" s="4">
        <v>43265.764976851853</v>
      </c>
      <c r="G2770" s="24" t="s">
        <v>13000</v>
      </c>
      <c r="H2770" s="35" t="s">
        <v>106</v>
      </c>
      <c r="I2770" s="10" t="s">
        <v>3573</v>
      </c>
    </row>
    <row r="2771" spans="1:9" s="33" customFormat="1" ht="75">
      <c r="A2771" s="4">
        <v>43560.604178240741</v>
      </c>
      <c r="B2771" s="5" t="s">
        <v>14886</v>
      </c>
      <c r="C2771" s="6" t="s">
        <v>3446</v>
      </c>
      <c r="D2771" s="7" t="s">
        <v>11258</v>
      </c>
      <c r="E2771" s="8" t="s">
        <v>13034</v>
      </c>
      <c r="F2771" s="4">
        <v>42832.147986111115</v>
      </c>
      <c r="G2771" s="24" t="s">
        <v>13000</v>
      </c>
      <c r="H2771" s="35" t="s">
        <v>106</v>
      </c>
      <c r="I2771" s="10" t="s">
        <v>3448</v>
      </c>
    </row>
    <row r="2772" spans="1:9" s="33" customFormat="1" ht="120">
      <c r="A2772" s="4">
        <v>43560.358460648145</v>
      </c>
      <c r="B2772" s="5" t="s">
        <v>14908</v>
      </c>
      <c r="C2772" s="6" t="s">
        <v>11431</v>
      </c>
      <c r="D2772" s="7" t="s">
        <v>11432</v>
      </c>
      <c r="E2772" s="8" t="s">
        <v>13013</v>
      </c>
      <c r="F2772" s="4">
        <v>42156.706886574073</v>
      </c>
      <c r="G2772" s="24" t="s">
        <v>13000</v>
      </c>
      <c r="H2772" s="35" t="s">
        <v>106</v>
      </c>
      <c r="I2772" s="10" t="s">
        <v>11433</v>
      </c>
    </row>
    <row r="2773" spans="1:9" s="33" customFormat="1" ht="120">
      <c r="A2773" s="4">
        <v>43560.279016203705</v>
      </c>
      <c r="B2773" s="5" t="s">
        <v>14887</v>
      </c>
      <c r="C2773" s="6" t="s">
        <v>1971</v>
      </c>
      <c r="D2773" s="7" t="s">
        <v>11512</v>
      </c>
      <c r="E2773" s="8" t="s">
        <v>13032</v>
      </c>
      <c r="F2773" s="4">
        <v>39997.894976851851</v>
      </c>
      <c r="G2773" s="24" t="s">
        <v>13000</v>
      </c>
      <c r="H2773" s="35" t="s">
        <v>106</v>
      </c>
      <c r="I2773" s="10" t="s">
        <v>1973</v>
      </c>
    </row>
    <row r="2774" spans="1:9" s="33" customFormat="1" ht="90">
      <c r="A2774" s="4">
        <v>43560.265578703707</v>
      </c>
      <c r="B2774" s="5" t="s">
        <v>14884</v>
      </c>
      <c r="C2774" s="6" t="s">
        <v>108</v>
      </c>
      <c r="D2774" s="7" t="s">
        <v>11521</v>
      </c>
      <c r="E2774" s="8" t="s">
        <v>13011</v>
      </c>
      <c r="F2774" s="4">
        <v>43182.268159722225</v>
      </c>
      <c r="G2774" s="24" t="s">
        <v>13000</v>
      </c>
      <c r="H2774" s="35" t="s">
        <v>106</v>
      </c>
      <c r="I2774" s="10" t="s">
        <v>110</v>
      </c>
    </row>
    <row r="2775" spans="1:9" s="33" customFormat="1" ht="105">
      <c r="A2775" s="4">
        <v>43560.261932870373</v>
      </c>
      <c r="B2775" s="5" t="s">
        <v>14909</v>
      </c>
      <c r="C2775" s="6" t="s">
        <v>11522</v>
      </c>
      <c r="D2775" s="7" t="s">
        <v>11523</v>
      </c>
      <c r="E2775" s="8" t="s">
        <v>13013</v>
      </c>
      <c r="F2775" s="4">
        <v>43378.680428240739</v>
      </c>
      <c r="G2775" s="24" t="s">
        <v>13000</v>
      </c>
      <c r="H2775" s="35" t="s">
        <v>106</v>
      </c>
      <c r="I2775" s="10" t="s">
        <v>11524</v>
      </c>
    </row>
    <row r="2776" spans="1:9" s="33" customFormat="1" ht="30">
      <c r="A2776" s="4">
        <v>43560.256736111114</v>
      </c>
      <c r="B2776" s="5" t="s">
        <v>14910</v>
      </c>
      <c r="C2776" s="6" t="s">
        <v>11529</v>
      </c>
      <c r="D2776" s="7" t="s">
        <v>11530</v>
      </c>
      <c r="E2776" s="8" t="s">
        <v>13013</v>
      </c>
      <c r="F2776" s="4">
        <v>41220.035775462966</v>
      </c>
      <c r="G2776" s="24" t="s">
        <v>13000</v>
      </c>
      <c r="H2776" s="35" t="s">
        <v>106</v>
      </c>
      <c r="I2776" s="10" t="s">
        <v>11531</v>
      </c>
    </row>
    <row r="2777" spans="1:9" s="33" customFormat="1" ht="105">
      <c r="A2777" s="4">
        <v>43560.250868055555</v>
      </c>
      <c r="B2777" s="5" t="s">
        <v>14889</v>
      </c>
      <c r="C2777" s="6" t="s">
        <v>2560</v>
      </c>
      <c r="D2777" s="7" t="s">
        <v>11535</v>
      </c>
      <c r="E2777" s="8" t="s">
        <v>13443</v>
      </c>
      <c r="F2777" s="4">
        <v>42893.499884259261</v>
      </c>
      <c r="G2777" s="24" t="s">
        <v>13000</v>
      </c>
      <c r="H2777" s="35" t="s">
        <v>106</v>
      </c>
      <c r="I2777" s="10" t="s">
        <v>2562</v>
      </c>
    </row>
    <row r="2778" spans="1:9" s="33" customFormat="1" ht="105">
      <c r="A2778" s="4">
        <v>43560.233935185184</v>
      </c>
      <c r="B2778" s="5" t="s">
        <v>14911</v>
      </c>
      <c r="C2778" s="6" t="s">
        <v>11547</v>
      </c>
      <c r="D2778" s="7" t="s">
        <v>11548</v>
      </c>
      <c r="E2778" s="8" t="s">
        <v>13011</v>
      </c>
      <c r="F2778" s="4">
        <v>41757.731956018521</v>
      </c>
      <c r="G2778" s="24" t="s">
        <v>13000</v>
      </c>
      <c r="H2778" s="35" t="s">
        <v>106</v>
      </c>
      <c r="I2778" s="10" t="s">
        <v>11549</v>
      </c>
    </row>
    <row r="2779" spans="1:9" s="33" customFormat="1" ht="90">
      <c r="A2779" s="4">
        <v>43559.957534722227</v>
      </c>
      <c r="B2779" s="5" t="s">
        <v>14901</v>
      </c>
      <c r="C2779" s="6" t="s">
        <v>3474</v>
      </c>
      <c r="D2779" s="7" t="s">
        <v>11649</v>
      </c>
      <c r="E2779" s="8" t="s">
        <v>13009</v>
      </c>
      <c r="F2779" s="4">
        <v>43405.153368055559</v>
      </c>
      <c r="G2779" s="24" t="s">
        <v>13000</v>
      </c>
      <c r="H2779" s="35" t="s">
        <v>106</v>
      </c>
      <c r="I2779" s="10" t="s">
        <v>3476</v>
      </c>
    </row>
    <row r="2780" spans="1:9" s="33" customFormat="1" ht="105">
      <c r="A2780" s="4">
        <v>43559.802233796298</v>
      </c>
      <c r="B2780" s="5" t="s">
        <v>14912</v>
      </c>
      <c r="C2780" s="6" t="s">
        <v>11690</v>
      </c>
      <c r="D2780" s="7" t="s">
        <v>11691</v>
      </c>
      <c r="E2780" s="8" t="s">
        <v>13009</v>
      </c>
      <c r="F2780" s="4">
        <v>41260.795497685183</v>
      </c>
      <c r="G2780" s="24" t="s">
        <v>13000</v>
      </c>
      <c r="H2780" s="35" t="s">
        <v>106</v>
      </c>
      <c r="I2780" s="10" t="s">
        <v>11692</v>
      </c>
    </row>
    <row r="2781" spans="1:9" s="33" customFormat="1" ht="60">
      <c r="A2781" s="4">
        <v>43559.729305555556</v>
      </c>
      <c r="B2781" s="5" t="s">
        <v>14890</v>
      </c>
      <c r="C2781" s="6" t="s">
        <v>3571</v>
      </c>
      <c r="D2781" s="7" t="s">
        <v>6629</v>
      </c>
      <c r="E2781" s="8" t="s">
        <v>13034</v>
      </c>
      <c r="F2781" s="4">
        <v>43265.764976851853</v>
      </c>
      <c r="G2781" s="24" t="s">
        <v>13000</v>
      </c>
      <c r="H2781" s="35" t="s">
        <v>106</v>
      </c>
      <c r="I2781" s="10" t="s">
        <v>3573</v>
      </c>
    </row>
    <row r="2782" spans="1:9" s="33" customFormat="1" ht="75">
      <c r="A2782" s="4">
        <v>43559.687534722223</v>
      </c>
      <c r="B2782" s="5" t="s">
        <v>14886</v>
      </c>
      <c r="C2782" s="6" t="s">
        <v>3446</v>
      </c>
      <c r="D2782" s="7" t="s">
        <v>5340</v>
      </c>
      <c r="E2782" s="8" t="s">
        <v>13034</v>
      </c>
      <c r="F2782" s="4">
        <v>42832.147986111115</v>
      </c>
      <c r="G2782" s="24" t="s">
        <v>13000</v>
      </c>
      <c r="H2782" s="35" t="s">
        <v>106</v>
      </c>
      <c r="I2782" s="10" t="s">
        <v>3448</v>
      </c>
    </row>
    <row r="2783" spans="1:9" s="33" customFormat="1" ht="75">
      <c r="A2783" s="4">
        <v>43559.562534722223</v>
      </c>
      <c r="B2783" s="5" t="s">
        <v>14890</v>
      </c>
      <c r="C2783" s="6" t="s">
        <v>3571</v>
      </c>
      <c r="D2783" s="7" t="s">
        <v>11761</v>
      </c>
      <c r="E2783" s="8" t="s">
        <v>13034</v>
      </c>
      <c r="F2783" s="4">
        <v>43265.764976851853</v>
      </c>
      <c r="G2783" s="24" t="s">
        <v>13000</v>
      </c>
      <c r="H2783" s="35" t="s">
        <v>106</v>
      </c>
      <c r="I2783" s="10" t="s">
        <v>3573</v>
      </c>
    </row>
    <row r="2784" spans="1:9" s="33" customFormat="1" ht="90">
      <c r="A2784" s="4">
        <v>43559.530208333337</v>
      </c>
      <c r="B2784" s="5" t="s">
        <v>14896</v>
      </c>
      <c r="C2784" s="6" t="s">
        <v>1098</v>
      </c>
      <c r="D2784" s="7" t="s">
        <v>11776</v>
      </c>
      <c r="E2784" s="8" t="s">
        <v>13013</v>
      </c>
      <c r="F2784" s="4">
        <v>41846.565393518518</v>
      </c>
      <c r="G2784" s="24" t="s">
        <v>13000</v>
      </c>
      <c r="H2784" s="35" t="s">
        <v>106</v>
      </c>
      <c r="I2784" s="10" t="s">
        <v>1100</v>
      </c>
    </row>
    <row r="2785" spans="1:9" s="33" customFormat="1" ht="90">
      <c r="A2785" s="4">
        <v>43559.431076388893</v>
      </c>
      <c r="B2785" s="5" t="s">
        <v>14884</v>
      </c>
      <c r="C2785" s="6" t="s">
        <v>108</v>
      </c>
      <c r="D2785" s="7" t="s">
        <v>11842</v>
      </c>
      <c r="E2785" s="8" t="s">
        <v>13011</v>
      </c>
      <c r="F2785" s="4">
        <v>43182.268159722225</v>
      </c>
      <c r="G2785" s="24" t="s">
        <v>13000</v>
      </c>
      <c r="H2785" s="35" t="s">
        <v>106</v>
      </c>
      <c r="I2785" s="10" t="s">
        <v>110</v>
      </c>
    </row>
    <row r="2786" spans="1:9" s="33" customFormat="1" ht="45">
      <c r="A2786" s="4">
        <v>43559.374201388884</v>
      </c>
      <c r="B2786" s="5" t="s">
        <v>14897</v>
      </c>
      <c r="C2786" s="6" t="s">
        <v>9195</v>
      </c>
      <c r="D2786" s="7" t="s">
        <v>9196</v>
      </c>
      <c r="E2786" s="8" t="s">
        <v>13282</v>
      </c>
      <c r="F2786" s="4">
        <v>41463.336273148147</v>
      </c>
      <c r="G2786" s="24" t="s">
        <v>13000</v>
      </c>
      <c r="H2786" s="35" t="s">
        <v>106</v>
      </c>
      <c r="I2786" s="10" t="s">
        <v>9197</v>
      </c>
    </row>
    <row r="2787" spans="1:9" s="33" customFormat="1" ht="105">
      <c r="A2787" s="4">
        <v>43559.302152777775</v>
      </c>
      <c r="B2787" s="5" t="s">
        <v>14889</v>
      </c>
      <c r="C2787" s="6" t="s">
        <v>2560</v>
      </c>
      <c r="D2787" s="7" t="s">
        <v>11889</v>
      </c>
      <c r="E2787" s="8" t="s">
        <v>13443</v>
      </c>
      <c r="F2787" s="4">
        <v>42893.499884259261</v>
      </c>
      <c r="G2787" s="24" t="s">
        <v>13000</v>
      </c>
      <c r="H2787" s="35" t="s">
        <v>106</v>
      </c>
      <c r="I2787" s="10" t="s">
        <v>2562</v>
      </c>
    </row>
    <row r="2788" spans="1:9" s="33" customFormat="1" ht="75">
      <c r="A2788" s="4">
        <v>43558.921134259261</v>
      </c>
      <c r="B2788" s="5" t="s">
        <v>14901</v>
      </c>
      <c r="C2788" s="6" t="s">
        <v>3474</v>
      </c>
      <c r="D2788" s="7" t="s">
        <v>11996</v>
      </c>
      <c r="E2788" s="8" t="s">
        <v>13009</v>
      </c>
      <c r="F2788" s="4">
        <v>43405.153368055559</v>
      </c>
      <c r="G2788" s="24" t="s">
        <v>13000</v>
      </c>
      <c r="H2788" s="35" t="s">
        <v>106</v>
      </c>
      <c r="I2788" s="10" t="s">
        <v>3476</v>
      </c>
    </row>
    <row r="2789" spans="1:9" s="33" customFormat="1" ht="75">
      <c r="A2789" s="4">
        <v>43558.904282407406</v>
      </c>
      <c r="B2789" s="5" t="s">
        <v>14888</v>
      </c>
      <c r="C2789" s="6" t="s">
        <v>1717</v>
      </c>
      <c r="D2789" s="7" t="s">
        <v>12001</v>
      </c>
      <c r="E2789" s="8" t="s">
        <v>13009</v>
      </c>
      <c r="F2789" s="4">
        <v>42574.170451388884</v>
      </c>
      <c r="G2789" s="24" t="s">
        <v>13000</v>
      </c>
      <c r="H2789" s="35" t="s">
        <v>106</v>
      </c>
      <c r="I2789" s="10" t="s">
        <v>1719</v>
      </c>
    </row>
    <row r="2790" spans="1:9" s="33" customFormat="1" ht="75">
      <c r="A2790" s="4">
        <v>43558.87501157407</v>
      </c>
      <c r="B2790" s="5" t="s">
        <v>14890</v>
      </c>
      <c r="C2790" s="6" t="s">
        <v>3571</v>
      </c>
      <c r="D2790" s="7" t="s">
        <v>12005</v>
      </c>
      <c r="E2790" s="8" t="s">
        <v>13034</v>
      </c>
      <c r="F2790" s="4">
        <v>43265.764976851853</v>
      </c>
      <c r="G2790" s="24" t="s">
        <v>13000</v>
      </c>
      <c r="H2790" s="35" t="s">
        <v>106</v>
      </c>
      <c r="I2790" s="10" t="s">
        <v>3573</v>
      </c>
    </row>
    <row r="2791" spans="1:9" s="33" customFormat="1" ht="75">
      <c r="A2791" s="4">
        <v>43558.833750000005</v>
      </c>
      <c r="B2791" s="5" t="s">
        <v>14886</v>
      </c>
      <c r="C2791" s="6" t="s">
        <v>3446</v>
      </c>
      <c r="D2791" s="7" t="s">
        <v>6385</v>
      </c>
      <c r="E2791" s="8" t="s">
        <v>13034</v>
      </c>
      <c r="F2791" s="4">
        <v>42832.147986111115</v>
      </c>
      <c r="G2791" s="24" t="s">
        <v>13000</v>
      </c>
      <c r="H2791" s="35" t="s">
        <v>106</v>
      </c>
      <c r="I2791" s="10" t="s">
        <v>3448</v>
      </c>
    </row>
    <row r="2792" spans="1:9" s="33" customFormat="1" ht="75">
      <c r="A2792" s="4">
        <v>43558.75001157407</v>
      </c>
      <c r="B2792" s="5" t="s">
        <v>14890</v>
      </c>
      <c r="C2792" s="6" t="s">
        <v>3571</v>
      </c>
      <c r="D2792" s="7" t="s">
        <v>12052</v>
      </c>
      <c r="E2792" s="8" t="s">
        <v>13034</v>
      </c>
      <c r="F2792" s="4">
        <v>43265.764976851853</v>
      </c>
      <c r="G2792" s="24" t="s">
        <v>13000</v>
      </c>
      <c r="H2792" s="35" t="s">
        <v>106</v>
      </c>
      <c r="I2792" s="10" t="s">
        <v>3573</v>
      </c>
    </row>
    <row r="2793" spans="1:9" s="33" customFormat="1" ht="60">
      <c r="A2793" s="4">
        <v>43558.70857638889</v>
      </c>
      <c r="B2793" s="5" t="s">
        <v>14886</v>
      </c>
      <c r="C2793" s="6" t="s">
        <v>3446</v>
      </c>
      <c r="D2793" s="7" t="s">
        <v>12065</v>
      </c>
      <c r="E2793" s="8" t="s">
        <v>13034</v>
      </c>
      <c r="F2793" s="4">
        <v>42832.147986111115</v>
      </c>
      <c r="G2793" s="24" t="s">
        <v>13000</v>
      </c>
      <c r="H2793" s="35" t="s">
        <v>106</v>
      </c>
      <c r="I2793" s="10" t="s">
        <v>3448</v>
      </c>
    </row>
    <row r="2794" spans="1:9" s="33" customFormat="1" ht="75">
      <c r="A2794" s="4">
        <v>43558.625208333338</v>
      </c>
      <c r="B2794" s="5" t="s">
        <v>14890</v>
      </c>
      <c r="C2794" s="6" t="s">
        <v>3571</v>
      </c>
      <c r="D2794" s="7" t="s">
        <v>6061</v>
      </c>
      <c r="E2794" s="8" t="s">
        <v>13034</v>
      </c>
      <c r="F2794" s="4">
        <v>43265.764976851853</v>
      </c>
      <c r="G2794" s="24" t="s">
        <v>13000</v>
      </c>
      <c r="H2794" s="35" t="s">
        <v>106</v>
      </c>
      <c r="I2794" s="10" t="s">
        <v>3573</v>
      </c>
    </row>
    <row r="2795" spans="1:9" s="33" customFormat="1" ht="75">
      <c r="A2795" s="4">
        <v>43558.583692129629</v>
      </c>
      <c r="B2795" s="5" t="s">
        <v>14886</v>
      </c>
      <c r="C2795" s="6" t="s">
        <v>3446</v>
      </c>
      <c r="D2795" s="7" t="s">
        <v>12123</v>
      </c>
      <c r="E2795" s="8" t="s">
        <v>13034</v>
      </c>
      <c r="F2795" s="4">
        <v>42832.147986111115</v>
      </c>
      <c r="G2795" s="24" t="s">
        <v>13000</v>
      </c>
      <c r="H2795" s="35" t="s">
        <v>106</v>
      </c>
      <c r="I2795" s="10" t="s">
        <v>3448</v>
      </c>
    </row>
    <row r="2796" spans="1:9" s="33" customFormat="1" ht="90">
      <c r="A2796" s="4">
        <v>43558.500150462962</v>
      </c>
      <c r="B2796" s="5" t="s">
        <v>14890</v>
      </c>
      <c r="C2796" s="6" t="s">
        <v>3571</v>
      </c>
      <c r="D2796" s="7" t="s">
        <v>12159</v>
      </c>
      <c r="E2796" s="8" t="s">
        <v>13034</v>
      </c>
      <c r="F2796" s="4">
        <v>43265.764976851853</v>
      </c>
      <c r="G2796" s="24" t="s">
        <v>13000</v>
      </c>
      <c r="H2796" s="35" t="s">
        <v>106</v>
      </c>
      <c r="I2796" s="10" t="s">
        <v>3573</v>
      </c>
    </row>
    <row r="2797" spans="1:9" s="33" customFormat="1" ht="90">
      <c r="A2797" s="4">
        <v>43558.458506944444</v>
      </c>
      <c r="B2797" s="5" t="s">
        <v>14886</v>
      </c>
      <c r="C2797" s="6" t="s">
        <v>3446</v>
      </c>
      <c r="D2797" s="7" t="s">
        <v>12174</v>
      </c>
      <c r="E2797" s="8" t="s">
        <v>13034</v>
      </c>
      <c r="F2797" s="4">
        <v>42832.147986111115</v>
      </c>
      <c r="G2797" s="24" t="s">
        <v>13000</v>
      </c>
      <c r="H2797" s="35" t="s">
        <v>106</v>
      </c>
      <c r="I2797" s="10" t="s">
        <v>3448</v>
      </c>
    </row>
    <row r="2798" spans="1:9" s="33" customFormat="1" ht="90">
      <c r="A2798" s="4">
        <v>43558.386041666672</v>
      </c>
      <c r="B2798" s="5" t="s">
        <v>14896</v>
      </c>
      <c r="C2798" s="6" t="s">
        <v>1098</v>
      </c>
      <c r="D2798" s="7" t="s">
        <v>12216</v>
      </c>
      <c r="E2798" s="8" t="s">
        <v>13013</v>
      </c>
      <c r="F2798" s="4">
        <v>41846.565393518518</v>
      </c>
      <c r="G2798" s="24" t="s">
        <v>13000</v>
      </c>
      <c r="H2798" s="35" t="s">
        <v>106</v>
      </c>
      <c r="I2798" s="10" t="s">
        <v>1100</v>
      </c>
    </row>
    <row r="2799" spans="1:9" s="33" customFormat="1" ht="90">
      <c r="A2799" s="4">
        <v>43558.381261574075</v>
      </c>
      <c r="B2799" s="5" t="s">
        <v>14884</v>
      </c>
      <c r="C2799" s="6" t="s">
        <v>108</v>
      </c>
      <c r="D2799" s="7" t="s">
        <v>11521</v>
      </c>
      <c r="E2799" s="8" t="s">
        <v>13011</v>
      </c>
      <c r="F2799" s="4">
        <v>43182.268159722225</v>
      </c>
      <c r="G2799" s="24" t="s">
        <v>13000</v>
      </c>
      <c r="H2799" s="35" t="s">
        <v>106</v>
      </c>
      <c r="I2799" s="10" t="s">
        <v>110</v>
      </c>
    </row>
    <row r="2800" spans="1:9" s="33" customFormat="1" ht="75">
      <c r="A2800" s="4">
        <v>43558.266273148147</v>
      </c>
      <c r="B2800" s="5" t="s">
        <v>14888</v>
      </c>
      <c r="C2800" s="6" t="s">
        <v>1717</v>
      </c>
      <c r="D2800" s="7" t="s">
        <v>12257</v>
      </c>
      <c r="E2800" s="8" t="s">
        <v>13009</v>
      </c>
      <c r="F2800" s="4">
        <v>42574.170451388884</v>
      </c>
      <c r="G2800" s="24" t="s">
        <v>13000</v>
      </c>
      <c r="H2800" s="35" t="s">
        <v>106</v>
      </c>
      <c r="I2800" s="10" t="s">
        <v>1719</v>
      </c>
    </row>
    <row r="2801" spans="1:9" s="33" customFormat="1" ht="120">
      <c r="A2801" s="4">
        <v>43558.232858796298</v>
      </c>
      <c r="B2801" s="5" t="s">
        <v>14902</v>
      </c>
      <c r="C2801" s="6" t="s">
        <v>6428</v>
      </c>
      <c r="D2801" s="7" t="s">
        <v>12276</v>
      </c>
      <c r="E2801" s="8" t="s">
        <v>13013</v>
      </c>
      <c r="F2801" s="4">
        <v>40792.383206018516</v>
      </c>
      <c r="G2801" s="24" t="s">
        <v>13000</v>
      </c>
      <c r="H2801" s="35" t="s">
        <v>106</v>
      </c>
      <c r="I2801" s="10" t="s">
        <v>6430</v>
      </c>
    </row>
    <row r="2802" spans="1:9" s="33" customFormat="1" ht="75">
      <c r="A2802" s="4">
        <v>43558.187638888892</v>
      </c>
      <c r="B2802" s="5" t="s">
        <v>14913</v>
      </c>
      <c r="C2802" s="6" t="s">
        <v>12293</v>
      </c>
      <c r="D2802" s="7" t="s">
        <v>12294</v>
      </c>
      <c r="E2802" s="8" t="s">
        <v>13009</v>
      </c>
      <c r="F2802" s="4">
        <v>43056.435150462959</v>
      </c>
      <c r="G2802" s="24" t="s">
        <v>13000</v>
      </c>
      <c r="H2802" s="35" t="s">
        <v>106</v>
      </c>
      <c r="I2802" s="10" t="s">
        <v>12295</v>
      </c>
    </row>
    <row r="2803" spans="1:9" s="33" customFormat="1" ht="75">
      <c r="A2803" s="4">
        <v>43557.958958333329</v>
      </c>
      <c r="B2803" s="5" t="s">
        <v>14901</v>
      </c>
      <c r="C2803" s="6" t="s">
        <v>3474</v>
      </c>
      <c r="D2803" s="7" t="s">
        <v>12357</v>
      </c>
      <c r="E2803" s="8" t="s">
        <v>13009</v>
      </c>
      <c r="F2803" s="4">
        <v>43405.153368055559</v>
      </c>
      <c r="G2803" s="24" t="s">
        <v>13000</v>
      </c>
      <c r="H2803" s="35" t="s">
        <v>106</v>
      </c>
      <c r="I2803" s="10" t="s">
        <v>3476</v>
      </c>
    </row>
    <row r="2804" spans="1:9" s="33" customFormat="1" ht="105">
      <c r="A2804" s="4">
        <v>43557.860868055555</v>
      </c>
      <c r="B2804" s="5" t="s">
        <v>14914</v>
      </c>
      <c r="C2804" s="6" t="s">
        <v>12373</v>
      </c>
      <c r="D2804" s="7" t="s">
        <v>12374</v>
      </c>
      <c r="E2804" s="8" t="s">
        <v>13009</v>
      </c>
      <c r="F2804" s="4">
        <v>40471.213125000002</v>
      </c>
      <c r="G2804" s="24" t="s">
        <v>13000</v>
      </c>
      <c r="H2804" s="35" t="s">
        <v>106</v>
      </c>
      <c r="I2804" s="10" t="s">
        <v>12375</v>
      </c>
    </row>
    <row r="2805" spans="1:9" s="33" customFormat="1" ht="90">
      <c r="A2805" s="4">
        <v>43557.844780092593</v>
      </c>
      <c r="B2805" s="5" t="s">
        <v>14915</v>
      </c>
      <c r="C2805" s="6" t="s">
        <v>12376</v>
      </c>
      <c r="D2805" s="7" t="s">
        <v>12377</v>
      </c>
      <c r="E2805" s="8" t="s">
        <v>13009</v>
      </c>
      <c r="F2805" s="4">
        <v>42632.523877314816</v>
      </c>
      <c r="G2805" s="24" t="s">
        <v>13000</v>
      </c>
      <c r="H2805" s="35" t="s">
        <v>106</v>
      </c>
      <c r="I2805" s="10" t="s">
        <v>12378</v>
      </c>
    </row>
    <row r="2806" spans="1:9" s="33" customFormat="1" ht="75">
      <c r="A2806" s="4">
        <v>43557.83394675926</v>
      </c>
      <c r="B2806" s="5" t="s">
        <v>14885</v>
      </c>
      <c r="C2806" s="6" t="s">
        <v>5740</v>
      </c>
      <c r="D2806" s="7" t="s">
        <v>12380</v>
      </c>
      <c r="E2806" s="8" t="s">
        <v>13013</v>
      </c>
      <c r="F2806" s="4">
        <v>39898.878032407403</v>
      </c>
      <c r="G2806" s="24" t="s">
        <v>13000</v>
      </c>
      <c r="H2806" s="35" t="s">
        <v>106</v>
      </c>
      <c r="I2806" s="10" t="s">
        <v>5742</v>
      </c>
    </row>
    <row r="2807" spans="1:9" s="33" customFormat="1" ht="90">
      <c r="A2807" s="4">
        <v>43557.375300925924</v>
      </c>
      <c r="B2807" s="5" t="s">
        <v>14884</v>
      </c>
      <c r="C2807" s="6" t="s">
        <v>108</v>
      </c>
      <c r="D2807" s="7" t="s">
        <v>11521</v>
      </c>
      <c r="E2807" s="8" t="s">
        <v>13011</v>
      </c>
      <c r="F2807" s="4">
        <v>43182.268159722225</v>
      </c>
      <c r="G2807" s="24" t="s">
        <v>13000</v>
      </c>
      <c r="H2807" s="35" t="s">
        <v>106</v>
      </c>
      <c r="I2807" s="10" t="s">
        <v>110</v>
      </c>
    </row>
    <row r="2808" spans="1:9" s="33" customFormat="1" ht="75">
      <c r="A2808" s="4">
        <v>43556.835659722223</v>
      </c>
      <c r="B2808" s="5" t="s">
        <v>14888</v>
      </c>
      <c r="C2808" s="6" t="s">
        <v>1717</v>
      </c>
      <c r="D2808" s="7" t="s">
        <v>8214</v>
      </c>
      <c r="E2808" s="8" t="s">
        <v>13009</v>
      </c>
      <c r="F2808" s="4">
        <v>42574.170451388884</v>
      </c>
      <c r="G2808" s="24" t="s">
        <v>13000</v>
      </c>
      <c r="H2808" s="35" t="s">
        <v>106</v>
      </c>
      <c r="I2808" s="10" t="s">
        <v>1719</v>
      </c>
    </row>
    <row r="2809" spans="1:9" s="33" customFormat="1" ht="120">
      <c r="A2809" s="4">
        <v>43556.715486111112</v>
      </c>
      <c r="B2809" s="5" t="s">
        <v>14902</v>
      </c>
      <c r="C2809" s="6" t="s">
        <v>6428</v>
      </c>
      <c r="D2809" s="7" t="s">
        <v>12764</v>
      </c>
      <c r="E2809" s="8" t="s">
        <v>13013</v>
      </c>
      <c r="F2809" s="4">
        <v>40792.383206018516</v>
      </c>
      <c r="G2809" s="24" t="s">
        <v>13000</v>
      </c>
      <c r="H2809" s="35" t="s">
        <v>106</v>
      </c>
      <c r="I2809" s="10" t="s">
        <v>6430</v>
      </c>
    </row>
    <row r="2810" spans="1:9" s="33" customFormat="1" ht="30">
      <c r="A2810" s="12">
        <v>43580.73809027778</v>
      </c>
      <c r="B2810" s="13" t="s">
        <v>14916</v>
      </c>
      <c r="C2810" s="14" t="s">
        <v>104</v>
      </c>
      <c r="D2810" s="15" t="s">
        <v>105</v>
      </c>
      <c r="E2810" s="16" t="s">
        <v>13013</v>
      </c>
      <c r="F2810" s="12">
        <v>40186.92832175926</v>
      </c>
      <c r="G2810" s="24" t="s">
        <v>13000</v>
      </c>
      <c r="H2810" s="35" t="s">
        <v>106</v>
      </c>
      <c r="I2810" s="18" t="s">
        <v>107</v>
      </c>
    </row>
    <row r="2811" spans="1:9" s="33" customFormat="1" ht="75">
      <c r="A2811" s="12">
        <v>43580.737673611111</v>
      </c>
      <c r="B2811" s="13" t="s">
        <v>14884</v>
      </c>
      <c r="C2811" s="14" t="s">
        <v>108</v>
      </c>
      <c r="D2811" s="15" t="s">
        <v>109</v>
      </c>
      <c r="E2811" s="16" t="s">
        <v>13011</v>
      </c>
      <c r="F2811" s="12">
        <v>43182.726493055554</v>
      </c>
      <c r="G2811" s="24" t="s">
        <v>13000</v>
      </c>
      <c r="H2811" s="35" t="s">
        <v>106</v>
      </c>
      <c r="I2811" s="18" t="s">
        <v>110</v>
      </c>
    </row>
    <row r="2812" spans="1:9" s="33" customFormat="1" ht="60">
      <c r="A2812" s="12">
        <v>43580.645810185189</v>
      </c>
      <c r="B2812" s="13" t="s">
        <v>14898</v>
      </c>
      <c r="C2812" s="14" t="s">
        <v>183</v>
      </c>
      <c r="D2812" s="15" t="s">
        <v>184</v>
      </c>
      <c r="E2812" s="16" t="s">
        <v>13440</v>
      </c>
      <c r="F2812" s="12">
        <v>42222.975798611107</v>
      </c>
      <c r="G2812" s="24" t="s">
        <v>13000</v>
      </c>
      <c r="H2812" s="35" t="s">
        <v>106</v>
      </c>
      <c r="I2812" s="18" t="s">
        <v>185</v>
      </c>
    </row>
    <row r="2813" spans="1:9" s="33" customFormat="1" ht="75">
      <c r="A2813" s="12">
        <v>43579.506377314814</v>
      </c>
      <c r="B2813" s="13" t="s">
        <v>14884</v>
      </c>
      <c r="C2813" s="14" t="s">
        <v>108</v>
      </c>
      <c r="D2813" s="15" t="s">
        <v>109</v>
      </c>
      <c r="E2813" s="16" t="s">
        <v>13011</v>
      </c>
      <c r="F2813" s="12">
        <v>43182.268159722225</v>
      </c>
      <c r="G2813" s="24" t="s">
        <v>13000</v>
      </c>
      <c r="H2813" s="35" t="s">
        <v>106</v>
      </c>
      <c r="I2813" s="18" t="s">
        <v>110</v>
      </c>
    </row>
    <row r="2814" spans="1:9" s="33" customFormat="1" ht="105">
      <c r="A2814" s="12">
        <v>43578.852071759262</v>
      </c>
      <c r="B2814" s="13" t="s">
        <v>14917</v>
      </c>
      <c r="C2814" s="14" t="s">
        <v>1018</v>
      </c>
      <c r="D2814" s="15" t="s">
        <v>1019</v>
      </c>
      <c r="E2814" s="16" t="s">
        <v>13011</v>
      </c>
      <c r="F2814" s="12">
        <v>40567.981168981481</v>
      </c>
      <c r="G2814" s="24" t="s">
        <v>13000</v>
      </c>
      <c r="H2814" s="35" t="s">
        <v>106</v>
      </c>
      <c r="I2814" s="18" t="s">
        <v>1020</v>
      </c>
    </row>
    <row r="2815" spans="1:9" s="33" customFormat="1" ht="90">
      <c r="A2815" s="12">
        <v>43578.687418981484</v>
      </c>
      <c r="B2815" s="13" t="s">
        <v>14896</v>
      </c>
      <c r="C2815" s="14" t="s">
        <v>1098</v>
      </c>
      <c r="D2815" s="15" t="s">
        <v>1099</v>
      </c>
      <c r="E2815" s="16" t="s">
        <v>13009</v>
      </c>
      <c r="F2815" s="12">
        <v>41846.565393518518</v>
      </c>
      <c r="G2815" s="24" t="s">
        <v>13000</v>
      </c>
      <c r="H2815" s="35" t="s">
        <v>106</v>
      </c>
      <c r="I2815" s="18" t="s">
        <v>1100</v>
      </c>
    </row>
    <row r="2816" spans="1:9" s="33" customFormat="1" ht="105">
      <c r="A2816" s="12">
        <v>43578.441111111111</v>
      </c>
      <c r="B2816" s="13" t="s">
        <v>14918</v>
      </c>
      <c r="C2816" s="14" t="s">
        <v>1203</v>
      </c>
      <c r="D2816" s="15" t="s">
        <v>1202</v>
      </c>
      <c r="E2816" s="16" t="s">
        <v>13479</v>
      </c>
      <c r="F2816" s="12">
        <v>42741.61347222222</v>
      </c>
      <c r="G2816" s="24" t="s">
        <v>13000</v>
      </c>
      <c r="H2816" s="35" t="s">
        <v>106</v>
      </c>
      <c r="I2816" s="18" t="s">
        <v>1204</v>
      </c>
    </row>
    <row r="2817" spans="1:9" s="33" customFormat="1" ht="90">
      <c r="A2817" s="12">
        <v>43577.280949074076</v>
      </c>
      <c r="B2817" s="13" t="s">
        <v>14884</v>
      </c>
      <c r="C2817" s="14" t="s">
        <v>108</v>
      </c>
      <c r="D2817" s="15" t="s">
        <v>1682</v>
      </c>
      <c r="E2817" s="16" t="s">
        <v>13011</v>
      </c>
      <c r="F2817" s="12">
        <v>43182.268159722225</v>
      </c>
      <c r="G2817" s="24" t="s">
        <v>13000</v>
      </c>
      <c r="H2817" s="35" t="s">
        <v>106</v>
      </c>
      <c r="I2817" s="18" t="s">
        <v>110</v>
      </c>
    </row>
    <row r="2818" spans="1:9" s="33" customFormat="1" ht="120">
      <c r="A2818" s="12">
        <v>43577.198391203703</v>
      </c>
      <c r="B2818" s="13" t="s">
        <v>14919</v>
      </c>
      <c r="C2818" s="14" t="s">
        <v>1708</v>
      </c>
      <c r="D2818" s="15" t="s">
        <v>1709</v>
      </c>
      <c r="E2818" s="16" t="s">
        <v>13013</v>
      </c>
      <c r="F2818" s="12">
        <v>42824.340347222227</v>
      </c>
      <c r="G2818" s="24" t="s">
        <v>13000</v>
      </c>
      <c r="H2818" s="35" t="s">
        <v>106</v>
      </c>
      <c r="I2818" s="18" t="s">
        <v>1710</v>
      </c>
    </row>
    <row r="2819" spans="1:9" s="33" customFormat="1" ht="75">
      <c r="A2819" s="12">
        <v>43577.18414351852</v>
      </c>
      <c r="B2819" s="13" t="s">
        <v>14888</v>
      </c>
      <c r="C2819" s="14" t="s">
        <v>1717</v>
      </c>
      <c r="D2819" s="15" t="s">
        <v>1718</v>
      </c>
      <c r="E2819" s="16" t="s">
        <v>13009</v>
      </c>
      <c r="F2819" s="12">
        <v>42574.170451388884</v>
      </c>
      <c r="G2819" s="24" t="s">
        <v>13000</v>
      </c>
      <c r="H2819" s="35" t="s">
        <v>106</v>
      </c>
      <c r="I2819" s="18" t="s">
        <v>1719</v>
      </c>
    </row>
    <row r="2820" spans="1:9" s="33" customFormat="1" ht="90">
      <c r="A2820" s="12">
        <v>43576.467187499999</v>
      </c>
      <c r="B2820" s="13" t="s">
        <v>14884</v>
      </c>
      <c r="C2820" s="14" t="s">
        <v>108</v>
      </c>
      <c r="D2820" s="15" t="s">
        <v>1936</v>
      </c>
      <c r="E2820" s="16" t="s">
        <v>13011</v>
      </c>
      <c r="F2820" s="12">
        <v>43182.268159722225</v>
      </c>
      <c r="G2820" s="24" t="s">
        <v>13000</v>
      </c>
      <c r="H2820" s="35" t="s">
        <v>106</v>
      </c>
      <c r="I2820" s="18" t="s">
        <v>110</v>
      </c>
    </row>
    <row r="2821" spans="1:9" s="33" customFormat="1" ht="120">
      <c r="A2821" s="12">
        <v>43576.381018518514</v>
      </c>
      <c r="B2821" s="13" t="s">
        <v>14887</v>
      </c>
      <c r="C2821" s="14" t="s">
        <v>1971</v>
      </c>
      <c r="D2821" s="15" t="s">
        <v>1972</v>
      </c>
      <c r="E2821" s="16" t="s">
        <v>13032</v>
      </c>
      <c r="F2821" s="12">
        <v>39997.894976851851</v>
      </c>
      <c r="G2821" s="24" t="s">
        <v>13000</v>
      </c>
      <c r="H2821" s="35" t="s">
        <v>106</v>
      </c>
      <c r="I2821" s="18" t="s">
        <v>1973</v>
      </c>
    </row>
    <row r="2822" spans="1:9" s="33" customFormat="1" ht="120">
      <c r="A2822" s="12">
        <v>43576.379942129628</v>
      </c>
      <c r="B2822" s="13" t="s">
        <v>14887</v>
      </c>
      <c r="C2822" s="14" t="s">
        <v>1971</v>
      </c>
      <c r="D2822" s="15" t="s">
        <v>1974</v>
      </c>
      <c r="E2822" s="16" t="s">
        <v>13032</v>
      </c>
      <c r="F2822" s="12">
        <v>39997.894976851851</v>
      </c>
      <c r="G2822" s="24" t="s">
        <v>13000</v>
      </c>
      <c r="H2822" s="35" t="s">
        <v>106</v>
      </c>
      <c r="I2822" s="18" t="s">
        <v>1973</v>
      </c>
    </row>
    <row r="2823" spans="1:9" s="33" customFormat="1" ht="75">
      <c r="A2823" s="12">
        <v>43575.465509259258</v>
      </c>
      <c r="B2823" s="13" t="s">
        <v>14888</v>
      </c>
      <c r="C2823" s="14" t="s">
        <v>1717</v>
      </c>
      <c r="D2823" s="15" t="s">
        <v>2208</v>
      </c>
      <c r="E2823" s="16" t="s">
        <v>13009</v>
      </c>
      <c r="F2823" s="12">
        <v>42574.170451388884</v>
      </c>
      <c r="G2823" s="24" t="s">
        <v>13000</v>
      </c>
      <c r="H2823" s="35" t="s">
        <v>106</v>
      </c>
      <c r="I2823" s="18" t="s">
        <v>1719</v>
      </c>
    </row>
    <row r="2824" spans="1:9" s="33" customFormat="1" ht="75">
      <c r="A2824" s="12">
        <v>43574.598935185189</v>
      </c>
      <c r="B2824" s="13" t="s">
        <v>14888</v>
      </c>
      <c r="C2824" s="14" t="s">
        <v>1717</v>
      </c>
      <c r="D2824" s="15" t="s">
        <v>2503</v>
      </c>
      <c r="E2824" s="16" t="s">
        <v>13009</v>
      </c>
      <c r="F2824" s="12">
        <v>42574.170451388884</v>
      </c>
      <c r="G2824" s="24" t="s">
        <v>13000</v>
      </c>
      <c r="H2824" s="35" t="s">
        <v>106</v>
      </c>
      <c r="I2824" s="18" t="s">
        <v>1719</v>
      </c>
    </row>
    <row r="2825" spans="1:9" s="33" customFormat="1" ht="90">
      <c r="A2825" s="12">
        <v>43574.476851851854</v>
      </c>
      <c r="B2825" s="13" t="s">
        <v>14884</v>
      </c>
      <c r="C2825" s="14" t="s">
        <v>108</v>
      </c>
      <c r="D2825" s="15" t="s">
        <v>2537</v>
      </c>
      <c r="E2825" s="16" t="s">
        <v>13011</v>
      </c>
      <c r="F2825" s="12">
        <v>43182.268159722225</v>
      </c>
      <c r="G2825" s="24" t="s">
        <v>13000</v>
      </c>
      <c r="H2825" s="35" t="s">
        <v>106</v>
      </c>
      <c r="I2825" s="18" t="s">
        <v>110</v>
      </c>
    </row>
    <row r="2826" spans="1:9" s="33" customFormat="1" ht="105">
      <c r="A2826" s="12">
        <v>43574.395844907413</v>
      </c>
      <c r="B2826" s="13" t="s">
        <v>14889</v>
      </c>
      <c r="C2826" s="14" t="s">
        <v>2560</v>
      </c>
      <c r="D2826" s="15" t="s">
        <v>2561</v>
      </c>
      <c r="E2826" s="16" t="s">
        <v>13443</v>
      </c>
      <c r="F2826" s="12">
        <v>42893.499884259261</v>
      </c>
      <c r="G2826" s="24" t="s">
        <v>13000</v>
      </c>
      <c r="H2826" s="35" t="s">
        <v>106</v>
      </c>
      <c r="I2826" s="18" t="s">
        <v>2562</v>
      </c>
    </row>
    <row r="2827" spans="1:9" s="33" customFormat="1" ht="105">
      <c r="A2827" s="12">
        <v>43573.629270833335</v>
      </c>
      <c r="B2827" s="13" t="s">
        <v>14920</v>
      </c>
      <c r="C2827" s="14" t="s">
        <v>2801</v>
      </c>
      <c r="D2827" s="15" t="s">
        <v>2802</v>
      </c>
      <c r="E2827" s="16" t="s">
        <v>13009</v>
      </c>
      <c r="F2827" s="12">
        <v>43447.613449074073</v>
      </c>
      <c r="G2827" s="24" t="s">
        <v>13000</v>
      </c>
      <c r="H2827" s="35" t="s">
        <v>106</v>
      </c>
      <c r="I2827" s="18" t="s">
        <v>2803</v>
      </c>
    </row>
    <row r="2828" spans="1:9" s="33" customFormat="1" ht="75">
      <c r="A2828" s="12">
        <v>43572.572233796294</v>
      </c>
      <c r="B2828" s="13" t="s">
        <v>14888</v>
      </c>
      <c r="C2828" s="14" t="s">
        <v>1717</v>
      </c>
      <c r="D2828" s="15" t="s">
        <v>3157</v>
      </c>
      <c r="E2828" s="16" t="s">
        <v>13009</v>
      </c>
      <c r="F2828" s="12">
        <v>42574.170451388884</v>
      </c>
      <c r="G2828" s="24" t="s">
        <v>13000</v>
      </c>
      <c r="H2828" s="35" t="s">
        <v>106</v>
      </c>
      <c r="I2828" s="18" t="s">
        <v>1719</v>
      </c>
    </row>
    <row r="2829" spans="1:9" s="33" customFormat="1" ht="60">
      <c r="A2829" s="12">
        <v>43572.452951388885</v>
      </c>
      <c r="B2829" s="13" t="s">
        <v>14921</v>
      </c>
      <c r="C2829" s="14" t="s">
        <v>3237</v>
      </c>
      <c r="D2829" s="15" t="s">
        <v>3238</v>
      </c>
      <c r="E2829" s="16" t="s">
        <v>13011</v>
      </c>
      <c r="F2829" s="12">
        <v>41656.346585648149</v>
      </c>
      <c r="G2829" s="24" t="s">
        <v>13000</v>
      </c>
      <c r="H2829" s="35" t="s">
        <v>106</v>
      </c>
      <c r="I2829" s="18" t="s">
        <v>3239</v>
      </c>
    </row>
    <row r="2830" spans="1:9" s="33" customFormat="1" ht="75">
      <c r="A2830" s="12">
        <v>43572.062534722223</v>
      </c>
      <c r="B2830" s="13" t="s">
        <v>14886</v>
      </c>
      <c r="C2830" s="14" t="s">
        <v>3446</v>
      </c>
      <c r="D2830" s="15" t="s">
        <v>3447</v>
      </c>
      <c r="E2830" s="16" t="s">
        <v>13034</v>
      </c>
      <c r="F2830" s="12">
        <v>42832.147986111115</v>
      </c>
      <c r="G2830" s="24" t="s">
        <v>13000</v>
      </c>
      <c r="H2830" s="35" t="s">
        <v>106</v>
      </c>
      <c r="I2830" s="18" t="s">
        <v>3448</v>
      </c>
    </row>
    <row r="2831" spans="1:9" s="33" customFormat="1" ht="90">
      <c r="A2831" s="12">
        <v>43571.963495370372</v>
      </c>
      <c r="B2831" s="13" t="s">
        <v>14901</v>
      </c>
      <c r="C2831" s="14" t="s">
        <v>3474</v>
      </c>
      <c r="D2831" s="15" t="s">
        <v>3475</v>
      </c>
      <c r="E2831" s="16" t="s">
        <v>13009</v>
      </c>
      <c r="F2831" s="12">
        <v>43405.153368055559</v>
      </c>
      <c r="G2831" s="24" t="s">
        <v>13000</v>
      </c>
      <c r="H2831" s="35" t="s">
        <v>106</v>
      </c>
      <c r="I2831" s="18" t="s">
        <v>3476</v>
      </c>
    </row>
    <row r="2832" spans="1:9" s="33" customFormat="1" ht="60">
      <c r="A2832" s="12">
        <v>43571.937662037039</v>
      </c>
      <c r="B2832" s="13" t="s">
        <v>14886</v>
      </c>
      <c r="C2832" s="14" t="s">
        <v>3446</v>
      </c>
      <c r="D2832" s="15" t="s">
        <v>3491</v>
      </c>
      <c r="E2832" s="16" t="s">
        <v>13034</v>
      </c>
      <c r="F2832" s="12">
        <v>42832.147986111115</v>
      </c>
      <c r="G2832" s="24" t="s">
        <v>13000</v>
      </c>
      <c r="H2832" s="35" t="s">
        <v>106</v>
      </c>
      <c r="I2832" s="18" t="s">
        <v>3448</v>
      </c>
    </row>
    <row r="2833" spans="1:9" s="33" customFormat="1" ht="60">
      <c r="A2833" s="12">
        <v>43571.898564814815</v>
      </c>
      <c r="B2833" s="13" t="s">
        <v>14922</v>
      </c>
      <c r="C2833" s="14" t="s">
        <v>3505</v>
      </c>
      <c r="D2833" s="15" t="s">
        <v>3506</v>
      </c>
      <c r="E2833" s="16" t="s">
        <v>13032</v>
      </c>
      <c r="F2833" s="12">
        <v>42790.717592592591</v>
      </c>
      <c r="G2833" s="24" t="s">
        <v>13000</v>
      </c>
      <c r="H2833" s="35" t="s">
        <v>106</v>
      </c>
      <c r="I2833" s="18" t="s">
        <v>3507</v>
      </c>
    </row>
    <row r="2834" spans="1:9" s="33" customFormat="1" ht="75">
      <c r="A2834" s="12">
        <v>43571.72929398148</v>
      </c>
      <c r="B2834" s="13" t="s">
        <v>14890</v>
      </c>
      <c r="C2834" s="14" t="s">
        <v>3571</v>
      </c>
      <c r="D2834" s="15" t="s">
        <v>3572</v>
      </c>
      <c r="E2834" s="16" t="s">
        <v>13034</v>
      </c>
      <c r="F2834" s="12">
        <v>43265.764976851853</v>
      </c>
      <c r="G2834" s="24" t="s">
        <v>13000</v>
      </c>
      <c r="H2834" s="35" t="s">
        <v>106</v>
      </c>
      <c r="I2834" s="18" t="s">
        <v>3573</v>
      </c>
    </row>
    <row r="2835" spans="1:9" s="33" customFormat="1" ht="60">
      <c r="A2835" s="12">
        <v>43571.68751157407</v>
      </c>
      <c r="B2835" s="13" t="s">
        <v>14886</v>
      </c>
      <c r="C2835" s="14" t="s">
        <v>3446</v>
      </c>
      <c r="D2835" s="15" t="s">
        <v>3589</v>
      </c>
      <c r="E2835" s="16" t="s">
        <v>13034</v>
      </c>
      <c r="F2835" s="12">
        <v>42832.147986111115</v>
      </c>
      <c r="G2835" s="24" t="s">
        <v>13000</v>
      </c>
      <c r="H2835" s="35" t="s">
        <v>106</v>
      </c>
      <c r="I2835" s="18" t="s">
        <v>3448</v>
      </c>
    </row>
    <row r="2836" spans="1:9" s="33" customFormat="1" ht="120">
      <c r="A2836" s="12">
        <v>43571.673472222217</v>
      </c>
      <c r="B2836" s="13" t="s">
        <v>14887</v>
      </c>
      <c r="C2836" s="14" t="s">
        <v>1971</v>
      </c>
      <c r="D2836" s="15" t="s">
        <v>3596</v>
      </c>
      <c r="E2836" s="16" t="s">
        <v>13032</v>
      </c>
      <c r="F2836" s="12">
        <v>39997.894976851851</v>
      </c>
      <c r="G2836" s="24" t="s">
        <v>13000</v>
      </c>
      <c r="H2836" s="35" t="s">
        <v>106</v>
      </c>
      <c r="I2836" s="18" t="s">
        <v>1973</v>
      </c>
    </row>
    <row r="2837" spans="1:9" s="33" customFormat="1" ht="75">
      <c r="A2837" s="12">
        <v>43571.604166666672</v>
      </c>
      <c r="B2837" s="13" t="s">
        <v>14890</v>
      </c>
      <c r="C2837" s="14" t="s">
        <v>3571</v>
      </c>
      <c r="D2837" s="15" t="s">
        <v>3620</v>
      </c>
      <c r="E2837" s="16" t="s">
        <v>13034</v>
      </c>
      <c r="F2837" s="12">
        <v>43265.764976851853</v>
      </c>
      <c r="G2837" s="24" t="s">
        <v>13000</v>
      </c>
      <c r="H2837" s="35" t="s">
        <v>106</v>
      </c>
      <c r="I2837" s="18" t="s">
        <v>3573</v>
      </c>
    </row>
    <row r="2838" spans="1:9" s="33" customFormat="1" ht="75">
      <c r="A2838" s="12">
        <v>43571.562708333338</v>
      </c>
      <c r="B2838" s="13" t="s">
        <v>14886</v>
      </c>
      <c r="C2838" s="14" t="s">
        <v>3446</v>
      </c>
      <c r="D2838" s="15" t="s">
        <v>3635</v>
      </c>
      <c r="E2838" s="16" t="s">
        <v>13034</v>
      </c>
      <c r="F2838" s="12">
        <v>42832.147986111115</v>
      </c>
      <c r="G2838" s="24" t="s">
        <v>13000</v>
      </c>
      <c r="H2838" s="35" t="s">
        <v>106</v>
      </c>
      <c r="I2838" s="18" t="s">
        <v>3448</v>
      </c>
    </row>
    <row r="2839" spans="1:9" s="33" customFormat="1" ht="90">
      <c r="A2839" s="12">
        <v>43571.554872685185</v>
      </c>
      <c r="B2839" s="13" t="s">
        <v>14884</v>
      </c>
      <c r="C2839" s="14" t="s">
        <v>108</v>
      </c>
      <c r="D2839" s="15" t="s">
        <v>3636</v>
      </c>
      <c r="E2839" s="16" t="s">
        <v>13011</v>
      </c>
      <c r="F2839" s="12">
        <v>43182.268159722225</v>
      </c>
      <c r="G2839" s="24" t="s">
        <v>13000</v>
      </c>
      <c r="H2839" s="35" t="s">
        <v>106</v>
      </c>
      <c r="I2839" s="18" t="s">
        <v>110</v>
      </c>
    </row>
    <row r="2840" spans="1:9" s="33" customFormat="1" ht="75">
      <c r="A2840" s="12">
        <v>43571.479421296295</v>
      </c>
      <c r="B2840" s="13" t="s">
        <v>14890</v>
      </c>
      <c r="C2840" s="14" t="s">
        <v>3571</v>
      </c>
      <c r="D2840" s="15" t="s">
        <v>3661</v>
      </c>
      <c r="E2840" s="16" t="s">
        <v>13034</v>
      </c>
      <c r="F2840" s="12">
        <v>43265.764976851853</v>
      </c>
      <c r="G2840" s="24" t="s">
        <v>13000</v>
      </c>
      <c r="H2840" s="35" t="s">
        <v>106</v>
      </c>
      <c r="I2840" s="18" t="s">
        <v>3573</v>
      </c>
    </row>
    <row r="2841" spans="1:9" s="33" customFormat="1" ht="75">
      <c r="A2841" s="12">
        <v>43571.437696759254</v>
      </c>
      <c r="B2841" s="13" t="s">
        <v>14886</v>
      </c>
      <c r="C2841" s="14" t="s">
        <v>3446</v>
      </c>
      <c r="D2841" s="15" t="s">
        <v>3671</v>
      </c>
      <c r="E2841" s="16" t="s">
        <v>13034</v>
      </c>
      <c r="F2841" s="12">
        <v>42832.147986111115</v>
      </c>
      <c r="G2841" s="24" t="s">
        <v>13000</v>
      </c>
      <c r="H2841" s="35" t="s">
        <v>106</v>
      </c>
      <c r="I2841" s="18" t="s">
        <v>3448</v>
      </c>
    </row>
    <row r="2842" spans="1:9" s="33" customFormat="1" ht="105">
      <c r="A2842" s="12">
        <v>43571.381574074076</v>
      </c>
      <c r="B2842" s="13" t="s">
        <v>14889</v>
      </c>
      <c r="C2842" s="14" t="s">
        <v>2560</v>
      </c>
      <c r="D2842" s="15" t="s">
        <v>3703</v>
      </c>
      <c r="E2842" s="16" t="s">
        <v>13443</v>
      </c>
      <c r="F2842" s="12">
        <v>42893.499884259261</v>
      </c>
      <c r="G2842" s="24" t="s">
        <v>13000</v>
      </c>
      <c r="H2842" s="35" t="s">
        <v>106</v>
      </c>
      <c r="I2842" s="18" t="s">
        <v>2562</v>
      </c>
    </row>
    <row r="2843" spans="1:9" s="33" customFormat="1" ht="75">
      <c r="A2843" s="12">
        <v>43571.354166666672</v>
      </c>
      <c r="B2843" s="13" t="s">
        <v>14890</v>
      </c>
      <c r="C2843" s="14" t="s">
        <v>3571</v>
      </c>
      <c r="D2843" s="15" t="s">
        <v>3717</v>
      </c>
      <c r="E2843" s="16" t="s">
        <v>13034</v>
      </c>
      <c r="F2843" s="12">
        <v>43265.764976851853</v>
      </c>
      <c r="G2843" s="24" t="s">
        <v>13000</v>
      </c>
      <c r="H2843" s="35" t="s">
        <v>106</v>
      </c>
      <c r="I2843" s="18" t="s">
        <v>3573</v>
      </c>
    </row>
    <row r="2844" spans="1:9" s="33" customFormat="1" ht="75">
      <c r="A2844" s="12">
        <v>43571.312743055554</v>
      </c>
      <c r="B2844" s="13" t="s">
        <v>14886</v>
      </c>
      <c r="C2844" s="14" t="s">
        <v>3446</v>
      </c>
      <c r="D2844" s="15" t="s">
        <v>3744</v>
      </c>
      <c r="E2844" s="16" t="s">
        <v>13034</v>
      </c>
      <c r="F2844" s="12">
        <v>42832.147986111115</v>
      </c>
      <c r="G2844" s="24" t="s">
        <v>13000</v>
      </c>
      <c r="H2844" s="35" t="s">
        <v>106</v>
      </c>
      <c r="I2844" s="18" t="s">
        <v>3448</v>
      </c>
    </row>
    <row r="2845" spans="1:9" s="33" customFormat="1" ht="90">
      <c r="A2845" s="12">
        <v>43570.917141203703</v>
      </c>
      <c r="B2845" s="13" t="s">
        <v>14901</v>
      </c>
      <c r="C2845" s="14" t="s">
        <v>3474</v>
      </c>
      <c r="D2845" s="15" t="s">
        <v>3939</v>
      </c>
      <c r="E2845" s="16" t="s">
        <v>13009</v>
      </c>
      <c r="F2845" s="12">
        <v>43405.153368055559</v>
      </c>
      <c r="G2845" s="24" t="s">
        <v>13000</v>
      </c>
      <c r="H2845" s="35" t="s">
        <v>106</v>
      </c>
      <c r="I2845" s="18" t="s">
        <v>3476</v>
      </c>
    </row>
    <row r="2846" spans="1:9" s="33" customFormat="1" ht="120">
      <c r="A2846" s="12">
        <v>43570.773379629631</v>
      </c>
      <c r="B2846" s="13" t="s">
        <v>14887</v>
      </c>
      <c r="C2846" s="14" t="s">
        <v>1971</v>
      </c>
      <c r="D2846" s="15" t="s">
        <v>3983</v>
      </c>
      <c r="E2846" s="16" t="s">
        <v>13032</v>
      </c>
      <c r="F2846" s="12">
        <v>39997.894976851851</v>
      </c>
      <c r="G2846" s="24" t="s">
        <v>13000</v>
      </c>
      <c r="H2846" s="35" t="s">
        <v>106</v>
      </c>
      <c r="I2846" s="18" t="s">
        <v>1973</v>
      </c>
    </row>
    <row r="2847" spans="1:9" s="33" customFormat="1" ht="75">
      <c r="A2847" s="12">
        <v>43570.280972222223</v>
      </c>
      <c r="B2847" s="13" t="s">
        <v>14888</v>
      </c>
      <c r="C2847" s="14" t="s">
        <v>1717</v>
      </c>
      <c r="D2847" s="15" t="s">
        <v>4264</v>
      </c>
      <c r="E2847" s="16" t="s">
        <v>13009</v>
      </c>
      <c r="F2847" s="12">
        <v>42574.170451388884</v>
      </c>
      <c r="G2847" s="24" t="s">
        <v>13000</v>
      </c>
      <c r="H2847" s="35" t="s">
        <v>106</v>
      </c>
      <c r="I2847" s="18" t="s">
        <v>1719</v>
      </c>
    </row>
    <row r="2848" spans="1:9" s="33" customFormat="1" ht="90">
      <c r="A2848" s="12">
        <v>43569.940960648149</v>
      </c>
      <c r="B2848" s="13" t="s">
        <v>14901</v>
      </c>
      <c r="C2848" s="14" t="s">
        <v>3474</v>
      </c>
      <c r="D2848" s="15" t="s">
        <v>4375</v>
      </c>
      <c r="E2848" s="16" t="s">
        <v>13009</v>
      </c>
      <c r="F2848" s="12">
        <v>43405.153368055559</v>
      </c>
      <c r="G2848" s="24" t="s">
        <v>13000</v>
      </c>
      <c r="H2848" s="35" t="s">
        <v>106</v>
      </c>
      <c r="I2848" s="18" t="s">
        <v>3476</v>
      </c>
    </row>
    <row r="2849" spans="1:9" s="33" customFormat="1" ht="45">
      <c r="A2849" s="12">
        <v>43568.836550925931</v>
      </c>
      <c r="B2849" s="13" t="s">
        <v>14923</v>
      </c>
      <c r="C2849" s="14" t="s">
        <v>4649</v>
      </c>
      <c r="D2849" s="15" t="s">
        <v>4650</v>
      </c>
      <c r="E2849" s="16" t="s">
        <v>13009</v>
      </c>
      <c r="F2849" s="12">
        <v>39762.585694444446</v>
      </c>
      <c r="G2849" s="24" t="s">
        <v>13000</v>
      </c>
      <c r="H2849" s="35" t="s">
        <v>106</v>
      </c>
      <c r="I2849" s="18" t="s">
        <v>4651</v>
      </c>
    </row>
    <row r="2850" spans="1:9" s="33" customFormat="1" ht="90">
      <c r="A2850" s="12">
        <v>43568.59584490741</v>
      </c>
      <c r="B2850" s="13" t="s">
        <v>14884</v>
      </c>
      <c r="C2850" s="14" t="s">
        <v>108</v>
      </c>
      <c r="D2850" s="15" t="s">
        <v>4690</v>
      </c>
      <c r="E2850" s="16" t="s">
        <v>13011</v>
      </c>
      <c r="F2850" s="12">
        <v>43182.268159722225</v>
      </c>
      <c r="G2850" s="24" t="s">
        <v>13000</v>
      </c>
      <c r="H2850" s="35" t="s">
        <v>106</v>
      </c>
      <c r="I2850" s="18" t="s">
        <v>110</v>
      </c>
    </row>
    <row r="2851" spans="1:9" s="33" customFormat="1" ht="75">
      <c r="A2851" s="12">
        <v>43568.305289351847</v>
      </c>
      <c r="B2851" s="13" t="s">
        <v>14888</v>
      </c>
      <c r="C2851" s="14" t="s">
        <v>1717</v>
      </c>
      <c r="D2851" s="15" t="s">
        <v>4814</v>
      </c>
      <c r="E2851" s="16" t="s">
        <v>13009</v>
      </c>
      <c r="F2851" s="12">
        <v>42574.170451388884</v>
      </c>
      <c r="G2851" s="24" t="s">
        <v>13000</v>
      </c>
      <c r="H2851" s="35" t="s">
        <v>106</v>
      </c>
      <c r="I2851" s="18" t="s">
        <v>1719</v>
      </c>
    </row>
    <row r="2852" spans="1:9" s="33" customFormat="1" ht="120">
      <c r="A2852" s="12">
        <v>43567.700972222221</v>
      </c>
      <c r="B2852" s="13" t="s">
        <v>14887</v>
      </c>
      <c r="C2852" s="14" t="s">
        <v>1971</v>
      </c>
      <c r="D2852" s="15" t="s">
        <v>4992</v>
      </c>
      <c r="E2852" s="16" t="s">
        <v>13032</v>
      </c>
      <c r="F2852" s="12">
        <v>39997.894976851851</v>
      </c>
      <c r="G2852" s="24" t="s">
        <v>13000</v>
      </c>
      <c r="H2852" s="35" t="s">
        <v>106</v>
      </c>
      <c r="I2852" s="18" t="s">
        <v>1973</v>
      </c>
    </row>
    <row r="2853" spans="1:9" s="33" customFormat="1" ht="75">
      <c r="A2853" s="12">
        <v>43567.604259259257</v>
      </c>
      <c r="B2853" s="13" t="s">
        <v>14886</v>
      </c>
      <c r="C2853" s="14" t="s">
        <v>3446</v>
      </c>
      <c r="D2853" s="15" t="s">
        <v>5025</v>
      </c>
      <c r="E2853" s="16" t="s">
        <v>13034</v>
      </c>
      <c r="F2853" s="12">
        <v>42832.147986111115</v>
      </c>
      <c r="G2853" s="24" t="s">
        <v>13000</v>
      </c>
      <c r="H2853" s="35" t="s">
        <v>106</v>
      </c>
      <c r="I2853" s="18" t="s">
        <v>3448</v>
      </c>
    </row>
    <row r="2854" spans="1:9" s="33" customFormat="1" ht="105">
      <c r="A2854" s="12">
        <v>43567.354259259257</v>
      </c>
      <c r="B2854" s="13" t="s">
        <v>14886</v>
      </c>
      <c r="C2854" s="14" t="s">
        <v>3446</v>
      </c>
      <c r="D2854" s="15" t="s">
        <v>5140</v>
      </c>
      <c r="E2854" s="16" t="s">
        <v>13034</v>
      </c>
      <c r="F2854" s="12">
        <v>42832.147986111115</v>
      </c>
      <c r="G2854" s="24" t="s">
        <v>13000</v>
      </c>
      <c r="H2854" s="35" t="s">
        <v>106</v>
      </c>
      <c r="I2854" s="18" t="s">
        <v>3448</v>
      </c>
    </row>
    <row r="2855" spans="1:9" s="33" customFormat="1" ht="90">
      <c r="A2855" s="12">
        <v>43567.314942129626</v>
      </c>
      <c r="B2855" s="13" t="s">
        <v>14884</v>
      </c>
      <c r="C2855" s="14" t="s">
        <v>108</v>
      </c>
      <c r="D2855" s="15" t="s">
        <v>5168</v>
      </c>
      <c r="E2855" s="16" t="s">
        <v>13011</v>
      </c>
      <c r="F2855" s="12">
        <v>43182.268159722225</v>
      </c>
      <c r="G2855" s="24" t="s">
        <v>13000</v>
      </c>
      <c r="H2855" s="35" t="s">
        <v>106</v>
      </c>
      <c r="I2855" s="18" t="s">
        <v>110</v>
      </c>
    </row>
    <row r="2856" spans="1:9" s="33" customFormat="1" ht="105">
      <c r="A2856" s="12">
        <v>43567.298472222217</v>
      </c>
      <c r="B2856" s="13" t="s">
        <v>14889</v>
      </c>
      <c r="C2856" s="14" t="s">
        <v>2560</v>
      </c>
      <c r="D2856" s="15" t="s">
        <v>5181</v>
      </c>
      <c r="E2856" s="16" t="s">
        <v>13009</v>
      </c>
      <c r="F2856" s="12">
        <v>42893.499884259261</v>
      </c>
      <c r="G2856" s="24" t="s">
        <v>13000</v>
      </c>
      <c r="H2856" s="35" t="s">
        <v>106</v>
      </c>
      <c r="I2856" s="18" t="s">
        <v>2562</v>
      </c>
    </row>
    <row r="2857" spans="1:9" s="33" customFormat="1" ht="90">
      <c r="A2857" s="12">
        <v>43566.943807870368</v>
      </c>
      <c r="B2857" s="13" t="s">
        <v>14901</v>
      </c>
      <c r="C2857" s="14" t="s">
        <v>3474</v>
      </c>
      <c r="D2857" s="15" t="s">
        <v>5302</v>
      </c>
      <c r="E2857" s="16" t="s">
        <v>13009</v>
      </c>
      <c r="F2857" s="12">
        <v>43405.153368055559</v>
      </c>
      <c r="G2857" s="24" t="s">
        <v>13000</v>
      </c>
      <c r="H2857" s="35" t="s">
        <v>106</v>
      </c>
      <c r="I2857" s="18" t="s">
        <v>3476</v>
      </c>
    </row>
    <row r="2858" spans="1:9" s="33" customFormat="1" ht="75">
      <c r="A2858" s="12">
        <v>43566.87501157407</v>
      </c>
      <c r="B2858" s="13" t="s">
        <v>14890</v>
      </c>
      <c r="C2858" s="14" t="s">
        <v>3571</v>
      </c>
      <c r="D2858" s="15" t="s">
        <v>5316</v>
      </c>
      <c r="E2858" s="16" t="s">
        <v>13034</v>
      </c>
      <c r="F2858" s="12">
        <v>43265.764976851853</v>
      </c>
      <c r="G2858" s="24" t="s">
        <v>13000</v>
      </c>
      <c r="H2858" s="35" t="s">
        <v>106</v>
      </c>
      <c r="I2858" s="18" t="s">
        <v>3573</v>
      </c>
    </row>
    <row r="2859" spans="1:9" s="33" customFormat="1" ht="75">
      <c r="A2859" s="12">
        <v>43566.833472222221</v>
      </c>
      <c r="B2859" s="13" t="s">
        <v>14886</v>
      </c>
      <c r="C2859" s="14" t="s">
        <v>3446</v>
      </c>
      <c r="D2859" s="15" t="s">
        <v>5330</v>
      </c>
      <c r="E2859" s="16" t="s">
        <v>13034</v>
      </c>
      <c r="F2859" s="12">
        <v>42832.147986111115</v>
      </c>
      <c r="G2859" s="24" t="s">
        <v>13000</v>
      </c>
      <c r="H2859" s="35" t="s">
        <v>106</v>
      </c>
      <c r="I2859" s="18" t="s">
        <v>3448</v>
      </c>
    </row>
    <row r="2860" spans="1:9" s="33" customFormat="1" ht="75">
      <c r="A2860" s="12">
        <v>43566.750196759254</v>
      </c>
      <c r="B2860" s="13" t="s">
        <v>14890</v>
      </c>
      <c r="C2860" s="14" t="s">
        <v>3571</v>
      </c>
      <c r="D2860" s="15" t="s">
        <v>5358</v>
      </c>
      <c r="E2860" s="16" t="s">
        <v>13034</v>
      </c>
      <c r="F2860" s="12">
        <v>43265.764976851853</v>
      </c>
      <c r="G2860" s="24" t="s">
        <v>13000</v>
      </c>
      <c r="H2860" s="35" t="s">
        <v>106</v>
      </c>
      <c r="I2860" s="18" t="s">
        <v>3573</v>
      </c>
    </row>
    <row r="2861" spans="1:9" s="33" customFormat="1" ht="60">
      <c r="A2861" s="12">
        <v>43566.708530092597</v>
      </c>
      <c r="B2861" s="13" t="s">
        <v>14886</v>
      </c>
      <c r="C2861" s="14" t="s">
        <v>3446</v>
      </c>
      <c r="D2861" s="15" t="s">
        <v>5371</v>
      </c>
      <c r="E2861" s="16" t="s">
        <v>13034</v>
      </c>
      <c r="F2861" s="12">
        <v>42832.147986111115</v>
      </c>
      <c r="G2861" s="24" t="s">
        <v>13000</v>
      </c>
      <c r="H2861" s="35" t="s">
        <v>106</v>
      </c>
      <c r="I2861" s="18" t="s">
        <v>3448</v>
      </c>
    </row>
    <row r="2862" spans="1:9" s="33" customFormat="1" ht="75">
      <c r="A2862" s="12">
        <v>43566.625</v>
      </c>
      <c r="B2862" s="13" t="s">
        <v>14890</v>
      </c>
      <c r="C2862" s="14" t="s">
        <v>3571</v>
      </c>
      <c r="D2862" s="15" t="s">
        <v>5394</v>
      </c>
      <c r="E2862" s="16" t="s">
        <v>13034</v>
      </c>
      <c r="F2862" s="12">
        <v>43265.764976851853</v>
      </c>
      <c r="G2862" s="24" t="s">
        <v>13000</v>
      </c>
      <c r="H2862" s="35" t="s">
        <v>106</v>
      </c>
      <c r="I2862" s="18" t="s">
        <v>3573</v>
      </c>
    </row>
    <row r="2863" spans="1:9" s="33" customFormat="1" ht="75">
      <c r="A2863" s="12">
        <v>43566.583796296298</v>
      </c>
      <c r="B2863" s="13" t="s">
        <v>14886</v>
      </c>
      <c r="C2863" s="14" t="s">
        <v>3446</v>
      </c>
      <c r="D2863" s="15" t="s">
        <v>5429</v>
      </c>
      <c r="E2863" s="16" t="s">
        <v>13034</v>
      </c>
      <c r="F2863" s="12">
        <v>42832.147986111115</v>
      </c>
      <c r="G2863" s="24" t="s">
        <v>13000</v>
      </c>
      <c r="H2863" s="35" t="s">
        <v>106</v>
      </c>
      <c r="I2863" s="18" t="s">
        <v>3448</v>
      </c>
    </row>
    <row r="2864" spans="1:9" s="33" customFormat="1" ht="105">
      <c r="A2864" s="12">
        <v>43566.504467592589</v>
      </c>
      <c r="B2864" s="13" t="s">
        <v>14889</v>
      </c>
      <c r="C2864" s="14" t="s">
        <v>2560</v>
      </c>
      <c r="D2864" s="15" t="s">
        <v>5473</v>
      </c>
      <c r="E2864" s="16" t="s">
        <v>13443</v>
      </c>
      <c r="F2864" s="12">
        <v>42893.499884259261</v>
      </c>
      <c r="G2864" s="24" t="s">
        <v>13000</v>
      </c>
      <c r="H2864" s="35" t="s">
        <v>106</v>
      </c>
      <c r="I2864" s="18" t="s">
        <v>2562</v>
      </c>
    </row>
    <row r="2865" spans="1:9" s="33" customFormat="1" ht="75">
      <c r="A2865" s="12">
        <v>43566.500231481477</v>
      </c>
      <c r="B2865" s="13" t="s">
        <v>14890</v>
      </c>
      <c r="C2865" s="14" t="s">
        <v>3571</v>
      </c>
      <c r="D2865" s="15" t="s">
        <v>5340</v>
      </c>
      <c r="E2865" s="16" t="s">
        <v>13034</v>
      </c>
      <c r="F2865" s="12">
        <v>43265.764976851853</v>
      </c>
      <c r="G2865" s="24" t="s">
        <v>13000</v>
      </c>
      <c r="H2865" s="35" t="s">
        <v>106</v>
      </c>
      <c r="I2865" s="18" t="s">
        <v>3573</v>
      </c>
    </row>
    <row r="2866" spans="1:9" s="33" customFormat="1" ht="75">
      <c r="A2866" s="12">
        <v>43566.458599537036</v>
      </c>
      <c r="B2866" s="13" t="s">
        <v>14886</v>
      </c>
      <c r="C2866" s="14" t="s">
        <v>3446</v>
      </c>
      <c r="D2866" s="15" t="s">
        <v>5515</v>
      </c>
      <c r="E2866" s="16" t="s">
        <v>13034</v>
      </c>
      <c r="F2866" s="12">
        <v>42832.147986111115</v>
      </c>
      <c r="G2866" s="24" t="s">
        <v>13000</v>
      </c>
      <c r="H2866" s="35" t="s">
        <v>106</v>
      </c>
      <c r="I2866" s="18" t="s">
        <v>3448</v>
      </c>
    </row>
    <row r="2867" spans="1:9" s="33" customFormat="1" ht="75">
      <c r="A2867" s="12">
        <v>43566.375706018516</v>
      </c>
      <c r="B2867" s="13" t="s">
        <v>14890</v>
      </c>
      <c r="C2867" s="14" t="s">
        <v>3571</v>
      </c>
      <c r="D2867" s="15" t="s">
        <v>5590</v>
      </c>
      <c r="E2867" s="16" t="s">
        <v>13034</v>
      </c>
      <c r="F2867" s="12">
        <v>43265.764976851853</v>
      </c>
      <c r="G2867" s="24" t="s">
        <v>13000</v>
      </c>
      <c r="H2867" s="35" t="s">
        <v>106</v>
      </c>
      <c r="I2867" s="18" t="s">
        <v>3573</v>
      </c>
    </row>
    <row r="2868" spans="1:9" s="33" customFormat="1" ht="135">
      <c r="A2868" s="12">
        <v>43566.366979166662</v>
      </c>
      <c r="B2868" s="13" t="s">
        <v>14924</v>
      </c>
      <c r="C2868" s="14" t="s">
        <v>5609</v>
      </c>
      <c r="D2868" s="15" t="s">
        <v>5610</v>
      </c>
      <c r="E2868" s="16" t="s">
        <v>13009</v>
      </c>
      <c r="F2868" s="12">
        <v>40622.835787037038</v>
      </c>
      <c r="G2868" s="24" t="s">
        <v>13000</v>
      </c>
      <c r="H2868" s="35" t="s">
        <v>106</v>
      </c>
      <c r="I2868" s="18" t="s">
        <v>5611</v>
      </c>
    </row>
    <row r="2869" spans="1:9" s="33" customFormat="1" ht="90">
      <c r="A2869" s="12">
        <v>43566.360694444447</v>
      </c>
      <c r="B2869" s="13" t="s">
        <v>14884</v>
      </c>
      <c r="C2869" s="14" t="s">
        <v>108</v>
      </c>
      <c r="D2869" s="15" t="s">
        <v>5616</v>
      </c>
      <c r="E2869" s="16" t="s">
        <v>13011</v>
      </c>
      <c r="F2869" s="12">
        <v>43182.268159722225</v>
      </c>
      <c r="G2869" s="24" t="s">
        <v>13000</v>
      </c>
      <c r="H2869" s="35" t="s">
        <v>106</v>
      </c>
      <c r="I2869" s="18" t="s">
        <v>110</v>
      </c>
    </row>
    <row r="2870" spans="1:9" s="33" customFormat="1" ht="75">
      <c r="A2870" s="12">
        <v>43566.33421296296</v>
      </c>
      <c r="B2870" s="13" t="s">
        <v>14886</v>
      </c>
      <c r="C2870" s="14" t="s">
        <v>3446</v>
      </c>
      <c r="D2870" s="15" t="s">
        <v>5643</v>
      </c>
      <c r="E2870" s="16" t="s">
        <v>13034</v>
      </c>
      <c r="F2870" s="12">
        <v>42832.147986111115</v>
      </c>
      <c r="G2870" s="24" t="s">
        <v>13000</v>
      </c>
      <c r="H2870" s="35" t="s">
        <v>106</v>
      </c>
      <c r="I2870" s="18" t="s">
        <v>3448</v>
      </c>
    </row>
    <row r="2871" spans="1:9" s="33" customFormat="1" ht="75">
      <c r="A2871" s="12">
        <v>43566.179062499999</v>
      </c>
      <c r="B2871" s="13" t="s">
        <v>14885</v>
      </c>
      <c r="C2871" s="14" t="s">
        <v>5740</v>
      </c>
      <c r="D2871" s="15" t="s">
        <v>5741</v>
      </c>
      <c r="E2871" s="16" t="s">
        <v>13013</v>
      </c>
      <c r="F2871" s="12">
        <v>39898.878032407403</v>
      </c>
      <c r="G2871" s="24" t="s">
        <v>13000</v>
      </c>
      <c r="H2871" s="35" t="s">
        <v>106</v>
      </c>
      <c r="I2871" s="18" t="s">
        <v>5742</v>
      </c>
    </row>
    <row r="2872" spans="1:9" s="33" customFormat="1" ht="75">
      <c r="A2872" s="12">
        <v>43565.941168981481</v>
      </c>
      <c r="B2872" s="13" t="s">
        <v>14901</v>
      </c>
      <c r="C2872" s="14" t="s">
        <v>3474</v>
      </c>
      <c r="D2872" s="15" t="s">
        <v>5843</v>
      </c>
      <c r="E2872" s="16" t="s">
        <v>13009</v>
      </c>
      <c r="F2872" s="12">
        <v>43405.153368055559</v>
      </c>
      <c r="G2872" s="24" t="s">
        <v>13000</v>
      </c>
      <c r="H2872" s="35" t="s">
        <v>106</v>
      </c>
      <c r="I2872" s="18" t="s">
        <v>3476</v>
      </c>
    </row>
    <row r="2873" spans="1:9" s="33" customFormat="1" ht="90">
      <c r="A2873" s="12">
        <v>43577.750208333338</v>
      </c>
      <c r="B2873" s="13" t="s">
        <v>14925</v>
      </c>
      <c r="C2873" s="14" t="s">
        <v>1509</v>
      </c>
      <c r="D2873" s="15" t="s">
        <v>1510</v>
      </c>
      <c r="E2873" s="16" t="s">
        <v>13018</v>
      </c>
      <c r="F2873" s="12">
        <v>40779.386504629627</v>
      </c>
      <c r="G2873" s="24" t="s">
        <v>13000</v>
      </c>
      <c r="H2873" s="35" t="s">
        <v>1511</v>
      </c>
      <c r="I2873" s="18" t="s">
        <v>1512</v>
      </c>
    </row>
    <row r="2874" spans="1:9" s="33" customFormat="1" ht="75">
      <c r="A2874" s="4">
        <v>43565.485995370371</v>
      </c>
      <c r="B2874" s="5" t="s">
        <v>14926</v>
      </c>
      <c r="C2874" s="6" t="s">
        <v>6057</v>
      </c>
      <c r="D2874" s="7" t="s">
        <v>6058</v>
      </c>
      <c r="E2874" s="8" t="s">
        <v>13009</v>
      </c>
      <c r="F2874" s="4">
        <v>40254.043611111112</v>
      </c>
      <c r="G2874" s="24" t="s">
        <v>13000</v>
      </c>
      <c r="H2874" s="35" t="s">
        <v>2007</v>
      </c>
      <c r="I2874" s="10" t="s">
        <v>6059</v>
      </c>
    </row>
    <row r="2875" spans="1:9" s="33" customFormat="1" ht="75">
      <c r="A2875" s="12">
        <v>43576.301851851851</v>
      </c>
      <c r="B2875" s="13" t="s">
        <v>14927</v>
      </c>
      <c r="C2875" s="14" t="s">
        <v>2005</v>
      </c>
      <c r="D2875" s="15" t="s">
        <v>2006</v>
      </c>
      <c r="E2875" s="16" t="s">
        <v>13009</v>
      </c>
      <c r="F2875" s="12">
        <v>39947.341944444444</v>
      </c>
      <c r="G2875" s="24" t="s">
        <v>13000</v>
      </c>
      <c r="H2875" s="35" t="s">
        <v>2007</v>
      </c>
      <c r="I2875" s="18" t="s">
        <v>2008</v>
      </c>
    </row>
    <row r="2876" spans="1:9" s="33" customFormat="1" ht="60">
      <c r="A2876" s="4">
        <v>43563.022118055553</v>
      </c>
      <c r="B2876" s="5" t="s">
        <v>14928</v>
      </c>
      <c r="C2876" s="6" t="s">
        <v>10503</v>
      </c>
      <c r="D2876" s="7" t="s">
        <v>10504</v>
      </c>
      <c r="E2876" s="8" t="s">
        <v>13032</v>
      </c>
      <c r="F2876" s="4">
        <v>40181.462592592594</v>
      </c>
      <c r="G2876" s="24" t="s">
        <v>13000</v>
      </c>
      <c r="H2876" s="35" t="s">
        <v>10505</v>
      </c>
      <c r="I2876" s="10" t="s">
        <v>10506</v>
      </c>
    </row>
    <row r="2877" spans="1:9" s="33" customFormat="1" ht="60">
      <c r="A2877" s="4">
        <v>43558.331064814818</v>
      </c>
      <c r="B2877" s="5" t="s">
        <v>14928</v>
      </c>
      <c r="C2877" s="6" t="s">
        <v>10503</v>
      </c>
      <c r="D2877" s="7" t="s">
        <v>12232</v>
      </c>
      <c r="E2877" s="8" t="s">
        <v>13032</v>
      </c>
      <c r="F2877" s="4">
        <v>40181.462592592594</v>
      </c>
      <c r="G2877" s="24" t="s">
        <v>13000</v>
      </c>
      <c r="H2877" s="35" t="s">
        <v>10505</v>
      </c>
      <c r="I2877" s="10" t="s">
        <v>10506</v>
      </c>
    </row>
    <row r="2878" spans="1:9" s="33" customFormat="1" ht="45">
      <c r="A2878" s="4">
        <v>43558.118113425924</v>
      </c>
      <c r="B2878" s="5" t="s">
        <v>14928</v>
      </c>
      <c r="C2878" s="6" t="s">
        <v>10503</v>
      </c>
      <c r="D2878" s="7" t="s">
        <v>12315</v>
      </c>
      <c r="E2878" s="8" t="s">
        <v>13032</v>
      </c>
      <c r="F2878" s="4">
        <v>40181.462592592594</v>
      </c>
      <c r="G2878" s="24" t="s">
        <v>13000</v>
      </c>
      <c r="H2878" s="35" t="s">
        <v>10505</v>
      </c>
      <c r="I2878" s="10" t="s">
        <v>10506</v>
      </c>
    </row>
    <row r="2879" spans="1:9" s="33" customFormat="1" ht="45">
      <c r="A2879" s="4">
        <v>43558.013414351852</v>
      </c>
      <c r="B2879" s="5" t="s">
        <v>14928</v>
      </c>
      <c r="C2879" s="6" t="s">
        <v>10503</v>
      </c>
      <c r="D2879" s="7" t="s">
        <v>12342</v>
      </c>
      <c r="E2879" s="8" t="s">
        <v>13032</v>
      </c>
      <c r="F2879" s="4">
        <v>40181.462592592594</v>
      </c>
      <c r="G2879" s="24" t="s">
        <v>13000</v>
      </c>
      <c r="H2879" s="35" t="s">
        <v>10505</v>
      </c>
      <c r="I2879" s="10" t="s">
        <v>10506</v>
      </c>
    </row>
    <row r="2880" spans="1:9" s="33" customFormat="1" ht="105">
      <c r="A2880" s="19">
        <v>43545.34207175926</v>
      </c>
      <c r="B2880" s="20" t="s">
        <v>14929</v>
      </c>
      <c r="C2880" s="21" t="s">
        <v>9187</v>
      </c>
      <c r="D2880" s="22" t="s">
        <v>9188</v>
      </c>
      <c r="E2880" s="23" t="s">
        <v>13015</v>
      </c>
      <c r="F2880" s="19">
        <v>41411.382824074077</v>
      </c>
      <c r="G2880" s="24" t="s">
        <v>13000</v>
      </c>
      <c r="H2880" s="35" t="s">
        <v>9189</v>
      </c>
      <c r="I2880" s="25" t="s">
        <v>9190</v>
      </c>
    </row>
    <row r="2881" spans="1:9" s="33" customFormat="1" ht="90">
      <c r="A2881" s="4">
        <v>43561.645925925928</v>
      </c>
      <c r="B2881" s="5" t="s">
        <v>14930</v>
      </c>
      <c r="C2881" s="6" t="s">
        <v>3314</v>
      </c>
      <c r="D2881" s="7" t="s">
        <v>10883</v>
      </c>
      <c r="E2881" s="8" t="s">
        <v>13032</v>
      </c>
      <c r="F2881" s="4">
        <v>40888.391319444447</v>
      </c>
      <c r="G2881" s="24" t="s">
        <v>13000</v>
      </c>
      <c r="H2881" s="35" t="s">
        <v>3316</v>
      </c>
      <c r="I2881" s="10" t="s">
        <v>3317</v>
      </c>
    </row>
    <row r="2882" spans="1:9" s="33" customFormat="1" ht="90">
      <c r="A2882" s="12">
        <v>43572.341435185182</v>
      </c>
      <c r="B2882" s="13" t="s">
        <v>14930</v>
      </c>
      <c r="C2882" s="14" t="s">
        <v>3314</v>
      </c>
      <c r="D2882" s="15" t="s">
        <v>3315</v>
      </c>
      <c r="E2882" s="16" t="s">
        <v>13006</v>
      </c>
      <c r="F2882" s="12">
        <v>40888.391319444447</v>
      </c>
      <c r="G2882" s="24" t="s">
        <v>13000</v>
      </c>
      <c r="H2882" s="35" t="s">
        <v>3316</v>
      </c>
      <c r="I2882" s="18" t="s">
        <v>3317</v>
      </c>
    </row>
    <row r="2883" spans="1:9" s="33" customFormat="1" ht="105">
      <c r="A2883" s="19">
        <v>43548.709050925929</v>
      </c>
      <c r="B2883" s="20" t="s">
        <v>14931</v>
      </c>
      <c r="C2883" s="21" t="s">
        <v>8238</v>
      </c>
      <c r="D2883" s="22" t="s">
        <v>8239</v>
      </c>
      <c r="E2883" s="23" t="s">
        <v>13756</v>
      </c>
      <c r="F2883" s="19">
        <v>41568.764456018514</v>
      </c>
      <c r="G2883" s="24" t="s">
        <v>13000</v>
      </c>
      <c r="H2883" s="35" t="s">
        <v>8240</v>
      </c>
      <c r="I2883" s="25" t="s">
        <v>8241</v>
      </c>
    </row>
    <row r="2884" spans="1:9" s="33" customFormat="1" ht="105">
      <c r="A2884" s="19">
        <v>43543.625439814816</v>
      </c>
      <c r="B2884" s="20" t="s">
        <v>14932</v>
      </c>
      <c r="C2884" s="21" t="s">
        <v>9732</v>
      </c>
      <c r="D2884" s="22" t="s">
        <v>12823</v>
      </c>
      <c r="E2884" s="23" t="s">
        <v>13032</v>
      </c>
      <c r="F2884" s="19">
        <v>40683.324907407405</v>
      </c>
      <c r="G2884" s="24" t="s">
        <v>13000</v>
      </c>
      <c r="H2884" s="35" t="s">
        <v>9733</v>
      </c>
      <c r="I2884" s="25" t="s">
        <v>9734</v>
      </c>
    </row>
    <row r="2885" spans="1:9" s="33" customFormat="1" ht="90">
      <c r="A2885" s="19">
        <v>43547.543020833335</v>
      </c>
      <c r="B2885" s="20" t="s">
        <v>14333</v>
      </c>
      <c r="C2885" s="21" t="s">
        <v>7950</v>
      </c>
      <c r="D2885" s="22" t="s">
        <v>12826</v>
      </c>
      <c r="E2885" s="23" t="s">
        <v>13013</v>
      </c>
      <c r="F2885" s="19">
        <v>42637.78707175926</v>
      </c>
      <c r="G2885" s="24" t="s">
        <v>13000</v>
      </c>
      <c r="H2885" s="35" t="s">
        <v>7951</v>
      </c>
      <c r="I2885" s="25" t="s">
        <v>7952</v>
      </c>
    </row>
    <row r="2886" spans="1:9" s="33" customFormat="1" ht="90">
      <c r="A2886" s="19">
        <v>43544.489004629635</v>
      </c>
      <c r="B2886" s="20" t="s">
        <v>14333</v>
      </c>
      <c r="C2886" s="21" t="s">
        <v>7950</v>
      </c>
      <c r="D2886" s="22" t="s">
        <v>12827</v>
      </c>
      <c r="E2886" s="23" t="s">
        <v>13013</v>
      </c>
      <c r="F2886" s="19">
        <v>42637.78707175926</v>
      </c>
      <c r="G2886" s="24" t="s">
        <v>13000</v>
      </c>
      <c r="H2886" s="35" t="s">
        <v>7951</v>
      </c>
      <c r="I2886" s="25" t="s">
        <v>7952</v>
      </c>
    </row>
    <row r="2887" spans="1:9" s="33" customFormat="1" ht="105">
      <c r="A2887" s="4">
        <v>43559.460972222223</v>
      </c>
      <c r="B2887" s="5" t="s">
        <v>14333</v>
      </c>
      <c r="C2887" s="6" t="s">
        <v>7950</v>
      </c>
      <c r="D2887" s="7" t="s">
        <v>12828</v>
      </c>
      <c r="E2887" s="8" t="s">
        <v>13013</v>
      </c>
      <c r="F2887" s="4">
        <v>42637.78707175926</v>
      </c>
      <c r="G2887" s="24" t="s">
        <v>13000</v>
      </c>
      <c r="H2887" s="35" t="s">
        <v>7951</v>
      </c>
      <c r="I2887" s="10" t="s">
        <v>7952</v>
      </c>
    </row>
    <row r="2888" spans="1:9" s="33" customFormat="1" ht="90">
      <c r="A2888" s="4">
        <v>43557.367349537039</v>
      </c>
      <c r="B2888" s="5" t="s">
        <v>14333</v>
      </c>
      <c r="C2888" s="6" t="s">
        <v>7950</v>
      </c>
      <c r="D2888" s="7" t="s">
        <v>12829</v>
      </c>
      <c r="E2888" s="8" t="s">
        <v>13013</v>
      </c>
      <c r="F2888" s="4">
        <v>42637.78707175926</v>
      </c>
      <c r="G2888" s="24" t="s">
        <v>13000</v>
      </c>
      <c r="H2888" s="35" t="s">
        <v>7951</v>
      </c>
      <c r="I2888" s="10" t="s">
        <v>7952</v>
      </c>
    </row>
    <row r="2889" spans="1:9" s="33" customFormat="1" ht="105">
      <c r="A2889" s="19">
        <v>43548.717442129629</v>
      </c>
      <c r="B2889" s="20" t="s">
        <v>14933</v>
      </c>
      <c r="C2889" s="21" t="s">
        <v>8235</v>
      </c>
      <c r="D2889" s="22" t="s">
        <v>12854</v>
      </c>
      <c r="E2889" s="23" t="s">
        <v>13013</v>
      </c>
      <c r="F2889" s="19">
        <v>43114.792141203703</v>
      </c>
      <c r="G2889" s="24" t="s">
        <v>13000</v>
      </c>
      <c r="H2889" s="35" t="s">
        <v>8236</v>
      </c>
      <c r="I2889" s="25" t="s">
        <v>8237</v>
      </c>
    </row>
    <row r="2890" spans="1:9" s="33" customFormat="1" ht="90">
      <c r="A2890" s="12">
        <v>43575.920381944445</v>
      </c>
      <c r="B2890" s="13" t="s">
        <v>14934</v>
      </c>
      <c r="C2890" s="14" t="s">
        <v>2101</v>
      </c>
      <c r="D2890" s="15" t="s">
        <v>12857</v>
      </c>
      <c r="E2890" s="16" t="s">
        <v>13011</v>
      </c>
      <c r="F2890" s="12">
        <v>41282.859317129631</v>
      </c>
      <c r="G2890" s="24" t="s">
        <v>13000</v>
      </c>
      <c r="H2890" s="35" t="s">
        <v>2102</v>
      </c>
      <c r="I2890" s="18" t="s">
        <v>2103</v>
      </c>
    </row>
    <row r="2891" spans="1:9" s="33" customFormat="1" ht="90">
      <c r="A2891" s="12">
        <v>43575.560624999998</v>
      </c>
      <c r="B2891" s="13" t="s">
        <v>14934</v>
      </c>
      <c r="C2891" s="14" t="s">
        <v>2101</v>
      </c>
      <c r="D2891" s="15" t="s">
        <v>12858</v>
      </c>
      <c r="E2891" s="16" t="s">
        <v>13011</v>
      </c>
      <c r="F2891" s="12">
        <v>41282.859317129631</v>
      </c>
      <c r="G2891" s="24" t="s">
        <v>13000</v>
      </c>
      <c r="H2891" s="35" t="s">
        <v>2102</v>
      </c>
      <c r="I2891" s="18" t="s">
        <v>2103</v>
      </c>
    </row>
    <row r="2892" spans="1:9" s="33" customFormat="1" ht="90">
      <c r="A2892" s="12">
        <v>43575.559178240743</v>
      </c>
      <c r="B2892" s="13" t="s">
        <v>14934</v>
      </c>
      <c r="C2892" s="14" t="s">
        <v>2101</v>
      </c>
      <c r="D2892" s="15" t="s">
        <v>12859</v>
      </c>
      <c r="E2892" s="16" t="s">
        <v>13032</v>
      </c>
      <c r="F2892" s="12">
        <v>41282.859317129631</v>
      </c>
      <c r="G2892" s="24" t="s">
        <v>13000</v>
      </c>
      <c r="H2892" s="35" t="s">
        <v>2102</v>
      </c>
      <c r="I2892" s="18" t="s">
        <v>2103</v>
      </c>
    </row>
    <row r="2893" spans="1:9" s="33" customFormat="1" ht="90">
      <c r="A2893" s="12">
        <v>43574.81962962963</v>
      </c>
      <c r="B2893" s="13" t="s">
        <v>14934</v>
      </c>
      <c r="C2893" s="14" t="s">
        <v>2101</v>
      </c>
      <c r="D2893" s="15" t="s">
        <v>12860</v>
      </c>
      <c r="E2893" s="16" t="s">
        <v>13011</v>
      </c>
      <c r="F2893" s="12">
        <v>41282.859317129631</v>
      </c>
      <c r="G2893" s="24" t="s">
        <v>13000</v>
      </c>
      <c r="H2893" s="35" t="s">
        <v>2102</v>
      </c>
      <c r="I2893" s="18" t="s">
        <v>2103</v>
      </c>
    </row>
    <row r="2894" spans="1:9" s="33" customFormat="1" ht="90">
      <c r="A2894" s="12">
        <v>43574.281597222223</v>
      </c>
      <c r="B2894" s="13" t="s">
        <v>14934</v>
      </c>
      <c r="C2894" s="14" t="s">
        <v>2101</v>
      </c>
      <c r="D2894" s="15" t="s">
        <v>12861</v>
      </c>
      <c r="E2894" s="16" t="s">
        <v>13011</v>
      </c>
      <c r="F2894" s="12">
        <v>41282.859317129631</v>
      </c>
      <c r="G2894" s="24" t="s">
        <v>13000</v>
      </c>
      <c r="H2894" s="35" t="s">
        <v>2102</v>
      </c>
      <c r="I2894" s="18" t="s">
        <v>2103</v>
      </c>
    </row>
    <row r="2895" spans="1:9" s="33" customFormat="1" ht="90">
      <c r="A2895" s="12">
        <v>43573.839120370365</v>
      </c>
      <c r="B2895" s="13" t="s">
        <v>14934</v>
      </c>
      <c r="C2895" s="14" t="s">
        <v>2101</v>
      </c>
      <c r="D2895" s="15" t="s">
        <v>12862</v>
      </c>
      <c r="E2895" s="16" t="s">
        <v>13011</v>
      </c>
      <c r="F2895" s="12">
        <v>41282.859317129631</v>
      </c>
      <c r="G2895" s="24" t="s">
        <v>13000</v>
      </c>
      <c r="H2895" s="35" t="s">
        <v>2102</v>
      </c>
      <c r="I2895" s="18" t="s">
        <v>2103</v>
      </c>
    </row>
    <row r="2896" spans="1:9" s="33" customFormat="1" ht="45">
      <c r="A2896" s="19">
        <v>43547.426539351851</v>
      </c>
      <c r="B2896" s="20" t="s">
        <v>14935</v>
      </c>
      <c r="C2896" s="21" t="s">
        <v>8552</v>
      </c>
      <c r="D2896" s="22" t="s">
        <v>8553</v>
      </c>
      <c r="E2896" s="23" t="s">
        <v>13032</v>
      </c>
      <c r="F2896" s="19">
        <v>40711.428310185183</v>
      </c>
      <c r="G2896" s="24" t="s">
        <v>13000</v>
      </c>
      <c r="H2896" s="35" t="s">
        <v>2320</v>
      </c>
      <c r="I2896" s="25" t="s">
        <v>8554</v>
      </c>
    </row>
    <row r="2897" spans="1:9" s="33" customFormat="1" ht="105">
      <c r="A2897" s="19">
        <v>43546.760011574079</v>
      </c>
      <c r="B2897" s="20" t="s">
        <v>14936</v>
      </c>
      <c r="C2897" s="21" t="s">
        <v>8738</v>
      </c>
      <c r="D2897" s="22" t="s">
        <v>8739</v>
      </c>
      <c r="E2897" s="23" t="s">
        <v>13009</v>
      </c>
      <c r="F2897" s="19">
        <v>42946.399918981479</v>
      </c>
      <c r="G2897" s="24" t="s">
        <v>13000</v>
      </c>
      <c r="H2897" s="35" t="s">
        <v>2320</v>
      </c>
      <c r="I2897" s="25" t="s">
        <v>8740</v>
      </c>
    </row>
    <row r="2898" spans="1:9" s="33" customFormat="1" ht="120">
      <c r="A2898" s="19">
        <v>43545.364652777775</v>
      </c>
      <c r="B2898" s="20" t="s">
        <v>14937</v>
      </c>
      <c r="C2898" s="21" t="s">
        <v>9170</v>
      </c>
      <c r="D2898" s="22" t="s">
        <v>9171</v>
      </c>
      <c r="E2898" s="23" t="s">
        <v>13034</v>
      </c>
      <c r="F2898" s="19">
        <v>42104.101273148146</v>
      </c>
      <c r="G2898" s="24" t="s">
        <v>13000</v>
      </c>
      <c r="H2898" s="35" t="s">
        <v>2320</v>
      </c>
      <c r="I2898" s="25" t="s">
        <v>9172</v>
      </c>
    </row>
    <row r="2899" spans="1:9" s="33" customFormat="1" ht="105">
      <c r="A2899" s="19">
        <v>43543.634282407409</v>
      </c>
      <c r="B2899" s="20" t="s">
        <v>14936</v>
      </c>
      <c r="C2899" s="21" t="s">
        <v>8738</v>
      </c>
      <c r="D2899" s="22" t="s">
        <v>9723</v>
      </c>
      <c r="E2899" s="23" t="s">
        <v>13034</v>
      </c>
      <c r="F2899" s="19">
        <v>42946.399918981479</v>
      </c>
      <c r="G2899" s="24" t="s">
        <v>13000</v>
      </c>
      <c r="H2899" s="35" t="s">
        <v>2320</v>
      </c>
      <c r="I2899" s="25" t="s">
        <v>8740</v>
      </c>
    </row>
    <row r="2900" spans="1:9" s="33" customFormat="1" ht="105">
      <c r="A2900" s="4">
        <v>43565.408356481479</v>
      </c>
      <c r="B2900" s="5" t="s">
        <v>14938</v>
      </c>
      <c r="C2900" s="6" t="s">
        <v>6107</v>
      </c>
      <c r="D2900" s="7" t="s">
        <v>6108</v>
      </c>
      <c r="E2900" s="8" t="s">
        <v>13130</v>
      </c>
      <c r="F2900" s="4">
        <v>42945.475428240738</v>
      </c>
      <c r="G2900" s="24" t="s">
        <v>13000</v>
      </c>
      <c r="H2900" s="35" t="s">
        <v>2320</v>
      </c>
      <c r="I2900" s="10" t="s">
        <v>6109</v>
      </c>
    </row>
    <row r="2901" spans="1:9" s="33" customFormat="1" ht="120">
      <c r="A2901" s="4">
        <v>43562.107430555552</v>
      </c>
      <c r="B2901" s="5" t="s">
        <v>14939</v>
      </c>
      <c r="C2901" s="6" t="s">
        <v>10748</v>
      </c>
      <c r="D2901" s="7" t="s">
        <v>10749</v>
      </c>
      <c r="E2901" s="8" t="s">
        <v>13011</v>
      </c>
      <c r="F2901" s="4">
        <v>40995.494756944448</v>
      </c>
      <c r="G2901" s="24" t="s">
        <v>13000</v>
      </c>
      <c r="H2901" s="35" t="s">
        <v>2320</v>
      </c>
      <c r="I2901" s="10" t="s">
        <v>10750</v>
      </c>
    </row>
    <row r="2902" spans="1:9" s="33" customFormat="1" ht="105">
      <c r="A2902" s="4">
        <v>43560.848217592589</v>
      </c>
      <c r="B2902" s="5" t="s">
        <v>14940</v>
      </c>
      <c r="C2902" s="6" t="s">
        <v>11146</v>
      </c>
      <c r="D2902" s="7" t="s">
        <v>11147</v>
      </c>
      <c r="E2902" s="8" t="s">
        <v>13013</v>
      </c>
      <c r="F2902" s="4">
        <v>40051.881192129629</v>
      </c>
      <c r="G2902" s="24" t="s">
        <v>13000</v>
      </c>
      <c r="H2902" s="35" t="s">
        <v>2320</v>
      </c>
      <c r="I2902" s="10" t="s">
        <v>11148</v>
      </c>
    </row>
    <row r="2903" spans="1:9" s="33" customFormat="1" ht="120">
      <c r="A2903" s="4">
        <v>43560.319895833338</v>
      </c>
      <c r="B2903" s="5" t="s">
        <v>14939</v>
      </c>
      <c r="C2903" s="6" t="s">
        <v>10748</v>
      </c>
      <c r="D2903" s="7" t="s">
        <v>11450</v>
      </c>
      <c r="E2903" s="8" t="s">
        <v>13011</v>
      </c>
      <c r="F2903" s="4">
        <v>40995.494756944448</v>
      </c>
      <c r="G2903" s="24" t="s">
        <v>13000</v>
      </c>
      <c r="H2903" s="35" t="s">
        <v>2320</v>
      </c>
      <c r="I2903" s="10" t="s">
        <v>10750</v>
      </c>
    </row>
    <row r="2904" spans="1:9" s="33" customFormat="1" ht="105">
      <c r="A2904" s="12">
        <v>43575.275902777779</v>
      </c>
      <c r="B2904" s="13" t="s">
        <v>14941</v>
      </c>
      <c r="C2904" s="14" t="s">
        <v>2318</v>
      </c>
      <c r="D2904" s="15" t="s">
        <v>2319</v>
      </c>
      <c r="E2904" s="16" t="s">
        <v>13130</v>
      </c>
      <c r="F2904" s="12">
        <v>39905.631215277775</v>
      </c>
      <c r="G2904" s="24" t="s">
        <v>13000</v>
      </c>
      <c r="H2904" s="35" t="s">
        <v>2320</v>
      </c>
      <c r="I2904" s="18" t="s">
        <v>2321</v>
      </c>
    </row>
    <row r="2905" spans="1:9" s="33" customFormat="1" ht="60">
      <c r="A2905" s="12">
        <v>43573.238888888889</v>
      </c>
      <c r="B2905" s="13" t="s">
        <v>14942</v>
      </c>
      <c r="C2905" s="14" t="s">
        <v>2960</v>
      </c>
      <c r="D2905" s="15" t="s">
        <v>2961</v>
      </c>
      <c r="E2905" s="16" t="s">
        <v>13009</v>
      </c>
      <c r="F2905" s="12">
        <v>39856.60732638889</v>
      </c>
      <c r="G2905" s="24" t="s">
        <v>13000</v>
      </c>
      <c r="H2905" s="35" t="s">
        <v>2320</v>
      </c>
      <c r="I2905" s="18" t="s">
        <v>2962</v>
      </c>
    </row>
    <row r="2906" spans="1:9" s="33" customFormat="1" ht="105">
      <c r="A2906" s="12">
        <v>43571.064733796295</v>
      </c>
      <c r="B2906" s="13" t="s">
        <v>14943</v>
      </c>
      <c r="C2906" s="14" t="s">
        <v>3865</v>
      </c>
      <c r="D2906" s="15" t="s">
        <v>3866</v>
      </c>
      <c r="E2906" s="16" t="s">
        <v>13009</v>
      </c>
      <c r="F2906" s="12">
        <v>42163.495104166665</v>
      </c>
      <c r="G2906" s="24" t="s">
        <v>13000</v>
      </c>
      <c r="H2906" s="35" t="s">
        <v>2320</v>
      </c>
      <c r="I2906" s="18" t="s">
        <v>3867</v>
      </c>
    </row>
    <row r="2907" spans="1:9" s="33" customFormat="1" ht="90">
      <c r="A2907" s="12">
        <v>43569.108472222222</v>
      </c>
      <c r="B2907" s="13" t="s">
        <v>14944</v>
      </c>
      <c r="C2907" s="14" t="s">
        <v>4598</v>
      </c>
      <c r="D2907" s="15" t="s">
        <v>4599</v>
      </c>
      <c r="E2907" s="16" t="s">
        <v>13011</v>
      </c>
      <c r="F2907" s="12">
        <v>40972.100636574076</v>
      </c>
      <c r="G2907" s="24" t="s">
        <v>13000</v>
      </c>
      <c r="H2907" s="35" t="s">
        <v>2320</v>
      </c>
      <c r="I2907" s="18" t="s">
        <v>4600</v>
      </c>
    </row>
    <row r="2908" spans="1:9" s="33" customFormat="1" ht="105">
      <c r="A2908" s="4">
        <v>43562.774201388893</v>
      </c>
      <c r="B2908" s="5" t="s">
        <v>14945</v>
      </c>
      <c r="C2908" s="6" t="s">
        <v>10589</v>
      </c>
      <c r="D2908" s="7" t="s">
        <v>10590</v>
      </c>
      <c r="E2908" s="8" t="s">
        <v>13015</v>
      </c>
      <c r="F2908" s="4">
        <v>41644.290277777778</v>
      </c>
      <c r="G2908" s="24" t="s">
        <v>13000</v>
      </c>
      <c r="H2908" s="35" t="s">
        <v>10591</v>
      </c>
      <c r="I2908" s="10" t="s">
        <v>10592</v>
      </c>
    </row>
    <row r="2909" spans="1:9" s="33" customFormat="1" ht="60">
      <c r="A2909" s="4">
        <v>43557.432974537034</v>
      </c>
      <c r="B2909" s="5" t="s">
        <v>14946</v>
      </c>
      <c r="C2909" s="6" t="s">
        <v>12514</v>
      </c>
      <c r="D2909" s="7" t="s">
        <v>12515</v>
      </c>
      <c r="E2909" s="8" t="s">
        <v>13440</v>
      </c>
      <c r="F2909" s="4">
        <v>41590.443865740745</v>
      </c>
      <c r="G2909" s="24" t="s">
        <v>13000</v>
      </c>
      <c r="H2909" s="35" t="s">
        <v>12516</v>
      </c>
      <c r="I2909" s="10" t="s">
        <v>12517</v>
      </c>
    </row>
    <row r="2910" spans="1:9" s="33" customFormat="1" ht="60">
      <c r="A2910" s="4">
        <v>43557.424166666664</v>
      </c>
      <c r="B2910" s="5" t="s">
        <v>14946</v>
      </c>
      <c r="C2910" s="6" t="s">
        <v>12514</v>
      </c>
      <c r="D2910" s="7" t="s">
        <v>12518</v>
      </c>
      <c r="E2910" s="8" t="s">
        <v>13440</v>
      </c>
      <c r="F2910" s="4">
        <v>41590.443865740745</v>
      </c>
      <c r="G2910" s="24" t="s">
        <v>13000</v>
      </c>
      <c r="H2910" s="35" t="s">
        <v>12516</v>
      </c>
      <c r="I2910" s="10" t="s">
        <v>12517</v>
      </c>
    </row>
    <row r="2911" spans="1:9" s="33" customFormat="1" ht="120">
      <c r="A2911" s="19">
        <v>43544.784432870365</v>
      </c>
      <c r="B2911" s="20" t="s">
        <v>14947</v>
      </c>
      <c r="C2911" s="21" t="s">
        <v>9333</v>
      </c>
      <c r="D2911" s="22" t="s">
        <v>9334</v>
      </c>
      <c r="E2911" s="23" t="s">
        <v>13032</v>
      </c>
      <c r="F2911" s="19">
        <v>41522.442395833335</v>
      </c>
      <c r="G2911" s="24" t="s">
        <v>13000</v>
      </c>
      <c r="H2911" s="35" t="s">
        <v>9335</v>
      </c>
      <c r="I2911" s="25" t="s">
        <v>9336</v>
      </c>
    </row>
    <row r="2912" spans="1:9" s="33" customFormat="1" ht="105">
      <c r="A2912" s="19">
        <v>43542.494629629626</v>
      </c>
      <c r="B2912" s="20" t="s">
        <v>14948</v>
      </c>
      <c r="C2912" s="21" t="s">
        <v>10134</v>
      </c>
      <c r="D2912" s="22" t="s">
        <v>10135</v>
      </c>
      <c r="E2912" s="23" t="s">
        <v>13009</v>
      </c>
      <c r="F2912" s="19">
        <v>39876.015150462961</v>
      </c>
      <c r="G2912" s="24" t="s">
        <v>13000</v>
      </c>
      <c r="H2912" s="35" t="s">
        <v>10136</v>
      </c>
      <c r="I2912" s="25" t="s">
        <v>10137</v>
      </c>
    </row>
    <row r="2913" spans="1:9" s="33" customFormat="1" ht="105">
      <c r="A2913" s="19">
        <v>43550.500763888893</v>
      </c>
      <c r="B2913" s="20" t="s">
        <v>14949</v>
      </c>
      <c r="C2913" s="21" t="s">
        <v>7637</v>
      </c>
      <c r="D2913" s="22" t="s">
        <v>7638</v>
      </c>
      <c r="E2913" s="23" t="s">
        <v>13006</v>
      </c>
      <c r="F2913" s="19">
        <v>40442.675636574073</v>
      </c>
      <c r="G2913" s="17" t="s">
        <v>13000</v>
      </c>
      <c r="H2913" s="35" t="s">
        <v>2581</v>
      </c>
      <c r="I2913" s="25" t="s">
        <v>7639</v>
      </c>
    </row>
    <row r="2914" spans="1:9" s="33" customFormat="1" ht="105">
      <c r="A2914" s="19">
        <v>43546.708622685182</v>
      </c>
      <c r="B2914" s="20" t="s">
        <v>14949</v>
      </c>
      <c r="C2914" s="21" t="s">
        <v>7637</v>
      </c>
      <c r="D2914" s="22" t="s">
        <v>7638</v>
      </c>
      <c r="E2914" s="23" t="s">
        <v>13034</v>
      </c>
      <c r="F2914" s="19">
        <v>40442.675636574073</v>
      </c>
      <c r="G2914" s="17" t="s">
        <v>13000</v>
      </c>
      <c r="H2914" s="35" t="s">
        <v>2581</v>
      </c>
      <c r="I2914" s="25" t="s">
        <v>7639</v>
      </c>
    </row>
    <row r="2915" spans="1:9" s="33" customFormat="1" ht="30">
      <c r="A2915" s="12">
        <v>43574.355023148149</v>
      </c>
      <c r="B2915" s="13" t="s">
        <v>14950</v>
      </c>
      <c r="C2915" s="14" t="s">
        <v>2580</v>
      </c>
      <c r="D2915" s="15" t="s">
        <v>1890</v>
      </c>
      <c r="E2915" s="16" t="s">
        <v>13479</v>
      </c>
      <c r="F2915" s="12">
        <v>40771.345092592594</v>
      </c>
      <c r="G2915" s="17" t="s">
        <v>13000</v>
      </c>
      <c r="H2915" s="35" t="s">
        <v>2581</v>
      </c>
      <c r="I2915" s="18" t="s">
        <v>2582</v>
      </c>
    </row>
    <row r="2916" spans="1:9" s="33" customFormat="1" ht="75">
      <c r="A2916" s="12">
        <v>43573.575115740736</v>
      </c>
      <c r="B2916" s="13" t="s">
        <v>14951</v>
      </c>
      <c r="C2916" s="14" t="s">
        <v>2812</v>
      </c>
      <c r="D2916" s="15" t="s">
        <v>2813</v>
      </c>
      <c r="E2916" s="16" t="s">
        <v>13009</v>
      </c>
      <c r="F2916" s="12">
        <v>40289.276342592595</v>
      </c>
      <c r="G2916" s="17" t="s">
        <v>13000</v>
      </c>
      <c r="H2916" s="35" t="s">
        <v>2581</v>
      </c>
      <c r="I2916" s="18" t="s">
        <v>2814</v>
      </c>
    </row>
    <row r="2917" spans="1:9" s="33" customFormat="1" ht="120">
      <c r="A2917" s="19">
        <v>43550.267094907409</v>
      </c>
      <c r="B2917" s="20" t="s">
        <v>14952</v>
      </c>
      <c r="C2917" s="21" t="s">
        <v>7754</v>
      </c>
      <c r="D2917" s="22" t="s">
        <v>7755</v>
      </c>
      <c r="E2917" s="23" t="s">
        <v>14068</v>
      </c>
      <c r="F2917" s="19">
        <v>41366.139120370368</v>
      </c>
      <c r="G2917" s="17" t="s">
        <v>13000</v>
      </c>
      <c r="H2917" s="35" t="s">
        <v>6675</v>
      </c>
      <c r="I2917" s="25" t="s">
        <v>7756</v>
      </c>
    </row>
    <row r="2918" spans="1:9" s="33" customFormat="1" ht="105">
      <c r="A2918" s="4">
        <v>43564.341851851852</v>
      </c>
      <c r="B2918" s="5" t="s">
        <v>14953</v>
      </c>
      <c r="C2918" s="6" t="s">
        <v>6673</v>
      </c>
      <c r="D2918" s="7" t="s">
        <v>6674</v>
      </c>
      <c r="E2918" s="8" t="s">
        <v>13009</v>
      </c>
      <c r="F2918" s="4">
        <v>42621.537986111114</v>
      </c>
      <c r="G2918" s="17" t="s">
        <v>13000</v>
      </c>
      <c r="H2918" s="35" t="s">
        <v>6675</v>
      </c>
      <c r="I2918" s="10" t="s">
        <v>6676</v>
      </c>
    </row>
    <row r="2919" spans="1:9" s="33" customFormat="1" ht="90">
      <c r="A2919" s="4">
        <v>43564.190011574072</v>
      </c>
      <c r="B2919" s="5" t="s">
        <v>14954</v>
      </c>
      <c r="C2919" s="6" t="s">
        <v>6742</v>
      </c>
      <c r="D2919" s="7" t="s">
        <v>6743</v>
      </c>
      <c r="E2919" s="8" t="s">
        <v>13013</v>
      </c>
      <c r="F2919" s="4">
        <v>40520.437349537038</v>
      </c>
      <c r="G2919" s="17" t="s">
        <v>13000</v>
      </c>
      <c r="H2919" s="35" t="s">
        <v>6675</v>
      </c>
      <c r="I2919" s="10" t="s">
        <v>6744</v>
      </c>
    </row>
    <row r="2920" spans="1:9" s="33" customFormat="1" ht="30">
      <c r="A2920" s="4">
        <v>43560.150277777779</v>
      </c>
      <c r="B2920" s="5" t="s">
        <v>14955</v>
      </c>
      <c r="C2920" s="6" t="s">
        <v>11590</v>
      </c>
      <c r="D2920" s="7" t="s">
        <v>11591</v>
      </c>
      <c r="E2920" s="8" t="s">
        <v>13009</v>
      </c>
      <c r="F2920" s="4">
        <v>43557.747743055559</v>
      </c>
      <c r="G2920" s="17" t="s">
        <v>13000</v>
      </c>
      <c r="H2920" s="35" t="s">
        <v>6675</v>
      </c>
      <c r="I2920" s="10" t="s">
        <v>11592</v>
      </c>
    </row>
    <row r="2921" spans="1:9" s="33" customFormat="1" ht="90">
      <c r="A2921" s="12">
        <v>43579.578692129631</v>
      </c>
      <c r="B2921" s="13" t="s">
        <v>14956</v>
      </c>
      <c r="C2921" s="14" t="s">
        <v>564</v>
      </c>
      <c r="D2921" s="15" t="s">
        <v>565</v>
      </c>
      <c r="E2921" s="16" t="s">
        <v>13009</v>
      </c>
      <c r="F2921" s="12">
        <v>43132.502233796295</v>
      </c>
      <c r="G2921" s="17" t="s">
        <v>13000</v>
      </c>
      <c r="H2921" s="35" t="s">
        <v>566</v>
      </c>
      <c r="I2921" s="18" t="s">
        <v>567</v>
      </c>
    </row>
    <row r="2922" spans="1:9" s="33" customFormat="1" ht="90">
      <c r="A2922" s="12">
        <v>43574.944155092591</v>
      </c>
      <c r="B2922" s="13" t="s">
        <v>14957</v>
      </c>
      <c r="C2922" s="14" t="s">
        <v>2399</v>
      </c>
      <c r="D2922" s="15" t="s">
        <v>2400</v>
      </c>
      <c r="E2922" s="16" t="s">
        <v>13011</v>
      </c>
      <c r="F2922" s="12">
        <v>40519.642685185187</v>
      </c>
      <c r="G2922" s="17" t="s">
        <v>13000</v>
      </c>
      <c r="H2922" s="35" t="s">
        <v>2401</v>
      </c>
      <c r="I2922" s="18" t="s">
        <v>2402</v>
      </c>
    </row>
    <row r="2923" spans="1:9" s="33" customFormat="1" ht="90">
      <c r="A2923" s="4">
        <v>43560.430636574078</v>
      </c>
      <c r="B2923" s="5" t="s">
        <v>14958</v>
      </c>
      <c r="C2923" s="6" t="s">
        <v>11377</v>
      </c>
      <c r="D2923" s="7" t="s">
        <v>11363</v>
      </c>
      <c r="E2923" s="8" t="s">
        <v>13018</v>
      </c>
      <c r="F2923" s="4">
        <v>39834.647928240738</v>
      </c>
      <c r="G2923" s="17" t="s">
        <v>13000</v>
      </c>
      <c r="H2923" s="35" t="s">
        <v>11378</v>
      </c>
      <c r="I2923" s="10" t="s">
        <v>11379</v>
      </c>
    </row>
    <row r="2924" spans="1:9" s="33" customFormat="1" ht="90">
      <c r="A2924" s="19">
        <v>43542.623414351852</v>
      </c>
      <c r="B2924" s="20" t="s">
        <v>14959</v>
      </c>
      <c r="C2924" s="21" t="s">
        <v>10064</v>
      </c>
      <c r="D2924" s="22" t="s">
        <v>10065</v>
      </c>
      <c r="E2924" s="23" t="s">
        <v>13009</v>
      </c>
      <c r="F2924" s="19">
        <v>40651.446030092593</v>
      </c>
      <c r="G2924" s="17" t="s">
        <v>13000</v>
      </c>
      <c r="H2924" s="35" t="s">
        <v>10066</v>
      </c>
      <c r="I2924" s="25" t="s">
        <v>10067</v>
      </c>
    </row>
    <row r="2925" spans="1:9" s="33" customFormat="1" ht="105">
      <c r="A2925" s="19">
        <v>43551.302233796298</v>
      </c>
      <c r="B2925" s="20" t="s">
        <v>14960</v>
      </c>
      <c r="C2925" s="21" t="s">
        <v>7322</v>
      </c>
      <c r="D2925" s="22" t="s">
        <v>7323</v>
      </c>
      <c r="E2925" s="23" t="s">
        <v>13032</v>
      </c>
      <c r="F2925" s="19">
        <v>41483.53633101852</v>
      </c>
      <c r="G2925" s="17" t="s">
        <v>13000</v>
      </c>
      <c r="H2925" s="35" t="s">
        <v>7324</v>
      </c>
      <c r="I2925" s="25" t="s">
        <v>7325</v>
      </c>
    </row>
    <row r="2926" spans="1:9" s="33" customFormat="1" ht="105">
      <c r="A2926" s="12">
        <v>43579.540567129632</v>
      </c>
      <c r="B2926" s="13" t="s">
        <v>14961</v>
      </c>
      <c r="C2926" s="14" t="s">
        <v>589</v>
      </c>
      <c r="D2926" s="15" t="s">
        <v>590</v>
      </c>
      <c r="E2926" s="16" t="s">
        <v>13479</v>
      </c>
      <c r="F2926" s="12">
        <v>41151.617337962962</v>
      </c>
      <c r="G2926" s="17" t="s">
        <v>13000</v>
      </c>
      <c r="H2926" s="35" t="s">
        <v>591</v>
      </c>
      <c r="I2926" s="18" t="s">
        <v>592</v>
      </c>
    </row>
    <row r="2927" spans="1:9" s="33" customFormat="1" ht="105">
      <c r="A2927" s="4">
        <v>43558.507060185184</v>
      </c>
      <c r="B2927" s="5" t="s">
        <v>14962</v>
      </c>
      <c r="C2927" s="6" t="s">
        <v>12155</v>
      </c>
      <c r="D2927" s="7" t="s">
        <v>12156</v>
      </c>
      <c r="E2927" s="8" t="s">
        <v>13009</v>
      </c>
      <c r="F2927" s="4">
        <v>40934.607337962967</v>
      </c>
      <c r="G2927" s="17" t="s">
        <v>13000</v>
      </c>
      <c r="H2927" s="35" t="s">
        <v>12157</v>
      </c>
      <c r="I2927" s="10" t="s">
        <v>12158</v>
      </c>
    </row>
    <row r="2928" spans="1:9" s="33" customFormat="1" ht="30">
      <c r="A2928" s="19">
        <v>43544.650567129633</v>
      </c>
      <c r="B2928" s="20" t="s">
        <v>14963</v>
      </c>
      <c r="C2928" s="21" t="s">
        <v>474</v>
      </c>
      <c r="D2928" s="22" t="s">
        <v>9381</v>
      </c>
      <c r="E2928" s="23" t="s">
        <v>13009</v>
      </c>
      <c r="F2928" s="19">
        <v>41451.04247685185</v>
      </c>
      <c r="G2928" s="17" t="s">
        <v>13000</v>
      </c>
      <c r="H2928" s="35" t="s">
        <v>475</v>
      </c>
      <c r="I2928" s="25" t="s">
        <v>476</v>
      </c>
    </row>
    <row r="2929" spans="1:9" s="33" customFormat="1">
      <c r="A2929" s="12">
        <v>43579.741076388891</v>
      </c>
      <c r="B2929" s="13" t="s">
        <v>14963</v>
      </c>
      <c r="C2929" s="14" t="s">
        <v>474</v>
      </c>
      <c r="D2929" s="15" t="s">
        <v>133</v>
      </c>
      <c r="E2929" s="16" t="s">
        <v>13015</v>
      </c>
      <c r="F2929" s="12">
        <v>41451.04247685185</v>
      </c>
      <c r="G2929" s="17" t="s">
        <v>13000</v>
      </c>
      <c r="H2929" s="35" t="s">
        <v>475</v>
      </c>
      <c r="I2929" s="18" t="s">
        <v>476</v>
      </c>
    </row>
    <row r="2930" spans="1:9" s="33" customFormat="1" ht="120">
      <c r="A2930" s="12">
        <v>43577.738159722227</v>
      </c>
      <c r="B2930" s="13" t="s">
        <v>14963</v>
      </c>
      <c r="C2930" s="14" t="s">
        <v>474</v>
      </c>
      <c r="D2930" s="15" t="s">
        <v>1518</v>
      </c>
      <c r="E2930" s="16" t="s">
        <v>13009</v>
      </c>
      <c r="F2930" s="12">
        <v>41451.04247685185</v>
      </c>
      <c r="G2930" s="17" t="s">
        <v>13000</v>
      </c>
      <c r="H2930" s="35" t="s">
        <v>475</v>
      </c>
      <c r="I2930" s="18" t="s">
        <v>476</v>
      </c>
    </row>
    <row r="2931" spans="1:9" s="33" customFormat="1" ht="90">
      <c r="A2931" s="19">
        <v>43551.301388888889</v>
      </c>
      <c r="B2931" s="20" t="s">
        <v>14964</v>
      </c>
      <c r="C2931" s="21" t="s">
        <v>7326</v>
      </c>
      <c r="D2931" s="22" t="s">
        <v>7327</v>
      </c>
      <c r="E2931" s="23" t="s">
        <v>13120</v>
      </c>
      <c r="F2931" s="19">
        <v>39800.058009259257</v>
      </c>
      <c r="G2931" s="17" t="s">
        <v>13000</v>
      </c>
      <c r="H2931" s="35" t="s">
        <v>7328</v>
      </c>
      <c r="I2931" s="25" t="s">
        <v>7329</v>
      </c>
    </row>
    <row r="2932" spans="1:9" s="33" customFormat="1" ht="90">
      <c r="A2932" s="19">
        <v>43549.343055555553</v>
      </c>
      <c r="B2932" s="20" t="s">
        <v>14964</v>
      </c>
      <c r="C2932" s="21" t="s">
        <v>7326</v>
      </c>
      <c r="D2932" s="22" t="s">
        <v>7327</v>
      </c>
      <c r="E2932" s="23" t="s">
        <v>13120</v>
      </c>
      <c r="F2932" s="19">
        <v>39800.058009259257</v>
      </c>
      <c r="G2932" s="17" t="s">
        <v>13000</v>
      </c>
      <c r="H2932" s="35" t="s">
        <v>7328</v>
      </c>
      <c r="I2932" s="25" t="s">
        <v>7329</v>
      </c>
    </row>
    <row r="2933" spans="1:9" s="33" customFormat="1" ht="90">
      <c r="A2933" s="19">
        <v>43547.301388888889</v>
      </c>
      <c r="B2933" s="20" t="s">
        <v>14964</v>
      </c>
      <c r="C2933" s="21" t="s">
        <v>7326</v>
      </c>
      <c r="D2933" s="22" t="s">
        <v>7327</v>
      </c>
      <c r="E2933" s="23" t="s">
        <v>13120</v>
      </c>
      <c r="F2933" s="19">
        <v>39800.058009259257</v>
      </c>
      <c r="G2933" s="17" t="s">
        <v>13000</v>
      </c>
      <c r="H2933" s="35" t="s">
        <v>7328</v>
      </c>
      <c r="I2933" s="25" t="s">
        <v>7329</v>
      </c>
    </row>
    <row r="2934" spans="1:9" s="33" customFormat="1" ht="90">
      <c r="A2934" s="19">
        <v>43543.625069444446</v>
      </c>
      <c r="B2934" s="20" t="s">
        <v>14965</v>
      </c>
      <c r="C2934" s="21" t="s">
        <v>9736</v>
      </c>
      <c r="D2934" s="22" t="s">
        <v>9737</v>
      </c>
      <c r="E2934" s="23" t="s">
        <v>13009</v>
      </c>
      <c r="F2934" s="19">
        <v>40532.524201388893</v>
      </c>
      <c r="G2934" s="17" t="s">
        <v>13000</v>
      </c>
      <c r="H2934" s="35" t="s">
        <v>1141</v>
      </c>
      <c r="I2934" s="25" t="s">
        <v>9738</v>
      </c>
    </row>
    <row r="2935" spans="1:9" s="33" customFormat="1" ht="60">
      <c r="A2935" s="12">
        <v>43578.604247685187</v>
      </c>
      <c r="B2935" s="13" t="s">
        <v>14966</v>
      </c>
      <c r="C2935" s="14" t="s">
        <v>1139</v>
      </c>
      <c r="D2935" s="15" t="s">
        <v>1140</v>
      </c>
      <c r="E2935" s="16" t="s">
        <v>13013</v>
      </c>
      <c r="F2935" s="12">
        <v>42357.499930555554</v>
      </c>
      <c r="G2935" s="17" t="s">
        <v>13000</v>
      </c>
      <c r="H2935" s="35" t="s">
        <v>1141</v>
      </c>
      <c r="I2935" s="18"/>
    </row>
    <row r="2936" spans="1:9" s="33" customFormat="1" ht="150">
      <c r="A2936" s="19">
        <v>43551.335474537038</v>
      </c>
      <c r="B2936" s="20" t="s">
        <v>14967</v>
      </c>
      <c r="C2936" s="21" t="s">
        <v>7304</v>
      </c>
      <c r="D2936" s="22" t="s">
        <v>7305</v>
      </c>
      <c r="E2936" s="23" t="s">
        <v>13013</v>
      </c>
      <c r="F2936" s="19">
        <v>40309.637824074074</v>
      </c>
      <c r="G2936" s="17" t="s">
        <v>13000</v>
      </c>
      <c r="H2936" s="35" t="s">
        <v>4783</v>
      </c>
      <c r="I2936" s="25" t="s">
        <v>7306</v>
      </c>
    </row>
    <row r="2937" spans="1:9" s="33" customFormat="1" ht="105">
      <c r="A2937" s="12">
        <v>43568.423391203702</v>
      </c>
      <c r="B2937" s="13" t="s">
        <v>14968</v>
      </c>
      <c r="C2937" s="14" t="s">
        <v>4781</v>
      </c>
      <c r="D2937" s="15" t="s">
        <v>4782</v>
      </c>
      <c r="E2937" s="16" t="s">
        <v>13009</v>
      </c>
      <c r="F2937" s="12">
        <v>41660.675428240742</v>
      </c>
      <c r="G2937" s="17" t="s">
        <v>13000</v>
      </c>
      <c r="H2937" s="35" t="s">
        <v>4783</v>
      </c>
      <c r="I2937" s="18" t="s">
        <v>4784</v>
      </c>
    </row>
    <row r="2938" spans="1:9" s="33" customFormat="1" ht="75">
      <c r="A2938" s="19">
        <v>43549.69803240741</v>
      </c>
      <c r="B2938" s="20" t="s">
        <v>14969</v>
      </c>
      <c r="C2938" s="21" t="s">
        <v>2142</v>
      </c>
      <c r="D2938" s="22" t="s">
        <v>7941</v>
      </c>
      <c r="E2938" s="23" t="s">
        <v>13018</v>
      </c>
      <c r="F2938" s="19">
        <v>42778.606979166667</v>
      </c>
      <c r="G2938" s="17" t="s">
        <v>13000</v>
      </c>
      <c r="H2938" s="35" t="s">
        <v>22</v>
      </c>
      <c r="I2938" s="25" t="s">
        <v>2144</v>
      </c>
    </row>
    <row r="2939" spans="1:9" s="33" customFormat="1" ht="135">
      <c r="A2939" s="19">
        <v>43549.59851851852</v>
      </c>
      <c r="B2939" s="20" t="s">
        <v>14970</v>
      </c>
      <c r="C2939" s="21" t="s">
        <v>7971</v>
      </c>
      <c r="D2939" s="22" t="s">
        <v>7972</v>
      </c>
      <c r="E2939" s="23" t="s">
        <v>13011</v>
      </c>
      <c r="F2939" s="19">
        <v>40339.504942129628</v>
      </c>
      <c r="G2939" s="17" t="s">
        <v>13000</v>
      </c>
      <c r="H2939" s="35" t="s">
        <v>22</v>
      </c>
      <c r="I2939" s="25" t="s">
        <v>7973</v>
      </c>
    </row>
    <row r="2940" spans="1:9" s="33" customFormat="1" ht="75">
      <c r="A2940" s="19">
        <v>43547.656377314815</v>
      </c>
      <c r="B2940" s="20" t="s">
        <v>14969</v>
      </c>
      <c r="C2940" s="21" t="s">
        <v>2142</v>
      </c>
      <c r="D2940" s="22" t="s">
        <v>8489</v>
      </c>
      <c r="E2940" s="23" t="s">
        <v>13018</v>
      </c>
      <c r="F2940" s="19">
        <v>42778.606979166667</v>
      </c>
      <c r="G2940" s="17" t="s">
        <v>13000</v>
      </c>
      <c r="H2940" s="35" t="s">
        <v>22</v>
      </c>
      <c r="I2940" s="25" t="s">
        <v>2144</v>
      </c>
    </row>
    <row r="2941" spans="1:9" s="33" customFormat="1" ht="75">
      <c r="A2941" s="19">
        <v>43546.465370370366</v>
      </c>
      <c r="B2941" s="20" t="s">
        <v>14971</v>
      </c>
      <c r="C2941" s="21" t="s">
        <v>2543</v>
      </c>
      <c r="D2941" s="22" t="s">
        <v>8838</v>
      </c>
      <c r="E2941" s="23" t="s">
        <v>13443</v>
      </c>
      <c r="F2941" s="19">
        <v>42711.152118055557</v>
      </c>
      <c r="G2941" s="17" t="s">
        <v>13000</v>
      </c>
      <c r="H2941" s="35" t="s">
        <v>22</v>
      </c>
      <c r="I2941" s="25" t="s">
        <v>2545</v>
      </c>
    </row>
    <row r="2942" spans="1:9" s="33" customFormat="1" ht="75">
      <c r="A2942" s="19">
        <v>43545.463495370372</v>
      </c>
      <c r="B2942" s="20" t="s">
        <v>14971</v>
      </c>
      <c r="C2942" s="21" t="s">
        <v>2543</v>
      </c>
      <c r="D2942" s="22" t="s">
        <v>9126</v>
      </c>
      <c r="E2942" s="23" t="s">
        <v>13443</v>
      </c>
      <c r="F2942" s="19">
        <v>42711.152118055557</v>
      </c>
      <c r="G2942" s="17" t="s">
        <v>13000</v>
      </c>
      <c r="H2942" s="35" t="s">
        <v>22</v>
      </c>
      <c r="I2942" s="25" t="s">
        <v>2545</v>
      </c>
    </row>
    <row r="2943" spans="1:9" s="33" customFormat="1" ht="75">
      <c r="A2943" s="19">
        <v>43543.460092592592</v>
      </c>
      <c r="B2943" s="20" t="s">
        <v>14971</v>
      </c>
      <c r="C2943" s="21" t="s">
        <v>2543</v>
      </c>
      <c r="D2943" s="22" t="s">
        <v>9788</v>
      </c>
      <c r="E2943" s="23" t="s">
        <v>13443</v>
      </c>
      <c r="F2943" s="19">
        <v>42711.152118055557</v>
      </c>
      <c r="G2943" s="17" t="s">
        <v>13000</v>
      </c>
      <c r="H2943" s="35" t="s">
        <v>22</v>
      </c>
      <c r="I2943" s="25" t="s">
        <v>2545</v>
      </c>
    </row>
    <row r="2944" spans="1:9" s="33" customFormat="1" ht="75">
      <c r="A2944" s="19">
        <v>43542.607708333337</v>
      </c>
      <c r="B2944" s="20" t="s">
        <v>14969</v>
      </c>
      <c r="C2944" s="21" t="s">
        <v>2142</v>
      </c>
      <c r="D2944" s="22" t="s">
        <v>10076</v>
      </c>
      <c r="E2944" s="23" t="s">
        <v>13018</v>
      </c>
      <c r="F2944" s="19">
        <v>42778.606979166667</v>
      </c>
      <c r="G2944" s="17" t="s">
        <v>13000</v>
      </c>
      <c r="H2944" s="35" t="s">
        <v>22</v>
      </c>
      <c r="I2944" s="25" t="s">
        <v>2144</v>
      </c>
    </row>
    <row r="2945" spans="1:9" s="33" customFormat="1" ht="75">
      <c r="A2945" s="4">
        <v>43565.816006944442</v>
      </c>
      <c r="B2945" s="5" t="s">
        <v>14969</v>
      </c>
      <c r="C2945" s="6" t="s">
        <v>2142</v>
      </c>
      <c r="D2945" s="7" t="s">
        <v>5889</v>
      </c>
      <c r="E2945" s="8" t="s">
        <v>13018</v>
      </c>
      <c r="F2945" s="4">
        <v>42778.606979166667</v>
      </c>
      <c r="G2945" s="17" t="s">
        <v>13000</v>
      </c>
      <c r="H2945" s="35" t="s">
        <v>22</v>
      </c>
      <c r="I2945" s="10" t="s">
        <v>2144</v>
      </c>
    </row>
    <row r="2946" spans="1:9" s="33" customFormat="1" ht="90">
      <c r="A2946" s="4">
        <v>43564.643946759257</v>
      </c>
      <c r="B2946" s="5" t="s">
        <v>14972</v>
      </c>
      <c r="C2946" s="6" t="s">
        <v>6474</v>
      </c>
      <c r="D2946" s="7" t="s">
        <v>6475</v>
      </c>
      <c r="E2946" s="8" t="s">
        <v>13009</v>
      </c>
      <c r="F2946" s="4">
        <v>41327.042002314818</v>
      </c>
      <c r="G2946" s="17" t="s">
        <v>13000</v>
      </c>
      <c r="H2946" s="35" t="s">
        <v>22</v>
      </c>
      <c r="I2946" s="10" t="s">
        <v>6476</v>
      </c>
    </row>
    <row r="2947" spans="1:9" s="33" customFormat="1" ht="150">
      <c r="A2947" s="4">
        <v>43564.613356481481</v>
      </c>
      <c r="B2947" s="5" t="s">
        <v>14830</v>
      </c>
      <c r="C2947" s="6" t="s">
        <v>6504</v>
      </c>
      <c r="D2947" s="7" t="s">
        <v>6505</v>
      </c>
      <c r="E2947" s="8" t="s">
        <v>13011</v>
      </c>
      <c r="F2947" s="4">
        <v>39710.291493055556</v>
      </c>
      <c r="G2947" s="17" t="s">
        <v>13000</v>
      </c>
      <c r="H2947" s="35" t="s">
        <v>22</v>
      </c>
      <c r="I2947" s="10" t="s">
        <v>6507</v>
      </c>
    </row>
    <row r="2948" spans="1:9" s="33" customFormat="1" ht="180">
      <c r="A2948" s="4">
        <v>43564.577881944446</v>
      </c>
      <c r="B2948" s="5" t="s">
        <v>14973</v>
      </c>
      <c r="C2948" s="6" t="s">
        <v>20</v>
      </c>
      <c r="D2948" s="7" t="s">
        <v>6544</v>
      </c>
      <c r="E2948" s="8" t="s">
        <v>13009</v>
      </c>
      <c r="F2948" s="4">
        <v>43536.356689814813</v>
      </c>
      <c r="G2948" s="17" t="s">
        <v>13000</v>
      </c>
      <c r="H2948" s="35" t="s">
        <v>22</v>
      </c>
      <c r="I2948" s="10" t="s">
        <v>23</v>
      </c>
    </row>
    <row r="2949" spans="1:9" s="33" customFormat="1" ht="90">
      <c r="A2949" s="4">
        <v>43564.325983796298</v>
      </c>
      <c r="B2949" s="5" t="s">
        <v>14974</v>
      </c>
      <c r="C2949" s="6" t="s">
        <v>6678</v>
      </c>
      <c r="D2949" s="7" t="s">
        <v>6679</v>
      </c>
      <c r="E2949" s="8" t="s">
        <v>13032</v>
      </c>
      <c r="F2949" s="4">
        <v>39472.184733796297</v>
      </c>
      <c r="G2949" s="17" t="s">
        <v>13000</v>
      </c>
      <c r="H2949" s="35" t="s">
        <v>22</v>
      </c>
      <c r="I2949" s="10" t="s">
        <v>6680</v>
      </c>
    </row>
    <row r="2950" spans="1:9" s="33" customFormat="1" ht="60">
      <c r="A2950" s="4">
        <v>43563.374895833331</v>
      </c>
      <c r="B2950" s="5" t="s">
        <v>14973</v>
      </c>
      <c r="C2950" s="6" t="s">
        <v>20</v>
      </c>
      <c r="D2950" s="7" t="s">
        <v>10328</v>
      </c>
      <c r="E2950" s="8" t="s">
        <v>13009</v>
      </c>
      <c r="F2950" s="4">
        <v>43536.356689814813</v>
      </c>
      <c r="G2950" s="17" t="s">
        <v>13000</v>
      </c>
      <c r="H2950" s="35" t="s">
        <v>22</v>
      </c>
      <c r="I2950" s="10" t="s">
        <v>23</v>
      </c>
    </row>
    <row r="2951" spans="1:9" s="33" customFormat="1" ht="75">
      <c r="A2951" s="4">
        <v>43561.822962962964</v>
      </c>
      <c r="B2951" s="5" t="s">
        <v>14969</v>
      </c>
      <c r="C2951" s="6" t="s">
        <v>2142</v>
      </c>
      <c r="D2951" s="7" t="s">
        <v>10826</v>
      </c>
      <c r="E2951" s="8" t="s">
        <v>13018</v>
      </c>
      <c r="F2951" s="4">
        <v>42778.606979166667</v>
      </c>
      <c r="G2951" s="17" t="s">
        <v>13000</v>
      </c>
      <c r="H2951" s="35" t="s">
        <v>22</v>
      </c>
      <c r="I2951" s="10" t="s">
        <v>2144</v>
      </c>
    </row>
    <row r="2952" spans="1:9" s="33" customFormat="1" ht="75">
      <c r="A2952" s="4">
        <v>43560.631585648152</v>
      </c>
      <c r="B2952" s="5" t="s">
        <v>14973</v>
      </c>
      <c r="C2952" s="6" t="s">
        <v>20</v>
      </c>
      <c r="D2952" s="7" t="s">
        <v>11236</v>
      </c>
      <c r="E2952" s="8" t="s">
        <v>13009</v>
      </c>
      <c r="F2952" s="4">
        <v>43536.356689814813</v>
      </c>
      <c r="G2952" s="17" t="s">
        <v>13000</v>
      </c>
      <c r="H2952" s="35" t="s">
        <v>22</v>
      </c>
      <c r="I2952" s="10" t="s">
        <v>23</v>
      </c>
    </row>
    <row r="2953" spans="1:9" s="33" customFormat="1" ht="75">
      <c r="A2953" s="4">
        <v>43560.459490740745</v>
      </c>
      <c r="B2953" s="5" t="s">
        <v>14971</v>
      </c>
      <c r="C2953" s="6" t="s">
        <v>2543</v>
      </c>
      <c r="D2953" s="7" t="s">
        <v>11358</v>
      </c>
      <c r="E2953" s="8" t="s">
        <v>13443</v>
      </c>
      <c r="F2953" s="4">
        <v>42711.152118055557</v>
      </c>
      <c r="G2953" s="17" t="s">
        <v>13000</v>
      </c>
      <c r="H2953" s="35" t="s">
        <v>22</v>
      </c>
      <c r="I2953" s="10" t="s">
        <v>2545</v>
      </c>
    </row>
    <row r="2954" spans="1:9" s="33" customFormat="1" ht="75">
      <c r="A2954" s="4">
        <v>43560.448148148149</v>
      </c>
      <c r="B2954" s="5" t="s">
        <v>14969</v>
      </c>
      <c r="C2954" s="6" t="s">
        <v>2142</v>
      </c>
      <c r="D2954" s="7" t="s">
        <v>11359</v>
      </c>
      <c r="E2954" s="8" t="s">
        <v>13018</v>
      </c>
      <c r="F2954" s="4">
        <v>42778.606979166667</v>
      </c>
      <c r="G2954" s="17" t="s">
        <v>13000</v>
      </c>
      <c r="H2954" s="35" t="s">
        <v>22</v>
      </c>
      <c r="I2954" s="10" t="s">
        <v>2144</v>
      </c>
    </row>
    <row r="2955" spans="1:9" s="33" customFormat="1" ht="75">
      <c r="A2955" s="4">
        <v>43559.678946759261</v>
      </c>
      <c r="B2955" s="5" t="s">
        <v>14973</v>
      </c>
      <c r="C2955" s="6" t="s">
        <v>20</v>
      </c>
      <c r="D2955" s="7" t="s">
        <v>11712</v>
      </c>
      <c r="E2955" s="8" t="s">
        <v>13009</v>
      </c>
      <c r="F2955" s="4">
        <v>43536.356689814813</v>
      </c>
      <c r="G2955" s="17" t="s">
        <v>13000</v>
      </c>
      <c r="H2955" s="35" t="s">
        <v>22</v>
      </c>
      <c r="I2955" s="10" t="s">
        <v>23</v>
      </c>
    </row>
    <row r="2956" spans="1:9" s="33" customFormat="1" ht="75">
      <c r="A2956" s="4">
        <v>43558.835983796293</v>
      </c>
      <c r="B2956" s="5" t="s">
        <v>14975</v>
      </c>
      <c r="C2956" s="6" t="s">
        <v>12027</v>
      </c>
      <c r="D2956" s="7" t="s">
        <v>12028</v>
      </c>
      <c r="E2956" s="8" t="s">
        <v>13011</v>
      </c>
      <c r="F2956" s="4">
        <v>42318.646863425922</v>
      </c>
      <c r="G2956" s="17" t="s">
        <v>13000</v>
      </c>
      <c r="H2956" s="35" t="s">
        <v>22</v>
      </c>
      <c r="I2956" s="10" t="s">
        <v>12029</v>
      </c>
    </row>
    <row r="2957" spans="1:9" s="33" customFormat="1" ht="60">
      <c r="A2957" s="4">
        <v>43558.434363425928</v>
      </c>
      <c r="B2957" s="5" t="s">
        <v>14973</v>
      </c>
      <c r="C2957" s="6" t="s">
        <v>20</v>
      </c>
      <c r="D2957" s="7" t="s">
        <v>12191</v>
      </c>
      <c r="E2957" s="8" t="s">
        <v>13009</v>
      </c>
      <c r="F2957" s="4">
        <v>43536.356689814813</v>
      </c>
      <c r="G2957" s="17" t="s">
        <v>13000</v>
      </c>
      <c r="H2957" s="35" t="s">
        <v>22</v>
      </c>
      <c r="I2957" s="10" t="s">
        <v>23</v>
      </c>
    </row>
    <row r="2958" spans="1:9" s="33" customFormat="1" ht="75">
      <c r="A2958" s="4">
        <v>43558.330254629633</v>
      </c>
      <c r="B2958" s="5" t="s">
        <v>14976</v>
      </c>
      <c r="C2958" s="6" t="s">
        <v>12233</v>
      </c>
      <c r="D2958" s="7" t="s">
        <v>12234</v>
      </c>
      <c r="E2958" s="8" t="s">
        <v>13009</v>
      </c>
      <c r="F2958" s="4">
        <v>41357.001527777778</v>
      </c>
      <c r="G2958" s="17" t="s">
        <v>13000</v>
      </c>
      <c r="H2958" s="35" t="s">
        <v>22</v>
      </c>
      <c r="I2958" s="10" t="s">
        <v>12235</v>
      </c>
    </row>
    <row r="2959" spans="1:9" s="33" customFormat="1" ht="105">
      <c r="A2959" s="4">
        <v>43556.935659722221</v>
      </c>
      <c r="B2959" s="5" t="s">
        <v>14977</v>
      </c>
      <c r="C2959" s="6" t="s">
        <v>12703</v>
      </c>
      <c r="D2959" s="7" t="s">
        <v>12704</v>
      </c>
      <c r="E2959" s="8" t="s">
        <v>13032</v>
      </c>
      <c r="F2959" s="4">
        <v>42782.520127314812</v>
      </c>
      <c r="G2959" s="17" t="s">
        <v>13000</v>
      </c>
      <c r="H2959" s="35" t="s">
        <v>22</v>
      </c>
      <c r="I2959" s="10" t="s">
        <v>12705</v>
      </c>
    </row>
    <row r="2960" spans="1:9" s="33" customFormat="1" ht="165">
      <c r="A2960" s="12">
        <v>43580.844895833332</v>
      </c>
      <c r="B2960" s="13" t="s">
        <v>14973</v>
      </c>
      <c r="C2960" s="14" t="s">
        <v>20</v>
      </c>
      <c r="D2960" s="15" t="s">
        <v>21</v>
      </c>
      <c r="E2960" s="16" t="s">
        <v>13009</v>
      </c>
      <c r="F2960" s="12">
        <v>43536.815023148149</v>
      </c>
      <c r="G2960" s="17" t="s">
        <v>13000</v>
      </c>
      <c r="H2960" s="35" t="s">
        <v>22</v>
      </c>
      <c r="I2960" s="18" t="s">
        <v>23</v>
      </c>
    </row>
    <row r="2961" spans="1:9" s="33" customFormat="1" ht="180">
      <c r="A2961" s="12">
        <v>43580.842222222222</v>
      </c>
      <c r="B2961" s="13" t="s">
        <v>14973</v>
      </c>
      <c r="C2961" s="14" t="s">
        <v>20</v>
      </c>
      <c r="D2961" s="15" t="s">
        <v>24</v>
      </c>
      <c r="E2961" s="16" t="s">
        <v>13009</v>
      </c>
      <c r="F2961" s="12">
        <v>43536.815023148149</v>
      </c>
      <c r="G2961" s="17" t="s">
        <v>13000</v>
      </c>
      <c r="H2961" s="35" t="s">
        <v>22</v>
      </c>
      <c r="I2961" s="18" t="s">
        <v>23</v>
      </c>
    </row>
    <row r="2962" spans="1:9" s="33" customFormat="1" ht="105">
      <c r="A2962" s="12">
        <v>43579.576724537037</v>
      </c>
      <c r="B2962" s="13" t="s">
        <v>14978</v>
      </c>
      <c r="C2962" s="14" t="s">
        <v>568</v>
      </c>
      <c r="D2962" s="15" t="s">
        <v>569</v>
      </c>
      <c r="E2962" s="16" t="s">
        <v>13009</v>
      </c>
      <c r="F2962" s="12">
        <v>43285.361226851848</v>
      </c>
      <c r="G2962" s="17" t="s">
        <v>13000</v>
      </c>
      <c r="H2962" s="35" t="s">
        <v>22</v>
      </c>
      <c r="I2962" s="18" t="s">
        <v>570</v>
      </c>
    </row>
    <row r="2963" spans="1:9" s="33" customFormat="1" ht="150">
      <c r="A2963" s="12">
        <v>43579.372673611113</v>
      </c>
      <c r="B2963" s="13" t="s">
        <v>14973</v>
      </c>
      <c r="C2963" s="14" t="s">
        <v>20</v>
      </c>
      <c r="D2963" s="15" t="s">
        <v>721</v>
      </c>
      <c r="E2963" s="16" t="s">
        <v>13009</v>
      </c>
      <c r="F2963" s="12">
        <v>43536.356689814813</v>
      </c>
      <c r="G2963" s="17" t="s">
        <v>13000</v>
      </c>
      <c r="H2963" s="35" t="s">
        <v>22</v>
      </c>
      <c r="I2963" s="18" t="s">
        <v>23</v>
      </c>
    </row>
    <row r="2964" spans="1:9" s="33" customFormat="1" ht="75">
      <c r="A2964" s="12">
        <v>43579.362361111111</v>
      </c>
      <c r="B2964" s="13" t="s">
        <v>14973</v>
      </c>
      <c r="C2964" s="14" t="s">
        <v>20</v>
      </c>
      <c r="D2964" s="15" t="s">
        <v>733</v>
      </c>
      <c r="E2964" s="16" t="s">
        <v>13009</v>
      </c>
      <c r="F2964" s="12">
        <v>43536.356689814813</v>
      </c>
      <c r="G2964" s="17" t="s">
        <v>13000</v>
      </c>
      <c r="H2964" s="35" t="s">
        <v>22</v>
      </c>
      <c r="I2964" s="18" t="s">
        <v>23</v>
      </c>
    </row>
    <row r="2965" spans="1:9" s="33" customFormat="1" ht="165">
      <c r="A2965" s="12">
        <v>43578.592523148152</v>
      </c>
      <c r="B2965" s="13" t="s">
        <v>14973</v>
      </c>
      <c r="C2965" s="14" t="s">
        <v>20</v>
      </c>
      <c r="D2965" s="15" t="s">
        <v>1142</v>
      </c>
      <c r="E2965" s="16" t="s">
        <v>13009</v>
      </c>
      <c r="F2965" s="12">
        <v>43536.356689814813</v>
      </c>
      <c r="G2965" s="17" t="s">
        <v>13000</v>
      </c>
      <c r="H2965" s="35" t="s">
        <v>22</v>
      </c>
      <c r="I2965" s="18" t="s">
        <v>23</v>
      </c>
    </row>
    <row r="2966" spans="1:9" s="33" customFormat="1" ht="90">
      <c r="A2966" s="12">
        <v>43578.454386574071</v>
      </c>
      <c r="B2966" s="13" t="s">
        <v>14973</v>
      </c>
      <c r="C2966" s="14" t="s">
        <v>20</v>
      </c>
      <c r="D2966" s="15" t="s">
        <v>1190</v>
      </c>
      <c r="E2966" s="16" t="s">
        <v>13009</v>
      </c>
      <c r="F2966" s="12">
        <v>43536.356689814813</v>
      </c>
      <c r="G2966" s="17" t="s">
        <v>13000</v>
      </c>
      <c r="H2966" s="35" t="s">
        <v>22</v>
      </c>
      <c r="I2966" s="18" t="s">
        <v>23</v>
      </c>
    </row>
    <row r="2967" spans="1:9" s="33" customFormat="1" ht="75">
      <c r="A2967" s="12">
        <v>43575.697974537034</v>
      </c>
      <c r="B2967" s="13" t="s">
        <v>14969</v>
      </c>
      <c r="C2967" s="14" t="s">
        <v>2142</v>
      </c>
      <c r="D2967" s="15" t="s">
        <v>2143</v>
      </c>
      <c r="E2967" s="16" t="s">
        <v>13018</v>
      </c>
      <c r="F2967" s="12">
        <v>42778.606979166667</v>
      </c>
      <c r="G2967" s="17" t="s">
        <v>13000</v>
      </c>
      <c r="H2967" s="35" t="s">
        <v>22</v>
      </c>
      <c r="I2967" s="18" t="s">
        <v>2144</v>
      </c>
    </row>
    <row r="2968" spans="1:9" s="33" customFormat="1" ht="75">
      <c r="A2968" s="12">
        <v>43574.462280092594</v>
      </c>
      <c r="B2968" s="13" t="s">
        <v>14971</v>
      </c>
      <c r="C2968" s="14" t="s">
        <v>2543</v>
      </c>
      <c r="D2968" s="15" t="s">
        <v>2544</v>
      </c>
      <c r="E2968" s="16" t="s">
        <v>13443</v>
      </c>
      <c r="F2968" s="12">
        <v>42711.152118055557</v>
      </c>
      <c r="G2968" s="17" t="s">
        <v>13000</v>
      </c>
      <c r="H2968" s="35" t="s">
        <v>22</v>
      </c>
      <c r="I2968" s="18" t="s">
        <v>2545</v>
      </c>
    </row>
    <row r="2969" spans="1:9" s="33" customFormat="1" ht="60">
      <c r="A2969" s="12">
        <v>43574.422418981485</v>
      </c>
      <c r="B2969" s="13" t="s">
        <v>14973</v>
      </c>
      <c r="C2969" s="14" t="s">
        <v>20</v>
      </c>
      <c r="D2969" s="15" t="s">
        <v>2554</v>
      </c>
      <c r="E2969" s="16" t="s">
        <v>13009</v>
      </c>
      <c r="F2969" s="12">
        <v>43536.356689814813</v>
      </c>
      <c r="G2969" s="17" t="s">
        <v>13000</v>
      </c>
      <c r="H2969" s="35" t="s">
        <v>22</v>
      </c>
      <c r="I2969" s="18" t="s">
        <v>23</v>
      </c>
    </row>
    <row r="2970" spans="1:9" s="33" customFormat="1" ht="165">
      <c r="A2970" s="12">
        <v>43572.417222222226</v>
      </c>
      <c r="B2970" s="13" t="s">
        <v>14973</v>
      </c>
      <c r="C2970" s="14" t="s">
        <v>20</v>
      </c>
      <c r="D2970" s="15" t="s">
        <v>3260</v>
      </c>
      <c r="E2970" s="16" t="s">
        <v>13009</v>
      </c>
      <c r="F2970" s="12">
        <v>43536.356689814813</v>
      </c>
      <c r="G2970" s="17" t="s">
        <v>13000</v>
      </c>
      <c r="H2970" s="35" t="s">
        <v>22</v>
      </c>
      <c r="I2970" s="18" t="s">
        <v>23</v>
      </c>
    </row>
    <row r="2971" spans="1:9" s="33" customFormat="1" ht="75">
      <c r="A2971" s="12">
        <v>43571.698055555556</v>
      </c>
      <c r="B2971" s="13" t="s">
        <v>14969</v>
      </c>
      <c r="C2971" s="14" t="s">
        <v>2142</v>
      </c>
      <c r="D2971" s="15" t="s">
        <v>3588</v>
      </c>
      <c r="E2971" s="16" t="s">
        <v>13018</v>
      </c>
      <c r="F2971" s="12">
        <v>42778.606979166667</v>
      </c>
      <c r="G2971" s="17" t="s">
        <v>13000</v>
      </c>
      <c r="H2971" s="35" t="s">
        <v>22</v>
      </c>
      <c r="I2971" s="18" t="s">
        <v>2144</v>
      </c>
    </row>
    <row r="2972" spans="1:9" s="33" customFormat="1" ht="165">
      <c r="A2972" s="12">
        <v>43571.449699074074</v>
      </c>
      <c r="B2972" s="13" t="s">
        <v>14973</v>
      </c>
      <c r="C2972" s="14" t="s">
        <v>20</v>
      </c>
      <c r="D2972" s="15" t="s">
        <v>3670</v>
      </c>
      <c r="E2972" s="16" t="s">
        <v>13009</v>
      </c>
      <c r="F2972" s="12">
        <v>43536.356689814813</v>
      </c>
      <c r="G2972" s="17" t="s">
        <v>13000</v>
      </c>
      <c r="H2972" s="35" t="s">
        <v>22</v>
      </c>
      <c r="I2972" s="18" t="s">
        <v>23</v>
      </c>
    </row>
    <row r="2973" spans="1:9" s="33" customFormat="1" ht="75">
      <c r="A2973" s="12">
        <v>43569.614664351851</v>
      </c>
      <c r="B2973" s="13" t="s">
        <v>14969</v>
      </c>
      <c r="C2973" s="14" t="s">
        <v>2142</v>
      </c>
      <c r="D2973" s="15" t="s">
        <v>4460</v>
      </c>
      <c r="E2973" s="16" t="s">
        <v>13018</v>
      </c>
      <c r="F2973" s="12">
        <v>42778.606979166667</v>
      </c>
      <c r="G2973" s="17" t="s">
        <v>13000</v>
      </c>
      <c r="H2973" s="35" t="s">
        <v>22</v>
      </c>
      <c r="I2973" s="18" t="s">
        <v>2144</v>
      </c>
    </row>
    <row r="2974" spans="1:9" s="33" customFormat="1" ht="90">
      <c r="A2974" s="12">
        <v>43569.060416666667</v>
      </c>
      <c r="B2974" s="13" t="s">
        <v>14979</v>
      </c>
      <c r="C2974" s="14" t="s">
        <v>4601</v>
      </c>
      <c r="D2974" s="15" t="s">
        <v>4602</v>
      </c>
      <c r="E2974" s="16" t="s">
        <v>13009</v>
      </c>
      <c r="F2974" s="12">
        <v>43523.791539351849</v>
      </c>
      <c r="G2974" s="17" t="s">
        <v>13000</v>
      </c>
      <c r="H2974" s="35" t="s">
        <v>22</v>
      </c>
      <c r="I2974" s="18" t="s">
        <v>4603</v>
      </c>
    </row>
    <row r="2975" spans="1:9" s="33" customFormat="1" ht="75">
      <c r="A2975" s="12">
        <v>43567.464641203704</v>
      </c>
      <c r="B2975" s="13" t="s">
        <v>14971</v>
      </c>
      <c r="C2975" s="14" t="s">
        <v>2543</v>
      </c>
      <c r="D2975" s="15" t="s">
        <v>5102</v>
      </c>
      <c r="E2975" s="16" t="s">
        <v>13443</v>
      </c>
      <c r="F2975" s="12">
        <v>42711.152118055557</v>
      </c>
      <c r="G2975" s="17" t="s">
        <v>13000</v>
      </c>
      <c r="H2975" s="35" t="s">
        <v>22</v>
      </c>
      <c r="I2975" s="18" t="s">
        <v>2545</v>
      </c>
    </row>
    <row r="2976" spans="1:9" s="33" customFormat="1" ht="180">
      <c r="A2976" s="12">
        <v>43567.396493055552</v>
      </c>
      <c r="B2976" s="13" t="s">
        <v>14973</v>
      </c>
      <c r="C2976" s="14" t="s">
        <v>20</v>
      </c>
      <c r="D2976" s="15" t="s">
        <v>5124</v>
      </c>
      <c r="E2976" s="16" t="s">
        <v>13009</v>
      </c>
      <c r="F2976" s="12">
        <v>43536.356689814813</v>
      </c>
      <c r="G2976" s="17" t="s">
        <v>13000</v>
      </c>
      <c r="H2976" s="35" t="s">
        <v>22</v>
      </c>
      <c r="I2976" s="18" t="s">
        <v>23</v>
      </c>
    </row>
    <row r="2977" spans="1:9" s="33" customFormat="1" ht="90">
      <c r="A2977" s="19">
        <v>43551.891400462962</v>
      </c>
      <c r="B2977" s="20" t="s">
        <v>14980</v>
      </c>
      <c r="C2977" s="21" t="s">
        <v>66</v>
      </c>
      <c r="D2977" s="22" t="s">
        <v>6970</v>
      </c>
      <c r="E2977" s="23" t="s">
        <v>13015</v>
      </c>
      <c r="F2977" s="19">
        <v>40348.673298611109</v>
      </c>
      <c r="G2977" s="17" t="s">
        <v>13000</v>
      </c>
      <c r="H2977" s="35" t="s">
        <v>68</v>
      </c>
      <c r="I2977" s="25" t="s">
        <v>69</v>
      </c>
    </row>
    <row r="2978" spans="1:9" s="33" customFormat="1" ht="120">
      <c r="A2978" s="19">
        <v>43551.323622685188</v>
      </c>
      <c r="B2978" s="20" t="s">
        <v>14980</v>
      </c>
      <c r="C2978" s="21" t="s">
        <v>66</v>
      </c>
      <c r="D2978" s="22" t="s">
        <v>7314</v>
      </c>
      <c r="E2978" s="23" t="s">
        <v>13015</v>
      </c>
      <c r="F2978" s="19">
        <v>40348.673298611109</v>
      </c>
      <c r="G2978" s="17" t="s">
        <v>13000</v>
      </c>
      <c r="H2978" s="35" t="s">
        <v>68</v>
      </c>
      <c r="I2978" s="25" t="s">
        <v>69</v>
      </c>
    </row>
    <row r="2979" spans="1:9" s="33" customFormat="1" ht="90">
      <c r="A2979" s="19">
        <v>43550.769467592589</v>
      </c>
      <c r="B2979" s="20" t="s">
        <v>14980</v>
      </c>
      <c r="C2979" s="21" t="s">
        <v>66</v>
      </c>
      <c r="D2979" s="22" t="s">
        <v>7512</v>
      </c>
      <c r="E2979" s="23" t="s">
        <v>13009</v>
      </c>
      <c r="F2979" s="19">
        <v>40348.673298611109</v>
      </c>
      <c r="G2979" s="17" t="s">
        <v>13000</v>
      </c>
      <c r="H2979" s="35" t="s">
        <v>68</v>
      </c>
      <c r="I2979" s="25" t="s">
        <v>69</v>
      </c>
    </row>
    <row r="2980" spans="1:9" s="33" customFormat="1" ht="90">
      <c r="A2980" s="19">
        <v>43550.338472222225</v>
      </c>
      <c r="B2980" s="20" t="s">
        <v>14980</v>
      </c>
      <c r="C2980" s="21" t="s">
        <v>66</v>
      </c>
      <c r="D2980" s="22" t="s">
        <v>7718</v>
      </c>
      <c r="E2980" s="23" t="s">
        <v>13015</v>
      </c>
      <c r="F2980" s="19">
        <v>40348.673298611109</v>
      </c>
      <c r="G2980" s="17" t="s">
        <v>13000</v>
      </c>
      <c r="H2980" s="35" t="s">
        <v>68</v>
      </c>
      <c r="I2980" s="25" t="s">
        <v>69</v>
      </c>
    </row>
    <row r="2981" spans="1:9" s="33" customFormat="1" ht="120">
      <c r="A2981" s="19">
        <v>43549.828125</v>
      </c>
      <c r="B2981" s="20" t="s">
        <v>14980</v>
      </c>
      <c r="C2981" s="21" t="s">
        <v>66</v>
      </c>
      <c r="D2981" s="22" t="s">
        <v>7918</v>
      </c>
      <c r="E2981" s="23" t="s">
        <v>13015</v>
      </c>
      <c r="F2981" s="19">
        <v>40348.673298611109</v>
      </c>
      <c r="G2981" s="17" t="s">
        <v>13000</v>
      </c>
      <c r="H2981" s="35" t="s">
        <v>68</v>
      </c>
      <c r="I2981" s="25" t="s">
        <v>69</v>
      </c>
    </row>
    <row r="2982" spans="1:9" s="33" customFormat="1" ht="90">
      <c r="A2982" s="19">
        <v>43548.87871527778</v>
      </c>
      <c r="B2982" s="20" t="s">
        <v>14980</v>
      </c>
      <c r="C2982" s="21" t="s">
        <v>66</v>
      </c>
      <c r="D2982" s="22" t="s">
        <v>8209</v>
      </c>
      <c r="E2982" s="23" t="s">
        <v>13009</v>
      </c>
      <c r="F2982" s="19">
        <v>40348.673298611109</v>
      </c>
      <c r="G2982" s="17" t="s">
        <v>13000</v>
      </c>
      <c r="H2982" s="35" t="s">
        <v>68</v>
      </c>
      <c r="I2982" s="25" t="s">
        <v>69</v>
      </c>
    </row>
    <row r="2983" spans="1:9" s="33" customFormat="1" ht="90">
      <c r="A2983" s="19">
        <v>43547.896307870367</v>
      </c>
      <c r="B2983" s="20" t="s">
        <v>14980</v>
      </c>
      <c r="C2983" s="21" t="s">
        <v>66</v>
      </c>
      <c r="D2983" s="22" t="s">
        <v>8452</v>
      </c>
      <c r="E2983" s="23" t="s">
        <v>13009</v>
      </c>
      <c r="F2983" s="19">
        <v>40348.673298611109</v>
      </c>
      <c r="G2983" s="17" t="s">
        <v>13000</v>
      </c>
      <c r="H2983" s="35" t="s">
        <v>68</v>
      </c>
      <c r="I2983" s="25" t="s">
        <v>69</v>
      </c>
    </row>
    <row r="2984" spans="1:9" s="33" customFormat="1" ht="90">
      <c r="A2984" s="19">
        <v>43547.770567129628</v>
      </c>
      <c r="B2984" s="20" t="s">
        <v>14980</v>
      </c>
      <c r="C2984" s="21" t="s">
        <v>66</v>
      </c>
      <c r="D2984" s="22" t="s">
        <v>8476</v>
      </c>
      <c r="E2984" s="23" t="s">
        <v>13009</v>
      </c>
      <c r="F2984" s="19">
        <v>40348.673298611109</v>
      </c>
      <c r="G2984" s="17" t="s">
        <v>13000</v>
      </c>
      <c r="H2984" s="35" t="s">
        <v>68</v>
      </c>
      <c r="I2984" s="25" t="s">
        <v>69</v>
      </c>
    </row>
    <row r="2985" spans="1:9" s="33" customFormat="1" ht="135">
      <c r="A2985" s="19">
        <v>43546.560486111106</v>
      </c>
      <c r="B2985" s="20" t="s">
        <v>14980</v>
      </c>
      <c r="C2985" s="21" t="s">
        <v>66</v>
      </c>
      <c r="D2985" s="22" t="s">
        <v>8808</v>
      </c>
      <c r="E2985" s="23" t="s">
        <v>13009</v>
      </c>
      <c r="F2985" s="19">
        <v>40348.673298611109</v>
      </c>
      <c r="G2985" s="17" t="s">
        <v>13000</v>
      </c>
      <c r="H2985" s="35" t="s">
        <v>68</v>
      </c>
      <c r="I2985" s="25" t="s">
        <v>69</v>
      </c>
    </row>
    <row r="2986" spans="1:9" s="33" customFormat="1" ht="90">
      <c r="A2986" s="19">
        <v>43546.558935185181</v>
      </c>
      <c r="B2986" s="20" t="s">
        <v>14980</v>
      </c>
      <c r="C2986" s="21" t="s">
        <v>66</v>
      </c>
      <c r="D2986" s="22" t="s">
        <v>8809</v>
      </c>
      <c r="E2986" s="23" t="s">
        <v>13009</v>
      </c>
      <c r="F2986" s="19">
        <v>40348.673298611109</v>
      </c>
      <c r="G2986" s="17" t="s">
        <v>13000</v>
      </c>
      <c r="H2986" s="35" t="s">
        <v>68</v>
      </c>
      <c r="I2986" s="25" t="s">
        <v>69</v>
      </c>
    </row>
    <row r="2987" spans="1:9" s="33" customFormat="1" ht="75">
      <c r="A2987" s="19">
        <v>43546.470266203702</v>
      </c>
      <c r="B2987" s="20" t="s">
        <v>14981</v>
      </c>
      <c r="C2987" s="21" t="s">
        <v>8832</v>
      </c>
      <c r="D2987" s="22" t="s">
        <v>8833</v>
      </c>
      <c r="E2987" s="23" t="s">
        <v>13009</v>
      </c>
      <c r="F2987" s="19">
        <v>39849.929143518515</v>
      </c>
      <c r="G2987" s="17" t="s">
        <v>13000</v>
      </c>
      <c r="H2987" s="35" t="s">
        <v>68</v>
      </c>
      <c r="I2987" s="25" t="s">
        <v>8834</v>
      </c>
    </row>
    <row r="2988" spans="1:9" s="33" customFormat="1" ht="90">
      <c r="A2988" s="19">
        <v>43546.441701388889</v>
      </c>
      <c r="B2988" s="20" t="s">
        <v>14980</v>
      </c>
      <c r="C2988" s="21" t="s">
        <v>66</v>
      </c>
      <c r="D2988" s="22" t="s">
        <v>8846</v>
      </c>
      <c r="E2988" s="23" t="s">
        <v>13009</v>
      </c>
      <c r="F2988" s="19">
        <v>40348.673298611109</v>
      </c>
      <c r="G2988" s="17" t="s">
        <v>13000</v>
      </c>
      <c r="H2988" s="35" t="s">
        <v>68</v>
      </c>
      <c r="I2988" s="25" t="s">
        <v>69</v>
      </c>
    </row>
    <row r="2989" spans="1:9" s="33" customFormat="1" ht="90">
      <c r="A2989" s="19">
        <v>43546.439710648148</v>
      </c>
      <c r="B2989" s="20" t="s">
        <v>14980</v>
      </c>
      <c r="C2989" s="21" t="s">
        <v>66</v>
      </c>
      <c r="D2989" s="22" t="s">
        <v>8847</v>
      </c>
      <c r="E2989" s="23" t="s">
        <v>13009</v>
      </c>
      <c r="F2989" s="19">
        <v>40348.673298611109</v>
      </c>
      <c r="G2989" s="17" t="s">
        <v>13000</v>
      </c>
      <c r="H2989" s="35" t="s">
        <v>68</v>
      </c>
      <c r="I2989" s="25" t="s">
        <v>69</v>
      </c>
    </row>
    <row r="2990" spans="1:9" s="33" customFormat="1" ht="90">
      <c r="A2990" s="19">
        <v>43543.339456018519</v>
      </c>
      <c r="B2990" s="20" t="s">
        <v>14980</v>
      </c>
      <c r="C2990" s="21" t="s">
        <v>66</v>
      </c>
      <c r="D2990" s="22" t="s">
        <v>9862</v>
      </c>
      <c r="E2990" s="23" t="s">
        <v>13015</v>
      </c>
      <c r="F2990" s="19">
        <v>40348.673298611109</v>
      </c>
      <c r="G2990" s="17" t="s">
        <v>13000</v>
      </c>
      <c r="H2990" s="35" t="s">
        <v>68</v>
      </c>
      <c r="I2990" s="25" t="s">
        <v>69</v>
      </c>
    </row>
    <row r="2991" spans="1:9" s="33" customFormat="1" ht="120">
      <c r="A2991" s="4">
        <v>43565.814942129626</v>
      </c>
      <c r="B2991" s="5" t="s">
        <v>14980</v>
      </c>
      <c r="C2991" s="6" t="s">
        <v>66</v>
      </c>
      <c r="D2991" s="7" t="s">
        <v>5890</v>
      </c>
      <c r="E2991" s="8" t="s">
        <v>13015</v>
      </c>
      <c r="F2991" s="4">
        <v>40348.673298611109</v>
      </c>
      <c r="G2991" s="17" t="s">
        <v>13000</v>
      </c>
      <c r="H2991" s="35" t="s">
        <v>68</v>
      </c>
      <c r="I2991" s="10" t="s">
        <v>69</v>
      </c>
    </row>
    <row r="2992" spans="1:9" s="33" customFormat="1" ht="90">
      <c r="A2992" s="4">
        <v>43563.810462962967</v>
      </c>
      <c r="B2992" s="5" t="s">
        <v>14980</v>
      </c>
      <c r="C2992" s="6" t="s">
        <v>66</v>
      </c>
      <c r="D2992" s="7" t="s">
        <v>6873</v>
      </c>
      <c r="E2992" s="8" t="s">
        <v>13015</v>
      </c>
      <c r="F2992" s="4">
        <v>40348.673298611109</v>
      </c>
      <c r="G2992" s="17" t="s">
        <v>13000</v>
      </c>
      <c r="H2992" s="35" t="s">
        <v>68</v>
      </c>
      <c r="I2992" s="10" t="s">
        <v>69</v>
      </c>
    </row>
    <row r="2993" spans="1:9" s="33" customFormat="1" ht="135">
      <c r="A2993" s="4">
        <v>43563.331597222219</v>
      </c>
      <c r="B2993" s="5" t="s">
        <v>14980</v>
      </c>
      <c r="C2993" s="6" t="s">
        <v>66</v>
      </c>
      <c r="D2993" s="7" t="s">
        <v>10363</v>
      </c>
      <c r="E2993" s="8" t="s">
        <v>13015</v>
      </c>
      <c r="F2993" s="4">
        <v>40348.673298611109</v>
      </c>
      <c r="G2993" s="17" t="s">
        <v>13000</v>
      </c>
      <c r="H2993" s="35" t="s">
        <v>68</v>
      </c>
      <c r="I2993" s="10" t="s">
        <v>69</v>
      </c>
    </row>
    <row r="2994" spans="1:9" s="33" customFormat="1" ht="90">
      <c r="A2994" s="4">
        <v>43559.76258101852</v>
      </c>
      <c r="B2994" s="5" t="s">
        <v>14980</v>
      </c>
      <c r="C2994" s="6" t="s">
        <v>66</v>
      </c>
      <c r="D2994" s="7" t="s">
        <v>11699</v>
      </c>
      <c r="E2994" s="8" t="s">
        <v>13015</v>
      </c>
      <c r="F2994" s="4">
        <v>40348.673298611109</v>
      </c>
      <c r="G2994" s="17" t="s">
        <v>13000</v>
      </c>
      <c r="H2994" s="35" t="s">
        <v>68</v>
      </c>
      <c r="I2994" s="10" t="s">
        <v>69</v>
      </c>
    </row>
    <row r="2995" spans="1:9" s="33" customFormat="1" ht="90">
      <c r="A2995" s="4">
        <v>43557.889293981483</v>
      </c>
      <c r="B2995" s="5" t="s">
        <v>14980</v>
      </c>
      <c r="C2995" s="6" t="s">
        <v>66</v>
      </c>
      <c r="D2995" s="7" t="s">
        <v>12370</v>
      </c>
      <c r="E2995" s="8" t="s">
        <v>13015</v>
      </c>
      <c r="F2995" s="4">
        <v>40348.673298611109</v>
      </c>
      <c r="G2995" s="17" t="s">
        <v>13000</v>
      </c>
      <c r="H2995" s="35" t="s">
        <v>68</v>
      </c>
      <c r="I2995" s="10" t="s">
        <v>69</v>
      </c>
    </row>
    <row r="2996" spans="1:9" s="33" customFormat="1" ht="90">
      <c r="A2996" s="12">
        <v>43580.791006944448</v>
      </c>
      <c r="B2996" s="13" t="s">
        <v>14980</v>
      </c>
      <c r="C2996" s="14" t="s">
        <v>66</v>
      </c>
      <c r="D2996" s="15" t="s">
        <v>67</v>
      </c>
      <c r="E2996" s="16" t="s">
        <v>13015</v>
      </c>
      <c r="F2996" s="12">
        <v>40349.131631944445</v>
      </c>
      <c r="G2996" s="17" t="s">
        <v>13000</v>
      </c>
      <c r="H2996" s="35" t="s">
        <v>68</v>
      </c>
      <c r="I2996" s="18" t="s">
        <v>69</v>
      </c>
    </row>
    <row r="2997" spans="1:9" s="33" customFormat="1" ht="90">
      <c r="A2997" s="12">
        <v>43579.792974537035</v>
      </c>
      <c r="B2997" s="13" t="s">
        <v>14980</v>
      </c>
      <c r="C2997" s="14" t="s">
        <v>66</v>
      </c>
      <c r="D2997" s="15" t="s">
        <v>443</v>
      </c>
      <c r="E2997" s="16" t="s">
        <v>13015</v>
      </c>
      <c r="F2997" s="12">
        <v>40348.673298611109</v>
      </c>
      <c r="G2997" s="17" t="s">
        <v>13000</v>
      </c>
      <c r="H2997" s="35" t="s">
        <v>68</v>
      </c>
      <c r="I2997" s="18" t="s">
        <v>69</v>
      </c>
    </row>
    <row r="2998" spans="1:9" s="33" customFormat="1" ht="90">
      <c r="A2998" s="12">
        <v>43572.872013888889</v>
      </c>
      <c r="B2998" s="13" t="s">
        <v>14980</v>
      </c>
      <c r="C2998" s="14" t="s">
        <v>66</v>
      </c>
      <c r="D2998" s="15" t="s">
        <v>3073</v>
      </c>
      <c r="E2998" s="16" t="s">
        <v>13015</v>
      </c>
      <c r="F2998" s="12">
        <v>40348.673298611109</v>
      </c>
      <c r="G2998" s="17" t="s">
        <v>13000</v>
      </c>
      <c r="H2998" s="35" t="s">
        <v>68</v>
      </c>
      <c r="I2998" s="18" t="s">
        <v>69</v>
      </c>
    </row>
    <row r="2999" spans="1:9" s="33" customFormat="1" ht="90">
      <c r="A2999" s="12">
        <v>43572.338368055556</v>
      </c>
      <c r="B2999" s="13" t="s">
        <v>14980</v>
      </c>
      <c r="C2999" s="14" t="s">
        <v>66</v>
      </c>
      <c r="D2999" s="15" t="s">
        <v>3322</v>
      </c>
      <c r="E2999" s="16" t="s">
        <v>13015</v>
      </c>
      <c r="F2999" s="12">
        <v>40348.673298611109</v>
      </c>
      <c r="G2999" s="17" t="s">
        <v>13000</v>
      </c>
      <c r="H2999" s="35" t="s">
        <v>68</v>
      </c>
      <c r="I2999" s="18" t="s">
        <v>69</v>
      </c>
    </row>
    <row r="3000" spans="1:9" s="33" customFormat="1" ht="90">
      <c r="A3000" s="12">
        <v>43571.332916666666</v>
      </c>
      <c r="B3000" s="13" t="s">
        <v>14980</v>
      </c>
      <c r="C3000" s="14" t="s">
        <v>66</v>
      </c>
      <c r="D3000" s="15" t="s">
        <v>3727</v>
      </c>
      <c r="E3000" s="16" t="s">
        <v>13015</v>
      </c>
      <c r="F3000" s="12">
        <v>40348.673298611109</v>
      </c>
      <c r="G3000" s="17" t="s">
        <v>13000</v>
      </c>
      <c r="H3000" s="35" t="s">
        <v>68</v>
      </c>
      <c r="I3000" s="18" t="s">
        <v>69</v>
      </c>
    </row>
    <row r="3001" spans="1:9" s="33" customFormat="1" ht="90">
      <c r="A3001" s="12">
        <v>43570.761064814811</v>
      </c>
      <c r="B3001" s="13" t="s">
        <v>14980</v>
      </c>
      <c r="C3001" s="14" t="s">
        <v>66</v>
      </c>
      <c r="D3001" s="15" t="s">
        <v>3985</v>
      </c>
      <c r="E3001" s="16" t="s">
        <v>13015</v>
      </c>
      <c r="F3001" s="12">
        <v>40348.673298611109</v>
      </c>
      <c r="G3001" s="17" t="s">
        <v>13000</v>
      </c>
      <c r="H3001" s="35" t="s">
        <v>68</v>
      </c>
      <c r="I3001" s="18" t="s">
        <v>69</v>
      </c>
    </row>
    <row r="3002" spans="1:9" s="33" customFormat="1" ht="90">
      <c r="A3002" s="12">
        <v>43568.424050925925</v>
      </c>
      <c r="B3002" s="13" t="s">
        <v>14980</v>
      </c>
      <c r="C3002" s="14" t="s">
        <v>66</v>
      </c>
      <c r="D3002" s="15" t="s">
        <v>4780</v>
      </c>
      <c r="E3002" s="16" t="s">
        <v>13015</v>
      </c>
      <c r="F3002" s="12">
        <v>40348.673298611109</v>
      </c>
      <c r="G3002" s="17" t="s">
        <v>13000</v>
      </c>
      <c r="H3002" s="35" t="s">
        <v>68</v>
      </c>
      <c r="I3002" s="18" t="s">
        <v>69</v>
      </c>
    </row>
    <row r="3003" spans="1:9" s="33" customFormat="1" ht="120">
      <c r="A3003" s="12">
        <v>43568.415127314816</v>
      </c>
      <c r="B3003" s="13" t="s">
        <v>14980</v>
      </c>
      <c r="C3003" s="14" t="s">
        <v>66</v>
      </c>
      <c r="D3003" s="15" t="s">
        <v>4789</v>
      </c>
      <c r="E3003" s="16" t="s">
        <v>13015</v>
      </c>
      <c r="F3003" s="12">
        <v>40348.673298611109</v>
      </c>
      <c r="G3003" s="17" t="s">
        <v>13000</v>
      </c>
      <c r="H3003" s="35" t="s">
        <v>68</v>
      </c>
      <c r="I3003" s="18" t="s">
        <v>69</v>
      </c>
    </row>
    <row r="3004" spans="1:9" s="33" customFormat="1" ht="90">
      <c r="A3004" s="12">
        <v>43568.406053240746</v>
      </c>
      <c r="B3004" s="13" t="s">
        <v>14980</v>
      </c>
      <c r="C3004" s="14" t="s">
        <v>66</v>
      </c>
      <c r="D3004" s="15" t="s">
        <v>4790</v>
      </c>
      <c r="E3004" s="16" t="s">
        <v>13015</v>
      </c>
      <c r="F3004" s="12">
        <v>40348.673298611109</v>
      </c>
      <c r="G3004" s="17" t="s">
        <v>13000</v>
      </c>
      <c r="H3004" s="35" t="s">
        <v>68</v>
      </c>
      <c r="I3004" s="18" t="s">
        <v>69</v>
      </c>
    </row>
    <row r="3005" spans="1:9" s="33" customFormat="1" ht="135">
      <c r="A3005" s="12">
        <v>43568.404004629629</v>
      </c>
      <c r="B3005" s="13" t="s">
        <v>14980</v>
      </c>
      <c r="C3005" s="14" t="s">
        <v>66</v>
      </c>
      <c r="D3005" s="15" t="s">
        <v>4791</v>
      </c>
      <c r="E3005" s="16" t="s">
        <v>13015</v>
      </c>
      <c r="F3005" s="12">
        <v>40348.673298611109</v>
      </c>
      <c r="G3005" s="17" t="s">
        <v>13000</v>
      </c>
      <c r="H3005" s="35" t="s">
        <v>68</v>
      </c>
      <c r="I3005" s="18" t="s">
        <v>69</v>
      </c>
    </row>
    <row r="3006" spans="1:9" s="33" customFormat="1" ht="105">
      <c r="A3006" s="12">
        <v>43568.40111111111</v>
      </c>
      <c r="B3006" s="13" t="s">
        <v>14980</v>
      </c>
      <c r="C3006" s="14" t="s">
        <v>66</v>
      </c>
      <c r="D3006" s="15" t="s">
        <v>4796</v>
      </c>
      <c r="E3006" s="16" t="s">
        <v>13015</v>
      </c>
      <c r="F3006" s="12">
        <v>40348.673298611109</v>
      </c>
      <c r="G3006" s="17" t="s">
        <v>13000</v>
      </c>
      <c r="H3006" s="35" t="s">
        <v>68</v>
      </c>
      <c r="I3006" s="18" t="s">
        <v>69</v>
      </c>
    </row>
    <row r="3007" spans="1:9" s="33" customFormat="1" ht="90">
      <c r="A3007" s="12">
        <v>43566.325416666667</v>
      </c>
      <c r="B3007" s="13" t="s">
        <v>14980</v>
      </c>
      <c r="C3007" s="14" t="s">
        <v>66</v>
      </c>
      <c r="D3007" s="15" t="s">
        <v>5659</v>
      </c>
      <c r="E3007" s="16" t="s">
        <v>13015</v>
      </c>
      <c r="F3007" s="12">
        <v>40348.673298611109</v>
      </c>
      <c r="G3007" s="17" t="s">
        <v>13000</v>
      </c>
      <c r="H3007" s="35" t="s">
        <v>68</v>
      </c>
      <c r="I3007" s="18" t="s">
        <v>69</v>
      </c>
    </row>
    <row r="3008" spans="1:9" s="33" customFormat="1" ht="60">
      <c r="A3008" s="12">
        <v>43569.82267361111</v>
      </c>
      <c r="B3008" s="13" t="s">
        <v>14982</v>
      </c>
      <c r="C3008" s="14" t="s">
        <v>4393</v>
      </c>
      <c r="D3008" s="15" t="s">
        <v>4394</v>
      </c>
      <c r="E3008" s="16" t="s">
        <v>13032</v>
      </c>
      <c r="F3008" s="12">
        <v>40307.473009259258</v>
      </c>
      <c r="G3008" s="17" t="s">
        <v>13000</v>
      </c>
      <c r="H3008" s="35" t="s">
        <v>4395</v>
      </c>
      <c r="I3008" s="18" t="s">
        <v>4396</v>
      </c>
    </row>
    <row r="3009" spans="1:9" s="33" customFormat="1" ht="105">
      <c r="A3009" s="19">
        <v>43551.464641203704</v>
      </c>
      <c r="B3009" s="20" t="s">
        <v>14983</v>
      </c>
      <c r="C3009" s="21" t="s">
        <v>7185</v>
      </c>
      <c r="D3009" s="22" t="s">
        <v>7186</v>
      </c>
      <c r="E3009" s="23" t="s">
        <v>13411</v>
      </c>
      <c r="F3009" s="19">
        <v>42675.308356481481</v>
      </c>
      <c r="G3009" s="24" t="s">
        <v>13000</v>
      </c>
      <c r="H3009" s="35" t="s">
        <v>7187</v>
      </c>
      <c r="I3009" s="25" t="s">
        <v>7188</v>
      </c>
    </row>
    <row r="3010" spans="1:9" s="33" customFormat="1" ht="105">
      <c r="A3010" s="19">
        <v>43546.432615740741</v>
      </c>
      <c r="B3010" s="20" t="s">
        <v>14983</v>
      </c>
      <c r="C3010" s="21" t="s">
        <v>7185</v>
      </c>
      <c r="D3010" s="22" t="s">
        <v>8852</v>
      </c>
      <c r="E3010" s="23" t="s">
        <v>13411</v>
      </c>
      <c r="F3010" s="19">
        <v>42675.308356481481</v>
      </c>
      <c r="G3010" s="24" t="s">
        <v>13000</v>
      </c>
      <c r="H3010" s="35" t="s">
        <v>7187</v>
      </c>
      <c r="I3010" s="25" t="s">
        <v>7188</v>
      </c>
    </row>
    <row r="3011" spans="1:9" s="33" customFormat="1" ht="135">
      <c r="A3011" s="19">
        <v>43547.911412037036</v>
      </c>
      <c r="B3011" s="20" t="s">
        <v>14984</v>
      </c>
      <c r="C3011" s="21" t="s">
        <v>8441</v>
      </c>
      <c r="D3011" s="22" t="s">
        <v>8442</v>
      </c>
      <c r="E3011" s="23" t="s">
        <v>13013</v>
      </c>
      <c r="F3011" s="19">
        <v>40500.014340277776</v>
      </c>
      <c r="G3011" s="17" t="s">
        <v>13000</v>
      </c>
      <c r="H3011" s="35" t="s">
        <v>8443</v>
      </c>
      <c r="I3011" s="25" t="s">
        <v>8444</v>
      </c>
    </row>
    <row r="3012" spans="1:9" s="33" customFormat="1" ht="75">
      <c r="A3012" s="19">
        <v>43550.531493055554</v>
      </c>
      <c r="B3012" s="20" t="s">
        <v>14985</v>
      </c>
      <c r="C3012" s="21" t="s">
        <v>7624</v>
      </c>
      <c r="D3012" s="22" t="s">
        <v>7625</v>
      </c>
      <c r="E3012" s="23" t="s">
        <v>13018</v>
      </c>
      <c r="F3012" s="19">
        <v>43075.380740740744</v>
      </c>
      <c r="G3012" s="17" t="s">
        <v>13000</v>
      </c>
      <c r="H3012" s="35" t="s">
        <v>6683</v>
      </c>
      <c r="I3012" s="25" t="s">
        <v>7626</v>
      </c>
    </row>
    <row r="3013" spans="1:9" s="33" customFormat="1" ht="75">
      <c r="A3013" s="19">
        <v>43548.542407407411</v>
      </c>
      <c r="B3013" s="20" t="s">
        <v>14985</v>
      </c>
      <c r="C3013" s="21" t="s">
        <v>7624</v>
      </c>
      <c r="D3013" s="22" t="s">
        <v>8291</v>
      </c>
      <c r="E3013" s="23" t="s">
        <v>13018</v>
      </c>
      <c r="F3013" s="19">
        <v>43075.380740740744</v>
      </c>
      <c r="G3013" s="17" t="s">
        <v>13000</v>
      </c>
      <c r="H3013" s="35" t="s">
        <v>6683</v>
      </c>
      <c r="I3013" s="25" t="s">
        <v>7626</v>
      </c>
    </row>
    <row r="3014" spans="1:9" s="33" customFormat="1" ht="105">
      <c r="A3014" s="19">
        <v>43547.886736111112</v>
      </c>
      <c r="B3014" s="20" t="s">
        <v>14986</v>
      </c>
      <c r="C3014" s="21" t="s">
        <v>8456</v>
      </c>
      <c r="D3014" s="22" t="s">
        <v>8457</v>
      </c>
      <c r="E3014" s="23" t="s">
        <v>13013</v>
      </c>
      <c r="F3014" s="19">
        <v>39819.434502314813</v>
      </c>
      <c r="G3014" s="17" t="s">
        <v>13000</v>
      </c>
      <c r="H3014" s="35" t="s">
        <v>6683</v>
      </c>
      <c r="I3014" s="25" t="s">
        <v>8458</v>
      </c>
    </row>
    <row r="3015" spans="1:9" s="33" customFormat="1" ht="90">
      <c r="A3015" s="19">
        <v>43546.746597222227</v>
      </c>
      <c r="B3015" s="20" t="s">
        <v>14985</v>
      </c>
      <c r="C3015" s="21" t="s">
        <v>7624</v>
      </c>
      <c r="D3015" s="22" t="s">
        <v>8742</v>
      </c>
      <c r="E3015" s="23" t="s">
        <v>13018</v>
      </c>
      <c r="F3015" s="19">
        <v>43075.380740740744</v>
      </c>
      <c r="G3015" s="17" t="s">
        <v>13000</v>
      </c>
      <c r="H3015" s="35" t="s">
        <v>6683</v>
      </c>
      <c r="I3015" s="25" t="s">
        <v>7626</v>
      </c>
    </row>
    <row r="3016" spans="1:9" s="33" customFormat="1" ht="75">
      <c r="A3016" s="19">
        <v>43545.736180555556</v>
      </c>
      <c r="B3016" s="20" t="s">
        <v>14985</v>
      </c>
      <c r="C3016" s="21" t="s">
        <v>7624</v>
      </c>
      <c r="D3016" s="22" t="s">
        <v>9065</v>
      </c>
      <c r="E3016" s="23" t="s">
        <v>13018</v>
      </c>
      <c r="F3016" s="19">
        <v>43075.380740740744</v>
      </c>
      <c r="G3016" s="17" t="s">
        <v>13000</v>
      </c>
      <c r="H3016" s="35" t="s">
        <v>6683</v>
      </c>
      <c r="I3016" s="25" t="s">
        <v>7626</v>
      </c>
    </row>
    <row r="3017" spans="1:9" s="33" customFormat="1" ht="75">
      <c r="A3017" s="19">
        <v>43544.604490740741</v>
      </c>
      <c r="B3017" s="20" t="s">
        <v>14985</v>
      </c>
      <c r="C3017" s="21" t="s">
        <v>7624</v>
      </c>
      <c r="D3017" s="22" t="s">
        <v>9403</v>
      </c>
      <c r="E3017" s="23" t="s">
        <v>13018</v>
      </c>
      <c r="F3017" s="19">
        <v>43075.380740740744</v>
      </c>
      <c r="G3017" s="17" t="s">
        <v>13000</v>
      </c>
      <c r="H3017" s="35" t="s">
        <v>6683</v>
      </c>
      <c r="I3017" s="25" t="s">
        <v>7626</v>
      </c>
    </row>
    <row r="3018" spans="1:9" s="33" customFormat="1" ht="90">
      <c r="A3018" s="19">
        <v>43544.513981481483</v>
      </c>
      <c r="B3018" s="20" t="s">
        <v>14985</v>
      </c>
      <c r="C3018" s="21" t="s">
        <v>7624</v>
      </c>
      <c r="D3018" s="22" t="s">
        <v>9427</v>
      </c>
      <c r="E3018" s="23" t="s">
        <v>13018</v>
      </c>
      <c r="F3018" s="19">
        <v>43075.380740740744</v>
      </c>
      <c r="G3018" s="17" t="s">
        <v>13000</v>
      </c>
      <c r="H3018" s="35" t="s">
        <v>6683</v>
      </c>
      <c r="I3018" s="25" t="s">
        <v>7626</v>
      </c>
    </row>
    <row r="3019" spans="1:9" s="33" customFormat="1" ht="75">
      <c r="A3019" s="19">
        <v>43543.434155092589</v>
      </c>
      <c r="B3019" s="20" t="s">
        <v>14985</v>
      </c>
      <c r="C3019" s="21" t="s">
        <v>7624</v>
      </c>
      <c r="D3019" s="22" t="s">
        <v>9805</v>
      </c>
      <c r="E3019" s="23" t="s">
        <v>13018</v>
      </c>
      <c r="F3019" s="19">
        <v>43075.380740740744</v>
      </c>
      <c r="G3019" s="17" t="s">
        <v>13000</v>
      </c>
      <c r="H3019" s="35" t="s">
        <v>6683</v>
      </c>
      <c r="I3019" s="25" t="s">
        <v>7626</v>
      </c>
    </row>
    <row r="3020" spans="1:9" s="33" customFormat="1" ht="120">
      <c r="A3020" s="19">
        <v>43542.762037037042</v>
      </c>
      <c r="B3020" s="20" t="s">
        <v>14987</v>
      </c>
      <c r="C3020" s="21" t="s">
        <v>6681</v>
      </c>
      <c r="D3020" s="22" t="s">
        <v>10023</v>
      </c>
      <c r="E3020" s="23" t="s">
        <v>14988</v>
      </c>
      <c r="F3020" s="19">
        <v>40617.570057870369</v>
      </c>
      <c r="G3020" s="17" t="s">
        <v>13000</v>
      </c>
      <c r="H3020" s="35" t="s">
        <v>6683</v>
      </c>
      <c r="I3020" s="25" t="s">
        <v>6684</v>
      </c>
    </row>
    <row r="3021" spans="1:9" s="33" customFormat="1" ht="105">
      <c r="A3021" s="4">
        <v>43564.325671296298</v>
      </c>
      <c r="B3021" s="5" t="s">
        <v>14987</v>
      </c>
      <c r="C3021" s="6" t="s">
        <v>6681</v>
      </c>
      <c r="D3021" s="7" t="s">
        <v>6682</v>
      </c>
      <c r="E3021" s="8" t="s">
        <v>14988</v>
      </c>
      <c r="F3021" s="4">
        <v>40617.570057870369</v>
      </c>
      <c r="G3021" s="17" t="s">
        <v>13000</v>
      </c>
      <c r="H3021" s="35" t="s">
        <v>6683</v>
      </c>
      <c r="I3021" s="10" t="s">
        <v>6684</v>
      </c>
    </row>
    <row r="3022" spans="1:9" s="33" customFormat="1" ht="90">
      <c r="A3022" s="4">
        <v>43564.317430555559</v>
      </c>
      <c r="B3022" s="5" t="s">
        <v>14987</v>
      </c>
      <c r="C3022" s="6" t="s">
        <v>6681</v>
      </c>
      <c r="D3022" s="7" t="s">
        <v>6694</v>
      </c>
      <c r="E3022" s="8" t="s">
        <v>14988</v>
      </c>
      <c r="F3022" s="4">
        <v>40617.570057870369</v>
      </c>
      <c r="G3022" s="17" t="s">
        <v>13000</v>
      </c>
      <c r="H3022" s="35" t="s">
        <v>6683</v>
      </c>
      <c r="I3022" s="10" t="s">
        <v>6684</v>
      </c>
    </row>
    <row r="3023" spans="1:9" s="33" customFormat="1" ht="75">
      <c r="A3023" s="4">
        <v>43562.500798611116</v>
      </c>
      <c r="B3023" s="5" t="s">
        <v>14985</v>
      </c>
      <c r="C3023" s="6" t="s">
        <v>7624</v>
      </c>
      <c r="D3023" s="7" t="s">
        <v>10657</v>
      </c>
      <c r="E3023" s="8" t="s">
        <v>13018</v>
      </c>
      <c r="F3023" s="4">
        <v>43075.380740740744</v>
      </c>
      <c r="G3023" s="17" t="s">
        <v>13000</v>
      </c>
      <c r="H3023" s="35" t="s">
        <v>6683</v>
      </c>
      <c r="I3023" s="10" t="s">
        <v>7626</v>
      </c>
    </row>
    <row r="3024" spans="1:9" s="33" customFormat="1" ht="45">
      <c r="A3024" s="12">
        <v>43570.50105324074</v>
      </c>
      <c r="B3024" s="13" t="s">
        <v>14989</v>
      </c>
      <c r="C3024" s="14" t="s">
        <v>4101</v>
      </c>
      <c r="D3024" s="15" t="s">
        <v>4102</v>
      </c>
      <c r="E3024" s="16" t="s">
        <v>13009</v>
      </c>
      <c r="F3024" s="12">
        <v>40289.296018518522</v>
      </c>
      <c r="G3024" s="17" t="s">
        <v>13000</v>
      </c>
      <c r="H3024" s="35" t="s">
        <v>4103</v>
      </c>
      <c r="I3024" s="18" t="s">
        <v>4104</v>
      </c>
    </row>
    <row r="3025" spans="1:9" s="33" customFormat="1" ht="90">
      <c r="A3025" s="12">
        <v>43566.746562500004</v>
      </c>
      <c r="B3025" s="13" t="s">
        <v>14990</v>
      </c>
      <c r="C3025" s="14" t="s">
        <v>5359</v>
      </c>
      <c r="D3025" s="15" t="s">
        <v>5360</v>
      </c>
      <c r="E3025" s="16" t="s">
        <v>13011</v>
      </c>
      <c r="F3025" s="12">
        <v>40360.389687499999</v>
      </c>
      <c r="G3025" s="17" t="s">
        <v>13000</v>
      </c>
      <c r="H3025" s="35" t="s">
        <v>5361</v>
      </c>
      <c r="I3025" s="18" t="s">
        <v>5362</v>
      </c>
    </row>
    <row r="3026" spans="1:9" s="33" customFormat="1" ht="150">
      <c r="A3026" s="12">
        <v>43566.741249999999</v>
      </c>
      <c r="B3026" s="13" t="s">
        <v>14990</v>
      </c>
      <c r="C3026" s="14" t="s">
        <v>5359</v>
      </c>
      <c r="D3026" s="15" t="s">
        <v>5364</v>
      </c>
      <c r="E3026" s="16" t="s">
        <v>13011</v>
      </c>
      <c r="F3026" s="12">
        <v>40360.389687499999</v>
      </c>
      <c r="G3026" s="17" t="s">
        <v>13000</v>
      </c>
      <c r="H3026" s="35" t="s">
        <v>5361</v>
      </c>
      <c r="I3026" s="18" t="s">
        <v>5362</v>
      </c>
    </row>
    <row r="3027" spans="1:9" s="33" customFormat="1" ht="90">
      <c r="A3027" s="12">
        <v>43574.686805555553</v>
      </c>
      <c r="B3027" s="13" t="s">
        <v>14991</v>
      </c>
      <c r="C3027" s="14" t="s">
        <v>2478</v>
      </c>
      <c r="D3027" s="15" t="s">
        <v>2479</v>
      </c>
      <c r="E3027" s="16" t="s">
        <v>13120</v>
      </c>
      <c r="F3027" s="12">
        <v>42229.40896990741</v>
      </c>
      <c r="G3027" s="17" t="s">
        <v>13000</v>
      </c>
      <c r="H3027" s="35" t="s">
        <v>2480</v>
      </c>
      <c r="I3027" s="18" t="s">
        <v>2481</v>
      </c>
    </row>
    <row r="3028" spans="1:9" s="33" customFormat="1" ht="105">
      <c r="A3028" s="19">
        <v>43551.663726851853</v>
      </c>
      <c r="B3028" s="20" t="s">
        <v>14992</v>
      </c>
      <c r="C3028" s="21" t="s">
        <v>1562</v>
      </c>
      <c r="D3028" s="22" t="s">
        <v>7068</v>
      </c>
      <c r="E3028" s="23" t="s">
        <v>13013</v>
      </c>
      <c r="F3028" s="19">
        <v>43348.66238425926</v>
      </c>
      <c r="G3028" s="17" t="s">
        <v>13000</v>
      </c>
      <c r="H3028" s="35" t="s">
        <v>1564</v>
      </c>
      <c r="I3028" s="25" t="s">
        <v>1565</v>
      </c>
    </row>
    <row r="3029" spans="1:9" s="33" customFormat="1" ht="105">
      <c r="A3029" s="19">
        <v>43548.644212962958</v>
      </c>
      <c r="B3029" s="20" t="s">
        <v>14992</v>
      </c>
      <c r="C3029" s="21" t="s">
        <v>1562</v>
      </c>
      <c r="D3029" s="22" t="s">
        <v>8254</v>
      </c>
      <c r="E3029" s="23" t="s">
        <v>13013</v>
      </c>
      <c r="F3029" s="19">
        <v>43348.66238425926</v>
      </c>
      <c r="G3029" s="17" t="s">
        <v>13000</v>
      </c>
      <c r="H3029" s="35" t="s">
        <v>1564</v>
      </c>
      <c r="I3029" s="25" t="s">
        <v>1565</v>
      </c>
    </row>
    <row r="3030" spans="1:9" s="33" customFormat="1" ht="105">
      <c r="A3030" s="19">
        <v>43545.510381944448</v>
      </c>
      <c r="B3030" s="20" t="s">
        <v>14992</v>
      </c>
      <c r="C3030" s="21" t="s">
        <v>1562</v>
      </c>
      <c r="D3030" s="22" t="s">
        <v>9118</v>
      </c>
      <c r="E3030" s="23" t="s">
        <v>13013</v>
      </c>
      <c r="F3030" s="19">
        <v>43348.66238425926</v>
      </c>
      <c r="G3030" s="17" t="s">
        <v>13000</v>
      </c>
      <c r="H3030" s="35" t="s">
        <v>1564</v>
      </c>
      <c r="I3030" s="25" t="s">
        <v>1565</v>
      </c>
    </row>
    <row r="3031" spans="1:9" s="33" customFormat="1" ht="105">
      <c r="A3031" s="19">
        <v>43543.423090277778</v>
      </c>
      <c r="B3031" s="20" t="s">
        <v>14992</v>
      </c>
      <c r="C3031" s="21" t="s">
        <v>1562</v>
      </c>
      <c r="D3031" s="22" t="s">
        <v>9812</v>
      </c>
      <c r="E3031" s="23" t="s">
        <v>13013</v>
      </c>
      <c r="F3031" s="19">
        <v>43348.66238425926</v>
      </c>
      <c r="G3031" s="17" t="s">
        <v>13000</v>
      </c>
      <c r="H3031" s="35" t="s">
        <v>1564</v>
      </c>
      <c r="I3031" s="25" t="s">
        <v>1565</v>
      </c>
    </row>
    <row r="3032" spans="1:9" s="33" customFormat="1" ht="105">
      <c r="A3032" s="19">
        <v>43542.564039351855</v>
      </c>
      <c r="B3032" s="20" t="s">
        <v>14992</v>
      </c>
      <c r="C3032" s="21" t="s">
        <v>1562</v>
      </c>
      <c r="D3032" s="22" t="s">
        <v>10103</v>
      </c>
      <c r="E3032" s="23" t="s">
        <v>13013</v>
      </c>
      <c r="F3032" s="19">
        <v>43348.66238425926</v>
      </c>
      <c r="G3032" s="17" t="s">
        <v>13000</v>
      </c>
      <c r="H3032" s="35" t="s">
        <v>1564</v>
      </c>
      <c r="I3032" s="25" t="s">
        <v>1565</v>
      </c>
    </row>
    <row r="3033" spans="1:9" s="33" customFormat="1" ht="105">
      <c r="A3033" s="4">
        <v>43565.802708333329</v>
      </c>
      <c r="B3033" s="5" t="s">
        <v>14992</v>
      </c>
      <c r="C3033" s="6" t="s">
        <v>1562</v>
      </c>
      <c r="D3033" s="7" t="s">
        <v>5892</v>
      </c>
      <c r="E3033" s="8" t="s">
        <v>13013</v>
      </c>
      <c r="F3033" s="4">
        <v>43348.66238425926</v>
      </c>
      <c r="G3033" s="17" t="s">
        <v>13000</v>
      </c>
      <c r="H3033" s="35" t="s">
        <v>1564</v>
      </c>
      <c r="I3033" s="10" t="s">
        <v>1565</v>
      </c>
    </row>
    <row r="3034" spans="1:9" s="33" customFormat="1" ht="90">
      <c r="A3034" s="4">
        <v>43564.394768518519</v>
      </c>
      <c r="B3034" s="5" t="s">
        <v>14993</v>
      </c>
      <c r="C3034" s="6" t="s">
        <v>6630</v>
      </c>
      <c r="D3034" s="7" t="s">
        <v>6631</v>
      </c>
      <c r="E3034" s="8" t="s">
        <v>13009</v>
      </c>
      <c r="F3034" s="4">
        <v>42079.112025462964</v>
      </c>
      <c r="G3034" s="17" t="s">
        <v>13000</v>
      </c>
      <c r="H3034" s="35" t="s">
        <v>1564</v>
      </c>
      <c r="I3034" s="10" t="s">
        <v>6632</v>
      </c>
    </row>
    <row r="3035" spans="1:9" s="33" customFormat="1" ht="75">
      <c r="A3035" s="4">
        <v>43561.592233796298</v>
      </c>
      <c r="B3035" s="5" t="s">
        <v>14994</v>
      </c>
      <c r="C3035" s="6" t="s">
        <v>10922</v>
      </c>
      <c r="D3035" s="7" t="s">
        <v>10923</v>
      </c>
      <c r="E3035" s="8" t="s">
        <v>13013</v>
      </c>
      <c r="F3035" s="4">
        <v>42745.823761574073</v>
      </c>
      <c r="G3035" s="17" t="s">
        <v>13000</v>
      </c>
      <c r="H3035" s="35" t="s">
        <v>1564</v>
      </c>
      <c r="I3035" s="10"/>
    </row>
    <row r="3036" spans="1:9" s="33" customFormat="1" ht="75">
      <c r="A3036" s="4">
        <v>43561.516087962962</v>
      </c>
      <c r="B3036" s="5" t="s">
        <v>14994</v>
      </c>
      <c r="C3036" s="6" t="s">
        <v>10922</v>
      </c>
      <c r="D3036" s="7" t="s">
        <v>10948</v>
      </c>
      <c r="E3036" s="8" t="s">
        <v>13013</v>
      </c>
      <c r="F3036" s="4">
        <v>42745.823761574073</v>
      </c>
      <c r="G3036" s="17" t="s">
        <v>13000</v>
      </c>
      <c r="H3036" s="35" t="s">
        <v>1564</v>
      </c>
      <c r="I3036" s="10"/>
    </row>
    <row r="3037" spans="1:9" s="33" customFormat="1" ht="105">
      <c r="A3037" s="12">
        <v>43577.588923611111</v>
      </c>
      <c r="B3037" s="13" t="s">
        <v>14992</v>
      </c>
      <c r="C3037" s="14" t="s">
        <v>1562</v>
      </c>
      <c r="D3037" s="15" t="s">
        <v>1563</v>
      </c>
      <c r="E3037" s="16" t="s">
        <v>13013</v>
      </c>
      <c r="F3037" s="12">
        <v>43348.66238425926</v>
      </c>
      <c r="G3037" s="17" t="s">
        <v>13000</v>
      </c>
      <c r="H3037" s="35" t="s">
        <v>1564</v>
      </c>
      <c r="I3037" s="18" t="s">
        <v>1565</v>
      </c>
    </row>
    <row r="3038" spans="1:9" s="33" customFormat="1" ht="105">
      <c r="A3038" s="12">
        <v>43572.242847222224</v>
      </c>
      <c r="B3038" s="13" t="s">
        <v>14992</v>
      </c>
      <c r="C3038" s="14" t="s">
        <v>1562</v>
      </c>
      <c r="D3038" s="15" t="s">
        <v>3361</v>
      </c>
      <c r="E3038" s="16" t="s">
        <v>13013</v>
      </c>
      <c r="F3038" s="12">
        <v>43348.66238425926</v>
      </c>
      <c r="G3038" s="17" t="s">
        <v>13000</v>
      </c>
      <c r="H3038" s="35" t="s">
        <v>1564</v>
      </c>
      <c r="I3038" s="18" t="s">
        <v>1565</v>
      </c>
    </row>
    <row r="3039" spans="1:9" s="33" customFormat="1" ht="105">
      <c r="A3039" s="12">
        <v>43568.940694444449</v>
      </c>
      <c r="B3039" s="13" t="s">
        <v>14995</v>
      </c>
      <c r="C3039" s="14" t="s">
        <v>4618</v>
      </c>
      <c r="D3039" s="15" t="s">
        <v>4619</v>
      </c>
      <c r="E3039" s="16" t="s">
        <v>13013</v>
      </c>
      <c r="F3039" s="12">
        <v>42610.863275462965</v>
      </c>
      <c r="G3039" s="17" t="s">
        <v>13000</v>
      </c>
      <c r="H3039" s="35" t="s">
        <v>1564</v>
      </c>
      <c r="I3039" s="18" t="s">
        <v>4620</v>
      </c>
    </row>
    <row r="3040" spans="1:9" s="33" customFormat="1" ht="105">
      <c r="A3040" s="12">
        <v>43566.486400462964</v>
      </c>
      <c r="B3040" s="13" t="s">
        <v>14992</v>
      </c>
      <c r="C3040" s="14" t="s">
        <v>1562</v>
      </c>
      <c r="D3040" s="15" t="s">
        <v>5494</v>
      </c>
      <c r="E3040" s="16" t="s">
        <v>13013</v>
      </c>
      <c r="F3040" s="12">
        <v>43348.66238425926</v>
      </c>
      <c r="G3040" s="17" t="s">
        <v>13000</v>
      </c>
      <c r="H3040" s="35" t="s">
        <v>1564</v>
      </c>
      <c r="I3040" s="18" t="s">
        <v>1565</v>
      </c>
    </row>
    <row r="3041" spans="1:9" s="33" customFormat="1" ht="105">
      <c r="A3041" s="4">
        <v>43557.238310185188</v>
      </c>
      <c r="B3041" s="5" t="s">
        <v>14996</v>
      </c>
      <c r="C3041" s="6" t="s">
        <v>12608</v>
      </c>
      <c r="D3041" s="7" t="s">
        <v>12609</v>
      </c>
      <c r="E3041" s="8" t="s">
        <v>13011</v>
      </c>
      <c r="F3041" s="4">
        <v>41154.483935185184</v>
      </c>
      <c r="G3041" s="9" t="s">
        <v>13000</v>
      </c>
      <c r="H3041" s="35" t="s">
        <v>12610</v>
      </c>
      <c r="I3041" s="10" t="s">
        <v>12611</v>
      </c>
    </row>
    <row r="3042" spans="1:9" s="33" customFormat="1" ht="75">
      <c r="A3042" s="4">
        <v>43560.399664351848</v>
      </c>
      <c r="B3042" s="5" t="s">
        <v>14997</v>
      </c>
      <c r="C3042" s="6" t="s">
        <v>1600</v>
      </c>
      <c r="D3042" s="7" t="s">
        <v>11409</v>
      </c>
      <c r="E3042" s="8" t="s">
        <v>13011</v>
      </c>
      <c r="F3042" s="4">
        <v>42929.7815162037</v>
      </c>
      <c r="G3042" s="17" t="s">
        <v>13000</v>
      </c>
      <c r="H3042" s="35" t="s">
        <v>1602</v>
      </c>
      <c r="I3042" s="10" t="s">
        <v>1603</v>
      </c>
    </row>
    <row r="3043" spans="1:9" s="33" customFormat="1" ht="75">
      <c r="A3043" s="12">
        <v>43577.493425925924</v>
      </c>
      <c r="B3043" s="13" t="s">
        <v>14997</v>
      </c>
      <c r="C3043" s="14" t="s">
        <v>1600</v>
      </c>
      <c r="D3043" s="15" t="s">
        <v>1601</v>
      </c>
      <c r="E3043" s="16" t="s">
        <v>13011</v>
      </c>
      <c r="F3043" s="12">
        <v>42929.7815162037</v>
      </c>
      <c r="G3043" s="17" t="s">
        <v>13000</v>
      </c>
      <c r="H3043" s="35" t="s">
        <v>1602</v>
      </c>
      <c r="I3043" s="18" t="s">
        <v>1603</v>
      </c>
    </row>
    <row r="3044" spans="1:9" s="33" customFormat="1" ht="90">
      <c r="A3044" s="12">
        <v>43576.47965277778</v>
      </c>
      <c r="B3044" s="13" t="s">
        <v>14997</v>
      </c>
      <c r="C3044" s="14" t="s">
        <v>1600</v>
      </c>
      <c r="D3044" s="15" t="s">
        <v>1929</v>
      </c>
      <c r="E3044" s="16" t="s">
        <v>13011</v>
      </c>
      <c r="F3044" s="12">
        <v>42929.7815162037</v>
      </c>
      <c r="G3044" s="17" t="s">
        <v>13000</v>
      </c>
      <c r="H3044" s="35" t="s">
        <v>1602</v>
      </c>
      <c r="I3044" s="18" t="s">
        <v>1603</v>
      </c>
    </row>
    <row r="3045" spans="1:9" s="33" customFormat="1" ht="90">
      <c r="A3045" s="12">
        <v>43574.628657407404</v>
      </c>
      <c r="B3045" s="13" t="s">
        <v>14997</v>
      </c>
      <c r="C3045" s="14" t="s">
        <v>1600</v>
      </c>
      <c r="D3045" s="15" t="s">
        <v>2490</v>
      </c>
      <c r="E3045" s="16" t="s">
        <v>13011</v>
      </c>
      <c r="F3045" s="12">
        <v>42929.7815162037</v>
      </c>
      <c r="G3045" s="17" t="s">
        <v>13000</v>
      </c>
      <c r="H3045" s="35" t="s">
        <v>1602</v>
      </c>
      <c r="I3045" s="18" t="s">
        <v>1603</v>
      </c>
    </row>
    <row r="3046" spans="1:9" s="33" customFormat="1" ht="90">
      <c r="A3046" s="12">
        <v>43572.81322916667</v>
      </c>
      <c r="B3046" s="13" t="s">
        <v>14997</v>
      </c>
      <c r="C3046" s="14" t="s">
        <v>1600</v>
      </c>
      <c r="D3046" s="15" t="s">
        <v>3084</v>
      </c>
      <c r="E3046" s="16" t="s">
        <v>13011</v>
      </c>
      <c r="F3046" s="12">
        <v>42929.7815162037</v>
      </c>
      <c r="G3046" s="17" t="s">
        <v>13000</v>
      </c>
      <c r="H3046" s="35" t="s">
        <v>1602</v>
      </c>
      <c r="I3046" s="18" t="s">
        <v>1603</v>
      </c>
    </row>
    <row r="3047" spans="1:9" s="33" customFormat="1" ht="75">
      <c r="A3047" s="12">
        <v>43570.691608796296</v>
      </c>
      <c r="B3047" s="13" t="s">
        <v>14997</v>
      </c>
      <c r="C3047" s="14" t="s">
        <v>1600</v>
      </c>
      <c r="D3047" s="15" t="s">
        <v>3994</v>
      </c>
      <c r="E3047" s="16" t="s">
        <v>13011</v>
      </c>
      <c r="F3047" s="12">
        <v>42929.7815162037</v>
      </c>
      <c r="G3047" s="17" t="s">
        <v>13000</v>
      </c>
      <c r="H3047" s="35" t="s">
        <v>1602</v>
      </c>
      <c r="I3047" s="18" t="s">
        <v>1603</v>
      </c>
    </row>
    <row r="3048" spans="1:9" s="33" customFormat="1" ht="75">
      <c r="A3048" s="12">
        <v>43570.941817129627</v>
      </c>
      <c r="B3048" s="13" t="s">
        <v>14998</v>
      </c>
      <c r="C3048" s="14" t="s">
        <v>3928</v>
      </c>
      <c r="D3048" s="15" t="s">
        <v>3929</v>
      </c>
      <c r="E3048" s="16" t="s">
        <v>13009</v>
      </c>
      <c r="F3048" s="12">
        <v>43451.521597222221</v>
      </c>
      <c r="G3048" s="17" t="s">
        <v>13000</v>
      </c>
      <c r="H3048" s="35" t="s">
        <v>3930</v>
      </c>
      <c r="I3048" s="18" t="s">
        <v>3931</v>
      </c>
    </row>
    <row r="3049" spans="1:9" s="33" customFormat="1" ht="30">
      <c r="A3049" s="19">
        <v>43551.794803240744</v>
      </c>
      <c r="B3049" s="20" t="s">
        <v>14999</v>
      </c>
      <c r="C3049" s="21" t="s">
        <v>6997</v>
      </c>
      <c r="D3049" s="22" t="s">
        <v>6998</v>
      </c>
      <c r="E3049" s="23" t="s">
        <v>13011</v>
      </c>
      <c r="F3049" s="19">
        <v>42039.755185185189</v>
      </c>
      <c r="G3049" s="24" t="s">
        <v>13000</v>
      </c>
      <c r="H3049" s="35" t="s">
        <v>6999</v>
      </c>
      <c r="I3049" s="25" t="s">
        <v>7000</v>
      </c>
    </row>
    <row r="3050" spans="1:9" s="33" customFormat="1" ht="105">
      <c r="A3050" s="19">
        <v>43542.643148148149</v>
      </c>
      <c r="B3050" s="20" t="s">
        <v>15000</v>
      </c>
      <c r="C3050" s="21" t="s">
        <v>10050</v>
      </c>
      <c r="D3050" s="22" t="s">
        <v>10051</v>
      </c>
      <c r="E3050" s="23" t="s">
        <v>13479</v>
      </c>
      <c r="F3050" s="19">
        <v>43199.696759259255</v>
      </c>
      <c r="G3050" s="24" t="s">
        <v>13000</v>
      </c>
      <c r="H3050" s="35" t="s">
        <v>10052</v>
      </c>
      <c r="I3050" s="25" t="s">
        <v>10053</v>
      </c>
    </row>
    <row r="3051" spans="1:9" s="33" customFormat="1" ht="105">
      <c r="A3051" s="12">
        <v>43570.311921296292</v>
      </c>
      <c r="B3051" s="13" t="s">
        <v>15001</v>
      </c>
      <c r="C3051" s="14" t="s">
        <v>4235</v>
      </c>
      <c r="D3051" s="15" t="s">
        <v>4236</v>
      </c>
      <c r="E3051" s="16" t="s">
        <v>13032</v>
      </c>
      <c r="F3051" s="12">
        <v>41156.787731481483</v>
      </c>
      <c r="G3051" s="17" t="s">
        <v>13000</v>
      </c>
      <c r="H3051" s="35" t="s">
        <v>4237</v>
      </c>
      <c r="I3051" s="18" t="s">
        <v>4238</v>
      </c>
    </row>
    <row r="3052" spans="1:9" s="33" customFormat="1" ht="105">
      <c r="A3052" s="12">
        <v>43570.31086805556</v>
      </c>
      <c r="B3052" s="13" t="s">
        <v>15001</v>
      </c>
      <c r="C3052" s="14" t="s">
        <v>4235</v>
      </c>
      <c r="D3052" s="15" t="s">
        <v>4236</v>
      </c>
      <c r="E3052" s="16" t="s">
        <v>13032</v>
      </c>
      <c r="F3052" s="12">
        <v>41156.787731481483</v>
      </c>
      <c r="G3052" s="17" t="s">
        <v>13000</v>
      </c>
      <c r="H3052" s="35" t="s">
        <v>4237</v>
      </c>
      <c r="I3052" s="18" t="s">
        <v>4238</v>
      </c>
    </row>
    <row r="3053" spans="1:9" s="33" customFormat="1" ht="60">
      <c r="A3053" s="12">
        <v>43579.985138888893</v>
      </c>
      <c r="B3053" s="13" t="s">
        <v>15002</v>
      </c>
      <c r="C3053" s="14" t="s">
        <v>366</v>
      </c>
      <c r="D3053" s="15" t="s">
        <v>367</v>
      </c>
      <c r="E3053" s="16" t="s">
        <v>13032</v>
      </c>
      <c r="F3053" s="12">
        <v>41224.302488425928</v>
      </c>
      <c r="G3053" s="17" t="s">
        <v>13000</v>
      </c>
      <c r="H3053" s="35" t="s">
        <v>368</v>
      </c>
      <c r="I3053" s="18" t="s">
        <v>369</v>
      </c>
    </row>
    <row r="3054" spans="1:9" s="33" customFormat="1" ht="105">
      <c r="A3054" s="4">
        <v>43558.666643518518</v>
      </c>
      <c r="B3054" s="5" t="s">
        <v>15003</v>
      </c>
      <c r="C3054" s="6" t="s">
        <v>12085</v>
      </c>
      <c r="D3054" s="7" t="s">
        <v>12086</v>
      </c>
      <c r="E3054" s="8" t="s">
        <v>13006</v>
      </c>
      <c r="F3054" s="4">
        <v>40350.49596064815</v>
      </c>
      <c r="G3054" s="9" t="s">
        <v>13000</v>
      </c>
      <c r="H3054" s="35" t="s">
        <v>12087</v>
      </c>
      <c r="I3054" s="10" t="s">
        <v>12088</v>
      </c>
    </row>
    <row r="3055" spans="1:9" s="33" customFormat="1" ht="105">
      <c r="A3055" s="4">
        <v>43558.666458333333</v>
      </c>
      <c r="B3055" s="5" t="s">
        <v>15003</v>
      </c>
      <c r="C3055" s="6" t="s">
        <v>12085</v>
      </c>
      <c r="D3055" s="7" t="s">
        <v>12086</v>
      </c>
      <c r="E3055" s="8" t="s">
        <v>13032</v>
      </c>
      <c r="F3055" s="4">
        <v>40350.49596064815</v>
      </c>
      <c r="G3055" s="9" t="s">
        <v>13000</v>
      </c>
      <c r="H3055" s="35" t="s">
        <v>12087</v>
      </c>
      <c r="I3055" s="10" t="s">
        <v>12088</v>
      </c>
    </row>
    <row r="3056" spans="1:9" s="33" customFormat="1" ht="60">
      <c r="A3056" s="12">
        <v>43570.500416666662</v>
      </c>
      <c r="B3056" s="13" t="s">
        <v>15004</v>
      </c>
      <c r="C3056" s="14" t="s">
        <v>4105</v>
      </c>
      <c r="D3056" s="15" t="s">
        <v>4106</v>
      </c>
      <c r="E3056" s="16" t="s">
        <v>13034</v>
      </c>
      <c r="F3056" s="12">
        <v>41235.568113425928</v>
      </c>
      <c r="G3056" s="9" t="s">
        <v>13000</v>
      </c>
      <c r="H3056" s="35" t="s">
        <v>4107</v>
      </c>
      <c r="I3056" s="18" t="s">
        <v>4108</v>
      </c>
    </row>
    <row r="3057" spans="1:9" s="33" customFormat="1" ht="60">
      <c r="A3057" s="12">
        <v>43568.500023148154</v>
      </c>
      <c r="B3057" s="13" t="s">
        <v>15004</v>
      </c>
      <c r="C3057" s="14" t="s">
        <v>4105</v>
      </c>
      <c r="D3057" s="15" t="s">
        <v>4727</v>
      </c>
      <c r="E3057" s="16" t="s">
        <v>13034</v>
      </c>
      <c r="F3057" s="12">
        <v>41235.568113425928</v>
      </c>
      <c r="G3057" s="9" t="s">
        <v>13000</v>
      </c>
      <c r="H3057" s="35" t="s">
        <v>4107</v>
      </c>
      <c r="I3057" s="18" t="s">
        <v>4108</v>
      </c>
    </row>
    <row r="3058" spans="1:9" s="33" customFormat="1" ht="60">
      <c r="A3058" s="12">
        <v>43567.292141203703</v>
      </c>
      <c r="B3058" s="13" t="s">
        <v>15004</v>
      </c>
      <c r="C3058" s="14" t="s">
        <v>4105</v>
      </c>
      <c r="D3058" s="15" t="s">
        <v>5182</v>
      </c>
      <c r="E3058" s="16" t="s">
        <v>13034</v>
      </c>
      <c r="F3058" s="12">
        <v>41235.568113425928</v>
      </c>
      <c r="G3058" s="9" t="s">
        <v>13000</v>
      </c>
      <c r="H3058" s="35" t="s">
        <v>4107</v>
      </c>
      <c r="I3058" s="18" t="s">
        <v>4108</v>
      </c>
    </row>
    <row r="3059" spans="1:9" s="33" customFormat="1" ht="60">
      <c r="A3059" s="12">
        <v>43566.445</v>
      </c>
      <c r="B3059" s="13" t="s">
        <v>15004</v>
      </c>
      <c r="C3059" s="14" t="s">
        <v>4105</v>
      </c>
      <c r="D3059" s="15" t="s">
        <v>5532</v>
      </c>
      <c r="E3059" s="16" t="s">
        <v>13034</v>
      </c>
      <c r="F3059" s="12">
        <v>41235.568113425928</v>
      </c>
      <c r="G3059" s="9" t="s">
        <v>13000</v>
      </c>
      <c r="H3059" s="35" t="s">
        <v>4107</v>
      </c>
      <c r="I3059" s="18" t="s">
        <v>4108</v>
      </c>
    </row>
    <row r="3060" spans="1:9" s="33" customFormat="1" ht="60">
      <c r="A3060" s="12">
        <v>43566.422500000001</v>
      </c>
      <c r="B3060" s="13" t="s">
        <v>15004</v>
      </c>
      <c r="C3060" s="14" t="s">
        <v>4105</v>
      </c>
      <c r="D3060" s="15" t="s">
        <v>5542</v>
      </c>
      <c r="E3060" s="16" t="s">
        <v>13034</v>
      </c>
      <c r="F3060" s="12">
        <v>41235.568113425928</v>
      </c>
      <c r="G3060" s="9" t="s">
        <v>13000</v>
      </c>
      <c r="H3060" s="35" t="s">
        <v>4107</v>
      </c>
      <c r="I3060" s="18" t="s">
        <v>4108</v>
      </c>
    </row>
    <row r="3061" spans="1:9" s="33" customFormat="1" ht="60">
      <c r="A3061" s="12">
        <v>43566.134606481486</v>
      </c>
      <c r="B3061" s="13" t="s">
        <v>15004</v>
      </c>
      <c r="C3061" s="14" t="s">
        <v>4105</v>
      </c>
      <c r="D3061" s="15" t="s">
        <v>5775</v>
      </c>
      <c r="E3061" s="16" t="s">
        <v>13034</v>
      </c>
      <c r="F3061" s="12">
        <v>41235.568113425928</v>
      </c>
      <c r="G3061" s="9" t="s">
        <v>13000</v>
      </c>
      <c r="H3061" s="35" t="s">
        <v>4107</v>
      </c>
      <c r="I3061" s="18" t="s">
        <v>4108</v>
      </c>
    </row>
    <row r="3062" spans="1:9" s="33" customFormat="1" ht="120">
      <c r="A3062" s="19">
        <v>43549.379016203704</v>
      </c>
      <c r="B3062" s="20" t="s">
        <v>15005</v>
      </c>
      <c r="C3062" s="21" t="s">
        <v>8069</v>
      </c>
      <c r="D3062" s="22" t="s">
        <v>8070</v>
      </c>
      <c r="E3062" s="23" t="s">
        <v>14455</v>
      </c>
      <c r="F3062" s="19">
        <v>40228.285902777774</v>
      </c>
      <c r="G3062" s="9" t="s">
        <v>13000</v>
      </c>
      <c r="H3062" s="35" t="s">
        <v>8071</v>
      </c>
      <c r="I3062" s="25" t="s">
        <v>8072</v>
      </c>
    </row>
    <row r="3063" spans="1:9" s="33" customFormat="1" ht="120">
      <c r="A3063" s="4">
        <v>43560.434062500004</v>
      </c>
      <c r="B3063" s="5" t="s">
        <v>15006</v>
      </c>
      <c r="C3063" s="6" t="s">
        <v>11375</v>
      </c>
      <c r="D3063" s="7" t="s">
        <v>11328</v>
      </c>
      <c r="E3063" s="8" t="s">
        <v>13018</v>
      </c>
      <c r="F3063" s="4">
        <v>41291.472719907411</v>
      </c>
      <c r="G3063" s="9" t="s">
        <v>13000</v>
      </c>
      <c r="H3063" s="35" t="s">
        <v>8071</v>
      </c>
      <c r="I3063" s="10" t="s">
        <v>11376</v>
      </c>
    </row>
    <row r="3064" spans="1:9" s="33" customFormat="1" ht="120">
      <c r="A3064" s="4">
        <v>43557.489675925928</v>
      </c>
      <c r="B3064" s="5" t="s">
        <v>15006</v>
      </c>
      <c r="C3064" s="6" t="s">
        <v>11375</v>
      </c>
      <c r="D3064" s="7" t="s">
        <v>12501</v>
      </c>
      <c r="E3064" s="8" t="s">
        <v>13018</v>
      </c>
      <c r="F3064" s="4">
        <v>41291.472719907411</v>
      </c>
      <c r="G3064" s="9" t="s">
        <v>13000</v>
      </c>
      <c r="H3064" s="35" t="s">
        <v>8071</v>
      </c>
      <c r="I3064" s="10" t="s">
        <v>11376</v>
      </c>
    </row>
    <row r="3065" spans="1:9" s="33" customFormat="1" ht="60">
      <c r="A3065" s="12">
        <v>43578.75304398148</v>
      </c>
      <c r="B3065" s="13" t="s">
        <v>15007</v>
      </c>
      <c r="C3065" s="14" t="s">
        <v>1049</v>
      </c>
      <c r="D3065" s="15" t="s">
        <v>1050</v>
      </c>
      <c r="E3065" s="16" t="s">
        <v>13009</v>
      </c>
      <c r="F3065" s="12">
        <v>40102.815347222218</v>
      </c>
      <c r="G3065" s="9" t="s">
        <v>13000</v>
      </c>
      <c r="H3065" s="35" t="s">
        <v>1051</v>
      </c>
      <c r="I3065" s="18" t="s">
        <v>1052</v>
      </c>
    </row>
    <row r="3066" spans="1:9" s="33" customFormat="1" ht="105">
      <c r="A3066" s="4">
        <v>43560.541620370372</v>
      </c>
      <c r="B3066" s="5" t="s">
        <v>15008</v>
      </c>
      <c r="C3066" s="6" t="s">
        <v>11312</v>
      </c>
      <c r="D3066" s="7" t="s">
        <v>11313</v>
      </c>
      <c r="E3066" s="8" t="s">
        <v>13011</v>
      </c>
      <c r="F3066" s="4">
        <v>39857.694733796292</v>
      </c>
      <c r="G3066" s="9" t="s">
        <v>13000</v>
      </c>
      <c r="H3066" s="35" t="s">
        <v>11314</v>
      </c>
      <c r="I3066" s="10" t="s">
        <v>11315</v>
      </c>
    </row>
    <row r="3067" spans="1:9" s="33" customFormat="1" ht="60">
      <c r="A3067" s="19">
        <v>43551.2658912037</v>
      </c>
      <c r="B3067" s="20" t="s">
        <v>15009</v>
      </c>
      <c r="C3067" s="21" t="s">
        <v>7369</v>
      </c>
      <c r="D3067" s="22" t="s">
        <v>7370</v>
      </c>
      <c r="E3067" s="23" t="s">
        <v>13011</v>
      </c>
      <c r="F3067" s="19">
        <v>41408.780486111107</v>
      </c>
      <c r="G3067" s="9" t="s">
        <v>13000</v>
      </c>
      <c r="H3067" s="35" t="s">
        <v>550</v>
      </c>
      <c r="I3067" s="25" t="s">
        <v>7371</v>
      </c>
    </row>
    <row r="3068" spans="1:9" s="33" customFormat="1" ht="120">
      <c r="A3068" s="19">
        <v>43550.716736111106</v>
      </c>
      <c r="B3068" s="20" t="s">
        <v>15010</v>
      </c>
      <c r="C3068" s="21" t="s">
        <v>7528</v>
      </c>
      <c r="D3068" s="22" t="s">
        <v>7529</v>
      </c>
      <c r="E3068" s="23" t="s">
        <v>13011</v>
      </c>
      <c r="F3068" s="19">
        <v>39842.30097222222</v>
      </c>
      <c r="G3068" s="9" t="s">
        <v>13000</v>
      </c>
      <c r="H3068" s="35" t="s">
        <v>550</v>
      </c>
      <c r="I3068" s="25" t="s">
        <v>7530</v>
      </c>
    </row>
    <row r="3069" spans="1:9" s="33" customFormat="1" ht="105">
      <c r="A3069" s="19">
        <v>43550.61142361111</v>
      </c>
      <c r="B3069" s="20" t="s">
        <v>15011</v>
      </c>
      <c r="C3069" s="21" t="s">
        <v>7586</v>
      </c>
      <c r="D3069" s="22" t="s">
        <v>7587</v>
      </c>
      <c r="E3069" s="23" t="s">
        <v>13011</v>
      </c>
      <c r="F3069" s="19">
        <v>39422.995266203703</v>
      </c>
      <c r="G3069" s="9" t="s">
        <v>13000</v>
      </c>
      <c r="H3069" s="35" t="s">
        <v>550</v>
      </c>
      <c r="I3069" s="25" t="s">
        <v>7588</v>
      </c>
    </row>
    <row r="3070" spans="1:9" s="33" customFormat="1" ht="90">
      <c r="A3070" s="19">
        <v>43550.507002314815</v>
      </c>
      <c r="B3070" s="20" t="s">
        <v>15012</v>
      </c>
      <c r="C3070" s="21" t="s">
        <v>7631</v>
      </c>
      <c r="D3070" s="22" t="s">
        <v>7632</v>
      </c>
      <c r="E3070" s="23" t="s">
        <v>13018</v>
      </c>
      <c r="F3070" s="19">
        <v>42089.597395833334</v>
      </c>
      <c r="G3070" s="9" t="s">
        <v>13000</v>
      </c>
      <c r="H3070" s="35" t="s">
        <v>550</v>
      </c>
      <c r="I3070" s="25" t="s">
        <v>7633</v>
      </c>
    </row>
    <row r="3071" spans="1:9" s="33" customFormat="1" ht="75">
      <c r="A3071" s="19">
        <v>43546.252696759257</v>
      </c>
      <c r="B3071" s="20" t="s">
        <v>15013</v>
      </c>
      <c r="C3071" s="21" t="s">
        <v>8920</v>
      </c>
      <c r="D3071" s="22" t="s">
        <v>8921</v>
      </c>
      <c r="E3071" s="23" t="s">
        <v>13013</v>
      </c>
      <c r="F3071" s="19">
        <v>42736.614131944443</v>
      </c>
      <c r="G3071" s="9" t="s">
        <v>13000</v>
      </c>
      <c r="H3071" s="35" t="s">
        <v>550</v>
      </c>
      <c r="I3071" s="25" t="s">
        <v>8922</v>
      </c>
    </row>
    <row r="3072" spans="1:9" s="33" customFormat="1" ht="105">
      <c r="A3072" s="19">
        <v>43546.1637037037</v>
      </c>
      <c r="B3072" s="20" t="s">
        <v>15014</v>
      </c>
      <c r="C3072" s="21" t="s">
        <v>8947</v>
      </c>
      <c r="D3072" s="22" t="s">
        <v>8948</v>
      </c>
      <c r="E3072" s="23" t="s">
        <v>13009</v>
      </c>
      <c r="F3072" s="19">
        <v>42690.182835648149</v>
      </c>
      <c r="G3072" s="9" t="s">
        <v>13000</v>
      </c>
      <c r="H3072" s="35" t="s">
        <v>550</v>
      </c>
      <c r="I3072" s="25" t="s">
        <v>8949</v>
      </c>
    </row>
    <row r="3073" spans="1:9" s="33" customFormat="1" ht="105">
      <c r="A3073" s="4">
        <v>43565.40347222222</v>
      </c>
      <c r="B3073" s="5" t="s">
        <v>15015</v>
      </c>
      <c r="C3073" s="6" t="s">
        <v>6110</v>
      </c>
      <c r="D3073" s="7" t="s">
        <v>6111</v>
      </c>
      <c r="E3073" s="8" t="s">
        <v>13120</v>
      </c>
      <c r="F3073" s="4">
        <v>40662.443553240737</v>
      </c>
      <c r="G3073" s="9" t="s">
        <v>13000</v>
      </c>
      <c r="H3073" s="35" t="s">
        <v>550</v>
      </c>
      <c r="I3073" s="10" t="s">
        <v>6112</v>
      </c>
    </row>
    <row r="3074" spans="1:9" s="33" customFormat="1" ht="30">
      <c r="A3074" s="4">
        <v>43565.393634259264</v>
      </c>
      <c r="B3074" s="5" t="s">
        <v>15016</v>
      </c>
      <c r="C3074" s="6" t="s">
        <v>10176</v>
      </c>
      <c r="D3074" s="7" t="s">
        <v>10177</v>
      </c>
      <c r="E3074" s="8" t="s">
        <v>13009</v>
      </c>
      <c r="F3074" s="4">
        <v>39779.077789351853</v>
      </c>
      <c r="G3074" s="9" t="s">
        <v>13000</v>
      </c>
      <c r="H3074" s="35" t="s">
        <v>550</v>
      </c>
      <c r="I3074" s="10" t="s">
        <v>10178</v>
      </c>
    </row>
    <row r="3075" spans="1:9" s="33" customFormat="1" ht="105">
      <c r="A3075" s="4">
        <v>43565.268437499995</v>
      </c>
      <c r="B3075" s="5" t="s">
        <v>15017</v>
      </c>
      <c r="C3075" s="6" t="s">
        <v>6200</v>
      </c>
      <c r="D3075" s="7" t="s">
        <v>6201</v>
      </c>
      <c r="E3075" s="8" t="s">
        <v>13009</v>
      </c>
      <c r="F3075" s="4">
        <v>41667.26798611111</v>
      </c>
      <c r="G3075" s="9" t="s">
        <v>13000</v>
      </c>
      <c r="H3075" s="35" t="s">
        <v>550</v>
      </c>
      <c r="I3075" s="10" t="s">
        <v>6202</v>
      </c>
    </row>
    <row r="3076" spans="1:9" s="33" customFormat="1">
      <c r="A3076" s="4">
        <v>43564.250474537039</v>
      </c>
      <c r="B3076" s="5" t="s">
        <v>15018</v>
      </c>
      <c r="C3076" s="6" t="s">
        <v>6718</v>
      </c>
      <c r="D3076" s="7" t="s">
        <v>6715</v>
      </c>
      <c r="E3076" s="8" t="s">
        <v>13009</v>
      </c>
      <c r="F3076" s="4">
        <v>40967.526203703703</v>
      </c>
      <c r="G3076" s="9" t="s">
        <v>13000</v>
      </c>
      <c r="H3076" s="35" t="s">
        <v>550</v>
      </c>
      <c r="I3076" s="10"/>
    </row>
    <row r="3077" spans="1:9" s="33" customFormat="1" ht="105">
      <c r="A3077" s="4">
        <v>43563.500347222223</v>
      </c>
      <c r="B3077" s="5" t="s">
        <v>15019</v>
      </c>
      <c r="C3077" s="6" t="s">
        <v>10262</v>
      </c>
      <c r="D3077" s="7" t="s">
        <v>10263</v>
      </c>
      <c r="E3077" s="8" t="s">
        <v>13018</v>
      </c>
      <c r="F3077" s="4">
        <v>40975.520671296297</v>
      </c>
      <c r="G3077" s="9" t="s">
        <v>13000</v>
      </c>
      <c r="H3077" s="35" t="s">
        <v>550</v>
      </c>
      <c r="I3077" s="10" t="s">
        <v>10264</v>
      </c>
    </row>
    <row r="3078" spans="1:9" s="33" customFormat="1" ht="120">
      <c r="A3078" s="4">
        <v>43560.5</v>
      </c>
      <c r="B3078" s="5" t="s">
        <v>15020</v>
      </c>
      <c r="C3078" s="6" t="s">
        <v>11327</v>
      </c>
      <c r="D3078" s="7" t="s">
        <v>11328</v>
      </c>
      <c r="E3078" s="8" t="s">
        <v>13120</v>
      </c>
      <c r="F3078" s="4">
        <v>40261.469537037039</v>
      </c>
      <c r="G3078" s="9" t="s">
        <v>13000</v>
      </c>
      <c r="H3078" s="35" t="s">
        <v>550</v>
      </c>
      <c r="I3078" s="10" t="s">
        <v>11329</v>
      </c>
    </row>
    <row r="3079" spans="1:9" s="33" customFormat="1" ht="90">
      <c r="A3079" s="4">
        <v>43560.255162037036</v>
      </c>
      <c r="B3079" s="5" t="s">
        <v>15021</v>
      </c>
      <c r="C3079" s="6" t="s">
        <v>11532</v>
      </c>
      <c r="D3079" s="7" t="s">
        <v>11533</v>
      </c>
      <c r="E3079" s="8" t="s">
        <v>13011</v>
      </c>
      <c r="F3079" s="4">
        <v>43261.489907407406</v>
      </c>
      <c r="G3079" s="9" t="s">
        <v>13000</v>
      </c>
      <c r="H3079" s="35" t="s">
        <v>550</v>
      </c>
      <c r="I3079" s="10" t="s">
        <v>11534</v>
      </c>
    </row>
    <row r="3080" spans="1:9" s="33" customFormat="1" ht="90">
      <c r="A3080" s="4">
        <v>43559.564675925925</v>
      </c>
      <c r="B3080" s="5" t="s">
        <v>15022</v>
      </c>
      <c r="C3080" s="6" t="s">
        <v>11757</v>
      </c>
      <c r="D3080" s="7" t="s">
        <v>11758</v>
      </c>
      <c r="E3080" s="8" t="s">
        <v>13009</v>
      </c>
      <c r="F3080" s="4">
        <v>40083.669641203705</v>
      </c>
      <c r="G3080" s="9" t="s">
        <v>13000</v>
      </c>
      <c r="H3080" s="35" t="s">
        <v>550</v>
      </c>
      <c r="I3080" s="10" t="s">
        <v>11759</v>
      </c>
    </row>
    <row r="3081" spans="1:9" s="33" customFormat="1" ht="120">
      <c r="A3081" s="4">
        <v>43557.474999999999</v>
      </c>
      <c r="B3081" s="5" t="s">
        <v>15020</v>
      </c>
      <c r="C3081" s="6" t="s">
        <v>11327</v>
      </c>
      <c r="D3081" s="7" t="s">
        <v>12501</v>
      </c>
      <c r="E3081" s="8" t="s">
        <v>13120</v>
      </c>
      <c r="F3081" s="4">
        <v>40261.469537037039</v>
      </c>
      <c r="G3081" s="9" t="s">
        <v>13000</v>
      </c>
      <c r="H3081" s="35" t="s">
        <v>550</v>
      </c>
      <c r="I3081" s="10" t="s">
        <v>11329</v>
      </c>
    </row>
    <row r="3082" spans="1:9" s="33" customFormat="1" ht="90">
      <c r="A3082" s="12">
        <v>43579.600729166668</v>
      </c>
      <c r="B3082" s="13" t="s">
        <v>15023</v>
      </c>
      <c r="C3082" s="14" t="s">
        <v>548</v>
      </c>
      <c r="D3082" s="15" t="s">
        <v>549</v>
      </c>
      <c r="E3082" s="16" t="s">
        <v>13009</v>
      </c>
      <c r="F3082" s="12">
        <v>40006.642581018517</v>
      </c>
      <c r="G3082" s="9" t="s">
        <v>13000</v>
      </c>
      <c r="H3082" s="35" t="s">
        <v>550</v>
      </c>
      <c r="I3082" s="18" t="s">
        <v>551</v>
      </c>
    </row>
    <row r="3083" spans="1:9" s="33" customFormat="1" ht="75">
      <c r="A3083" s="12">
        <v>43579.414004629631</v>
      </c>
      <c r="B3083" s="13" t="s">
        <v>15024</v>
      </c>
      <c r="C3083" s="14" t="s">
        <v>675</v>
      </c>
      <c r="D3083" s="15" t="s">
        <v>676</v>
      </c>
      <c r="E3083" s="16" t="s">
        <v>13009</v>
      </c>
      <c r="F3083" s="12">
        <v>39925.622673611113</v>
      </c>
      <c r="G3083" s="9" t="s">
        <v>13000</v>
      </c>
      <c r="H3083" s="35" t="s">
        <v>550</v>
      </c>
      <c r="I3083" s="18" t="s">
        <v>677</v>
      </c>
    </row>
    <row r="3084" spans="1:9" s="33" customFormat="1" ht="75">
      <c r="A3084" s="12">
        <v>43579.200370370367</v>
      </c>
      <c r="B3084" s="13" t="s">
        <v>15025</v>
      </c>
      <c r="C3084" s="14" t="s">
        <v>858</v>
      </c>
      <c r="D3084" s="15" t="s">
        <v>859</v>
      </c>
      <c r="E3084" s="16" t="s">
        <v>13009</v>
      </c>
      <c r="F3084" s="12">
        <v>42340.22550925926</v>
      </c>
      <c r="G3084" s="9" t="s">
        <v>13000</v>
      </c>
      <c r="H3084" s="35" t="s">
        <v>550</v>
      </c>
      <c r="I3084" s="18"/>
    </row>
    <row r="3085" spans="1:9" s="33" customFormat="1" ht="75">
      <c r="A3085" s="12">
        <v>43578.349131944444</v>
      </c>
      <c r="B3085" s="13" t="s">
        <v>15025</v>
      </c>
      <c r="C3085" s="14" t="s">
        <v>858</v>
      </c>
      <c r="D3085" s="15" t="s">
        <v>1277</v>
      </c>
      <c r="E3085" s="16" t="s">
        <v>13009</v>
      </c>
      <c r="F3085" s="12">
        <v>42340.22550925926</v>
      </c>
      <c r="G3085" s="9" t="s">
        <v>13000</v>
      </c>
      <c r="H3085" s="35" t="s">
        <v>550</v>
      </c>
      <c r="I3085" s="18"/>
    </row>
    <row r="3086" spans="1:9" s="33" customFormat="1" ht="105">
      <c r="A3086" s="12">
        <v>43577.835428240738</v>
      </c>
      <c r="B3086" s="13" t="s">
        <v>15026</v>
      </c>
      <c r="C3086" s="14" t="s">
        <v>1485</v>
      </c>
      <c r="D3086" s="15" t="s">
        <v>1486</v>
      </c>
      <c r="E3086" s="16" t="s">
        <v>13034</v>
      </c>
      <c r="F3086" s="12">
        <v>40548.375671296293</v>
      </c>
      <c r="G3086" s="9" t="s">
        <v>13000</v>
      </c>
      <c r="H3086" s="35" t="s">
        <v>550</v>
      </c>
      <c r="I3086" s="18" t="s">
        <v>1487</v>
      </c>
    </row>
    <row r="3087" spans="1:9" s="33" customFormat="1" ht="105">
      <c r="A3087" s="12">
        <v>43577.527928240743</v>
      </c>
      <c r="B3087" s="13" t="s">
        <v>15027</v>
      </c>
      <c r="C3087" s="14" t="s">
        <v>1587</v>
      </c>
      <c r="D3087" s="15" t="s">
        <v>1588</v>
      </c>
      <c r="E3087" s="16" t="s">
        <v>13013</v>
      </c>
      <c r="F3087" s="12">
        <v>39569.605729166666</v>
      </c>
      <c r="G3087" s="9" t="s">
        <v>13000</v>
      </c>
      <c r="H3087" s="35" t="s">
        <v>550</v>
      </c>
      <c r="I3087" s="18" t="s">
        <v>1589</v>
      </c>
    </row>
    <row r="3088" spans="1:9" s="33" customFormat="1" ht="75">
      <c r="A3088" s="12">
        <v>43577.169444444444</v>
      </c>
      <c r="B3088" s="13" t="s">
        <v>15028</v>
      </c>
      <c r="C3088" s="14" t="s">
        <v>1725</v>
      </c>
      <c r="D3088" s="15" t="s">
        <v>1726</v>
      </c>
      <c r="E3088" s="16" t="s">
        <v>13490</v>
      </c>
      <c r="F3088" s="12">
        <v>40018.434467592597</v>
      </c>
      <c r="G3088" s="9" t="s">
        <v>13000</v>
      </c>
      <c r="H3088" s="35" t="s">
        <v>550</v>
      </c>
      <c r="I3088" s="18" t="s">
        <v>1727</v>
      </c>
    </row>
    <row r="3089" spans="1:9" s="33" customFormat="1" ht="90">
      <c r="A3089" s="12">
        <v>43574.627789351856</v>
      </c>
      <c r="B3089" s="13" t="s">
        <v>15029</v>
      </c>
      <c r="C3089" s="14" t="s">
        <v>2491</v>
      </c>
      <c r="D3089" s="15" t="s">
        <v>2492</v>
      </c>
      <c r="E3089" s="16" t="s">
        <v>13034</v>
      </c>
      <c r="F3089" s="12">
        <v>43061.832789351851</v>
      </c>
      <c r="G3089" s="9" t="s">
        <v>13000</v>
      </c>
      <c r="H3089" s="35" t="s">
        <v>550</v>
      </c>
      <c r="I3089" s="18" t="s">
        <v>2493</v>
      </c>
    </row>
    <row r="3090" spans="1:9" s="33" customFormat="1" ht="90">
      <c r="A3090" s="12">
        <v>43573.627789351856</v>
      </c>
      <c r="B3090" s="13" t="s">
        <v>15029</v>
      </c>
      <c r="C3090" s="14" t="s">
        <v>2491</v>
      </c>
      <c r="D3090" s="15" t="s">
        <v>2804</v>
      </c>
      <c r="E3090" s="16" t="s">
        <v>13034</v>
      </c>
      <c r="F3090" s="12">
        <v>43061.832789351851</v>
      </c>
      <c r="G3090" s="9" t="s">
        <v>13000</v>
      </c>
      <c r="H3090" s="35" t="s">
        <v>550</v>
      </c>
      <c r="I3090" s="18" t="s">
        <v>2493</v>
      </c>
    </row>
    <row r="3091" spans="1:9" s="33" customFormat="1" ht="90">
      <c r="A3091" s="12">
        <v>43573.368136574078</v>
      </c>
      <c r="B3091" s="13" t="s">
        <v>15029</v>
      </c>
      <c r="C3091" s="14" t="s">
        <v>2491</v>
      </c>
      <c r="D3091" s="15" t="s">
        <v>2916</v>
      </c>
      <c r="E3091" s="16" t="s">
        <v>13034</v>
      </c>
      <c r="F3091" s="12">
        <v>43061.832789351851</v>
      </c>
      <c r="G3091" s="9" t="s">
        <v>13000</v>
      </c>
      <c r="H3091" s="35" t="s">
        <v>550</v>
      </c>
      <c r="I3091" s="18" t="s">
        <v>2493</v>
      </c>
    </row>
    <row r="3092" spans="1:9" s="33" customFormat="1" ht="90">
      <c r="A3092" s="12">
        <v>43572.586134259254</v>
      </c>
      <c r="B3092" s="13" t="s">
        <v>15029</v>
      </c>
      <c r="C3092" s="14" t="s">
        <v>2491</v>
      </c>
      <c r="D3092" s="15" t="s">
        <v>3148</v>
      </c>
      <c r="E3092" s="16" t="s">
        <v>13034</v>
      </c>
      <c r="F3092" s="12">
        <v>43061.832789351851</v>
      </c>
      <c r="G3092" s="9" t="s">
        <v>13000</v>
      </c>
      <c r="H3092" s="35" t="s">
        <v>550</v>
      </c>
      <c r="I3092" s="18" t="s">
        <v>2493</v>
      </c>
    </row>
    <row r="3093" spans="1:9" s="33" customFormat="1" ht="75">
      <c r="A3093" s="12">
        <v>43571.368078703701</v>
      </c>
      <c r="B3093" s="13" t="s">
        <v>15029</v>
      </c>
      <c r="C3093" s="14" t="s">
        <v>2491</v>
      </c>
      <c r="D3093" s="15" t="s">
        <v>3706</v>
      </c>
      <c r="E3093" s="16" t="s">
        <v>13034</v>
      </c>
      <c r="F3093" s="12">
        <v>43061.832789351851</v>
      </c>
      <c r="G3093" s="9" t="s">
        <v>13000</v>
      </c>
      <c r="H3093" s="35" t="s">
        <v>550</v>
      </c>
      <c r="I3093" s="18" t="s">
        <v>2493</v>
      </c>
    </row>
    <row r="3094" spans="1:9" s="33" customFormat="1" ht="75">
      <c r="A3094" s="12">
        <v>43570.330289351856</v>
      </c>
      <c r="B3094" s="13" t="s">
        <v>15030</v>
      </c>
      <c r="C3094" s="14" t="s">
        <v>4219</v>
      </c>
      <c r="D3094" s="15" t="s">
        <v>4220</v>
      </c>
      <c r="E3094" s="16" t="s">
        <v>13009</v>
      </c>
      <c r="F3094" s="12">
        <v>40623.633622685185</v>
      </c>
      <c r="G3094" s="9" t="s">
        <v>13000</v>
      </c>
      <c r="H3094" s="35" t="s">
        <v>550</v>
      </c>
      <c r="I3094" s="18" t="s">
        <v>4221</v>
      </c>
    </row>
    <row r="3095" spans="1:9" s="33" customFormat="1" ht="90">
      <c r="A3095" s="12">
        <v>43567.333344907413</v>
      </c>
      <c r="B3095" s="13" t="s">
        <v>15031</v>
      </c>
      <c r="C3095" s="14" t="s">
        <v>5161</v>
      </c>
      <c r="D3095" s="15" t="s">
        <v>5162</v>
      </c>
      <c r="E3095" s="16" t="s">
        <v>13120</v>
      </c>
      <c r="F3095" s="12">
        <v>40854.648402777777</v>
      </c>
      <c r="G3095" s="9" t="s">
        <v>13000</v>
      </c>
      <c r="H3095" s="35" t="s">
        <v>550</v>
      </c>
      <c r="I3095" s="18" t="s">
        <v>5163</v>
      </c>
    </row>
    <row r="3096" spans="1:9" s="33" customFormat="1" ht="135">
      <c r="A3096" s="12">
        <v>43566.203032407408</v>
      </c>
      <c r="B3096" s="13" t="s">
        <v>15032</v>
      </c>
      <c r="C3096" s="14" t="s">
        <v>5725</v>
      </c>
      <c r="D3096" s="15" t="s">
        <v>5726</v>
      </c>
      <c r="E3096" s="16" t="s">
        <v>13013</v>
      </c>
      <c r="F3096" s="12">
        <v>39906.391539351855</v>
      </c>
      <c r="G3096" s="9" t="s">
        <v>13000</v>
      </c>
      <c r="H3096" s="35" t="s">
        <v>550</v>
      </c>
      <c r="I3096" s="18" t="s">
        <v>5727</v>
      </c>
    </row>
    <row r="3097" spans="1:9" s="33" customFormat="1" ht="30">
      <c r="A3097" s="4">
        <v>43561.7971412037</v>
      </c>
      <c r="B3097" s="5" t="s">
        <v>15033</v>
      </c>
      <c r="C3097" s="6" t="s">
        <v>10830</v>
      </c>
      <c r="D3097" s="7" t="s">
        <v>105</v>
      </c>
      <c r="E3097" s="8" t="s">
        <v>13013</v>
      </c>
      <c r="F3097" s="4">
        <v>41829.557152777779</v>
      </c>
      <c r="G3097" s="9" t="s">
        <v>13000</v>
      </c>
      <c r="H3097" s="35" t="s">
        <v>10831</v>
      </c>
      <c r="I3097" s="10" t="s">
        <v>10832</v>
      </c>
    </row>
    <row r="3098" spans="1:9" s="33" customFormat="1" ht="90">
      <c r="A3098" s="19">
        <v>43543.356874999998</v>
      </c>
      <c r="B3098" s="20" t="s">
        <v>15034</v>
      </c>
      <c r="C3098" s="21" t="s">
        <v>9850</v>
      </c>
      <c r="D3098" s="22" t="s">
        <v>9851</v>
      </c>
      <c r="E3098" s="23" t="s">
        <v>13013</v>
      </c>
      <c r="F3098" s="19">
        <v>41216.327245370368</v>
      </c>
      <c r="G3098" s="9" t="s">
        <v>13000</v>
      </c>
      <c r="H3098" s="35" t="s">
        <v>9852</v>
      </c>
      <c r="I3098" s="25" t="s">
        <v>9853</v>
      </c>
    </row>
    <row r="3099" spans="1:9" s="33" customFormat="1" ht="90">
      <c r="A3099" s="19">
        <v>43546.442708333328</v>
      </c>
      <c r="B3099" s="20" t="s">
        <v>15035</v>
      </c>
      <c r="C3099" s="21" t="s">
        <v>8843</v>
      </c>
      <c r="D3099" s="22" t="s">
        <v>8844</v>
      </c>
      <c r="E3099" s="23" t="s">
        <v>13009</v>
      </c>
      <c r="F3099" s="19">
        <v>40874.710277777776</v>
      </c>
      <c r="G3099" s="9" t="s">
        <v>13000</v>
      </c>
      <c r="H3099" s="35" t="s">
        <v>4759</v>
      </c>
      <c r="I3099" s="25" t="s">
        <v>8845</v>
      </c>
    </row>
    <row r="3100" spans="1:9" s="33" customFormat="1" ht="105">
      <c r="A3100" s="12">
        <v>43568.45930555556</v>
      </c>
      <c r="B3100" s="13" t="s">
        <v>15036</v>
      </c>
      <c r="C3100" s="14" t="s">
        <v>4757</v>
      </c>
      <c r="D3100" s="15" t="s">
        <v>4758</v>
      </c>
      <c r="E3100" s="16" t="s">
        <v>13018</v>
      </c>
      <c r="F3100" s="12">
        <v>42920.564895833333</v>
      </c>
      <c r="G3100" s="9" t="s">
        <v>13000</v>
      </c>
      <c r="H3100" s="35" t="s">
        <v>4759</v>
      </c>
      <c r="I3100" s="18" t="s">
        <v>4760</v>
      </c>
    </row>
    <row r="3101" spans="1:9" s="33" customFormat="1" ht="135">
      <c r="A3101" s="4">
        <v>43563.325289351851</v>
      </c>
      <c r="B3101" s="5" t="s">
        <v>15037</v>
      </c>
      <c r="C3101" s="6" t="s">
        <v>10364</v>
      </c>
      <c r="D3101" s="7" t="s">
        <v>10365</v>
      </c>
      <c r="E3101" s="8" t="s">
        <v>13013</v>
      </c>
      <c r="F3101" s="4">
        <v>39543.617222222223</v>
      </c>
      <c r="G3101" s="9" t="s">
        <v>13000</v>
      </c>
      <c r="H3101" s="35" t="s">
        <v>10366</v>
      </c>
      <c r="I3101" s="10" t="s">
        <v>10367</v>
      </c>
    </row>
    <row r="3102" spans="1:9" s="33" customFormat="1" ht="75">
      <c r="A3102" s="19">
        <v>43551.466145833328</v>
      </c>
      <c r="B3102" s="20" t="s">
        <v>15038</v>
      </c>
      <c r="C3102" s="21" t="s">
        <v>7180</v>
      </c>
      <c r="D3102" s="22" t="s">
        <v>7181</v>
      </c>
      <c r="E3102" s="23" t="s">
        <v>13009</v>
      </c>
      <c r="F3102" s="19">
        <v>39162.429398148146</v>
      </c>
      <c r="G3102" s="24" t="s">
        <v>13000</v>
      </c>
      <c r="H3102" s="35" t="s">
        <v>7182</v>
      </c>
      <c r="I3102" s="25" t="s">
        <v>7183</v>
      </c>
    </row>
    <row r="3103" spans="1:9" s="33" customFormat="1" ht="150">
      <c r="A3103" s="19">
        <v>43548.546469907407</v>
      </c>
      <c r="B3103" s="20" t="s">
        <v>15039</v>
      </c>
      <c r="C3103" s="21" t="s">
        <v>8283</v>
      </c>
      <c r="D3103" s="22" t="s">
        <v>8284</v>
      </c>
      <c r="E3103" s="23" t="s">
        <v>13130</v>
      </c>
      <c r="F3103" s="19">
        <v>40021.410925925928</v>
      </c>
      <c r="G3103" s="24" t="s">
        <v>13000</v>
      </c>
      <c r="H3103" s="35" t="s">
        <v>8285</v>
      </c>
      <c r="I3103" s="25" t="s">
        <v>8286</v>
      </c>
    </row>
    <row r="3104" spans="1:9" s="33" customFormat="1" ht="90">
      <c r="A3104" s="19">
        <v>43544.167372685188</v>
      </c>
      <c r="B3104" s="20" t="s">
        <v>15040</v>
      </c>
      <c r="C3104" s="21" t="s">
        <v>9586</v>
      </c>
      <c r="D3104" s="22" t="s">
        <v>9587</v>
      </c>
      <c r="E3104" s="23" t="s">
        <v>13018</v>
      </c>
      <c r="F3104" s="19">
        <v>41501.410625000004</v>
      </c>
      <c r="G3104" s="24" t="s">
        <v>13000</v>
      </c>
      <c r="H3104" s="35" t="s">
        <v>9588</v>
      </c>
      <c r="I3104" s="25" t="s">
        <v>9589</v>
      </c>
    </row>
    <row r="3105" spans="1:9" s="33" customFormat="1" ht="75">
      <c r="A3105" s="19">
        <v>43547.293124999997</v>
      </c>
      <c r="B3105" s="20" t="s">
        <v>15041</v>
      </c>
      <c r="C3105" s="21" t="s">
        <v>8594</v>
      </c>
      <c r="D3105" s="22" t="s">
        <v>8595</v>
      </c>
      <c r="E3105" s="23" t="s">
        <v>13027</v>
      </c>
      <c r="F3105" s="19">
        <v>40036.771944444445</v>
      </c>
      <c r="G3105" s="24" t="s">
        <v>13000</v>
      </c>
      <c r="H3105" s="35" t="s">
        <v>8596</v>
      </c>
      <c r="I3105" s="25" t="s">
        <v>8597</v>
      </c>
    </row>
    <row r="3106" spans="1:9" s="33" customFormat="1" ht="60">
      <c r="A3106" s="19">
        <v>43547.265821759254</v>
      </c>
      <c r="B3106" s="20" t="s">
        <v>15041</v>
      </c>
      <c r="C3106" s="21" t="s">
        <v>8594</v>
      </c>
      <c r="D3106" s="22" t="s">
        <v>8613</v>
      </c>
      <c r="E3106" s="23" t="s">
        <v>13032</v>
      </c>
      <c r="F3106" s="19">
        <v>40036.771944444445</v>
      </c>
      <c r="G3106" s="24" t="s">
        <v>13000</v>
      </c>
      <c r="H3106" s="35" t="s">
        <v>8596</v>
      </c>
      <c r="I3106" s="25" t="s">
        <v>8597</v>
      </c>
    </row>
    <row r="3107" spans="1:9" s="33" customFormat="1" ht="60">
      <c r="A3107" s="12">
        <v>43565.910752314812</v>
      </c>
      <c r="B3107" s="13" t="s">
        <v>15042</v>
      </c>
      <c r="C3107" s="14" t="s">
        <v>5864</v>
      </c>
      <c r="D3107" s="15" t="s">
        <v>5865</v>
      </c>
      <c r="E3107" s="16" t="s">
        <v>13032</v>
      </c>
      <c r="F3107" s="12">
        <v>40005.567314814813</v>
      </c>
      <c r="G3107" s="17" t="s">
        <v>13000</v>
      </c>
      <c r="H3107" s="35" t="s">
        <v>5866</v>
      </c>
      <c r="I3107" s="18" t="s">
        <v>5867</v>
      </c>
    </row>
    <row r="3108" spans="1:9" s="33" customFormat="1" ht="60">
      <c r="A3108" s="12">
        <v>43565.883402777778</v>
      </c>
      <c r="B3108" s="13" t="s">
        <v>15042</v>
      </c>
      <c r="C3108" s="14" t="s">
        <v>5864</v>
      </c>
      <c r="D3108" s="15" t="s">
        <v>5865</v>
      </c>
      <c r="E3108" s="16" t="s">
        <v>13032</v>
      </c>
      <c r="F3108" s="12">
        <v>40005.567314814813</v>
      </c>
      <c r="G3108" s="17" t="s">
        <v>13000</v>
      </c>
      <c r="H3108" s="35" t="s">
        <v>5866</v>
      </c>
      <c r="I3108" s="18" t="s">
        <v>5867</v>
      </c>
    </row>
    <row r="3109" spans="1:9" s="33" customFormat="1" ht="105">
      <c r="A3109" s="19">
        <v>43544.293124999997</v>
      </c>
      <c r="B3109" s="20" t="s">
        <v>15043</v>
      </c>
      <c r="C3109" s="21" t="s">
        <v>4437</v>
      </c>
      <c r="D3109" s="22" t="s">
        <v>9546</v>
      </c>
      <c r="E3109" s="23" t="s">
        <v>13032</v>
      </c>
      <c r="F3109" s="19">
        <v>40970.751921296294</v>
      </c>
      <c r="G3109" s="17" t="s">
        <v>13000</v>
      </c>
      <c r="H3109" s="35" t="s">
        <v>4439</v>
      </c>
      <c r="I3109" s="25" t="s">
        <v>4440</v>
      </c>
    </row>
    <row r="3110" spans="1:9" s="33" customFormat="1" ht="105">
      <c r="A3110" s="12">
        <v>43569.662476851852</v>
      </c>
      <c r="B3110" s="13" t="s">
        <v>15043</v>
      </c>
      <c r="C3110" s="14" t="s">
        <v>4437</v>
      </c>
      <c r="D3110" s="15" t="s">
        <v>4438</v>
      </c>
      <c r="E3110" s="16" t="s">
        <v>13130</v>
      </c>
      <c r="F3110" s="12">
        <v>40970.751921296294</v>
      </c>
      <c r="G3110" s="17" t="s">
        <v>13000</v>
      </c>
      <c r="H3110" s="35" t="s">
        <v>4439</v>
      </c>
      <c r="I3110" s="18" t="s">
        <v>4440</v>
      </c>
    </row>
    <row r="3111" spans="1:9" s="33" customFormat="1" ht="90">
      <c r="A3111" s="12">
        <v>43579.716296296298</v>
      </c>
      <c r="B3111" s="13" t="s">
        <v>15044</v>
      </c>
      <c r="C3111" s="14" t="s">
        <v>492</v>
      </c>
      <c r="D3111" s="15" t="s">
        <v>493</v>
      </c>
      <c r="E3111" s="16" t="s">
        <v>13011</v>
      </c>
      <c r="F3111" s="12">
        <v>39177.628981481481</v>
      </c>
      <c r="G3111" s="17" t="s">
        <v>13000</v>
      </c>
      <c r="H3111" s="35" t="s">
        <v>494</v>
      </c>
      <c r="I3111" s="18" t="s">
        <v>495</v>
      </c>
    </row>
    <row r="3112" spans="1:9" s="33" customFormat="1" ht="60">
      <c r="A3112" s="19">
        <v>43548.843865740739</v>
      </c>
      <c r="B3112" s="20" t="s">
        <v>15045</v>
      </c>
      <c r="C3112" s="21" t="s">
        <v>8211</v>
      </c>
      <c r="D3112" s="22" t="s">
        <v>8212</v>
      </c>
      <c r="E3112" s="23" t="s">
        <v>13032</v>
      </c>
      <c r="F3112" s="19">
        <v>41727.529166666667</v>
      </c>
      <c r="G3112" s="9" t="s">
        <v>13000</v>
      </c>
      <c r="H3112" s="35" t="s">
        <v>8213</v>
      </c>
      <c r="I3112" s="25"/>
    </row>
    <row r="3113" spans="1:9" s="33" customFormat="1" ht="90">
      <c r="A3113" s="4">
        <v>43563.75409722222</v>
      </c>
      <c r="B3113" s="5" t="s">
        <v>15046</v>
      </c>
      <c r="C3113" s="6" t="s">
        <v>6893</v>
      </c>
      <c r="D3113" s="7" t="s">
        <v>6894</v>
      </c>
      <c r="E3113" s="8" t="s">
        <v>13032</v>
      </c>
      <c r="F3113" s="4">
        <v>40934.803784722222</v>
      </c>
      <c r="G3113" s="9" t="s">
        <v>13000</v>
      </c>
      <c r="H3113" s="35" t="s">
        <v>6895</v>
      </c>
      <c r="I3113" s="10" t="s">
        <v>6896</v>
      </c>
    </row>
    <row r="3114" spans="1:9" s="33" customFormat="1" ht="105">
      <c r="A3114" s="19">
        <v>43544.691643518519</v>
      </c>
      <c r="B3114" s="20" t="s">
        <v>15047</v>
      </c>
      <c r="C3114" s="21" t="s">
        <v>9377</v>
      </c>
      <c r="D3114" s="22" t="s">
        <v>9378</v>
      </c>
      <c r="E3114" s="23" t="s">
        <v>13011</v>
      </c>
      <c r="F3114" s="19">
        <v>43476.736435185187</v>
      </c>
      <c r="G3114" s="17" t="s">
        <v>13000</v>
      </c>
      <c r="H3114" s="35" t="s">
        <v>6654</v>
      </c>
      <c r="I3114" s="25" t="s">
        <v>9379</v>
      </c>
    </row>
    <row r="3115" spans="1:9" s="33" customFormat="1" ht="105">
      <c r="A3115" s="4">
        <v>43564.37501157407</v>
      </c>
      <c r="B3115" s="5" t="s">
        <v>15048</v>
      </c>
      <c r="C3115" s="6" t="s">
        <v>6652</v>
      </c>
      <c r="D3115" s="7" t="s">
        <v>6653</v>
      </c>
      <c r="E3115" s="8" t="s">
        <v>13945</v>
      </c>
      <c r="F3115" s="4">
        <v>43447.538113425922</v>
      </c>
      <c r="G3115" s="17" t="s">
        <v>13000</v>
      </c>
      <c r="H3115" s="35" t="s">
        <v>6654</v>
      </c>
      <c r="I3115" s="10" t="s">
        <v>6655</v>
      </c>
    </row>
    <row r="3116" spans="1:9" s="33" customFormat="1" ht="105">
      <c r="A3116" s="19">
        <v>43547.389756944445</v>
      </c>
      <c r="B3116" s="20" t="s">
        <v>15049</v>
      </c>
      <c r="C3116" s="21" t="s">
        <v>5484</v>
      </c>
      <c r="D3116" s="22" t="s">
        <v>8570</v>
      </c>
      <c r="E3116" s="23" t="s">
        <v>13009</v>
      </c>
      <c r="F3116" s="19">
        <v>42215.683796296296</v>
      </c>
      <c r="G3116" s="17" t="s">
        <v>13000</v>
      </c>
      <c r="H3116" s="35" t="s">
        <v>5486</v>
      </c>
      <c r="I3116" s="25" t="s">
        <v>5487</v>
      </c>
    </row>
    <row r="3117" spans="1:9" s="33" customFormat="1" ht="105">
      <c r="A3117" s="12">
        <v>43566.493668981479</v>
      </c>
      <c r="B3117" s="13" t="s">
        <v>15049</v>
      </c>
      <c r="C3117" s="14" t="s">
        <v>5484</v>
      </c>
      <c r="D3117" s="15" t="s">
        <v>5485</v>
      </c>
      <c r="E3117" s="16" t="s">
        <v>13009</v>
      </c>
      <c r="F3117" s="12">
        <v>42215.683796296296</v>
      </c>
      <c r="G3117" s="17" t="s">
        <v>13000</v>
      </c>
      <c r="H3117" s="35" t="s">
        <v>5486</v>
      </c>
      <c r="I3117" s="18" t="s">
        <v>5487</v>
      </c>
    </row>
    <row r="3118" spans="1:9" s="33" customFormat="1" ht="135">
      <c r="A3118" s="12">
        <v>43576.282754629632</v>
      </c>
      <c r="B3118" s="13" t="s">
        <v>15050</v>
      </c>
      <c r="C3118" s="14" t="s">
        <v>2009</v>
      </c>
      <c r="D3118" s="15" t="s">
        <v>2010</v>
      </c>
      <c r="E3118" s="16" t="s">
        <v>13011</v>
      </c>
      <c r="F3118" s="12">
        <v>39954.737662037034</v>
      </c>
      <c r="G3118" s="17" t="s">
        <v>13000</v>
      </c>
      <c r="H3118" s="35" t="s">
        <v>2011</v>
      </c>
      <c r="I3118" s="18" t="s">
        <v>2012</v>
      </c>
    </row>
    <row r="3119" spans="1:9" s="33" customFormat="1" ht="135">
      <c r="A3119" s="12">
        <v>43575.243854166663</v>
      </c>
      <c r="B3119" s="13" t="s">
        <v>15050</v>
      </c>
      <c r="C3119" s="14" t="s">
        <v>2009</v>
      </c>
      <c r="D3119" s="15" t="s">
        <v>2332</v>
      </c>
      <c r="E3119" s="16" t="s">
        <v>13011</v>
      </c>
      <c r="F3119" s="12">
        <v>39954.737662037034</v>
      </c>
      <c r="G3119" s="17" t="s">
        <v>13000</v>
      </c>
      <c r="H3119" s="35" t="s">
        <v>2011</v>
      </c>
      <c r="I3119" s="18" t="s">
        <v>2012</v>
      </c>
    </row>
    <row r="3120" spans="1:9" s="33" customFormat="1" ht="75">
      <c r="A3120" s="12">
        <v>43571.219664351855</v>
      </c>
      <c r="B3120" s="13" t="s">
        <v>15051</v>
      </c>
      <c r="C3120" s="14" t="s">
        <v>3781</v>
      </c>
      <c r="D3120" s="15" t="s">
        <v>3782</v>
      </c>
      <c r="E3120" s="16" t="s">
        <v>13011</v>
      </c>
      <c r="F3120" s="12">
        <v>40650.832418981481</v>
      </c>
      <c r="G3120" s="17" t="s">
        <v>13000</v>
      </c>
      <c r="H3120" s="35" t="s">
        <v>3783</v>
      </c>
      <c r="I3120" s="18" t="s">
        <v>3784</v>
      </c>
    </row>
    <row r="3121" spans="1:9" s="33" customFormat="1" ht="105">
      <c r="A3121" s="12">
        <v>43574.358252314814</v>
      </c>
      <c r="B3121" s="13" t="s">
        <v>15052</v>
      </c>
      <c r="C3121" s="14" t="s">
        <v>2576</v>
      </c>
      <c r="D3121" s="15" t="s">
        <v>2577</v>
      </c>
      <c r="E3121" s="16" t="s">
        <v>13006</v>
      </c>
      <c r="F3121" s="12">
        <v>40271.442395833335</v>
      </c>
      <c r="G3121" s="17" t="s">
        <v>13000</v>
      </c>
      <c r="H3121" s="35" t="s">
        <v>2578</v>
      </c>
      <c r="I3121" s="18" t="s">
        <v>2579</v>
      </c>
    </row>
    <row r="3122" spans="1:9" s="33" customFormat="1" ht="90">
      <c r="A3122" s="4">
        <v>43558.604479166665</v>
      </c>
      <c r="B3122" s="5" t="s">
        <v>15053</v>
      </c>
      <c r="C3122" s="6" t="s">
        <v>12103</v>
      </c>
      <c r="D3122" s="7" t="s">
        <v>12104</v>
      </c>
      <c r="E3122" s="8" t="s">
        <v>13009</v>
      </c>
      <c r="F3122" s="4">
        <v>41736.600983796292</v>
      </c>
      <c r="G3122" s="9" t="s">
        <v>13000</v>
      </c>
      <c r="H3122" s="35" t="s">
        <v>12105</v>
      </c>
      <c r="I3122" s="10" t="s">
        <v>12106</v>
      </c>
    </row>
    <row r="3123" spans="1:9" s="33" customFormat="1" ht="105">
      <c r="A3123" s="12">
        <v>43572.58693287037</v>
      </c>
      <c r="B3123" s="13" t="s">
        <v>15054</v>
      </c>
      <c r="C3123" s="14" t="s">
        <v>3144</v>
      </c>
      <c r="D3123" s="15" t="s">
        <v>3145</v>
      </c>
      <c r="E3123" s="16" t="s">
        <v>13032</v>
      </c>
      <c r="F3123" s="12">
        <v>43567.715208333335</v>
      </c>
      <c r="G3123" s="9" t="s">
        <v>13000</v>
      </c>
      <c r="H3123" s="35" t="s">
        <v>3146</v>
      </c>
      <c r="I3123" s="18" t="s">
        <v>3147</v>
      </c>
    </row>
    <row r="3124" spans="1:9" s="33" customFormat="1" ht="105">
      <c r="A3124" s="12">
        <v>43572.438090277778</v>
      </c>
      <c r="B3124" s="13" t="s">
        <v>15054</v>
      </c>
      <c r="C3124" s="14" t="s">
        <v>3144</v>
      </c>
      <c r="D3124" s="15" t="s">
        <v>3248</v>
      </c>
      <c r="E3124" s="16" t="s">
        <v>13011</v>
      </c>
      <c r="F3124" s="12">
        <v>43567.715208333335</v>
      </c>
      <c r="G3124" s="9" t="s">
        <v>13000</v>
      </c>
      <c r="H3124" s="35" t="s">
        <v>3146</v>
      </c>
      <c r="I3124" s="18" t="s">
        <v>3147</v>
      </c>
    </row>
    <row r="3125" spans="1:9" s="33" customFormat="1" ht="60">
      <c r="A3125" s="4">
        <v>43559.180092592593</v>
      </c>
      <c r="B3125" s="5" t="s">
        <v>15055</v>
      </c>
      <c r="C3125" s="6" t="s">
        <v>11918</v>
      </c>
      <c r="D3125" s="7" t="s">
        <v>11919</v>
      </c>
      <c r="E3125" s="8" t="s">
        <v>13032</v>
      </c>
      <c r="F3125" s="4">
        <v>42027.616620370369</v>
      </c>
      <c r="G3125" s="9" t="s">
        <v>13000</v>
      </c>
      <c r="H3125" s="35" t="s">
        <v>11920</v>
      </c>
      <c r="I3125" s="10" t="s">
        <v>11921</v>
      </c>
    </row>
    <row r="3126" spans="1:9" s="33" customFormat="1" ht="75">
      <c r="A3126" s="12">
        <v>43573.336828703701</v>
      </c>
      <c r="B3126" s="13" t="s">
        <v>15056</v>
      </c>
      <c r="C3126" s="14" t="s">
        <v>2922</v>
      </c>
      <c r="D3126" s="15" t="s">
        <v>2923</v>
      </c>
      <c r="E3126" s="16" t="s">
        <v>13009</v>
      </c>
      <c r="F3126" s="12">
        <v>42011.280717592592</v>
      </c>
      <c r="G3126" s="9" t="s">
        <v>13000</v>
      </c>
      <c r="H3126" s="35" t="s">
        <v>2924</v>
      </c>
      <c r="I3126" s="18"/>
    </row>
    <row r="3127" spans="1:9" s="33" customFormat="1" ht="105">
      <c r="A3127" s="19">
        <v>43542.539837962962</v>
      </c>
      <c r="B3127" s="20" t="s">
        <v>15057</v>
      </c>
      <c r="C3127" s="21" t="s">
        <v>10118</v>
      </c>
      <c r="D3127" s="22" t="s">
        <v>10119</v>
      </c>
      <c r="E3127" s="23" t="s">
        <v>13032</v>
      </c>
      <c r="F3127" s="19">
        <v>42192.42796296296</v>
      </c>
      <c r="G3127" s="9" t="s">
        <v>13000</v>
      </c>
      <c r="H3127" s="35" t="s">
        <v>10120</v>
      </c>
      <c r="I3127" s="25" t="s">
        <v>10121</v>
      </c>
    </row>
    <row r="3128" spans="1:9" s="33" customFormat="1" ht="75">
      <c r="A3128" s="4">
        <v>43561.312696759254</v>
      </c>
      <c r="B3128" s="5" t="s">
        <v>15058</v>
      </c>
      <c r="C3128" s="6" t="s">
        <v>11011</v>
      </c>
      <c r="D3128" s="7" t="s">
        <v>10974</v>
      </c>
      <c r="E3128" s="8" t="s">
        <v>13006</v>
      </c>
      <c r="F3128" s="4">
        <v>43374.489062499997</v>
      </c>
      <c r="G3128" s="9" t="s">
        <v>13000</v>
      </c>
      <c r="H3128" s="35" t="s">
        <v>10120</v>
      </c>
      <c r="I3128" s="10" t="s">
        <v>11012</v>
      </c>
    </row>
    <row r="3129" spans="1:9" s="33" customFormat="1" ht="105">
      <c r="A3129" s="19">
        <v>43551.128807870366</v>
      </c>
      <c r="B3129" s="20" t="s">
        <v>15059</v>
      </c>
      <c r="C3129" s="21" t="s">
        <v>7432</v>
      </c>
      <c r="D3129" s="22" t="s">
        <v>7433</v>
      </c>
      <c r="E3129" s="23" t="s">
        <v>13032</v>
      </c>
      <c r="F3129" s="19">
        <v>39942.073877314819</v>
      </c>
      <c r="G3129" s="17" t="s">
        <v>13000</v>
      </c>
      <c r="H3129" s="35" t="s">
        <v>4401</v>
      </c>
      <c r="I3129" s="25" t="s">
        <v>7434</v>
      </c>
    </row>
    <row r="3130" spans="1:9" s="33" customFormat="1" ht="90">
      <c r="A3130" s="4">
        <v>43562.652187500003</v>
      </c>
      <c r="B3130" s="5" t="s">
        <v>15060</v>
      </c>
      <c r="C3130" s="6" t="s">
        <v>4559</v>
      </c>
      <c r="D3130" s="7" t="s">
        <v>10628</v>
      </c>
      <c r="E3130" s="8" t="s">
        <v>13013</v>
      </c>
      <c r="F3130" s="4">
        <v>43380.416076388894</v>
      </c>
      <c r="G3130" s="17" t="s">
        <v>13000</v>
      </c>
      <c r="H3130" s="35" t="s">
        <v>4401</v>
      </c>
      <c r="I3130" s="10" t="s">
        <v>4561</v>
      </c>
    </row>
    <row r="3131" spans="1:9" s="33" customFormat="1" ht="90">
      <c r="A3131" s="12">
        <v>43569.804259259261</v>
      </c>
      <c r="B3131" s="13" t="s">
        <v>15061</v>
      </c>
      <c r="C3131" s="14" t="s">
        <v>4399</v>
      </c>
      <c r="D3131" s="15" t="s">
        <v>4400</v>
      </c>
      <c r="E3131" s="16" t="s">
        <v>13013</v>
      </c>
      <c r="F3131" s="12">
        <v>40242.371921296297</v>
      </c>
      <c r="G3131" s="17" t="s">
        <v>13000</v>
      </c>
      <c r="H3131" s="35" t="s">
        <v>4401</v>
      </c>
      <c r="I3131" s="18" t="s">
        <v>4402</v>
      </c>
    </row>
    <row r="3132" spans="1:9" s="33" customFormat="1" ht="90">
      <c r="A3132" s="12">
        <v>43569.300381944442</v>
      </c>
      <c r="B3132" s="13" t="s">
        <v>15060</v>
      </c>
      <c r="C3132" s="14" t="s">
        <v>4559</v>
      </c>
      <c r="D3132" s="15" t="s">
        <v>4560</v>
      </c>
      <c r="E3132" s="16" t="s">
        <v>13013</v>
      </c>
      <c r="F3132" s="12">
        <v>43380.416076388894</v>
      </c>
      <c r="G3132" s="17" t="s">
        <v>13000</v>
      </c>
      <c r="H3132" s="35" t="s">
        <v>4401</v>
      </c>
      <c r="I3132" s="18" t="s">
        <v>4561</v>
      </c>
    </row>
    <row r="3133" spans="1:9" s="33" customFormat="1" ht="60">
      <c r="A3133" s="19">
        <v>43551.416759259257</v>
      </c>
      <c r="B3133" s="20" t="s">
        <v>15062</v>
      </c>
      <c r="C3133" s="21" t="s">
        <v>7213</v>
      </c>
      <c r="D3133" s="22" t="s">
        <v>7214</v>
      </c>
      <c r="E3133" s="23" t="s">
        <v>13290</v>
      </c>
      <c r="F3133" s="19">
        <v>40891.802731481483</v>
      </c>
      <c r="G3133" s="17" t="s">
        <v>13000</v>
      </c>
      <c r="H3133" s="35" t="s">
        <v>7215</v>
      </c>
      <c r="I3133" s="25" t="s">
        <v>7216</v>
      </c>
    </row>
    <row r="3134" spans="1:9" s="33" customFormat="1" ht="90">
      <c r="A3134" s="19">
        <v>43545.416817129633</v>
      </c>
      <c r="B3134" s="20" t="s">
        <v>15062</v>
      </c>
      <c r="C3134" s="21" t="s">
        <v>7213</v>
      </c>
      <c r="D3134" s="22" t="s">
        <v>9147</v>
      </c>
      <c r="E3134" s="23" t="s">
        <v>13290</v>
      </c>
      <c r="F3134" s="19">
        <v>40891.802731481483</v>
      </c>
      <c r="G3134" s="17" t="s">
        <v>13000</v>
      </c>
      <c r="H3134" s="35" t="s">
        <v>7215</v>
      </c>
      <c r="I3134" s="25" t="s">
        <v>7216</v>
      </c>
    </row>
    <row r="3135" spans="1:9" s="33" customFormat="1" ht="90">
      <c r="A3135" s="4">
        <v>43558.416701388887</v>
      </c>
      <c r="B3135" s="5" t="s">
        <v>15062</v>
      </c>
      <c r="C3135" s="6" t="s">
        <v>7213</v>
      </c>
      <c r="D3135" s="7" t="s">
        <v>12203</v>
      </c>
      <c r="E3135" s="8" t="s">
        <v>13290</v>
      </c>
      <c r="F3135" s="4">
        <v>40891.802731481483</v>
      </c>
      <c r="G3135" s="17" t="s">
        <v>13000</v>
      </c>
      <c r="H3135" s="35" t="s">
        <v>7215</v>
      </c>
      <c r="I3135" s="10" t="s">
        <v>7216</v>
      </c>
    </row>
    <row r="3136" spans="1:9" s="33" customFormat="1" ht="60">
      <c r="A3136" s="19">
        <v>43551.583472222221</v>
      </c>
      <c r="B3136" s="20" t="s">
        <v>15063</v>
      </c>
      <c r="C3136" s="21" t="s">
        <v>2504</v>
      </c>
      <c r="D3136" s="22" t="s">
        <v>7102</v>
      </c>
      <c r="E3136" s="23" t="s">
        <v>13018</v>
      </c>
      <c r="F3136" s="19">
        <v>42823.961053240739</v>
      </c>
      <c r="G3136" s="17" t="s">
        <v>13000</v>
      </c>
      <c r="H3136" s="35" t="s">
        <v>2506</v>
      </c>
      <c r="I3136" s="25" t="s">
        <v>2507</v>
      </c>
    </row>
    <row r="3137" spans="1:9" s="33" customFormat="1" ht="45">
      <c r="A3137" s="4">
        <v>43559.584374999999</v>
      </c>
      <c r="B3137" s="5" t="s">
        <v>15063</v>
      </c>
      <c r="C3137" s="6" t="s">
        <v>2504</v>
      </c>
      <c r="D3137" s="7" t="s">
        <v>11755</v>
      </c>
      <c r="E3137" s="8" t="s">
        <v>13018</v>
      </c>
      <c r="F3137" s="4">
        <v>42823.961053240739</v>
      </c>
      <c r="G3137" s="17" t="s">
        <v>13000</v>
      </c>
      <c r="H3137" s="35" t="s">
        <v>2506</v>
      </c>
      <c r="I3137" s="10" t="s">
        <v>2507</v>
      </c>
    </row>
    <row r="3138" spans="1:9" s="33" customFormat="1" ht="45">
      <c r="A3138" s="4">
        <v>43557.58421296296</v>
      </c>
      <c r="B3138" s="5" t="s">
        <v>15063</v>
      </c>
      <c r="C3138" s="6" t="s">
        <v>2504</v>
      </c>
      <c r="D3138" s="7" t="s">
        <v>12457</v>
      </c>
      <c r="E3138" s="8" t="s">
        <v>13018</v>
      </c>
      <c r="F3138" s="4">
        <v>42823.961053240739</v>
      </c>
      <c r="G3138" s="17" t="s">
        <v>13000</v>
      </c>
      <c r="H3138" s="35" t="s">
        <v>2506</v>
      </c>
      <c r="I3138" s="10" t="s">
        <v>2507</v>
      </c>
    </row>
    <row r="3139" spans="1:9" s="33" customFormat="1" ht="75">
      <c r="A3139" s="12">
        <v>43574.584120370375</v>
      </c>
      <c r="B3139" s="13" t="s">
        <v>15063</v>
      </c>
      <c r="C3139" s="14" t="s">
        <v>2504</v>
      </c>
      <c r="D3139" s="15" t="s">
        <v>2505</v>
      </c>
      <c r="E3139" s="16" t="s">
        <v>13018</v>
      </c>
      <c r="F3139" s="12">
        <v>42823.961053240739</v>
      </c>
      <c r="G3139" s="17" t="s">
        <v>13000</v>
      </c>
      <c r="H3139" s="35" t="s">
        <v>2506</v>
      </c>
      <c r="I3139" s="18" t="s">
        <v>2507</v>
      </c>
    </row>
    <row r="3140" spans="1:9" s="33" customFormat="1" ht="45">
      <c r="A3140" s="12">
        <v>43572.584143518514</v>
      </c>
      <c r="B3140" s="13" t="s">
        <v>15063</v>
      </c>
      <c r="C3140" s="14" t="s">
        <v>2504</v>
      </c>
      <c r="D3140" s="15" t="s">
        <v>3153</v>
      </c>
      <c r="E3140" s="16" t="s">
        <v>13018</v>
      </c>
      <c r="F3140" s="12">
        <v>42823.961053240739</v>
      </c>
      <c r="G3140" s="17" t="s">
        <v>13000</v>
      </c>
      <c r="H3140" s="35" t="s">
        <v>2506</v>
      </c>
      <c r="I3140" s="18" t="s">
        <v>2507</v>
      </c>
    </row>
    <row r="3141" spans="1:9" s="33" customFormat="1" ht="60">
      <c r="A3141" s="12">
        <v>43570.584085648152</v>
      </c>
      <c r="B3141" s="13" t="s">
        <v>15063</v>
      </c>
      <c r="C3141" s="14" t="s">
        <v>2504</v>
      </c>
      <c r="D3141" s="15" t="s">
        <v>4049</v>
      </c>
      <c r="E3141" s="16" t="s">
        <v>13018</v>
      </c>
      <c r="F3141" s="12">
        <v>42823.961053240739</v>
      </c>
      <c r="G3141" s="17" t="s">
        <v>13000</v>
      </c>
      <c r="H3141" s="35" t="s">
        <v>2506</v>
      </c>
      <c r="I3141" s="18" t="s">
        <v>2507</v>
      </c>
    </row>
    <row r="3142" spans="1:9" s="33" customFormat="1" ht="45">
      <c r="A3142" s="12">
        <v>43568.292303240742</v>
      </c>
      <c r="B3142" s="13" t="s">
        <v>15063</v>
      </c>
      <c r="C3142" s="14" t="s">
        <v>2504</v>
      </c>
      <c r="D3142" s="15" t="s">
        <v>4818</v>
      </c>
      <c r="E3142" s="16" t="s">
        <v>13018</v>
      </c>
      <c r="F3142" s="12">
        <v>42823.961053240739</v>
      </c>
      <c r="G3142" s="17" t="s">
        <v>13000</v>
      </c>
      <c r="H3142" s="35" t="s">
        <v>2506</v>
      </c>
      <c r="I3142" s="18" t="s">
        <v>2507</v>
      </c>
    </row>
    <row r="3143" spans="1:9" s="33" customFormat="1" ht="60">
      <c r="A3143" s="12">
        <v>43566.583530092597</v>
      </c>
      <c r="B3143" s="13" t="s">
        <v>15063</v>
      </c>
      <c r="C3143" s="14" t="s">
        <v>2504</v>
      </c>
      <c r="D3143" s="15" t="s">
        <v>5430</v>
      </c>
      <c r="E3143" s="16" t="s">
        <v>13018</v>
      </c>
      <c r="F3143" s="12">
        <v>42823.961053240739</v>
      </c>
      <c r="G3143" s="17" t="s">
        <v>13000</v>
      </c>
      <c r="H3143" s="35" t="s">
        <v>2506</v>
      </c>
      <c r="I3143" s="18" t="s">
        <v>2507</v>
      </c>
    </row>
    <row r="3144" spans="1:9" s="33" customFormat="1" ht="30">
      <c r="A3144" s="4">
        <v>43565.784259259264</v>
      </c>
      <c r="B3144" s="5" t="s">
        <v>15064</v>
      </c>
      <c r="C3144" s="6" t="s">
        <v>5906</v>
      </c>
      <c r="D3144" s="7" t="s">
        <v>5907</v>
      </c>
      <c r="E3144" s="8" t="s">
        <v>13644</v>
      </c>
      <c r="F3144" s="4">
        <v>40013.485532407409</v>
      </c>
      <c r="G3144" s="9" t="s">
        <v>13000</v>
      </c>
      <c r="H3144" s="35" t="s">
        <v>5908</v>
      </c>
      <c r="I3144" s="10" t="s">
        <v>5909</v>
      </c>
    </row>
    <row r="3145" spans="1:9" s="33" customFormat="1" ht="60">
      <c r="A3145" s="4">
        <v>43564.635462962964</v>
      </c>
      <c r="B3145" s="5" t="s">
        <v>15065</v>
      </c>
      <c r="C3145" s="6" t="s">
        <v>6482</v>
      </c>
      <c r="D3145" s="7" t="s">
        <v>6483</v>
      </c>
      <c r="E3145" s="8" t="s">
        <v>13018</v>
      </c>
      <c r="F3145" s="4">
        <v>42179.450949074075</v>
      </c>
      <c r="G3145" s="9" t="s">
        <v>13000</v>
      </c>
      <c r="H3145" s="35" t="s">
        <v>6484</v>
      </c>
      <c r="I3145" s="10" t="s">
        <v>6485</v>
      </c>
    </row>
  </sheetData>
  <autoFilter ref="A1:I3145"/>
  <dataValidations count="1">
    <dataValidation type="textLength" allowBlank="1" showInputMessage="1" showErrorMessage="1" sqref="G1:H3145">
      <formula1>1</formula1>
      <formula2>50</formula2>
    </dataValidation>
  </dataValidations>
  <hyperlinks>
    <hyperlink ref="C2659" r:id="rId1"/>
    <hyperlink ref="C2559" r:id="rId2"/>
    <hyperlink ref="C1872" r:id="rId3"/>
    <hyperlink ref="C1873" r:id="rId4"/>
    <hyperlink ref="C264" r:id="rId5"/>
    <hyperlink ref="C399" r:id="rId6"/>
    <hyperlink ref="C2459" r:id="rId7"/>
    <hyperlink ref="C223" r:id="rId8"/>
    <hyperlink ref="C265" r:id="rId9"/>
    <hyperlink ref="C1864" r:id="rId10"/>
    <hyperlink ref="C1865" r:id="rId11"/>
    <hyperlink ref="C1866" r:id="rId1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zoomScale="55" zoomScaleNormal="55" workbookViewId="0">
      <selection activeCell="R3" sqref="R3"/>
    </sheetView>
  </sheetViews>
  <sheetFormatPr defaultRowHeight="15"/>
  <cols>
    <col min="1" max="1" width="18.85546875" customWidth="1"/>
    <col min="2" max="2" width="14.5703125" customWidth="1"/>
    <col min="3" max="3" width="15.7109375" customWidth="1"/>
    <col min="4" max="4" width="50.7109375" customWidth="1"/>
    <col min="5" max="5" width="18.28515625" customWidth="1"/>
    <col min="6" max="6" width="17.140625" customWidth="1"/>
    <col min="7" max="7" width="20.28515625" customWidth="1"/>
    <col min="8" max="8" width="18.85546875" customWidth="1"/>
    <col min="9" max="9" width="25.7109375" customWidth="1"/>
  </cols>
  <sheetData>
    <row r="1" spans="1:12" s="3" customFormat="1" ht="29.25" customHeight="1">
      <c r="A1" s="36" t="s">
        <v>0</v>
      </c>
      <c r="B1" s="1" t="s">
        <v>1</v>
      </c>
      <c r="C1" s="1" t="s">
        <v>2</v>
      </c>
      <c r="D1" s="2" t="s">
        <v>3</v>
      </c>
      <c r="E1" s="1" t="s">
        <v>5</v>
      </c>
      <c r="F1" s="1" t="s">
        <v>6</v>
      </c>
      <c r="G1" s="1" t="s">
        <v>13003</v>
      </c>
      <c r="H1" s="1" t="s">
        <v>4</v>
      </c>
      <c r="I1" s="2" t="s">
        <v>7</v>
      </c>
    </row>
    <row r="2" spans="1:12" s="33" customFormat="1" ht="58.5" customHeight="1">
      <c r="A2" s="4">
        <v>43565.505474537036</v>
      </c>
      <c r="B2" s="5" t="s">
        <v>15066</v>
      </c>
      <c r="C2" s="6" t="s">
        <v>4947</v>
      </c>
      <c r="D2" s="7" t="s">
        <v>6056</v>
      </c>
      <c r="E2" s="8" t="s">
        <v>13013</v>
      </c>
      <c r="F2" s="4">
        <v>43304.678749999999</v>
      </c>
      <c r="G2" s="9" t="s">
        <v>13002</v>
      </c>
      <c r="H2" s="35" t="s">
        <v>4949</v>
      </c>
      <c r="I2" s="10" t="s">
        <v>4950</v>
      </c>
      <c r="L2" s="11"/>
    </row>
    <row r="3" spans="1:12" s="33" customFormat="1" ht="90">
      <c r="A3" s="12">
        <v>43567.807384259257</v>
      </c>
      <c r="B3" s="13" t="s">
        <v>15066</v>
      </c>
      <c r="C3" s="14" t="s">
        <v>4947</v>
      </c>
      <c r="D3" s="15" t="s">
        <v>4948</v>
      </c>
      <c r="E3" s="16" t="s">
        <v>13013</v>
      </c>
      <c r="F3" s="12">
        <v>43304.678749999999</v>
      </c>
      <c r="G3" s="9" t="s">
        <v>13002</v>
      </c>
      <c r="H3" s="35" t="s">
        <v>4949</v>
      </c>
      <c r="I3" s="18" t="s">
        <v>4950</v>
      </c>
      <c r="L3" s="11"/>
    </row>
    <row r="4" spans="1:12" s="33" customFormat="1" ht="105">
      <c r="A4" s="19">
        <v>43551.70045138889</v>
      </c>
      <c r="B4" s="20" t="s">
        <v>15067</v>
      </c>
      <c r="C4" s="21" t="s">
        <v>7038</v>
      </c>
      <c r="D4" s="22" t="s">
        <v>7039</v>
      </c>
      <c r="E4" s="23" t="s">
        <v>13015</v>
      </c>
      <c r="F4" s="19">
        <v>39962.356192129628</v>
      </c>
      <c r="G4" s="24" t="s">
        <v>13002</v>
      </c>
      <c r="H4" s="35" t="s">
        <v>7040</v>
      </c>
      <c r="I4" s="25" t="s">
        <v>7041</v>
      </c>
      <c r="L4" s="11"/>
    </row>
    <row r="5" spans="1:12" s="33" customFormat="1" ht="60">
      <c r="A5" s="4">
        <v>43557.674756944441</v>
      </c>
      <c r="B5" s="5" t="s">
        <v>15068</v>
      </c>
      <c r="C5" s="6" t="s">
        <v>12409</v>
      </c>
      <c r="D5" s="7" t="s">
        <v>12410</v>
      </c>
      <c r="E5" s="8" t="s">
        <v>13015</v>
      </c>
      <c r="F5" s="4">
        <v>39930.361909722225</v>
      </c>
      <c r="G5" s="24" t="s">
        <v>13002</v>
      </c>
      <c r="H5" s="35" t="s">
        <v>12411</v>
      </c>
      <c r="I5" s="10" t="s">
        <v>12412</v>
      </c>
      <c r="L5" s="11"/>
    </row>
    <row r="6" spans="1:12" s="33" customFormat="1" ht="75">
      <c r="A6" s="12">
        <v>43579.168796296297</v>
      </c>
      <c r="B6" s="13" t="s">
        <v>15069</v>
      </c>
      <c r="C6" s="14" t="s">
        <v>895</v>
      </c>
      <c r="D6" s="15" t="s">
        <v>301</v>
      </c>
      <c r="E6" s="16" t="s">
        <v>13009</v>
      </c>
      <c r="F6" s="12">
        <v>43570.490312499998</v>
      </c>
      <c r="G6" s="17" t="s">
        <v>13002</v>
      </c>
      <c r="H6" s="35" t="s">
        <v>896</v>
      </c>
      <c r="I6" s="18" t="s">
        <v>897</v>
      </c>
      <c r="L6" s="11"/>
    </row>
    <row r="7" spans="1:12" s="33" customFormat="1" ht="75">
      <c r="A7" s="12">
        <v>43578.380370370374</v>
      </c>
      <c r="B7" s="13" t="s">
        <v>15070</v>
      </c>
      <c r="C7" s="14" t="s">
        <v>1245</v>
      </c>
      <c r="D7" s="15" t="s">
        <v>996</v>
      </c>
      <c r="E7" s="16" t="s">
        <v>13009</v>
      </c>
      <c r="F7" s="12">
        <v>43570.602129629631</v>
      </c>
      <c r="G7" s="17" t="s">
        <v>13002</v>
      </c>
      <c r="H7" s="35" t="s">
        <v>1246</v>
      </c>
      <c r="I7" s="18" t="s">
        <v>1247</v>
      </c>
      <c r="L7" s="11"/>
    </row>
    <row r="8" spans="1:12" s="33" customFormat="1" ht="75">
      <c r="A8" s="12">
        <v>43579.16987268519</v>
      </c>
      <c r="B8" s="13" t="s">
        <v>15071</v>
      </c>
      <c r="C8" s="14" t="s">
        <v>890</v>
      </c>
      <c r="D8" s="15" t="s">
        <v>301</v>
      </c>
      <c r="E8" s="16" t="s">
        <v>13009</v>
      </c>
      <c r="F8" s="12">
        <v>43570.653796296298</v>
      </c>
      <c r="G8" s="17" t="s">
        <v>13002</v>
      </c>
      <c r="H8" s="35" t="s">
        <v>891</v>
      </c>
      <c r="I8" s="18" t="s">
        <v>892</v>
      </c>
      <c r="L8" s="11"/>
    </row>
    <row r="9" spans="1:12" s="33" customFormat="1" ht="75">
      <c r="A9" s="12">
        <v>43579.170335648145</v>
      </c>
      <c r="B9" s="13" t="s">
        <v>15072</v>
      </c>
      <c r="C9" s="14" t="s">
        <v>887</v>
      </c>
      <c r="D9" s="15" t="s">
        <v>301</v>
      </c>
      <c r="E9" s="16" t="s">
        <v>13009</v>
      </c>
      <c r="F9" s="12">
        <v>43570.458923611106</v>
      </c>
      <c r="G9" s="17" t="s">
        <v>13002</v>
      </c>
      <c r="H9" s="35" t="s">
        <v>888</v>
      </c>
      <c r="I9" s="18" t="s">
        <v>889</v>
      </c>
      <c r="L9" s="11"/>
    </row>
    <row r="10" spans="1:12" s="33" customFormat="1" ht="60">
      <c r="A10" s="12">
        <v>43567.494259259256</v>
      </c>
      <c r="B10" s="13" t="s">
        <v>15073</v>
      </c>
      <c r="C10" s="14" t="s">
        <v>5090</v>
      </c>
      <c r="D10" s="15" t="s">
        <v>5091</v>
      </c>
      <c r="E10" s="16" t="s">
        <v>13009</v>
      </c>
      <c r="F10" s="12">
        <v>40092.282708333332</v>
      </c>
      <c r="G10" s="17" t="s">
        <v>13002</v>
      </c>
      <c r="H10" s="35" t="s">
        <v>5092</v>
      </c>
      <c r="I10" s="18" t="s">
        <v>5093</v>
      </c>
      <c r="L10" s="11"/>
    </row>
    <row r="11" spans="1:12" s="33" customFormat="1" ht="135">
      <c r="A11" s="12">
        <v>43566.429386574076</v>
      </c>
      <c r="B11" s="13" t="s">
        <v>15074</v>
      </c>
      <c r="C11" s="14" t="s">
        <v>5538</v>
      </c>
      <c r="D11" s="15" t="s">
        <v>5539</v>
      </c>
      <c r="E11" s="16" t="s">
        <v>13013</v>
      </c>
      <c r="F11" s="12">
        <v>40105.825578703705</v>
      </c>
      <c r="G11" s="17" t="s">
        <v>13002</v>
      </c>
      <c r="H11" s="35" t="s">
        <v>5540</v>
      </c>
      <c r="I11" s="18" t="s">
        <v>5541</v>
      </c>
      <c r="L11" s="11"/>
    </row>
    <row r="12" spans="1:12" s="33" customFormat="1" ht="120">
      <c r="A12" s="19">
        <v>43547.605856481481</v>
      </c>
      <c r="B12" s="20" t="s">
        <v>15075</v>
      </c>
      <c r="C12" s="21" t="s">
        <v>8498</v>
      </c>
      <c r="D12" s="22" t="s">
        <v>8499</v>
      </c>
      <c r="E12" s="23" t="s">
        <v>13009</v>
      </c>
      <c r="F12" s="19">
        <v>39632.895798611113</v>
      </c>
      <c r="G12" s="17" t="s">
        <v>13002</v>
      </c>
      <c r="H12" s="35" t="s">
        <v>3840</v>
      </c>
      <c r="I12" s="25" t="s">
        <v>8500</v>
      </c>
      <c r="L12" s="11"/>
    </row>
    <row r="13" spans="1:12" s="33" customFormat="1" ht="120">
      <c r="A13" s="19">
        <v>43547.31523148148</v>
      </c>
      <c r="B13" s="20" t="s">
        <v>15075</v>
      </c>
      <c r="C13" s="21" t="s">
        <v>8498</v>
      </c>
      <c r="D13" s="22" t="s">
        <v>8588</v>
      </c>
      <c r="E13" s="23" t="s">
        <v>13032</v>
      </c>
      <c r="F13" s="19">
        <v>39632.895798611113</v>
      </c>
      <c r="G13" s="17" t="s">
        <v>13002</v>
      </c>
      <c r="H13" s="35" t="s">
        <v>3840</v>
      </c>
      <c r="I13" s="25" t="s">
        <v>8500</v>
      </c>
      <c r="L13" s="11"/>
    </row>
    <row r="14" spans="1:12" s="33" customFormat="1" ht="60">
      <c r="A14" s="12">
        <v>43571.130798611106</v>
      </c>
      <c r="B14" s="13" t="s">
        <v>15076</v>
      </c>
      <c r="C14" s="14" t="s">
        <v>3838</v>
      </c>
      <c r="D14" s="15" t="s">
        <v>3839</v>
      </c>
      <c r="E14" s="16" t="s">
        <v>13009</v>
      </c>
      <c r="F14" s="12">
        <v>43188.387777777782</v>
      </c>
      <c r="G14" s="17" t="s">
        <v>13002</v>
      </c>
      <c r="H14" s="35" t="s">
        <v>3840</v>
      </c>
      <c r="I14" s="18" t="s">
        <v>3841</v>
      </c>
      <c r="L14" s="11"/>
    </row>
    <row r="15" spans="1:12" s="33" customFormat="1" ht="60">
      <c r="A15" s="12">
        <v>43568.131678240738</v>
      </c>
      <c r="B15" s="13" t="s">
        <v>15076</v>
      </c>
      <c r="C15" s="14" t="s">
        <v>3838</v>
      </c>
      <c r="D15" s="15" t="s">
        <v>4866</v>
      </c>
      <c r="E15" s="16" t="s">
        <v>13009</v>
      </c>
      <c r="F15" s="12">
        <v>43188.387777777782</v>
      </c>
      <c r="G15" s="17" t="s">
        <v>13002</v>
      </c>
      <c r="H15" s="35" t="s">
        <v>3840</v>
      </c>
      <c r="I15" s="18" t="s">
        <v>3841</v>
      </c>
      <c r="L15" s="11"/>
    </row>
    <row r="16" spans="1:12" s="33" customFormat="1" ht="60">
      <c r="A16" s="12">
        <v>43567.131319444445</v>
      </c>
      <c r="B16" s="13" t="s">
        <v>15076</v>
      </c>
      <c r="C16" s="14" t="s">
        <v>3838</v>
      </c>
      <c r="D16" s="15" t="s">
        <v>4866</v>
      </c>
      <c r="E16" s="16" t="s">
        <v>13009</v>
      </c>
      <c r="F16" s="12">
        <v>43188.387777777782</v>
      </c>
      <c r="G16" s="17" t="s">
        <v>13002</v>
      </c>
      <c r="H16" s="35" t="s">
        <v>3840</v>
      </c>
      <c r="I16" s="18" t="s">
        <v>3841</v>
      </c>
      <c r="L16" s="11"/>
    </row>
    <row r="17" spans="1:12" s="33" customFormat="1" ht="105">
      <c r="A17" s="4">
        <v>43559.543495370366</v>
      </c>
      <c r="B17" s="5" t="s">
        <v>15077</v>
      </c>
      <c r="C17" s="6" t="s">
        <v>5051</v>
      </c>
      <c r="D17" s="7" t="s">
        <v>5052</v>
      </c>
      <c r="E17" s="8" t="s">
        <v>13009</v>
      </c>
      <c r="F17" s="4">
        <v>41267.965081018519</v>
      </c>
      <c r="G17" s="17" t="s">
        <v>13002</v>
      </c>
      <c r="H17" s="35" t="s">
        <v>5053</v>
      </c>
      <c r="I17" s="10" t="s">
        <v>5054</v>
      </c>
      <c r="L17" s="11"/>
    </row>
    <row r="18" spans="1:12" s="33" customFormat="1" ht="105">
      <c r="A18" s="12">
        <v>43567.560266203705</v>
      </c>
      <c r="B18" s="13" t="s">
        <v>15077</v>
      </c>
      <c r="C18" s="14" t="s">
        <v>5051</v>
      </c>
      <c r="D18" s="15" t="s">
        <v>5052</v>
      </c>
      <c r="E18" s="16" t="s">
        <v>13009</v>
      </c>
      <c r="F18" s="12">
        <v>41267.965081018519</v>
      </c>
      <c r="G18" s="17" t="s">
        <v>13002</v>
      </c>
      <c r="H18" s="35" t="s">
        <v>5053</v>
      </c>
      <c r="I18" s="18" t="s">
        <v>5054</v>
      </c>
      <c r="L18" s="11"/>
    </row>
    <row r="19" spans="1:12" s="33" customFormat="1" ht="90">
      <c r="A19" s="4">
        <v>43564.346608796295</v>
      </c>
      <c r="B19" s="5" t="s">
        <v>15078</v>
      </c>
      <c r="C19" s="6" t="s">
        <v>6670</v>
      </c>
      <c r="D19" s="7" t="s">
        <v>6671</v>
      </c>
      <c r="E19" s="8" t="s">
        <v>13006</v>
      </c>
      <c r="F19" s="4">
        <v>42229.520127314812</v>
      </c>
      <c r="G19" s="17" t="s">
        <v>13002</v>
      </c>
      <c r="H19" s="35" t="s">
        <v>6672</v>
      </c>
      <c r="I19" s="10"/>
      <c r="L19" s="11"/>
    </row>
    <row r="20" spans="1:12" s="33" customFormat="1" ht="120">
      <c r="A20" s="4">
        <v>43565.479166666672</v>
      </c>
      <c r="B20" s="5" t="s">
        <v>15079</v>
      </c>
      <c r="C20" s="6" t="s">
        <v>6062</v>
      </c>
      <c r="D20" s="7" t="s">
        <v>6060</v>
      </c>
      <c r="E20" s="8" t="s">
        <v>13120</v>
      </c>
      <c r="F20" s="4">
        <v>40672.769548611112</v>
      </c>
      <c r="G20" s="17" t="s">
        <v>13002</v>
      </c>
      <c r="H20" s="35" t="s">
        <v>6063</v>
      </c>
      <c r="I20" s="10" t="s">
        <v>6064</v>
      </c>
      <c r="L20" s="11"/>
    </row>
    <row r="21" spans="1:12" s="33" customFormat="1" ht="105">
      <c r="A21" s="19">
        <v>43546.757013888884</v>
      </c>
      <c r="B21" s="20" t="s">
        <v>15080</v>
      </c>
      <c r="C21" s="21" t="s">
        <v>2455</v>
      </c>
      <c r="D21" s="22" t="s">
        <v>1705</v>
      </c>
      <c r="E21" s="23" t="s">
        <v>13018</v>
      </c>
      <c r="F21" s="19">
        <v>40739.900717592594</v>
      </c>
      <c r="G21" s="17" t="s">
        <v>13002</v>
      </c>
      <c r="H21" s="35" t="s">
        <v>2456</v>
      </c>
      <c r="I21" s="25" t="s">
        <v>2457</v>
      </c>
      <c r="L21" s="11"/>
    </row>
    <row r="22" spans="1:12" s="33" customFormat="1" ht="105">
      <c r="A22" s="4">
        <v>43558.757013888884</v>
      </c>
      <c r="B22" s="5" t="s">
        <v>15080</v>
      </c>
      <c r="C22" s="6" t="s">
        <v>2455</v>
      </c>
      <c r="D22" s="7" t="s">
        <v>1705</v>
      </c>
      <c r="E22" s="8" t="s">
        <v>13018</v>
      </c>
      <c r="F22" s="4">
        <v>40739.900717592594</v>
      </c>
      <c r="G22" s="17" t="s">
        <v>13002</v>
      </c>
      <c r="H22" s="35" t="s">
        <v>2456</v>
      </c>
      <c r="I22" s="10" t="s">
        <v>2457</v>
      </c>
    </row>
    <row r="23" spans="1:12" s="33" customFormat="1" ht="105">
      <c r="A23" s="4">
        <v>43557.777094907404</v>
      </c>
      <c r="B23" s="5" t="s">
        <v>15080</v>
      </c>
      <c r="C23" s="6" t="s">
        <v>2455</v>
      </c>
      <c r="D23" s="7" t="s">
        <v>12391</v>
      </c>
      <c r="E23" s="8" t="s">
        <v>13034</v>
      </c>
      <c r="F23" s="4">
        <v>40739.900717592594</v>
      </c>
      <c r="G23" s="17" t="s">
        <v>13002</v>
      </c>
      <c r="H23" s="35" t="s">
        <v>2456</v>
      </c>
      <c r="I23" s="10" t="s">
        <v>2457</v>
      </c>
    </row>
    <row r="24" spans="1:12" s="33" customFormat="1" ht="105">
      <c r="A24" s="12">
        <v>43574.756990740745</v>
      </c>
      <c r="B24" s="13" t="s">
        <v>15080</v>
      </c>
      <c r="C24" s="14" t="s">
        <v>2455</v>
      </c>
      <c r="D24" s="15" t="s">
        <v>1705</v>
      </c>
      <c r="E24" s="16" t="s">
        <v>13018</v>
      </c>
      <c r="F24" s="12">
        <v>40739.900717592594</v>
      </c>
      <c r="G24" s="17" t="s">
        <v>13002</v>
      </c>
      <c r="H24" s="35" t="s">
        <v>2456</v>
      </c>
      <c r="I24" s="18" t="s">
        <v>2457</v>
      </c>
    </row>
    <row r="25" spans="1:12" s="33" customFormat="1" ht="105">
      <c r="A25" s="12">
        <v>43566.757013888884</v>
      </c>
      <c r="B25" s="13" t="s">
        <v>15080</v>
      </c>
      <c r="C25" s="14" t="s">
        <v>2455</v>
      </c>
      <c r="D25" s="15" t="s">
        <v>1705</v>
      </c>
      <c r="E25" s="16" t="s">
        <v>13018</v>
      </c>
      <c r="F25" s="12">
        <v>40739.900717592594</v>
      </c>
      <c r="G25" s="17" t="s">
        <v>13002</v>
      </c>
      <c r="H25" s="35" t="s">
        <v>2456</v>
      </c>
      <c r="I25" s="18" t="s">
        <v>2457</v>
      </c>
    </row>
    <row r="26" spans="1:12" s="33" customFormat="1" ht="90">
      <c r="A26" s="12">
        <v>43572.557141203702</v>
      </c>
      <c r="B26" s="13" t="s">
        <v>15081</v>
      </c>
      <c r="C26" s="14" t="s">
        <v>3167</v>
      </c>
      <c r="D26" s="15" t="s">
        <v>3168</v>
      </c>
      <c r="E26" s="16" t="s">
        <v>13009</v>
      </c>
      <c r="F26" s="12">
        <v>39701.611134259263</v>
      </c>
      <c r="G26" s="17" t="s">
        <v>13002</v>
      </c>
      <c r="H26" s="35" t="s">
        <v>3169</v>
      </c>
      <c r="I26" s="18" t="s">
        <v>3170</v>
      </c>
    </row>
    <row r="27" spans="1:12" s="33" customFormat="1" ht="105">
      <c r="A27" s="19">
        <v>43549.454930555556</v>
      </c>
      <c r="B27" s="20" t="s">
        <v>15082</v>
      </c>
      <c r="C27" s="21" t="s">
        <v>1704</v>
      </c>
      <c r="D27" s="22" t="s">
        <v>1705</v>
      </c>
      <c r="E27" s="23" t="s">
        <v>13018</v>
      </c>
      <c r="F27" s="19">
        <v>42335.861400462964</v>
      </c>
      <c r="G27" s="17" t="s">
        <v>13002</v>
      </c>
      <c r="H27" s="35" t="s">
        <v>1706</v>
      </c>
      <c r="I27" s="25" t="s">
        <v>1707</v>
      </c>
    </row>
    <row r="28" spans="1:12" s="33" customFormat="1" ht="105">
      <c r="A28" s="19">
        <v>43546.670185185183</v>
      </c>
      <c r="B28" s="20" t="s">
        <v>15082</v>
      </c>
      <c r="C28" s="21" t="s">
        <v>1704</v>
      </c>
      <c r="D28" s="22" t="s">
        <v>8764</v>
      </c>
      <c r="E28" s="23" t="s">
        <v>13018</v>
      </c>
      <c r="F28" s="19">
        <v>42335.861400462964</v>
      </c>
      <c r="G28" s="17" t="s">
        <v>13002</v>
      </c>
      <c r="H28" s="35" t="s">
        <v>1706</v>
      </c>
      <c r="I28" s="25" t="s">
        <v>1707</v>
      </c>
    </row>
    <row r="29" spans="1:12" s="33" customFormat="1" ht="105">
      <c r="A29" s="19">
        <v>43543.513969907406</v>
      </c>
      <c r="B29" s="20" t="s">
        <v>15082</v>
      </c>
      <c r="C29" s="21" t="s">
        <v>1704</v>
      </c>
      <c r="D29" s="22" t="s">
        <v>1705</v>
      </c>
      <c r="E29" s="23" t="s">
        <v>13018</v>
      </c>
      <c r="F29" s="19">
        <v>42335.861400462964</v>
      </c>
      <c r="G29" s="17" t="s">
        <v>13002</v>
      </c>
      <c r="H29" s="35" t="s">
        <v>1706</v>
      </c>
      <c r="I29" s="25" t="s">
        <v>1707</v>
      </c>
    </row>
    <row r="30" spans="1:12" s="33" customFormat="1" ht="105">
      <c r="A30" s="4">
        <v>43563.336898148147</v>
      </c>
      <c r="B30" s="5" t="s">
        <v>15082</v>
      </c>
      <c r="C30" s="6" t="s">
        <v>1704</v>
      </c>
      <c r="D30" s="7" t="s">
        <v>1705</v>
      </c>
      <c r="E30" s="8" t="s">
        <v>13018</v>
      </c>
      <c r="F30" s="4">
        <v>42335.861400462964</v>
      </c>
      <c r="G30" s="17" t="s">
        <v>13002</v>
      </c>
      <c r="H30" s="35" t="s">
        <v>1706</v>
      </c>
      <c r="I30" s="10" t="s">
        <v>1707</v>
      </c>
    </row>
    <row r="31" spans="1:12" s="33" customFormat="1" ht="105">
      <c r="A31" s="4">
        <v>43560.572962962964</v>
      </c>
      <c r="B31" s="5" t="s">
        <v>15082</v>
      </c>
      <c r="C31" s="6" t="s">
        <v>1704</v>
      </c>
      <c r="D31" s="7" t="s">
        <v>1705</v>
      </c>
      <c r="E31" s="8" t="s">
        <v>13018</v>
      </c>
      <c r="F31" s="4">
        <v>42335.861400462964</v>
      </c>
      <c r="G31" s="17" t="s">
        <v>13002</v>
      </c>
      <c r="H31" s="35" t="s">
        <v>1706</v>
      </c>
      <c r="I31" s="10" t="s">
        <v>1707</v>
      </c>
    </row>
    <row r="32" spans="1:12" s="33" customFormat="1" ht="105">
      <c r="A32" s="12">
        <v>43577.209456018521</v>
      </c>
      <c r="B32" s="13" t="s">
        <v>15082</v>
      </c>
      <c r="C32" s="14" t="s">
        <v>1704</v>
      </c>
      <c r="D32" s="15" t="s">
        <v>1705</v>
      </c>
      <c r="E32" s="16" t="s">
        <v>13018</v>
      </c>
      <c r="F32" s="12">
        <v>42335.861400462964</v>
      </c>
      <c r="G32" s="17" t="s">
        <v>13002</v>
      </c>
      <c r="H32" s="35" t="s">
        <v>1706</v>
      </c>
      <c r="I32" s="18" t="s">
        <v>1707</v>
      </c>
    </row>
    <row r="33" spans="1:9" s="33" customFormat="1" ht="105">
      <c r="A33" s="12">
        <v>43570.215358796297</v>
      </c>
      <c r="B33" s="13" t="s">
        <v>15082</v>
      </c>
      <c r="C33" s="14" t="s">
        <v>1704</v>
      </c>
      <c r="D33" s="15" t="s">
        <v>1705</v>
      </c>
      <c r="E33" s="16" t="s">
        <v>13018</v>
      </c>
      <c r="F33" s="12">
        <v>42335.861400462964</v>
      </c>
      <c r="G33" s="17" t="s">
        <v>13002</v>
      </c>
      <c r="H33" s="35" t="s">
        <v>1706</v>
      </c>
      <c r="I33" s="18" t="s">
        <v>1707</v>
      </c>
    </row>
    <row r="34" spans="1:9" s="33" customFormat="1" ht="105">
      <c r="A34" s="12">
        <v>43566.848634259259</v>
      </c>
      <c r="B34" s="13" t="s">
        <v>15083</v>
      </c>
      <c r="C34" s="14" t="s">
        <v>5325</v>
      </c>
      <c r="D34" s="15" t="s">
        <v>5326</v>
      </c>
      <c r="E34" s="16" t="s">
        <v>13635</v>
      </c>
      <c r="F34" s="12">
        <v>43413.413541666669</v>
      </c>
      <c r="G34" s="17" t="s">
        <v>13002</v>
      </c>
      <c r="H34" s="35" t="s">
        <v>5327</v>
      </c>
      <c r="I34" s="18" t="s">
        <v>5328</v>
      </c>
    </row>
    <row r="35" spans="1:9" s="33" customFormat="1" ht="60">
      <c r="A35" s="19">
        <v>43551.208506944444</v>
      </c>
      <c r="B35" s="20" t="s">
        <v>15084</v>
      </c>
      <c r="C35" s="21" t="s">
        <v>7398</v>
      </c>
      <c r="D35" s="22" t="s">
        <v>7399</v>
      </c>
      <c r="E35" s="23" t="s">
        <v>13013</v>
      </c>
      <c r="F35" s="19">
        <v>41939.272314814814</v>
      </c>
      <c r="G35" s="24" t="s">
        <v>13002</v>
      </c>
      <c r="H35" s="35" t="s">
        <v>7400</v>
      </c>
      <c r="I35" s="25" t="s">
        <v>7401</v>
      </c>
    </row>
    <row r="36" spans="1:9" s="33" customFormat="1" ht="105">
      <c r="A36" s="19">
        <v>43551.05569444444</v>
      </c>
      <c r="B36" s="20" t="s">
        <v>15085</v>
      </c>
      <c r="C36" s="21" t="s">
        <v>204</v>
      </c>
      <c r="D36" s="22" t="s">
        <v>7451</v>
      </c>
      <c r="E36" s="23" t="s">
        <v>13015</v>
      </c>
      <c r="F36" s="19">
        <v>43313.065034722225</v>
      </c>
      <c r="G36" s="17" t="s">
        <v>13002</v>
      </c>
      <c r="H36" s="35" t="s">
        <v>206</v>
      </c>
      <c r="I36" s="25" t="s">
        <v>207</v>
      </c>
    </row>
    <row r="37" spans="1:9" s="33" customFormat="1" ht="105">
      <c r="A37" s="19">
        <v>43550.088414351849</v>
      </c>
      <c r="B37" s="20" t="s">
        <v>15085</v>
      </c>
      <c r="C37" s="21" t="s">
        <v>204</v>
      </c>
      <c r="D37" s="22" t="s">
        <v>7846</v>
      </c>
      <c r="E37" s="23" t="s">
        <v>13015</v>
      </c>
      <c r="F37" s="19">
        <v>43313.065034722225</v>
      </c>
      <c r="G37" s="17" t="s">
        <v>13002</v>
      </c>
      <c r="H37" s="35" t="s">
        <v>206</v>
      </c>
      <c r="I37" s="25" t="s">
        <v>207</v>
      </c>
    </row>
    <row r="38" spans="1:9" s="33" customFormat="1" ht="105">
      <c r="A38" s="19">
        <v>43549.091550925921</v>
      </c>
      <c r="B38" s="20" t="s">
        <v>15085</v>
      </c>
      <c r="C38" s="21" t="s">
        <v>204</v>
      </c>
      <c r="D38" s="22" t="s">
        <v>8175</v>
      </c>
      <c r="E38" s="23" t="s">
        <v>13015</v>
      </c>
      <c r="F38" s="19">
        <v>43313.065034722225</v>
      </c>
      <c r="G38" s="17" t="s">
        <v>13002</v>
      </c>
      <c r="H38" s="35" t="s">
        <v>206</v>
      </c>
      <c r="I38" s="25" t="s">
        <v>207</v>
      </c>
    </row>
    <row r="39" spans="1:9" s="33" customFormat="1" ht="105">
      <c r="A39" s="19">
        <v>43549.032673611116</v>
      </c>
      <c r="B39" s="20" t="s">
        <v>15085</v>
      </c>
      <c r="C39" s="21" t="s">
        <v>204</v>
      </c>
      <c r="D39" s="22" t="s">
        <v>8188</v>
      </c>
      <c r="E39" s="23" t="s">
        <v>13015</v>
      </c>
      <c r="F39" s="19">
        <v>43313.065034722225</v>
      </c>
      <c r="G39" s="17" t="s">
        <v>13002</v>
      </c>
      <c r="H39" s="35" t="s">
        <v>206</v>
      </c>
      <c r="I39" s="25" t="s">
        <v>207</v>
      </c>
    </row>
    <row r="40" spans="1:9" s="33" customFormat="1" ht="105">
      <c r="A40" s="19">
        <v>43544.142812499995</v>
      </c>
      <c r="B40" s="20" t="s">
        <v>15085</v>
      </c>
      <c r="C40" s="21" t="s">
        <v>204</v>
      </c>
      <c r="D40" s="22" t="s">
        <v>9599</v>
      </c>
      <c r="E40" s="23" t="s">
        <v>13015</v>
      </c>
      <c r="F40" s="19">
        <v>43313.065034722225</v>
      </c>
      <c r="G40" s="17" t="s">
        <v>13002</v>
      </c>
      <c r="H40" s="35" t="s">
        <v>206</v>
      </c>
      <c r="I40" s="25" t="s">
        <v>207</v>
      </c>
    </row>
    <row r="41" spans="1:9" s="33" customFormat="1" ht="105">
      <c r="A41" s="19">
        <v>43543.154085648144</v>
      </c>
      <c r="B41" s="20" t="s">
        <v>15085</v>
      </c>
      <c r="C41" s="21" t="s">
        <v>204</v>
      </c>
      <c r="D41" s="22" t="s">
        <v>9923</v>
      </c>
      <c r="E41" s="23" t="s">
        <v>13015</v>
      </c>
      <c r="F41" s="19">
        <v>43313.065034722225</v>
      </c>
      <c r="G41" s="17" t="s">
        <v>13002</v>
      </c>
      <c r="H41" s="35" t="s">
        <v>206</v>
      </c>
      <c r="I41" s="25" t="s">
        <v>207</v>
      </c>
    </row>
    <row r="42" spans="1:9" s="33" customFormat="1" ht="105">
      <c r="A42" s="4">
        <v>43565.223854166667</v>
      </c>
      <c r="B42" s="5" t="s">
        <v>15085</v>
      </c>
      <c r="C42" s="6" t="s">
        <v>204</v>
      </c>
      <c r="D42" s="7" t="s">
        <v>6230</v>
      </c>
      <c r="E42" s="8" t="s">
        <v>13015</v>
      </c>
      <c r="F42" s="4">
        <v>43313.065034722225</v>
      </c>
      <c r="G42" s="17" t="s">
        <v>13002</v>
      </c>
      <c r="H42" s="35" t="s">
        <v>206</v>
      </c>
      <c r="I42" s="10" t="s">
        <v>207</v>
      </c>
    </row>
    <row r="43" spans="1:9" s="33" customFormat="1" ht="105">
      <c r="A43" s="4">
        <v>43563.069780092592</v>
      </c>
      <c r="B43" s="5" t="s">
        <v>15085</v>
      </c>
      <c r="C43" s="6" t="s">
        <v>204</v>
      </c>
      <c r="D43" s="7" t="s">
        <v>10476</v>
      </c>
      <c r="E43" s="8" t="s">
        <v>13015</v>
      </c>
      <c r="F43" s="4">
        <v>43313.065034722225</v>
      </c>
      <c r="G43" s="17" t="s">
        <v>13002</v>
      </c>
      <c r="H43" s="35" t="s">
        <v>206</v>
      </c>
      <c r="I43" s="10" t="s">
        <v>207</v>
      </c>
    </row>
    <row r="44" spans="1:9" s="33" customFormat="1" ht="105">
      <c r="A44" s="4">
        <v>43557.042013888888</v>
      </c>
      <c r="B44" s="5" t="s">
        <v>15085</v>
      </c>
      <c r="C44" s="6" t="s">
        <v>204</v>
      </c>
      <c r="D44" s="7" t="s">
        <v>12673</v>
      </c>
      <c r="E44" s="8" t="s">
        <v>13015</v>
      </c>
      <c r="F44" s="4">
        <v>43313.065034722225</v>
      </c>
      <c r="G44" s="17" t="s">
        <v>13002</v>
      </c>
      <c r="H44" s="35" t="s">
        <v>206</v>
      </c>
      <c r="I44" s="10" t="s">
        <v>207</v>
      </c>
    </row>
    <row r="45" spans="1:9" s="33" customFormat="1" ht="105">
      <c r="A45" s="12">
        <v>43580.621666666666</v>
      </c>
      <c r="B45" s="13" t="s">
        <v>15085</v>
      </c>
      <c r="C45" s="14" t="s">
        <v>204</v>
      </c>
      <c r="D45" s="15" t="s">
        <v>205</v>
      </c>
      <c r="E45" s="16" t="s">
        <v>13015</v>
      </c>
      <c r="F45" s="12">
        <v>43313.523368055554</v>
      </c>
      <c r="G45" s="17" t="s">
        <v>13002</v>
      </c>
      <c r="H45" s="35" t="s">
        <v>206</v>
      </c>
      <c r="I45" s="18" t="s">
        <v>207</v>
      </c>
    </row>
    <row r="46" spans="1:9" s="33" customFormat="1" ht="105">
      <c r="A46" s="12">
        <v>43578.106238425928</v>
      </c>
      <c r="B46" s="13" t="s">
        <v>15085</v>
      </c>
      <c r="C46" s="14" t="s">
        <v>204</v>
      </c>
      <c r="D46" s="15" t="s">
        <v>1397</v>
      </c>
      <c r="E46" s="16" t="s">
        <v>13015</v>
      </c>
      <c r="F46" s="12">
        <v>43313.065034722225</v>
      </c>
      <c r="G46" s="17" t="s">
        <v>13002</v>
      </c>
      <c r="H46" s="35" t="s">
        <v>206</v>
      </c>
      <c r="I46" s="18" t="s">
        <v>207</v>
      </c>
    </row>
    <row r="47" spans="1:9" s="33" customFormat="1" ht="105">
      <c r="A47" s="12">
        <v>43571.08458333333</v>
      </c>
      <c r="B47" s="13" t="s">
        <v>15085</v>
      </c>
      <c r="C47" s="14" t="s">
        <v>204</v>
      </c>
      <c r="D47" s="15" t="s">
        <v>1397</v>
      </c>
      <c r="E47" s="16" t="s">
        <v>13015</v>
      </c>
      <c r="F47" s="12">
        <v>43313.065034722225</v>
      </c>
      <c r="G47" s="17" t="s">
        <v>13002</v>
      </c>
      <c r="H47" s="35" t="s">
        <v>206</v>
      </c>
      <c r="I47" s="18" t="s">
        <v>207</v>
      </c>
    </row>
    <row r="48" spans="1:9" s="33" customFormat="1" ht="105">
      <c r="A48" s="12">
        <v>43569.977326388893</v>
      </c>
      <c r="B48" s="13" t="s">
        <v>15085</v>
      </c>
      <c r="C48" s="14" t="s">
        <v>204</v>
      </c>
      <c r="D48" s="15" t="s">
        <v>4368</v>
      </c>
      <c r="E48" s="16" t="s">
        <v>13015</v>
      </c>
      <c r="F48" s="12">
        <v>43313.065034722225</v>
      </c>
      <c r="G48" s="17" t="s">
        <v>13002</v>
      </c>
      <c r="H48" s="35" t="s">
        <v>206</v>
      </c>
      <c r="I48" s="18" t="s">
        <v>207</v>
      </c>
    </row>
    <row r="49" spans="1:9" s="33" customFormat="1" ht="75">
      <c r="A49" s="12">
        <v>43579.603229166663</v>
      </c>
      <c r="B49" s="13" t="s">
        <v>15086</v>
      </c>
      <c r="C49" s="14" t="s">
        <v>545</v>
      </c>
      <c r="D49" s="15" t="s">
        <v>301</v>
      </c>
      <c r="E49" s="16" t="s">
        <v>13009</v>
      </c>
      <c r="F49" s="12">
        <v>42971.552905092598</v>
      </c>
      <c r="G49" s="17" t="s">
        <v>13002</v>
      </c>
      <c r="H49" s="35" t="s">
        <v>546</v>
      </c>
      <c r="I49" s="18" t="s">
        <v>547</v>
      </c>
    </row>
    <row r="50" spans="1:9" s="33" customFormat="1" ht="135">
      <c r="A50" s="19">
        <v>43551.69902777778</v>
      </c>
      <c r="B50" s="20" t="s">
        <v>15087</v>
      </c>
      <c r="C50" s="21" t="s">
        <v>5815</v>
      </c>
      <c r="D50" s="22" t="s">
        <v>5816</v>
      </c>
      <c r="E50" s="23" t="s">
        <v>13011</v>
      </c>
      <c r="F50" s="19">
        <v>43153.768773148149</v>
      </c>
      <c r="G50" s="17" t="s">
        <v>13002</v>
      </c>
      <c r="H50" s="35" t="s">
        <v>5817</v>
      </c>
      <c r="I50" s="25" t="s">
        <v>5818</v>
      </c>
    </row>
    <row r="51" spans="1:9" s="33" customFormat="1" ht="135">
      <c r="A51" s="4">
        <v>43558.773125</v>
      </c>
      <c r="B51" s="5" t="s">
        <v>15087</v>
      </c>
      <c r="C51" s="6" t="s">
        <v>5815</v>
      </c>
      <c r="D51" s="7" t="s">
        <v>5816</v>
      </c>
      <c r="E51" s="8" t="s">
        <v>13011</v>
      </c>
      <c r="F51" s="4">
        <v>43153.768773148149</v>
      </c>
      <c r="G51" s="17" t="s">
        <v>13002</v>
      </c>
      <c r="H51" s="35" t="s">
        <v>5817</v>
      </c>
      <c r="I51" s="10" t="s">
        <v>5818</v>
      </c>
    </row>
    <row r="52" spans="1:9" s="33" customFormat="1" ht="135">
      <c r="A52" s="12">
        <v>43566.029594907406</v>
      </c>
      <c r="B52" s="13" t="s">
        <v>15087</v>
      </c>
      <c r="C52" s="14" t="s">
        <v>5815</v>
      </c>
      <c r="D52" s="15" t="s">
        <v>5816</v>
      </c>
      <c r="E52" s="16" t="s">
        <v>13011</v>
      </c>
      <c r="F52" s="12">
        <v>43153.768773148149</v>
      </c>
      <c r="G52" s="17" t="s">
        <v>13002</v>
      </c>
      <c r="H52" s="35" t="s">
        <v>5817</v>
      </c>
      <c r="I52" s="18" t="s">
        <v>5818</v>
      </c>
    </row>
    <row r="53" spans="1:9" s="33" customFormat="1" ht="135">
      <c r="A53" s="4">
        <v>43558.773657407408</v>
      </c>
      <c r="B53" s="5" t="s">
        <v>15088</v>
      </c>
      <c r="C53" s="6" t="s">
        <v>12040</v>
      </c>
      <c r="D53" s="7" t="s">
        <v>5816</v>
      </c>
      <c r="E53" s="8" t="s">
        <v>13011</v>
      </c>
      <c r="F53" s="4">
        <v>42823.889236111107</v>
      </c>
      <c r="G53" s="17" t="s">
        <v>13002</v>
      </c>
      <c r="H53" s="35" t="s">
        <v>12041</v>
      </c>
      <c r="I53" s="10" t="s">
        <v>5818</v>
      </c>
    </row>
    <row r="54" spans="1:9" s="33" customFormat="1" ht="135">
      <c r="A54" s="4">
        <v>43558.773495370369</v>
      </c>
      <c r="B54" s="5" t="s">
        <v>15089</v>
      </c>
      <c r="C54" s="6" t="s">
        <v>12042</v>
      </c>
      <c r="D54" s="7" t="s">
        <v>5816</v>
      </c>
      <c r="E54" s="8" t="s">
        <v>13011</v>
      </c>
      <c r="F54" s="4">
        <v>41275.743773148148</v>
      </c>
      <c r="G54" s="17" t="s">
        <v>13002</v>
      </c>
      <c r="H54" s="35" t="s">
        <v>12041</v>
      </c>
      <c r="I54" s="10" t="s">
        <v>12043</v>
      </c>
    </row>
    <row r="55" spans="1:9" s="33" customFormat="1" ht="135">
      <c r="A55" s="4">
        <v>43558.773321759261</v>
      </c>
      <c r="B55" s="5" t="s">
        <v>15090</v>
      </c>
      <c r="C55" s="6" t="s">
        <v>12044</v>
      </c>
      <c r="D55" s="7" t="s">
        <v>5816</v>
      </c>
      <c r="E55" s="8" t="s">
        <v>13011</v>
      </c>
      <c r="F55" s="4">
        <v>42641.538576388892</v>
      </c>
      <c r="G55" s="17" t="s">
        <v>13002</v>
      </c>
      <c r="H55" s="35" t="s">
        <v>12041</v>
      </c>
      <c r="I55" s="10" t="s">
        <v>5818</v>
      </c>
    </row>
    <row r="56" spans="1:9" s="33" customFormat="1" ht="75">
      <c r="A56" s="12">
        <v>43566.616655092592</v>
      </c>
      <c r="B56" s="13" t="s">
        <v>15091</v>
      </c>
      <c r="C56" s="14" t="s">
        <v>5396</v>
      </c>
      <c r="D56" s="15" t="s">
        <v>5397</v>
      </c>
      <c r="E56" s="16" t="s">
        <v>13032</v>
      </c>
      <c r="F56" s="12">
        <v>39921.602175925924</v>
      </c>
      <c r="G56" s="17" t="s">
        <v>13002</v>
      </c>
      <c r="H56" s="35" t="s">
        <v>5398</v>
      </c>
      <c r="I56" s="18" t="s">
        <v>5399</v>
      </c>
    </row>
    <row r="57" spans="1:9" s="33" customFormat="1" ht="120">
      <c r="A57" s="4">
        <v>43564.438333333332</v>
      </c>
      <c r="B57" s="5" t="s">
        <v>15092</v>
      </c>
      <c r="C57" s="5" t="s">
        <v>6610</v>
      </c>
      <c r="D57" s="7" t="s">
        <v>6611</v>
      </c>
      <c r="E57" s="8" t="s">
        <v>13006</v>
      </c>
      <c r="F57" s="4">
        <v>40010.28969907407</v>
      </c>
      <c r="G57" s="17" t="s">
        <v>13002</v>
      </c>
      <c r="H57" s="35" t="s">
        <v>6612</v>
      </c>
      <c r="I57" s="10" t="s">
        <v>6613</v>
      </c>
    </row>
    <row r="58" spans="1:9" s="33" customFormat="1" ht="135">
      <c r="A58" s="4">
        <v>43558.555497685185</v>
      </c>
      <c r="B58" s="5" t="s">
        <v>15093</v>
      </c>
      <c r="C58" s="6" t="s">
        <v>5504</v>
      </c>
      <c r="D58" s="7" t="s">
        <v>12133</v>
      </c>
      <c r="E58" s="8" t="s">
        <v>13027</v>
      </c>
      <c r="F58" s="4">
        <v>40364.607881944445</v>
      </c>
      <c r="G58" s="9" t="s">
        <v>13002</v>
      </c>
      <c r="H58" s="35" t="s">
        <v>1186</v>
      </c>
      <c r="I58" s="10" t="s">
        <v>5506</v>
      </c>
    </row>
    <row r="59" spans="1:9" s="33" customFormat="1" ht="165">
      <c r="A59" s="12">
        <v>43578.465405092589</v>
      </c>
      <c r="B59" s="13" t="s">
        <v>15094</v>
      </c>
      <c r="C59" s="14" t="s">
        <v>1184</v>
      </c>
      <c r="D59" s="15" t="s">
        <v>1185</v>
      </c>
      <c r="E59" s="16" t="s">
        <v>13032</v>
      </c>
      <c r="F59" s="12">
        <v>43399.085138888884</v>
      </c>
      <c r="G59" s="9" t="s">
        <v>13002</v>
      </c>
      <c r="H59" s="35" t="s">
        <v>1186</v>
      </c>
      <c r="I59" s="18" t="s">
        <v>1187</v>
      </c>
    </row>
    <row r="60" spans="1:9" s="33" customFormat="1" ht="135">
      <c r="A60" s="12">
        <v>43566.472118055557</v>
      </c>
      <c r="B60" s="13" t="s">
        <v>15093</v>
      </c>
      <c r="C60" s="14" t="s">
        <v>5504</v>
      </c>
      <c r="D60" s="15" t="s">
        <v>5505</v>
      </c>
      <c r="E60" s="16" t="s">
        <v>13027</v>
      </c>
      <c r="F60" s="12">
        <v>40364.607881944445</v>
      </c>
      <c r="G60" s="9" t="s">
        <v>13002</v>
      </c>
      <c r="H60" s="35" t="s">
        <v>1186</v>
      </c>
      <c r="I60" s="18" t="s">
        <v>5506</v>
      </c>
    </row>
    <row r="61" spans="1:9" s="33" customFormat="1" ht="120">
      <c r="A61" s="19">
        <v>43545.228055555555</v>
      </c>
      <c r="B61" s="20" t="s">
        <v>15095</v>
      </c>
      <c r="C61" s="21" t="s">
        <v>6424</v>
      </c>
      <c r="D61" s="22" t="s">
        <v>12918</v>
      </c>
      <c r="E61" s="23" t="s">
        <v>13013</v>
      </c>
      <c r="F61" s="19">
        <v>42716.54387731482</v>
      </c>
      <c r="G61" s="24" t="s">
        <v>13002</v>
      </c>
      <c r="H61" s="35" t="s">
        <v>6425</v>
      </c>
      <c r="I61" s="25" t="s">
        <v>6426</v>
      </c>
    </row>
    <row r="62" spans="1:9" s="33" customFormat="1" ht="120">
      <c r="A62" s="4">
        <v>43564.762152777781</v>
      </c>
      <c r="B62" s="5" t="s">
        <v>15095</v>
      </c>
      <c r="C62" s="6" t="s">
        <v>6424</v>
      </c>
      <c r="D62" s="7" t="s">
        <v>12919</v>
      </c>
      <c r="E62" s="8" t="s">
        <v>13013</v>
      </c>
      <c r="F62" s="4">
        <v>42716.54387731482</v>
      </c>
      <c r="G62" s="9" t="s">
        <v>13002</v>
      </c>
      <c r="H62" s="35" t="s">
        <v>6425</v>
      </c>
      <c r="I62" s="10" t="s">
        <v>6426</v>
      </c>
    </row>
    <row r="63" spans="1:9" s="33" customFormat="1" ht="135">
      <c r="A63" s="12">
        <v>43572.122962962967</v>
      </c>
      <c r="B63" s="13" t="s">
        <v>15096</v>
      </c>
      <c r="C63" s="14" t="s">
        <v>3421</v>
      </c>
      <c r="D63" s="15" t="s">
        <v>3422</v>
      </c>
      <c r="E63" s="16" t="s">
        <v>13034</v>
      </c>
      <c r="F63" s="12">
        <v>42286.304490740746</v>
      </c>
      <c r="G63" s="17" t="s">
        <v>13002</v>
      </c>
      <c r="H63" s="35" t="s">
        <v>3423</v>
      </c>
      <c r="I63" s="18" t="s">
        <v>3424</v>
      </c>
    </row>
    <row r="64" spans="1:9" s="33" customFormat="1" ht="75">
      <c r="A64" s="12">
        <v>43579.168715277774</v>
      </c>
      <c r="B64" s="13" t="s">
        <v>15097</v>
      </c>
      <c r="C64" s="14" t="s">
        <v>898</v>
      </c>
      <c r="D64" s="15" t="s">
        <v>301</v>
      </c>
      <c r="E64" s="16" t="s">
        <v>13009</v>
      </c>
      <c r="F64" s="12">
        <v>43166.399050925931</v>
      </c>
      <c r="G64" s="17" t="s">
        <v>13002</v>
      </c>
      <c r="H64" s="35" t="s">
        <v>899</v>
      </c>
      <c r="I64" s="18" t="s">
        <v>900</v>
      </c>
    </row>
    <row r="65" spans="1:9" s="33" customFormat="1" ht="75">
      <c r="A65" s="12">
        <v>43579.168368055558</v>
      </c>
      <c r="B65" s="13" t="s">
        <v>15098</v>
      </c>
      <c r="C65" s="14" t="s">
        <v>903</v>
      </c>
      <c r="D65" s="15" t="s">
        <v>301</v>
      </c>
      <c r="E65" s="16" t="s">
        <v>13009</v>
      </c>
      <c r="F65" s="12">
        <v>43397.960358796292</v>
      </c>
      <c r="G65" s="17" t="s">
        <v>13002</v>
      </c>
      <c r="H65" s="35" t="s">
        <v>899</v>
      </c>
      <c r="I65" s="18" t="s">
        <v>904</v>
      </c>
    </row>
    <row r="66" spans="1:9" s="33" customFormat="1" ht="60">
      <c r="A66" s="12">
        <v>43578.965266203704</v>
      </c>
      <c r="B66" s="13" t="s">
        <v>15097</v>
      </c>
      <c r="C66" s="14" t="s">
        <v>898</v>
      </c>
      <c r="D66" s="15" t="s">
        <v>938</v>
      </c>
      <c r="E66" s="16" t="s">
        <v>13009</v>
      </c>
      <c r="F66" s="12">
        <v>43166.399050925931</v>
      </c>
      <c r="G66" s="17" t="s">
        <v>13002</v>
      </c>
      <c r="H66" s="35" t="s">
        <v>899</v>
      </c>
      <c r="I66" s="18" t="s">
        <v>900</v>
      </c>
    </row>
    <row r="67" spans="1:9" s="33" customFormat="1" ht="75">
      <c r="A67" s="12">
        <v>43578.378865740742</v>
      </c>
      <c r="B67" s="13" t="s">
        <v>15097</v>
      </c>
      <c r="C67" s="14" t="s">
        <v>898</v>
      </c>
      <c r="D67" s="15" t="s">
        <v>996</v>
      </c>
      <c r="E67" s="16" t="s">
        <v>13009</v>
      </c>
      <c r="F67" s="12">
        <v>43166.399050925931</v>
      </c>
      <c r="G67" s="17" t="s">
        <v>13002</v>
      </c>
      <c r="H67" s="35" t="s">
        <v>899</v>
      </c>
      <c r="I67" s="18" t="s">
        <v>900</v>
      </c>
    </row>
    <row r="68" spans="1:9" s="33" customFormat="1" ht="45">
      <c r="A68" s="12">
        <v>43575.336423611108</v>
      </c>
      <c r="B68" s="13" t="s">
        <v>15099</v>
      </c>
      <c r="C68" s="14" t="s">
        <v>2291</v>
      </c>
      <c r="D68" s="15" t="s">
        <v>2279</v>
      </c>
      <c r="E68" s="16" t="s">
        <v>13009</v>
      </c>
      <c r="F68" s="12">
        <v>43212.677731481483</v>
      </c>
      <c r="G68" s="17" t="s">
        <v>13002</v>
      </c>
      <c r="H68" s="35" t="s">
        <v>899</v>
      </c>
      <c r="I68" s="18"/>
    </row>
  </sheetData>
  <autoFilter ref="A1:I68"/>
  <dataValidations count="1">
    <dataValidation type="textLength" allowBlank="1" showInputMessage="1" showErrorMessage="1" sqref="G1:H68">
      <formula1>1</formula1>
      <formula2>50</formula2>
    </dataValidation>
  </dataValidations>
  <hyperlinks>
    <hyperlink ref="C57"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5"/>
  <sheetViews>
    <sheetView zoomScale="55" zoomScaleNormal="55" workbookViewId="0">
      <selection activeCell="O9" sqref="O9"/>
    </sheetView>
  </sheetViews>
  <sheetFormatPr defaultRowHeight="15"/>
  <cols>
    <col min="1" max="1" width="13.5703125" customWidth="1"/>
    <col min="2" max="2" width="12.5703125" customWidth="1"/>
    <col min="3" max="3" width="17.42578125" customWidth="1"/>
    <col min="4" max="4" width="36.42578125" customWidth="1"/>
    <col min="5" max="5" width="14.42578125" customWidth="1"/>
    <col min="6" max="6" width="14" customWidth="1"/>
    <col min="7" max="7" width="21.28515625" customWidth="1"/>
    <col min="8" max="8" width="12.42578125" customWidth="1"/>
    <col min="9" max="9" width="34.140625" customWidth="1"/>
    <col min="12" max="12" width="11.7109375" customWidth="1"/>
    <col min="13" max="13" width="24.42578125" customWidth="1"/>
  </cols>
  <sheetData>
    <row r="1" spans="1:15" s="3" customFormat="1" ht="29.25" customHeight="1">
      <c r="A1" s="36" t="s">
        <v>0</v>
      </c>
      <c r="B1" s="1" t="s">
        <v>1</v>
      </c>
      <c r="C1" s="1" t="s">
        <v>2</v>
      </c>
      <c r="D1" s="2" t="s">
        <v>3</v>
      </c>
      <c r="E1" s="1" t="s">
        <v>5</v>
      </c>
      <c r="F1" s="1" t="s">
        <v>6</v>
      </c>
      <c r="G1" s="1" t="s">
        <v>13003</v>
      </c>
      <c r="H1" s="1" t="s">
        <v>4</v>
      </c>
      <c r="I1" s="2" t="s">
        <v>7</v>
      </c>
    </row>
    <row r="2" spans="1:15" s="33" customFormat="1" ht="90">
      <c r="A2" s="12">
        <v>43576.751238425924</v>
      </c>
      <c r="B2" s="13" t="s">
        <v>15100</v>
      </c>
      <c r="C2" s="14" t="s">
        <v>1849</v>
      </c>
      <c r="D2" s="15" t="s">
        <v>1850</v>
      </c>
      <c r="E2" s="16" t="s">
        <v>13462</v>
      </c>
      <c r="F2" s="12">
        <v>42939.548391203702</v>
      </c>
      <c r="G2" s="17" t="s">
        <v>13001</v>
      </c>
      <c r="H2" s="35" t="s">
        <v>1851</v>
      </c>
      <c r="I2" s="18" t="s">
        <v>1852</v>
      </c>
      <c r="L2" s="40"/>
      <c r="M2" s="41"/>
      <c r="N2" s="11"/>
      <c r="O2" s="11"/>
    </row>
    <row r="3" spans="1:15" s="33" customFormat="1" ht="90">
      <c r="A3" s="4">
        <v>43565.174062499995</v>
      </c>
      <c r="B3" s="5" t="s">
        <v>15101</v>
      </c>
      <c r="C3" s="6" t="s">
        <v>6258</v>
      </c>
      <c r="D3" s="7" t="s">
        <v>12816</v>
      </c>
      <c r="E3" s="8" t="s">
        <v>13009</v>
      </c>
      <c r="F3" s="4">
        <v>40072.326585648145</v>
      </c>
      <c r="G3" s="9" t="s">
        <v>13001</v>
      </c>
      <c r="H3" s="35" t="s">
        <v>6259</v>
      </c>
      <c r="I3" s="10" t="s">
        <v>6260</v>
      </c>
      <c r="L3" s="40"/>
      <c r="M3" s="11"/>
      <c r="N3" s="11"/>
      <c r="O3" s="11"/>
    </row>
    <row r="4" spans="1:15" s="33" customFormat="1" ht="150">
      <c r="A4" s="19">
        <v>43551.835428240738</v>
      </c>
      <c r="B4" s="20" t="s">
        <v>15102</v>
      </c>
      <c r="C4" s="21" t="s">
        <v>352</v>
      </c>
      <c r="D4" s="22" t="s">
        <v>6986</v>
      </c>
      <c r="E4" s="23" t="s">
        <v>13443</v>
      </c>
      <c r="F4" s="19">
        <v>42170.366296296299</v>
      </c>
      <c r="G4" s="9" t="s">
        <v>13001</v>
      </c>
      <c r="H4" s="35" t="s">
        <v>354</v>
      </c>
      <c r="I4" s="25" t="s">
        <v>355</v>
      </c>
      <c r="L4" s="40"/>
      <c r="M4" s="11"/>
      <c r="N4" s="11"/>
      <c r="O4" s="11"/>
    </row>
    <row r="5" spans="1:15" s="33" customFormat="1" ht="135">
      <c r="A5" s="19">
        <v>43550.667210648149</v>
      </c>
      <c r="B5" s="20" t="s">
        <v>15103</v>
      </c>
      <c r="C5" s="21" t="s">
        <v>7559</v>
      </c>
      <c r="D5" s="22" t="s">
        <v>7560</v>
      </c>
      <c r="E5" s="23" t="s">
        <v>13018</v>
      </c>
      <c r="F5" s="19">
        <v>40218.868738425925</v>
      </c>
      <c r="G5" s="9" t="s">
        <v>13001</v>
      </c>
      <c r="H5" s="35" t="s">
        <v>354</v>
      </c>
      <c r="I5" s="25" t="s">
        <v>7561</v>
      </c>
      <c r="L5" s="40"/>
      <c r="M5" s="11"/>
      <c r="N5" s="11"/>
      <c r="O5" s="11"/>
    </row>
    <row r="6" spans="1:15" s="33" customFormat="1" ht="60">
      <c r="A6" s="19">
        <v>43550.139710648145</v>
      </c>
      <c r="B6" s="20" t="s">
        <v>15104</v>
      </c>
      <c r="C6" s="21" t="s">
        <v>7817</v>
      </c>
      <c r="D6" s="22" t="s">
        <v>7818</v>
      </c>
      <c r="E6" s="23" t="s">
        <v>13009</v>
      </c>
      <c r="F6" s="19">
        <v>42158.163090277776</v>
      </c>
      <c r="G6" s="9" t="s">
        <v>13001</v>
      </c>
      <c r="H6" s="35" t="s">
        <v>354</v>
      </c>
      <c r="I6" s="25" t="s">
        <v>7819</v>
      </c>
      <c r="L6" s="40"/>
      <c r="M6" s="11"/>
      <c r="N6" s="11"/>
      <c r="O6" s="11"/>
    </row>
    <row r="7" spans="1:15" s="33" customFormat="1" ht="120">
      <c r="A7" s="19">
        <v>43549.954155092593</v>
      </c>
      <c r="B7" s="20" t="s">
        <v>15102</v>
      </c>
      <c r="C7" s="21" t="s">
        <v>352</v>
      </c>
      <c r="D7" s="22" t="s">
        <v>7870</v>
      </c>
      <c r="E7" s="23" t="s">
        <v>13443</v>
      </c>
      <c r="F7" s="19">
        <v>42170.366296296299</v>
      </c>
      <c r="G7" s="9" t="s">
        <v>13001</v>
      </c>
      <c r="H7" s="35" t="s">
        <v>354</v>
      </c>
      <c r="I7" s="25" t="s">
        <v>355</v>
      </c>
      <c r="L7" s="40"/>
      <c r="M7" s="11"/>
      <c r="N7" s="11"/>
      <c r="O7" s="11"/>
    </row>
    <row r="8" spans="1:15" s="33" customFormat="1" ht="90">
      <c r="A8" s="19">
        <v>43548.813923611116</v>
      </c>
      <c r="B8" s="20" t="s">
        <v>15105</v>
      </c>
      <c r="C8" s="21" t="s">
        <v>8216</v>
      </c>
      <c r="D8" s="22" t="s">
        <v>8217</v>
      </c>
      <c r="E8" s="23" t="s">
        <v>13032</v>
      </c>
      <c r="F8" s="19">
        <v>40404.658368055556</v>
      </c>
      <c r="G8" s="9" t="s">
        <v>13001</v>
      </c>
      <c r="H8" s="35" t="s">
        <v>354</v>
      </c>
      <c r="I8" s="25"/>
      <c r="L8" s="40"/>
      <c r="M8" s="11"/>
      <c r="N8" s="11"/>
      <c r="O8" s="11"/>
    </row>
    <row r="9" spans="1:15" s="33" customFormat="1" ht="75">
      <c r="A9" s="19">
        <v>43545.974363425921</v>
      </c>
      <c r="B9" s="20" t="s">
        <v>15106</v>
      </c>
      <c r="C9" s="21" t="s">
        <v>8987</v>
      </c>
      <c r="D9" s="22" t="s">
        <v>8988</v>
      </c>
      <c r="E9" s="23" t="s">
        <v>13015</v>
      </c>
      <c r="F9" s="19">
        <v>42741.782500000001</v>
      </c>
      <c r="G9" s="9" t="s">
        <v>13001</v>
      </c>
      <c r="H9" s="35" t="s">
        <v>354</v>
      </c>
      <c r="I9" s="25" t="s">
        <v>8989</v>
      </c>
      <c r="L9" s="40"/>
      <c r="M9" s="11"/>
      <c r="N9" s="11"/>
      <c r="O9" s="11"/>
    </row>
    <row r="10" spans="1:15" s="33" customFormat="1" ht="150">
      <c r="A10" s="19">
        <v>43545.838888888888</v>
      </c>
      <c r="B10" s="20" t="s">
        <v>15102</v>
      </c>
      <c r="C10" s="21" t="s">
        <v>352</v>
      </c>
      <c r="D10" s="22" t="s">
        <v>9025</v>
      </c>
      <c r="E10" s="23" t="s">
        <v>13443</v>
      </c>
      <c r="F10" s="19">
        <v>42170.366296296299</v>
      </c>
      <c r="G10" s="9" t="s">
        <v>13001</v>
      </c>
      <c r="H10" s="35" t="s">
        <v>354</v>
      </c>
      <c r="I10" s="25" t="s">
        <v>355</v>
      </c>
      <c r="L10" s="40"/>
      <c r="M10" s="11"/>
      <c r="N10" s="11"/>
      <c r="O10" s="11"/>
    </row>
    <row r="11" spans="1:15" s="33" customFormat="1" ht="120">
      <c r="A11" s="19">
        <v>43545.770833333328</v>
      </c>
      <c r="B11" s="20" t="s">
        <v>15102</v>
      </c>
      <c r="C11" s="21" t="s">
        <v>352</v>
      </c>
      <c r="D11" s="22" t="s">
        <v>9056</v>
      </c>
      <c r="E11" s="23" t="s">
        <v>13443</v>
      </c>
      <c r="F11" s="19">
        <v>42170.366296296299</v>
      </c>
      <c r="G11" s="9" t="s">
        <v>13001</v>
      </c>
      <c r="H11" s="35" t="s">
        <v>354</v>
      </c>
      <c r="I11" s="25" t="s">
        <v>355</v>
      </c>
      <c r="L11" s="40"/>
      <c r="M11" s="11"/>
      <c r="N11" s="11"/>
      <c r="O11" s="11"/>
    </row>
    <row r="12" spans="1:15" s="33" customFormat="1" ht="135">
      <c r="A12" s="19">
        <v>43542.834733796291</v>
      </c>
      <c r="B12" s="20" t="s">
        <v>15102</v>
      </c>
      <c r="C12" s="21" t="s">
        <v>352</v>
      </c>
      <c r="D12" s="22" t="s">
        <v>10006</v>
      </c>
      <c r="E12" s="23" t="s">
        <v>13443</v>
      </c>
      <c r="F12" s="19">
        <v>42170.366296296299</v>
      </c>
      <c r="G12" s="9" t="s">
        <v>13001</v>
      </c>
      <c r="H12" s="35" t="s">
        <v>354</v>
      </c>
      <c r="I12" s="25" t="s">
        <v>355</v>
      </c>
      <c r="L12" s="40"/>
      <c r="M12" s="11"/>
      <c r="N12" s="11"/>
      <c r="O12" s="11"/>
    </row>
    <row r="13" spans="1:15" s="33" customFormat="1" ht="90">
      <c r="A13" s="19">
        <v>43542.750173611115</v>
      </c>
      <c r="B13" s="20" t="s">
        <v>15107</v>
      </c>
      <c r="C13" s="21" t="s">
        <v>10025</v>
      </c>
      <c r="D13" s="22" t="s">
        <v>10026</v>
      </c>
      <c r="E13" s="23" t="s">
        <v>13120</v>
      </c>
      <c r="F13" s="19">
        <v>40030.870972222227</v>
      </c>
      <c r="G13" s="9" t="s">
        <v>13001</v>
      </c>
      <c r="H13" s="35" t="s">
        <v>354</v>
      </c>
      <c r="I13" s="25" t="s">
        <v>10027</v>
      </c>
      <c r="L13" s="40"/>
      <c r="M13" s="11"/>
      <c r="N13" s="11"/>
      <c r="O13" s="11"/>
    </row>
    <row r="14" spans="1:15" s="33" customFormat="1" ht="120">
      <c r="A14" s="4">
        <v>43565.746724537035</v>
      </c>
      <c r="B14" s="5" t="s">
        <v>15108</v>
      </c>
      <c r="C14" s="6" t="s">
        <v>3973</v>
      </c>
      <c r="D14" s="7" t="s">
        <v>5916</v>
      </c>
      <c r="E14" s="8" t="s">
        <v>13009</v>
      </c>
      <c r="F14" s="4">
        <v>40255.805868055555</v>
      </c>
      <c r="G14" s="9" t="s">
        <v>13001</v>
      </c>
      <c r="H14" s="35" t="s">
        <v>354</v>
      </c>
      <c r="I14" s="10" t="s">
        <v>3975</v>
      </c>
      <c r="L14" s="40"/>
      <c r="M14" s="11"/>
      <c r="N14" s="11"/>
      <c r="O14" s="11"/>
    </row>
    <row r="15" spans="1:15" s="33" customFormat="1" ht="105">
      <c r="A15" s="4">
        <v>43565.683587962965</v>
      </c>
      <c r="B15" s="5" t="s">
        <v>15109</v>
      </c>
      <c r="C15" s="6" t="s">
        <v>5952</v>
      </c>
      <c r="D15" s="7" t="s">
        <v>5953</v>
      </c>
      <c r="E15" s="8" t="s">
        <v>13009</v>
      </c>
      <c r="F15" s="4">
        <v>41490.731516203705</v>
      </c>
      <c r="G15" s="9" t="s">
        <v>13001</v>
      </c>
      <c r="H15" s="35" t="s">
        <v>354</v>
      </c>
      <c r="I15" s="10" t="s">
        <v>5954</v>
      </c>
      <c r="L15" s="40"/>
      <c r="M15" s="41"/>
      <c r="N15" s="11"/>
      <c r="O15" s="11"/>
    </row>
    <row r="16" spans="1:15" s="33" customFormat="1" ht="135">
      <c r="A16" s="4">
        <v>43564.755590277782</v>
      </c>
      <c r="B16" s="5" t="s">
        <v>15108</v>
      </c>
      <c r="C16" s="6" t="s">
        <v>3973</v>
      </c>
      <c r="D16" s="7" t="s">
        <v>6427</v>
      </c>
      <c r="E16" s="8" t="s">
        <v>13009</v>
      </c>
      <c r="F16" s="4">
        <v>40255.805868055555</v>
      </c>
      <c r="G16" s="9" t="s">
        <v>13001</v>
      </c>
      <c r="H16" s="35" t="s">
        <v>354</v>
      </c>
      <c r="I16" s="10" t="s">
        <v>3975</v>
      </c>
      <c r="L16" s="40"/>
      <c r="M16" s="11"/>
      <c r="N16" s="11"/>
      <c r="O16" s="11"/>
    </row>
    <row r="17" spans="1:15" s="33" customFormat="1" ht="90">
      <c r="A17" s="4">
        <v>43564.626030092593</v>
      </c>
      <c r="B17" s="5" t="s">
        <v>15110</v>
      </c>
      <c r="C17" s="6" t="s">
        <v>6486</v>
      </c>
      <c r="D17" s="7" t="s">
        <v>6487</v>
      </c>
      <c r="E17" s="8" t="s">
        <v>13130</v>
      </c>
      <c r="F17" s="4">
        <v>40926.111597222218</v>
      </c>
      <c r="G17" s="9" t="s">
        <v>13001</v>
      </c>
      <c r="H17" s="35" t="s">
        <v>354</v>
      </c>
      <c r="I17" s="10" t="s">
        <v>6488</v>
      </c>
      <c r="L17" s="40"/>
      <c r="M17" s="11"/>
      <c r="N17" s="11"/>
      <c r="O17" s="11"/>
    </row>
    <row r="18" spans="1:15" s="33" customFormat="1" ht="120">
      <c r="A18" s="4">
        <v>43564.061562499999</v>
      </c>
      <c r="B18" s="5" t="s">
        <v>15111</v>
      </c>
      <c r="C18" s="6" t="s">
        <v>6796</v>
      </c>
      <c r="D18" s="7" t="s">
        <v>6797</v>
      </c>
      <c r="E18" s="8" t="s">
        <v>13013</v>
      </c>
      <c r="F18" s="4">
        <v>40629.306250000001</v>
      </c>
      <c r="G18" s="9" t="s">
        <v>13001</v>
      </c>
      <c r="H18" s="35" t="s">
        <v>354</v>
      </c>
      <c r="I18" s="10" t="s">
        <v>6798</v>
      </c>
      <c r="L18" s="40">
        <v>3</v>
      </c>
      <c r="M18" s="11" t="s">
        <v>16146</v>
      </c>
      <c r="N18" s="11">
        <v>0</v>
      </c>
      <c r="O18" s="11"/>
    </row>
    <row r="19" spans="1:15" s="33" customFormat="1" ht="150">
      <c r="A19" s="4">
        <v>43563.990972222222</v>
      </c>
      <c r="B19" s="5" t="s">
        <v>15102</v>
      </c>
      <c r="C19" s="6" t="s">
        <v>352</v>
      </c>
      <c r="D19" s="7" t="s">
        <v>6829</v>
      </c>
      <c r="E19" s="8" t="s">
        <v>13443</v>
      </c>
      <c r="F19" s="4">
        <v>42170.366296296299</v>
      </c>
      <c r="G19" s="9" t="s">
        <v>13001</v>
      </c>
      <c r="H19" s="35" t="s">
        <v>354</v>
      </c>
      <c r="I19" s="10" t="s">
        <v>355</v>
      </c>
      <c r="L19" s="40">
        <v>4</v>
      </c>
      <c r="M19" s="11" t="s">
        <v>16143</v>
      </c>
      <c r="N19" s="11">
        <v>0</v>
      </c>
      <c r="O19" s="11"/>
    </row>
    <row r="20" spans="1:15" s="33" customFormat="1" ht="120">
      <c r="A20" s="4">
        <v>43563.990972222222</v>
      </c>
      <c r="B20" s="5" t="s">
        <v>15102</v>
      </c>
      <c r="C20" s="6" t="s">
        <v>352</v>
      </c>
      <c r="D20" s="7" t="s">
        <v>6830</v>
      </c>
      <c r="E20" s="8" t="s">
        <v>13443</v>
      </c>
      <c r="F20" s="4">
        <v>42170.366296296299</v>
      </c>
      <c r="G20" s="9" t="s">
        <v>13001</v>
      </c>
      <c r="H20" s="35" t="s">
        <v>354</v>
      </c>
      <c r="I20" s="10" t="s">
        <v>355</v>
      </c>
      <c r="L20" s="40">
        <v>5</v>
      </c>
      <c r="M20" s="11" t="s">
        <v>16144</v>
      </c>
      <c r="N20" s="11">
        <v>0</v>
      </c>
      <c r="O20" s="11"/>
    </row>
    <row r="21" spans="1:15" s="33" customFormat="1" ht="90">
      <c r="A21" s="4">
        <v>43563.887430555551</v>
      </c>
      <c r="B21" s="5" t="s">
        <v>15112</v>
      </c>
      <c r="C21" s="6" t="s">
        <v>6851</v>
      </c>
      <c r="D21" s="7" t="s">
        <v>6852</v>
      </c>
      <c r="E21" s="8" t="s">
        <v>13009</v>
      </c>
      <c r="F21" s="4">
        <v>41050.671527777777</v>
      </c>
      <c r="G21" s="9" t="s">
        <v>13001</v>
      </c>
      <c r="H21" s="35" t="s">
        <v>354</v>
      </c>
      <c r="I21" s="10" t="s">
        <v>6853</v>
      </c>
      <c r="L21" s="40">
        <v>6</v>
      </c>
      <c r="M21" s="11" t="s">
        <v>16145</v>
      </c>
      <c r="N21" s="11">
        <v>0</v>
      </c>
      <c r="O21" s="11"/>
    </row>
    <row r="22" spans="1:15" s="33" customFormat="1" ht="60">
      <c r="A22" s="4">
        <v>43563.768043981487</v>
      </c>
      <c r="B22" s="5" t="s">
        <v>15113</v>
      </c>
      <c r="C22" s="6" t="s">
        <v>6887</v>
      </c>
      <c r="D22" s="7" t="s">
        <v>6888</v>
      </c>
      <c r="E22" s="8" t="s">
        <v>13015</v>
      </c>
      <c r="F22" s="4">
        <v>41823.323240740741</v>
      </c>
      <c r="G22" s="9" t="s">
        <v>13001</v>
      </c>
      <c r="H22" s="35" t="s">
        <v>354</v>
      </c>
      <c r="I22" s="10" t="s">
        <v>6889</v>
      </c>
    </row>
    <row r="23" spans="1:15" s="33" customFormat="1" ht="150">
      <c r="A23" s="4">
        <v>43563.751388888893</v>
      </c>
      <c r="B23" s="5" t="s">
        <v>15102</v>
      </c>
      <c r="C23" s="6" t="s">
        <v>352</v>
      </c>
      <c r="D23" s="7" t="s">
        <v>6900</v>
      </c>
      <c r="E23" s="8" t="s">
        <v>13443</v>
      </c>
      <c r="F23" s="4">
        <v>42170.366296296299</v>
      </c>
      <c r="G23" s="9" t="s">
        <v>13001</v>
      </c>
      <c r="H23" s="35" t="s">
        <v>354</v>
      </c>
      <c r="I23" s="10" t="s">
        <v>355</v>
      </c>
    </row>
    <row r="24" spans="1:15" s="33" customFormat="1" ht="60">
      <c r="A24" s="4">
        <v>43562.671585648146</v>
      </c>
      <c r="B24" s="5" t="s">
        <v>15114</v>
      </c>
      <c r="C24" s="6" t="s">
        <v>10616</v>
      </c>
      <c r="D24" s="7" t="s">
        <v>10617</v>
      </c>
      <c r="E24" s="8" t="s">
        <v>15115</v>
      </c>
      <c r="F24" s="4">
        <v>39974.717048611114</v>
      </c>
      <c r="G24" s="9" t="s">
        <v>13001</v>
      </c>
      <c r="H24" s="35" t="s">
        <v>354</v>
      </c>
      <c r="I24" s="10" t="s">
        <v>10618</v>
      </c>
    </row>
    <row r="25" spans="1:15" s="33" customFormat="1" ht="90">
      <c r="A25" s="4">
        <v>43560.740567129629</v>
      </c>
      <c r="B25" s="5" t="s">
        <v>15116</v>
      </c>
      <c r="C25" s="6" t="s">
        <v>2693</v>
      </c>
      <c r="D25" s="7" t="s">
        <v>11205</v>
      </c>
      <c r="E25" s="8" t="s">
        <v>13011</v>
      </c>
      <c r="F25" s="4">
        <v>40014.64603009259</v>
      </c>
      <c r="G25" s="9" t="s">
        <v>13001</v>
      </c>
      <c r="H25" s="35" t="s">
        <v>354</v>
      </c>
      <c r="I25" s="10" t="s">
        <v>2695</v>
      </c>
    </row>
    <row r="26" spans="1:15" s="33" customFormat="1" ht="75">
      <c r="A26" s="4">
        <v>43560.735844907409</v>
      </c>
      <c r="B26" s="5" t="s">
        <v>15117</v>
      </c>
      <c r="C26" s="6" t="s">
        <v>11206</v>
      </c>
      <c r="D26" s="7" t="s">
        <v>11207</v>
      </c>
      <c r="E26" s="8" t="s">
        <v>13011</v>
      </c>
      <c r="F26" s="4">
        <v>40407.90865740741</v>
      </c>
      <c r="G26" s="9" t="s">
        <v>13001</v>
      </c>
      <c r="H26" s="35" t="s">
        <v>354</v>
      </c>
      <c r="I26" s="10" t="s">
        <v>11208</v>
      </c>
    </row>
    <row r="27" spans="1:15" s="33" customFormat="1" ht="135">
      <c r="A27" s="4">
        <v>43559.948611111111</v>
      </c>
      <c r="B27" s="5" t="s">
        <v>15102</v>
      </c>
      <c r="C27" s="6" t="s">
        <v>352</v>
      </c>
      <c r="D27" s="7" t="s">
        <v>11651</v>
      </c>
      <c r="E27" s="8" t="s">
        <v>13443</v>
      </c>
      <c r="F27" s="4">
        <v>42170.366296296299</v>
      </c>
      <c r="G27" s="9" t="s">
        <v>13001</v>
      </c>
      <c r="H27" s="35" t="s">
        <v>354</v>
      </c>
      <c r="I27" s="10" t="s">
        <v>355</v>
      </c>
    </row>
    <row r="28" spans="1:15" s="33" customFormat="1" ht="135">
      <c r="A28" s="4">
        <v>43559.834027777775</v>
      </c>
      <c r="B28" s="5" t="s">
        <v>15102</v>
      </c>
      <c r="C28" s="6" t="s">
        <v>352</v>
      </c>
      <c r="D28" s="7" t="s">
        <v>11679</v>
      </c>
      <c r="E28" s="8" t="s">
        <v>13443</v>
      </c>
      <c r="F28" s="4">
        <v>42170.366296296299</v>
      </c>
      <c r="G28" s="9" t="s">
        <v>13001</v>
      </c>
      <c r="H28" s="35" t="s">
        <v>354</v>
      </c>
      <c r="I28" s="10" t="s">
        <v>355</v>
      </c>
    </row>
    <row r="29" spans="1:15" s="33" customFormat="1" ht="135">
      <c r="A29" s="4">
        <v>43559.709016203706</v>
      </c>
      <c r="B29" s="5" t="s">
        <v>15102</v>
      </c>
      <c r="C29" s="6" t="s">
        <v>352</v>
      </c>
      <c r="D29" s="7" t="s">
        <v>11710</v>
      </c>
      <c r="E29" s="8" t="s">
        <v>13443</v>
      </c>
      <c r="F29" s="4">
        <v>42170.366296296299</v>
      </c>
      <c r="G29" s="9" t="s">
        <v>13001</v>
      </c>
      <c r="H29" s="35" t="s">
        <v>354</v>
      </c>
      <c r="I29" s="10" t="s">
        <v>355</v>
      </c>
    </row>
    <row r="30" spans="1:15" s="33" customFormat="1" ht="75">
      <c r="A30" s="4">
        <v>43558.994525462964</v>
      </c>
      <c r="B30" s="5" t="s">
        <v>15118</v>
      </c>
      <c r="C30" s="6" t="s">
        <v>11983</v>
      </c>
      <c r="D30" s="7" t="s">
        <v>11984</v>
      </c>
      <c r="E30" s="8" t="s">
        <v>13013</v>
      </c>
      <c r="F30" s="4">
        <v>43147.758530092593</v>
      </c>
      <c r="G30" s="9" t="s">
        <v>13001</v>
      </c>
      <c r="H30" s="35" t="s">
        <v>354</v>
      </c>
      <c r="I30" s="10" t="s">
        <v>11985</v>
      </c>
    </row>
    <row r="31" spans="1:15" s="33" customFormat="1" ht="150">
      <c r="A31" s="4">
        <v>43558.954166666663</v>
      </c>
      <c r="B31" s="5" t="s">
        <v>15102</v>
      </c>
      <c r="C31" s="6" t="s">
        <v>352</v>
      </c>
      <c r="D31" s="7" t="s">
        <v>11994</v>
      </c>
      <c r="E31" s="8" t="s">
        <v>13443</v>
      </c>
      <c r="F31" s="4">
        <v>42170.366296296299</v>
      </c>
      <c r="G31" s="9" t="s">
        <v>13001</v>
      </c>
      <c r="H31" s="35" t="s">
        <v>354</v>
      </c>
      <c r="I31" s="10" t="s">
        <v>355</v>
      </c>
    </row>
    <row r="32" spans="1:15" s="33" customFormat="1" ht="135">
      <c r="A32" s="4">
        <v>43558.954155092593</v>
      </c>
      <c r="B32" s="5" t="s">
        <v>15102</v>
      </c>
      <c r="C32" s="6" t="s">
        <v>352</v>
      </c>
      <c r="D32" s="7" t="s">
        <v>11995</v>
      </c>
      <c r="E32" s="8" t="s">
        <v>13443</v>
      </c>
      <c r="F32" s="4">
        <v>42170.366296296299</v>
      </c>
      <c r="G32" s="9" t="s">
        <v>13001</v>
      </c>
      <c r="H32" s="35" t="s">
        <v>354</v>
      </c>
      <c r="I32" s="10" t="s">
        <v>355</v>
      </c>
    </row>
    <row r="33" spans="1:9" s="33" customFormat="1" ht="105">
      <c r="A33" s="4">
        <v>43558.908634259264</v>
      </c>
      <c r="B33" s="5" t="s">
        <v>15116</v>
      </c>
      <c r="C33" s="6" t="s">
        <v>2693</v>
      </c>
      <c r="D33" s="7" t="s">
        <v>12000</v>
      </c>
      <c r="E33" s="8" t="s">
        <v>13011</v>
      </c>
      <c r="F33" s="4">
        <v>40014.64603009259</v>
      </c>
      <c r="G33" s="9" t="s">
        <v>13001</v>
      </c>
      <c r="H33" s="35" t="s">
        <v>354</v>
      </c>
      <c r="I33" s="10" t="s">
        <v>2695</v>
      </c>
    </row>
    <row r="34" spans="1:9" s="33" customFormat="1" ht="90">
      <c r="A34" s="4">
        <v>43558.67260416667</v>
      </c>
      <c r="B34" s="5" t="s">
        <v>15119</v>
      </c>
      <c r="C34" s="6" t="s">
        <v>12078</v>
      </c>
      <c r="D34" s="7" t="s">
        <v>12079</v>
      </c>
      <c r="E34" s="8" t="s">
        <v>13013</v>
      </c>
      <c r="F34" s="4">
        <v>43260.101226851853</v>
      </c>
      <c r="G34" s="9" t="s">
        <v>13001</v>
      </c>
      <c r="H34" s="35" t="s">
        <v>354</v>
      </c>
      <c r="I34" s="10" t="s">
        <v>12080</v>
      </c>
    </row>
    <row r="35" spans="1:9" s="33" customFormat="1" ht="120">
      <c r="A35" s="4">
        <v>43557.87332175926</v>
      </c>
      <c r="B35" s="5" t="s">
        <v>15119</v>
      </c>
      <c r="C35" s="6" t="s">
        <v>12078</v>
      </c>
      <c r="D35" s="7" t="s">
        <v>12372</v>
      </c>
      <c r="E35" s="8" t="s">
        <v>13013</v>
      </c>
      <c r="F35" s="4">
        <v>43260.101226851853</v>
      </c>
      <c r="G35" s="9" t="s">
        <v>13001</v>
      </c>
      <c r="H35" s="35" t="s">
        <v>354</v>
      </c>
      <c r="I35" s="10" t="s">
        <v>12080</v>
      </c>
    </row>
    <row r="36" spans="1:9" s="33" customFormat="1" ht="90">
      <c r="A36" s="4">
        <v>43557.604317129633</v>
      </c>
      <c r="B36" s="5" t="s">
        <v>15120</v>
      </c>
      <c r="C36" s="6" t="s">
        <v>12446</v>
      </c>
      <c r="D36" s="7" t="s">
        <v>12447</v>
      </c>
      <c r="E36" s="8" t="s">
        <v>13018</v>
      </c>
      <c r="F36" s="4">
        <v>39996.728865740741</v>
      </c>
      <c r="G36" s="9" t="s">
        <v>13001</v>
      </c>
      <c r="H36" s="35" t="s">
        <v>354</v>
      </c>
      <c r="I36" s="10" t="s">
        <v>12448</v>
      </c>
    </row>
    <row r="37" spans="1:9" s="33" customFormat="1" ht="90">
      <c r="A37" s="4">
        <v>43556.857685185183</v>
      </c>
      <c r="B37" s="5" t="s">
        <v>15121</v>
      </c>
      <c r="C37" s="6" t="s">
        <v>12720</v>
      </c>
      <c r="D37" s="7" t="s">
        <v>12721</v>
      </c>
      <c r="E37" s="8" t="s">
        <v>13018</v>
      </c>
      <c r="F37" s="4">
        <v>42550.208692129629</v>
      </c>
      <c r="G37" s="9" t="s">
        <v>13001</v>
      </c>
      <c r="H37" s="35" t="s">
        <v>354</v>
      </c>
      <c r="I37" s="10"/>
    </row>
    <row r="38" spans="1:9" s="33" customFormat="1" ht="135">
      <c r="A38" s="4">
        <v>43556.836805555555</v>
      </c>
      <c r="B38" s="5" t="s">
        <v>15102</v>
      </c>
      <c r="C38" s="6" t="s">
        <v>352</v>
      </c>
      <c r="D38" s="7" t="s">
        <v>12728</v>
      </c>
      <c r="E38" s="8" t="s">
        <v>13443</v>
      </c>
      <c r="F38" s="4">
        <v>42170.366296296299</v>
      </c>
      <c r="G38" s="9" t="s">
        <v>13001</v>
      </c>
      <c r="H38" s="35" t="s">
        <v>354</v>
      </c>
      <c r="I38" s="10" t="s">
        <v>355</v>
      </c>
    </row>
    <row r="39" spans="1:9" s="33" customFormat="1" ht="120">
      <c r="A39" s="12">
        <v>43579.996516203704</v>
      </c>
      <c r="B39" s="13" t="s">
        <v>15102</v>
      </c>
      <c r="C39" s="14" t="s">
        <v>352</v>
      </c>
      <c r="D39" s="15" t="s">
        <v>353</v>
      </c>
      <c r="E39" s="16" t="s">
        <v>13443</v>
      </c>
      <c r="F39" s="12">
        <v>42170.366296296299</v>
      </c>
      <c r="G39" s="9" t="s">
        <v>13001</v>
      </c>
      <c r="H39" s="35" t="s">
        <v>354</v>
      </c>
      <c r="I39" s="18" t="s">
        <v>355</v>
      </c>
    </row>
    <row r="40" spans="1:9" s="33" customFormat="1" ht="105">
      <c r="A40" s="12">
        <v>43579.756932870368</v>
      </c>
      <c r="B40" s="13" t="s">
        <v>15102</v>
      </c>
      <c r="C40" s="14" t="s">
        <v>352</v>
      </c>
      <c r="D40" s="15" t="s">
        <v>468</v>
      </c>
      <c r="E40" s="16" t="s">
        <v>13443</v>
      </c>
      <c r="F40" s="12">
        <v>42170.366296296299</v>
      </c>
      <c r="G40" s="9" t="s">
        <v>13001</v>
      </c>
      <c r="H40" s="35" t="s">
        <v>354</v>
      </c>
      <c r="I40" s="18" t="s">
        <v>355</v>
      </c>
    </row>
    <row r="41" spans="1:9" s="33" customFormat="1" ht="135">
      <c r="A41" s="12">
        <v>43577.879166666666</v>
      </c>
      <c r="B41" s="13" t="s">
        <v>15102</v>
      </c>
      <c r="C41" s="14" t="s">
        <v>352</v>
      </c>
      <c r="D41" s="15" t="s">
        <v>1476</v>
      </c>
      <c r="E41" s="16" t="s">
        <v>13443</v>
      </c>
      <c r="F41" s="12">
        <v>42170.366296296299</v>
      </c>
      <c r="G41" s="9" t="s">
        <v>13001</v>
      </c>
      <c r="H41" s="35" t="s">
        <v>354</v>
      </c>
      <c r="I41" s="18" t="s">
        <v>355</v>
      </c>
    </row>
    <row r="42" spans="1:9" s="33" customFormat="1" ht="90">
      <c r="A42" s="12">
        <v>43576.784745370373</v>
      </c>
      <c r="B42" s="13" t="s">
        <v>15122</v>
      </c>
      <c r="C42" s="14" t="s">
        <v>1839</v>
      </c>
      <c r="D42" s="15" t="s">
        <v>1840</v>
      </c>
      <c r="E42" s="16" t="s">
        <v>13018</v>
      </c>
      <c r="F42" s="12">
        <v>40051.106562499997</v>
      </c>
      <c r="G42" s="9" t="s">
        <v>13001</v>
      </c>
      <c r="H42" s="35" t="s">
        <v>354</v>
      </c>
      <c r="I42" s="18" t="s">
        <v>1841</v>
      </c>
    </row>
    <row r="43" spans="1:9" s="33" customFormat="1" ht="90">
      <c r="A43" s="12">
        <v>43576.247233796297</v>
      </c>
      <c r="B43" s="13" t="s">
        <v>15123</v>
      </c>
      <c r="C43" s="14" t="s">
        <v>2022</v>
      </c>
      <c r="D43" s="15" t="s">
        <v>2023</v>
      </c>
      <c r="E43" s="16" t="s">
        <v>13032</v>
      </c>
      <c r="F43" s="12">
        <v>39932.079456018517</v>
      </c>
      <c r="G43" s="9" t="s">
        <v>13001</v>
      </c>
      <c r="H43" s="35" t="s">
        <v>354</v>
      </c>
      <c r="I43" s="18" t="s">
        <v>2024</v>
      </c>
    </row>
    <row r="44" spans="1:9" s="33" customFormat="1" ht="90">
      <c r="A44" s="12">
        <v>43575.31962962963</v>
      </c>
      <c r="B44" s="13" t="s">
        <v>15123</v>
      </c>
      <c r="C44" s="14" t="s">
        <v>2022</v>
      </c>
      <c r="D44" s="15" t="s">
        <v>2300</v>
      </c>
      <c r="E44" s="16" t="s">
        <v>13032</v>
      </c>
      <c r="F44" s="12">
        <v>39932.079456018517</v>
      </c>
      <c r="G44" s="9" t="s">
        <v>13001</v>
      </c>
      <c r="H44" s="35" t="s">
        <v>354</v>
      </c>
      <c r="I44" s="18" t="s">
        <v>2024</v>
      </c>
    </row>
    <row r="45" spans="1:9" s="33" customFormat="1" ht="150">
      <c r="A45" s="12">
        <v>43574.016666666663</v>
      </c>
      <c r="B45" s="13" t="s">
        <v>15116</v>
      </c>
      <c r="C45" s="14" t="s">
        <v>2693</v>
      </c>
      <c r="D45" s="15" t="s">
        <v>2694</v>
      </c>
      <c r="E45" s="16" t="s">
        <v>13011</v>
      </c>
      <c r="F45" s="12">
        <v>40014.64603009259</v>
      </c>
      <c r="G45" s="9" t="s">
        <v>13001</v>
      </c>
      <c r="H45" s="35" t="s">
        <v>354</v>
      </c>
      <c r="I45" s="18" t="s">
        <v>2695</v>
      </c>
    </row>
    <row r="46" spans="1:9" s="33" customFormat="1" ht="120">
      <c r="A46" s="12">
        <v>43572.991655092592</v>
      </c>
      <c r="B46" s="13" t="s">
        <v>15102</v>
      </c>
      <c r="C46" s="14" t="s">
        <v>352</v>
      </c>
      <c r="D46" s="15" t="s">
        <v>3034</v>
      </c>
      <c r="E46" s="16" t="s">
        <v>13443</v>
      </c>
      <c r="F46" s="12">
        <v>42170.366296296299</v>
      </c>
      <c r="G46" s="9" t="s">
        <v>13001</v>
      </c>
      <c r="H46" s="35" t="s">
        <v>354</v>
      </c>
      <c r="I46" s="18" t="s">
        <v>355</v>
      </c>
    </row>
    <row r="47" spans="1:9" s="33" customFormat="1" ht="120">
      <c r="A47" s="12">
        <v>43572.877083333333</v>
      </c>
      <c r="B47" s="13" t="s">
        <v>15102</v>
      </c>
      <c r="C47" s="14" t="s">
        <v>352</v>
      </c>
      <c r="D47" s="15" t="s">
        <v>3072</v>
      </c>
      <c r="E47" s="16" t="s">
        <v>13443</v>
      </c>
      <c r="F47" s="12">
        <v>42170.366296296299</v>
      </c>
      <c r="G47" s="9" t="s">
        <v>13001</v>
      </c>
      <c r="H47" s="35" t="s">
        <v>354</v>
      </c>
      <c r="I47" s="18" t="s">
        <v>355</v>
      </c>
    </row>
    <row r="48" spans="1:9" s="33" customFormat="1" ht="90">
      <c r="A48" s="12">
        <v>43572.000277777777</v>
      </c>
      <c r="B48" s="13" t="s">
        <v>15124</v>
      </c>
      <c r="C48" s="14" t="s">
        <v>3466</v>
      </c>
      <c r="D48" s="15" t="s">
        <v>3467</v>
      </c>
      <c r="E48" s="16" t="s">
        <v>15125</v>
      </c>
      <c r="F48" s="12">
        <v>40025.899143518516</v>
      </c>
      <c r="G48" s="9" t="s">
        <v>13001</v>
      </c>
      <c r="H48" s="35" t="s">
        <v>354</v>
      </c>
      <c r="I48" s="18" t="s">
        <v>3468</v>
      </c>
    </row>
    <row r="49" spans="1:9" s="33" customFormat="1" ht="135">
      <c r="A49" s="12">
        <v>43570.881249999999</v>
      </c>
      <c r="B49" s="13" t="s">
        <v>15102</v>
      </c>
      <c r="C49" s="14" t="s">
        <v>352</v>
      </c>
      <c r="D49" s="15" t="s">
        <v>3953</v>
      </c>
      <c r="E49" s="16" t="s">
        <v>13443</v>
      </c>
      <c r="F49" s="12">
        <v>42170.366296296299</v>
      </c>
      <c r="G49" s="9" t="s">
        <v>13001</v>
      </c>
      <c r="H49" s="35" t="s">
        <v>354</v>
      </c>
      <c r="I49" s="18" t="s">
        <v>355</v>
      </c>
    </row>
    <row r="50" spans="1:9" s="33" customFormat="1" ht="120">
      <c r="A50" s="12">
        <v>43570.818113425921</v>
      </c>
      <c r="B50" s="13" t="s">
        <v>15108</v>
      </c>
      <c r="C50" s="14" t="s">
        <v>3973</v>
      </c>
      <c r="D50" s="15" t="s">
        <v>3974</v>
      </c>
      <c r="E50" s="16" t="s">
        <v>13009</v>
      </c>
      <c r="F50" s="12">
        <v>40255.805868055555</v>
      </c>
      <c r="G50" s="9" t="s">
        <v>13001</v>
      </c>
      <c r="H50" s="35" t="s">
        <v>354</v>
      </c>
      <c r="I50" s="18" t="s">
        <v>3975</v>
      </c>
    </row>
    <row r="51" spans="1:9" s="33" customFormat="1" ht="135">
      <c r="A51" s="12">
        <v>43566.880555555559</v>
      </c>
      <c r="B51" s="13" t="s">
        <v>15102</v>
      </c>
      <c r="C51" s="14" t="s">
        <v>352</v>
      </c>
      <c r="D51" s="15" t="s">
        <v>5310</v>
      </c>
      <c r="E51" s="16" t="s">
        <v>13443</v>
      </c>
      <c r="F51" s="12">
        <v>42170.366296296299</v>
      </c>
      <c r="G51" s="9" t="s">
        <v>13001</v>
      </c>
      <c r="H51" s="35" t="s">
        <v>354</v>
      </c>
      <c r="I51" s="18" t="s">
        <v>355</v>
      </c>
    </row>
    <row r="52" spans="1:9" s="33" customFormat="1" ht="135">
      <c r="A52" s="12">
        <v>43565.879166666666</v>
      </c>
      <c r="B52" s="13" t="s">
        <v>15102</v>
      </c>
      <c r="C52" s="14" t="s">
        <v>352</v>
      </c>
      <c r="D52" s="15" t="s">
        <v>5872</v>
      </c>
      <c r="E52" s="16" t="s">
        <v>13443</v>
      </c>
      <c r="F52" s="12">
        <v>42170.366296296299</v>
      </c>
      <c r="G52" s="9" t="s">
        <v>13001</v>
      </c>
      <c r="H52" s="35" t="s">
        <v>354</v>
      </c>
      <c r="I52" s="18" t="s">
        <v>355</v>
      </c>
    </row>
    <row r="53" spans="1:9" s="33" customFormat="1" ht="90">
      <c r="A53" s="4">
        <v>43564.663414351853</v>
      </c>
      <c r="B53" s="5" t="s">
        <v>15126</v>
      </c>
      <c r="C53" s="6" t="s">
        <v>4426</v>
      </c>
      <c r="D53" s="7" t="s">
        <v>6466</v>
      </c>
      <c r="E53" s="8" t="s">
        <v>13462</v>
      </c>
      <c r="F53" s="4">
        <v>41178.848935185189</v>
      </c>
      <c r="G53" s="9" t="s">
        <v>13001</v>
      </c>
      <c r="H53" s="35" t="s">
        <v>4428</v>
      </c>
      <c r="I53" s="10" t="s">
        <v>4429</v>
      </c>
    </row>
    <row r="54" spans="1:9" s="33" customFormat="1" ht="90">
      <c r="A54" s="12">
        <v>43569.702083333337</v>
      </c>
      <c r="B54" s="13" t="s">
        <v>15126</v>
      </c>
      <c r="C54" s="14" t="s">
        <v>4426</v>
      </c>
      <c r="D54" s="15" t="s">
        <v>4427</v>
      </c>
      <c r="E54" s="16" t="s">
        <v>13120</v>
      </c>
      <c r="F54" s="12">
        <v>41178.848935185189</v>
      </c>
      <c r="G54" s="9" t="s">
        <v>13001</v>
      </c>
      <c r="H54" s="35" t="s">
        <v>4428</v>
      </c>
      <c r="I54" s="18" t="s">
        <v>4429</v>
      </c>
    </row>
    <row r="55" spans="1:9" s="33" customFormat="1" ht="75">
      <c r="A55" s="19">
        <v>43544.711747685185</v>
      </c>
      <c r="B55" s="20" t="s">
        <v>15127</v>
      </c>
      <c r="C55" s="21" t="s">
        <v>9369</v>
      </c>
      <c r="D55" s="22" t="s">
        <v>12904</v>
      </c>
      <c r="E55" s="23" t="s">
        <v>13006</v>
      </c>
      <c r="F55" s="19">
        <v>40059.722731481481</v>
      </c>
      <c r="G55" s="9" t="s">
        <v>13001</v>
      </c>
      <c r="H55" s="35" t="s">
        <v>9370</v>
      </c>
      <c r="I55" s="25" t="s">
        <v>9371</v>
      </c>
    </row>
    <row r="56" spans="1:9" s="33" customFormat="1" ht="105">
      <c r="A56" s="19">
        <v>43551.164837962962</v>
      </c>
      <c r="B56" s="20" t="s">
        <v>15128</v>
      </c>
      <c r="C56" s="21" t="s">
        <v>7409</v>
      </c>
      <c r="D56" s="22" t="s">
        <v>12905</v>
      </c>
      <c r="E56" s="23" t="s">
        <v>13009</v>
      </c>
      <c r="F56" s="19">
        <v>39869.991956018523</v>
      </c>
      <c r="G56" s="9" t="s">
        <v>13001</v>
      </c>
      <c r="H56" s="35" t="s">
        <v>7410</v>
      </c>
      <c r="I56" s="25" t="s">
        <v>7411</v>
      </c>
    </row>
    <row r="57" spans="1:9" s="33" customFormat="1" ht="90">
      <c r="A57" s="4">
        <v>43561.70003472222</v>
      </c>
      <c r="B57" s="5" t="s">
        <v>15129</v>
      </c>
      <c r="C57" s="6" t="s">
        <v>10853</v>
      </c>
      <c r="D57" s="7" t="s">
        <v>12906</v>
      </c>
      <c r="E57" s="8" t="s">
        <v>13120</v>
      </c>
      <c r="F57" s="4">
        <v>40622.803020833337</v>
      </c>
      <c r="G57" s="9" t="s">
        <v>13001</v>
      </c>
      <c r="H57" s="35" t="s">
        <v>10855</v>
      </c>
      <c r="I57" s="10" t="s">
        <v>10856</v>
      </c>
    </row>
    <row r="58" spans="1:9" s="33" customFormat="1" ht="90">
      <c r="A58" s="4">
        <v>43561.681180555555</v>
      </c>
      <c r="B58" s="5" t="s">
        <v>15129</v>
      </c>
      <c r="C58" s="6" t="s">
        <v>10853</v>
      </c>
      <c r="D58" s="7" t="s">
        <v>12907</v>
      </c>
      <c r="E58" s="8" t="s">
        <v>13120</v>
      </c>
      <c r="F58" s="4">
        <v>40622.803020833337</v>
      </c>
      <c r="G58" s="9" t="s">
        <v>13001</v>
      </c>
      <c r="H58" s="35" t="s">
        <v>10855</v>
      </c>
      <c r="I58" s="10" t="s">
        <v>10856</v>
      </c>
    </row>
    <row r="59" spans="1:9" s="33" customFormat="1" ht="105">
      <c r="A59" s="12">
        <v>43569.220393518517</v>
      </c>
      <c r="B59" s="13" t="s">
        <v>15130</v>
      </c>
      <c r="C59" s="14" t="s">
        <v>4571</v>
      </c>
      <c r="D59" s="15" t="s">
        <v>4572</v>
      </c>
      <c r="E59" s="16" t="s">
        <v>13009</v>
      </c>
      <c r="F59" s="12">
        <v>42000.764675925922</v>
      </c>
      <c r="G59" s="9" t="s">
        <v>13001</v>
      </c>
      <c r="H59" s="35" t="s">
        <v>4573</v>
      </c>
      <c r="I59" s="18" t="s">
        <v>4574</v>
      </c>
    </row>
    <row r="60" spans="1:9" s="33" customFormat="1" ht="90">
      <c r="A60" s="12">
        <v>43566.172048611115</v>
      </c>
      <c r="B60" s="13" t="s">
        <v>15131</v>
      </c>
      <c r="C60" s="14" t="s">
        <v>5744</v>
      </c>
      <c r="D60" s="15" t="s">
        <v>5656</v>
      </c>
      <c r="E60" s="16" t="s">
        <v>13009</v>
      </c>
      <c r="F60" s="12">
        <v>40571.125532407408</v>
      </c>
      <c r="G60" s="9" t="s">
        <v>13001</v>
      </c>
      <c r="H60" s="35" t="s">
        <v>5745</v>
      </c>
      <c r="I60" s="18" t="s">
        <v>5746</v>
      </c>
    </row>
    <row r="61" spans="1:9" s="33" customFormat="1" ht="105">
      <c r="A61" s="4">
        <v>43558.84746527778</v>
      </c>
      <c r="B61" s="5" t="s">
        <v>15132</v>
      </c>
      <c r="C61" s="6" t="s">
        <v>12015</v>
      </c>
      <c r="D61" s="7" t="s">
        <v>12016</v>
      </c>
      <c r="E61" s="8" t="s">
        <v>13009</v>
      </c>
      <c r="F61" s="4">
        <v>41882.720324074078</v>
      </c>
      <c r="G61" s="9" t="s">
        <v>13001</v>
      </c>
      <c r="H61" s="35" t="s">
        <v>12017</v>
      </c>
      <c r="I61" s="10" t="s">
        <v>12018</v>
      </c>
    </row>
    <row r="62" spans="1:9" s="33" customFormat="1" ht="120">
      <c r="A62" s="4">
        <v>43558.860810185186</v>
      </c>
      <c r="B62" s="5" t="s">
        <v>15133</v>
      </c>
      <c r="C62" s="6" t="s">
        <v>12006</v>
      </c>
      <c r="D62" s="7" t="s">
        <v>12007</v>
      </c>
      <c r="E62" s="8" t="s">
        <v>13009</v>
      </c>
      <c r="F62" s="4">
        <v>42628.930856481486</v>
      </c>
      <c r="G62" s="9" t="s">
        <v>13001</v>
      </c>
      <c r="H62" s="35" t="s">
        <v>12008</v>
      </c>
      <c r="I62" s="10" t="s">
        <v>12009</v>
      </c>
    </row>
    <row r="63" spans="1:9" s="33" customFormat="1" ht="90">
      <c r="A63" s="12">
        <v>43571.144189814819</v>
      </c>
      <c r="B63" s="13" t="s">
        <v>15134</v>
      </c>
      <c r="C63" s="14" t="s">
        <v>3830</v>
      </c>
      <c r="D63" s="15" t="s">
        <v>3831</v>
      </c>
      <c r="E63" s="16" t="s">
        <v>13013</v>
      </c>
      <c r="F63" s="12">
        <v>43187.692511574074</v>
      </c>
      <c r="G63" s="17" t="s">
        <v>13001</v>
      </c>
      <c r="H63" s="35" t="s">
        <v>3832</v>
      </c>
      <c r="I63" s="18" t="s">
        <v>3833</v>
      </c>
    </row>
    <row r="64" spans="1:9" s="33" customFormat="1" ht="75">
      <c r="A64" s="12">
        <v>43568.093414351853</v>
      </c>
      <c r="B64" s="13" t="s">
        <v>15134</v>
      </c>
      <c r="C64" s="14" t="s">
        <v>3830</v>
      </c>
      <c r="D64" s="15" t="s">
        <v>4876</v>
      </c>
      <c r="E64" s="16" t="s">
        <v>13013</v>
      </c>
      <c r="F64" s="12">
        <v>43187.692511574074</v>
      </c>
      <c r="G64" s="17" t="s">
        <v>13001</v>
      </c>
      <c r="H64" s="35" t="s">
        <v>3832</v>
      </c>
      <c r="I64" s="18" t="s">
        <v>3833</v>
      </c>
    </row>
    <row r="65" spans="1:9" s="33" customFormat="1" ht="60">
      <c r="A65" s="12">
        <v>43574.721805555557</v>
      </c>
      <c r="B65" s="13" t="s">
        <v>15135</v>
      </c>
      <c r="C65" s="14" t="s">
        <v>2469</v>
      </c>
      <c r="D65" s="15" t="s">
        <v>2470</v>
      </c>
      <c r="E65" s="16" t="s">
        <v>13009</v>
      </c>
      <c r="F65" s="12">
        <v>41029.839039351849</v>
      </c>
      <c r="G65" s="17" t="s">
        <v>13001</v>
      </c>
      <c r="H65" s="35" t="s">
        <v>2471</v>
      </c>
      <c r="I65" s="18" t="s">
        <v>2472</v>
      </c>
    </row>
    <row r="66" spans="1:9" s="33" customFormat="1" ht="90">
      <c r="A66" s="19">
        <v>43547.097164351857</v>
      </c>
      <c r="B66" s="20" t="s">
        <v>15136</v>
      </c>
      <c r="C66" s="21" t="s">
        <v>8651</v>
      </c>
      <c r="D66" s="22" t="s">
        <v>8652</v>
      </c>
      <c r="E66" s="23" t="s">
        <v>13032</v>
      </c>
      <c r="F66" s="19">
        <v>41935.522256944445</v>
      </c>
      <c r="G66" s="24" t="s">
        <v>13001</v>
      </c>
      <c r="H66" s="35" t="s">
        <v>8653</v>
      </c>
      <c r="I66" s="25" t="s">
        <v>8654</v>
      </c>
    </row>
    <row r="67" spans="1:9" s="33" customFormat="1" ht="120">
      <c r="A67" s="19">
        <v>43545.875</v>
      </c>
      <c r="B67" s="20" t="s">
        <v>15137</v>
      </c>
      <c r="C67" s="21" t="s">
        <v>9015</v>
      </c>
      <c r="D67" s="22" t="s">
        <v>9016</v>
      </c>
      <c r="E67" s="23" t="s">
        <v>13352</v>
      </c>
      <c r="F67" s="19">
        <v>40949.842546296299</v>
      </c>
      <c r="G67" s="24" t="s">
        <v>13001</v>
      </c>
      <c r="H67" s="35" t="s">
        <v>8653</v>
      </c>
      <c r="I67" s="25" t="s">
        <v>9017</v>
      </c>
    </row>
    <row r="68" spans="1:9" s="33" customFormat="1" ht="105">
      <c r="A68" s="19">
        <v>43543.712997685187</v>
      </c>
      <c r="B68" s="20" t="s">
        <v>15138</v>
      </c>
      <c r="C68" s="21" t="s">
        <v>4957</v>
      </c>
      <c r="D68" s="22" t="s">
        <v>9692</v>
      </c>
      <c r="E68" s="23" t="s">
        <v>13006</v>
      </c>
      <c r="F68" s="19">
        <v>41283.876643518517</v>
      </c>
      <c r="G68" s="24" t="s">
        <v>13001</v>
      </c>
      <c r="H68" s="35" t="s">
        <v>4959</v>
      </c>
      <c r="I68" s="25" t="s">
        <v>4960</v>
      </c>
    </row>
    <row r="69" spans="1:9" s="33" customFormat="1" ht="105">
      <c r="A69" s="12">
        <v>43567.768437499995</v>
      </c>
      <c r="B69" s="13" t="s">
        <v>15138</v>
      </c>
      <c r="C69" s="14" t="s">
        <v>4957</v>
      </c>
      <c r="D69" s="15" t="s">
        <v>4958</v>
      </c>
      <c r="E69" s="16" t="s">
        <v>13006</v>
      </c>
      <c r="F69" s="12">
        <v>41283.876643518517</v>
      </c>
      <c r="G69" s="24" t="s">
        <v>13001</v>
      </c>
      <c r="H69" s="35" t="s">
        <v>4959</v>
      </c>
      <c r="I69" s="18" t="s">
        <v>4960</v>
      </c>
    </row>
    <row r="70" spans="1:9" s="33" customFormat="1" ht="75">
      <c r="A70" s="12">
        <v>43577.910636574074</v>
      </c>
      <c r="B70" s="13" t="s">
        <v>15139</v>
      </c>
      <c r="C70" s="14" t="s">
        <v>1463</v>
      </c>
      <c r="D70" s="15" t="s">
        <v>1464</v>
      </c>
      <c r="E70" s="16" t="s">
        <v>13027</v>
      </c>
      <c r="F70" s="12">
        <v>39882.301250000004</v>
      </c>
      <c r="G70" s="24" t="s">
        <v>13001</v>
      </c>
      <c r="H70" s="35" t="s">
        <v>1465</v>
      </c>
      <c r="I70" s="18" t="s">
        <v>1466</v>
      </c>
    </row>
    <row r="71" spans="1:9" s="33" customFormat="1" ht="105">
      <c r="A71" s="12">
        <v>43567.729062500002</v>
      </c>
      <c r="B71" s="13" t="s">
        <v>15140</v>
      </c>
      <c r="C71" s="14" t="s">
        <v>4977</v>
      </c>
      <c r="D71" s="15" t="s">
        <v>4978</v>
      </c>
      <c r="E71" s="16" t="s">
        <v>13013</v>
      </c>
      <c r="F71" s="12">
        <v>39732.173020833332</v>
      </c>
      <c r="G71" s="24" t="s">
        <v>13001</v>
      </c>
      <c r="H71" s="35" t="s">
        <v>1465</v>
      </c>
      <c r="I71" s="18" t="s">
        <v>4979</v>
      </c>
    </row>
    <row r="72" spans="1:9" s="33" customFormat="1" ht="90">
      <c r="A72" s="19">
        <v>43548.053229166668</v>
      </c>
      <c r="B72" s="20" t="s">
        <v>15141</v>
      </c>
      <c r="C72" s="21" t="s">
        <v>8421</v>
      </c>
      <c r="D72" s="22" t="s">
        <v>8422</v>
      </c>
      <c r="E72" s="23" t="s">
        <v>13644</v>
      </c>
      <c r="F72" s="19">
        <v>39889.372210648144</v>
      </c>
      <c r="G72" s="24" t="s">
        <v>13001</v>
      </c>
      <c r="H72" s="35" t="s">
        <v>3905</v>
      </c>
      <c r="I72" s="25" t="s">
        <v>8423</v>
      </c>
    </row>
    <row r="73" spans="1:9" s="33" customFormat="1" ht="90">
      <c r="A73" s="19">
        <v>43548.003483796296</v>
      </c>
      <c r="B73" s="20" t="s">
        <v>15142</v>
      </c>
      <c r="C73" s="21" t="s">
        <v>3903</v>
      </c>
      <c r="D73" s="22" t="s">
        <v>3904</v>
      </c>
      <c r="E73" s="23" t="s">
        <v>13034</v>
      </c>
      <c r="F73" s="19">
        <v>42551.652303240742</v>
      </c>
      <c r="G73" s="24" t="s">
        <v>13001</v>
      </c>
      <c r="H73" s="35" t="s">
        <v>3905</v>
      </c>
      <c r="I73" s="25" t="s">
        <v>3906</v>
      </c>
    </row>
    <row r="74" spans="1:9" s="33" customFormat="1" ht="90">
      <c r="A74" s="19">
        <v>43547.003483796296</v>
      </c>
      <c r="B74" s="20" t="s">
        <v>15142</v>
      </c>
      <c r="C74" s="21" t="s">
        <v>3903</v>
      </c>
      <c r="D74" s="22" t="s">
        <v>8686</v>
      </c>
      <c r="E74" s="23" t="s">
        <v>13034</v>
      </c>
      <c r="F74" s="19">
        <v>42551.652303240742</v>
      </c>
      <c r="G74" s="24" t="s">
        <v>13001</v>
      </c>
      <c r="H74" s="35" t="s">
        <v>3905</v>
      </c>
      <c r="I74" s="25" t="s">
        <v>3906</v>
      </c>
    </row>
    <row r="75" spans="1:9" s="33" customFormat="1" ht="90">
      <c r="A75" s="19">
        <v>43542.634733796294</v>
      </c>
      <c r="B75" s="20" t="s">
        <v>15142</v>
      </c>
      <c r="C75" s="21" t="s">
        <v>3903</v>
      </c>
      <c r="D75" s="22" t="s">
        <v>3904</v>
      </c>
      <c r="E75" s="23" t="s">
        <v>13034</v>
      </c>
      <c r="F75" s="19">
        <v>42551.652303240742</v>
      </c>
      <c r="G75" s="24" t="s">
        <v>13001</v>
      </c>
      <c r="H75" s="35" t="s">
        <v>3905</v>
      </c>
      <c r="I75" s="25" t="s">
        <v>3906</v>
      </c>
    </row>
    <row r="76" spans="1:9" s="33" customFormat="1" ht="90">
      <c r="A76" s="4">
        <v>43565.164594907408</v>
      </c>
      <c r="B76" s="5" t="s">
        <v>15142</v>
      </c>
      <c r="C76" s="6" t="s">
        <v>3903</v>
      </c>
      <c r="D76" s="7" t="s">
        <v>6261</v>
      </c>
      <c r="E76" s="8" t="s">
        <v>13034</v>
      </c>
      <c r="F76" s="4">
        <v>42551.652303240742</v>
      </c>
      <c r="G76" s="24" t="s">
        <v>13001</v>
      </c>
      <c r="H76" s="35" t="s">
        <v>3905</v>
      </c>
      <c r="I76" s="10" t="s">
        <v>3906</v>
      </c>
    </row>
    <row r="77" spans="1:9" s="33" customFormat="1" ht="90">
      <c r="A77" s="4">
        <v>43564.194456018522</v>
      </c>
      <c r="B77" s="5" t="s">
        <v>15142</v>
      </c>
      <c r="C77" s="6" t="s">
        <v>3903</v>
      </c>
      <c r="D77" s="7" t="s">
        <v>3904</v>
      </c>
      <c r="E77" s="8" t="s">
        <v>13034</v>
      </c>
      <c r="F77" s="4">
        <v>42551.652303240742</v>
      </c>
      <c r="G77" s="24" t="s">
        <v>13001</v>
      </c>
      <c r="H77" s="35" t="s">
        <v>3905</v>
      </c>
      <c r="I77" s="10" t="s">
        <v>3906</v>
      </c>
    </row>
    <row r="78" spans="1:9" s="33" customFormat="1" ht="90">
      <c r="A78" s="4">
        <v>43561.194479166668</v>
      </c>
      <c r="B78" s="5" t="s">
        <v>15142</v>
      </c>
      <c r="C78" s="6" t="s">
        <v>3903</v>
      </c>
      <c r="D78" s="7" t="s">
        <v>11040</v>
      </c>
      <c r="E78" s="8" t="s">
        <v>13034</v>
      </c>
      <c r="F78" s="4">
        <v>42551.652303240742</v>
      </c>
      <c r="G78" s="24" t="s">
        <v>13001</v>
      </c>
      <c r="H78" s="35" t="s">
        <v>3905</v>
      </c>
      <c r="I78" s="10" t="s">
        <v>3906</v>
      </c>
    </row>
    <row r="79" spans="1:9" s="33" customFormat="1" ht="90">
      <c r="A79" s="4">
        <v>43558.634733796294</v>
      </c>
      <c r="B79" s="5" t="s">
        <v>15142</v>
      </c>
      <c r="C79" s="6" t="s">
        <v>3903</v>
      </c>
      <c r="D79" s="7" t="s">
        <v>3904</v>
      </c>
      <c r="E79" s="8" t="s">
        <v>13034</v>
      </c>
      <c r="F79" s="4">
        <v>42551.652303240742</v>
      </c>
      <c r="G79" s="24" t="s">
        <v>13001</v>
      </c>
      <c r="H79" s="35" t="s">
        <v>3905</v>
      </c>
      <c r="I79" s="10" t="s">
        <v>3906</v>
      </c>
    </row>
    <row r="80" spans="1:9" s="33" customFormat="1" ht="90">
      <c r="A80" s="12">
        <v>43571.003483796296</v>
      </c>
      <c r="B80" s="13" t="s">
        <v>15142</v>
      </c>
      <c r="C80" s="14" t="s">
        <v>3903</v>
      </c>
      <c r="D80" s="15" t="s">
        <v>3904</v>
      </c>
      <c r="E80" s="16" t="s">
        <v>13034</v>
      </c>
      <c r="F80" s="12">
        <v>42551.652303240742</v>
      </c>
      <c r="G80" s="24" t="s">
        <v>13001</v>
      </c>
      <c r="H80" s="35" t="s">
        <v>3905</v>
      </c>
      <c r="I80" s="18" t="s">
        <v>3906</v>
      </c>
    </row>
    <row r="81" spans="1:9" s="33" customFormat="1" ht="105">
      <c r="A81" s="19">
        <v>43544.959965277776</v>
      </c>
      <c r="B81" s="20" t="s">
        <v>15143</v>
      </c>
      <c r="C81" s="21" t="s">
        <v>6763</v>
      </c>
      <c r="D81" s="22" t="s">
        <v>9316</v>
      </c>
      <c r="E81" s="23" t="s">
        <v>13032</v>
      </c>
      <c r="F81" s="19">
        <v>41034.820173611108</v>
      </c>
      <c r="G81" s="24" t="s">
        <v>13001</v>
      </c>
      <c r="H81" s="35" t="s">
        <v>6765</v>
      </c>
      <c r="I81" s="25" t="s">
        <v>6766</v>
      </c>
    </row>
    <row r="82" spans="1:9" s="33" customFormat="1" ht="90">
      <c r="A82" s="19">
        <v>43543.158472222218</v>
      </c>
      <c r="B82" s="20" t="s">
        <v>15143</v>
      </c>
      <c r="C82" s="21" t="s">
        <v>6763</v>
      </c>
      <c r="D82" s="22" t="s">
        <v>9922</v>
      </c>
      <c r="E82" s="23" t="s">
        <v>13032</v>
      </c>
      <c r="F82" s="19">
        <v>41034.820173611108</v>
      </c>
      <c r="G82" s="24" t="s">
        <v>13001</v>
      </c>
      <c r="H82" s="35" t="s">
        <v>6765</v>
      </c>
      <c r="I82" s="25" t="s">
        <v>6766</v>
      </c>
    </row>
    <row r="83" spans="1:9" s="33" customFormat="1" ht="90">
      <c r="A83" s="4">
        <v>43564.139398148152</v>
      </c>
      <c r="B83" s="5" t="s">
        <v>15143</v>
      </c>
      <c r="C83" s="6" t="s">
        <v>6763</v>
      </c>
      <c r="D83" s="7" t="s">
        <v>6764</v>
      </c>
      <c r="E83" s="8" t="s">
        <v>13032</v>
      </c>
      <c r="F83" s="4">
        <v>41034.820173611108</v>
      </c>
      <c r="G83" s="24" t="s">
        <v>13001</v>
      </c>
      <c r="H83" s="35" t="s">
        <v>6765</v>
      </c>
      <c r="I83" s="10" t="s">
        <v>6766</v>
      </c>
    </row>
    <row r="84" spans="1:9" s="33" customFormat="1" ht="90">
      <c r="A84" s="4">
        <v>43563.680439814816</v>
      </c>
      <c r="B84" s="5" t="s">
        <v>15143</v>
      </c>
      <c r="C84" s="6" t="s">
        <v>6763</v>
      </c>
      <c r="D84" s="7" t="s">
        <v>6921</v>
      </c>
      <c r="E84" s="8" t="s">
        <v>13032</v>
      </c>
      <c r="F84" s="4">
        <v>41034.820173611108</v>
      </c>
      <c r="G84" s="24" t="s">
        <v>13001</v>
      </c>
      <c r="H84" s="35" t="s">
        <v>6765</v>
      </c>
      <c r="I84" s="10" t="s">
        <v>6766</v>
      </c>
    </row>
    <row r="85" spans="1:9" s="33" customFormat="1" ht="90">
      <c r="A85" s="4">
        <v>43557.624791666662</v>
      </c>
      <c r="B85" s="5" t="s">
        <v>15143</v>
      </c>
      <c r="C85" s="6" t="s">
        <v>6763</v>
      </c>
      <c r="D85" s="7" t="s">
        <v>12436</v>
      </c>
      <c r="E85" s="8" t="s">
        <v>13032</v>
      </c>
      <c r="F85" s="4">
        <v>41034.820173611108</v>
      </c>
      <c r="G85" s="24" t="s">
        <v>13001</v>
      </c>
      <c r="H85" s="35" t="s">
        <v>6765</v>
      </c>
      <c r="I85" s="10" t="s">
        <v>6766</v>
      </c>
    </row>
    <row r="86" spans="1:9" s="33" customFormat="1" ht="90">
      <c r="A86" s="12">
        <v>43577.761053240742</v>
      </c>
      <c r="B86" s="13" t="s">
        <v>15144</v>
      </c>
      <c r="C86" s="14" t="s">
        <v>1505</v>
      </c>
      <c r="D86" s="15" t="s">
        <v>1506</v>
      </c>
      <c r="E86" s="16" t="s">
        <v>13011</v>
      </c>
      <c r="F86" s="12">
        <v>42132.164120370369</v>
      </c>
      <c r="G86" s="24" t="s">
        <v>13001</v>
      </c>
      <c r="H86" s="35" t="s">
        <v>1507</v>
      </c>
      <c r="I86" s="18" t="s">
        <v>1508</v>
      </c>
    </row>
    <row r="87" spans="1:9" s="33" customFormat="1" ht="90">
      <c r="A87" s="12">
        <v>43578.340729166666</v>
      </c>
      <c r="B87" s="13" t="s">
        <v>15145</v>
      </c>
      <c r="C87" s="14" t="s">
        <v>1283</v>
      </c>
      <c r="D87" s="15" t="s">
        <v>1284</v>
      </c>
      <c r="E87" s="16" t="s">
        <v>13130</v>
      </c>
      <c r="F87" s="12">
        <v>41567.555543981478</v>
      </c>
      <c r="G87" s="24" t="s">
        <v>13001</v>
      </c>
      <c r="H87" s="35" t="s">
        <v>1285</v>
      </c>
      <c r="I87" s="18"/>
    </row>
    <row r="88" spans="1:9" s="33" customFormat="1" ht="120">
      <c r="A88" s="19">
        <v>43547.90253472222</v>
      </c>
      <c r="B88" s="20" t="s">
        <v>15146</v>
      </c>
      <c r="C88" s="21" t="s">
        <v>4008</v>
      </c>
      <c r="D88" s="22" t="s">
        <v>8447</v>
      </c>
      <c r="E88" s="23" t="s">
        <v>13027</v>
      </c>
      <c r="F88" s="19">
        <v>42921.887430555551</v>
      </c>
      <c r="G88" s="24" t="s">
        <v>13001</v>
      </c>
      <c r="H88" s="35" t="s">
        <v>4010</v>
      </c>
      <c r="I88" s="25" t="s">
        <v>4011</v>
      </c>
    </row>
    <row r="89" spans="1:9" s="33" customFormat="1" ht="135">
      <c r="A89" s="12">
        <v>43570.652708333335</v>
      </c>
      <c r="B89" s="13" t="s">
        <v>15146</v>
      </c>
      <c r="C89" s="14" t="s">
        <v>4008</v>
      </c>
      <c r="D89" s="15" t="s">
        <v>4009</v>
      </c>
      <c r="E89" s="16" t="s">
        <v>13027</v>
      </c>
      <c r="F89" s="12">
        <v>42921.887430555551</v>
      </c>
      <c r="G89" s="24" t="s">
        <v>13001</v>
      </c>
      <c r="H89" s="35" t="s">
        <v>4010</v>
      </c>
      <c r="I89" s="18" t="s">
        <v>4011</v>
      </c>
    </row>
    <row r="90" spans="1:9" s="33" customFormat="1" ht="150">
      <c r="A90" s="19">
        <v>43546.689074074078</v>
      </c>
      <c r="B90" s="20" t="s">
        <v>15147</v>
      </c>
      <c r="C90" s="21" t="s">
        <v>5331</v>
      </c>
      <c r="D90" s="22" t="s">
        <v>8755</v>
      </c>
      <c r="E90" s="23" t="s">
        <v>13009</v>
      </c>
      <c r="F90" s="19">
        <v>42977.769050925926</v>
      </c>
      <c r="G90" s="24" t="s">
        <v>13001</v>
      </c>
      <c r="H90" s="35" t="s">
        <v>5333</v>
      </c>
      <c r="I90" s="25" t="s">
        <v>8756</v>
      </c>
    </row>
    <row r="91" spans="1:9" s="33" customFormat="1" ht="135">
      <c r="A91" s="19">
        <v>43545.887025462958</v>
      </c>
      <c r="B91" s="20" t="s">
        <v>15147</v>
      </c>
      <c r="C91" s="21" t="s">
        <v>5331</v>
      </c>
      <c r="D91" s="22" t="s">
        <v>9013</v>
      </c>
      <c r="E91" s="23" t="s">
        <v>13009</v>
      </c>
      <c r="F91" s="19">
        <v>42977.769050925926</v>
      </c>
      <c r="G91" s="24" t="s">
        <v>13001</v>
      </c>
      <c r="H91" s="35" t="s">
        <v>5333</v>
      </c>
      <c r="I91" s="25" t="s">
        <v>8756</v>
      </c>
    </row>
    <row r="92" spans="1:9" s="33" customFormat="1" ht="135">
      <c r="A92" s="19">
        <v>43544.238877314812</v>
      </c>
      <c r="B92" s="20" t="s">
        <v>15147</v>
      </c>
      <c r="C92" s="21" t="s">
        <v>5331</v>
      </c>
      <c r="D92" s="22" t="s">
        <v>9568</v>
      </c>
      <c r="E92" s="23" t="s">
        <v>13009</v>
      </c>
      <c r="F92" s="19">
        <v>42977.769050925926</v>
      </c>
      <c r="G92" s="24" t="s">
        <v>13001</v>
      </c>
      <c r="H92" s="35" t="s">
        <v>5333</v>
      </c>
      <c r="I92" s="25" t="s">
        <v>8756</v>
      </c>
    </row>
    <row r="93" spans="1:9" s="33" customFormat="1" ht="75">
      <c r="A93" s="4">
        <v>43560.587777777779</v>
      </c>
      <c r="B93" s="5" t="s">
        <v>15148</v>
      </c>
      <c r="C93" s="6" t="s">
        <v>11270</v>
      </c>
      <c r="D93" s="7" t="s">
        <v>11271</v>
      </c>
      <c r="E93" s="8" t="s">
        <v>13130</v>
      </c>
      <c r="F93" s="4">
        <v>40610.113310185188</v>
      </c>
      <c r="G93" s="24" t="s">
        <v>13001</v>
      </c>
      <c r="H93" s="35" t="s">
        <v>5333</v>
      </c>
      <c r="I93" s="10" t="s">
        <v>11272</v>
      </c>
    </row>
    <row r="94" spans="1:9" s="33" customFormat="1" ht="75">
      <c r="A94" s="4">
        <v>43558.617696759262</v>
      </c>
      <c r="B94" s="5" t="s">
        <v>15148</v>
      </c>
      <c r="C94" s="6" t="s">
        <v>11270</v>
      </c>
      <c r="D94" s="7" t="s">
        <v>12101</v>
      </c>
      <c r="E94" s="8" t="s">
        <v>13130</v>
      </c>
      <c r="F94" s="4">
        <v>40610.113310185188</v>
      </c>
      <c r="G94" s="24" t="s">
        <v>13001</v>
      </c>
      <c r="H94" s="35" t="s">
        <v>5333</v>
      </c>
      <c r="I94" s="10" t="s">
        <v>11272</v>
      </c>
    </row>
    <row r="95" spans="1:9" s="33" customFormat="1" ht="135">
      <c r="A95" s="12">
        <v>43566.829340277778</v>
      </c>
      <c r="B95" s="13" t="s">
        <v>15147</v>
      </c>
      <c r="C95" s="14" t="s">
        <v>5331</v>
      </c>
      <c r="D95" s="15" t="s">
        <v>5332</v>
      </c>
      <c r="E95" s="16" t="s">
        <v>13009</v>
      </c>
      <c r="F95" s="12">
        <v>42977.769050925926</v>
      </c>
      <c r="G95" s="24" t="s">
        <v>13001</v>
      </c>
      <c r="H95" s="35" t="s">
        <v>5333</v>
      </c>
      <c r="I95" s="18" t="s">
        <v>5334</v>
      </c>
    </row>
    <row r="96" spans="1:9" s="33" customFormat="1" ht="135">
      <c r="A96" s="12">
        <v>43566.119293981479</v>
      </c>
      <c r="B96" s="13" t="s">
        <v>15147</v>
      </c>
      <c r="C96" s="14" t="s">
        <v>5331</v>
      </c>
      <c r="D96" s="15" t="s">
        <v>5778</v>
      </c>
      <c r="E96" s="16" t="s">
        <v>13009</v>
      </c>
      <c r="F96" s="12">
        <v>42977.769050925926</v>
      </c>
      <c r="G96" s="24" t="s">
        <v>13001</v>
      </c>
      <c r="H96" s="35" t="s">
        <v>5333</v>
      </c>
      <c r="I96" s="18" t="s">
        <v>5334</v>
      </c>
    </row>
    <row r="97" spans="1:9" s="33" customFormat="1" ht="120">
      <c r="A97" s="12">
        <v>43565.631469907406</v>
      </c>
      <c r="B97" s="13" t="s">
        <v>15147</v>
      </c>
      <c r="C97" s="14" t="s">
        <v>5331</v>
      </c>
      <c r="D97" s="15" t="s">
        <v>5984</v>
      </c>
      <c r="E97" s="16" t="s">
        <v>13009</v>
      </c>
      <c r="F97" s="12">
        <v>42977.769050925926</v>
      </c>
      <c r="G97" s="24" t="s">
        <v>13001</v>
      </c>
      <c r="H97" s="35" t="s">
        <v>5333</v>
      </c>
      <c r="I97" s="18" t="s">
        <v>5334</v>
      </c>
    </row>
    <row r="98" spans="1:9" s="33" customFormat="1" ht="120">
      <c r="A98" s="12">
        <v>43564.959618055553</v>
      </c>
      <c r="B98" s="13" t="s">
        <v>15147</v>
      </c>
      <c r="C98" s="14" t="s">
        <v>5331</v>
      </c>
      <c r="D98" s="15" t="s">
        <v>5984</v>
      </c>
      <c r="E98" s="16" t="s">
        <v>13009</v>
      </c>
      <c r="F98" s="12">
        <v>42977.769050925926</v>
      </c>
      <c r="G98" s="24" t="s">
        <v>13001</v>
      </c>
      <c r="H98" s="35" t="s">
        <v>5333</v>
      </c>
      <c r="I98" s="18" t="s">
        <v>5334</v>
      </c>
    </row>
    <row r="99" spans="1:9" s="33" customFormat="1" ht="60">
      <c r="A99" s="12">
        <v>43573.932662037041</v>
      </c>
      <c r="B99" s="13" t="s">
        <v>15149</v>
      </c>
      <c r="C99" s="14" t="s">
        <v>2700</v>
      </c>
      <c r="D99" s="15" t="s">
        <v>2701</v>
      </c>
      <c r="E99" s="16" t="s">
        <v>13032</v>
      </c>
      <c r="F99" s="12">
        <v>39707.369305555556</v>
      </c>
      <c r="G99" s="24" t="s">
        <v>13001</v>
      </c>
      <c r="H99" s="35" t="s">
        <v>2702</v>
      </c>
      <c r="I99" s="18" t="s">
        <v>2703</v>
      </c>
    </row>
    <row r="100" spans="1:9" s="33" customFormat="1" ht="45">
      <c r="A100" s="12">
        <v>43572.202268518522</v>
      </c>
      <c r="B100" s="13" t="s">
        <v>15150</v>
      </c>
      <c r="C100" s="14" t="s">
        <v>3375</v>
      </c>
      <c r="D100" s="15" t="s">
        <v>3376</v>
      </c>
      <c r="E100" s="16" t="s">
        <v>13027</v>
      </c>
      <c r="F100" s="12">
        <v>39436.847129629634</v>
      </c>
      <c r="G100" s="24" t="s">
        <v>13001</v>
      </c>
      <c r="H100" s="35" t="s">
        <v>2702</v>
      </c>
      <c r="I100" s="18" t="s">
        <v>3377</v>
      </c>
    </row>
    <row r="101" spans="1:9" s="33" customFormat="1" ht="75">
      <c r="A101" s="19">
        <v>43551.775011574078</v>
      </c>
      <c r="B101" s="20" t="s">
        <v>15151</v>
      </c>
      <c r="C101" s="21" t="s">
        <v>4931</v>
      </c>
      <c r="D101" s="22" t="s">
        <v>7002</v>
      </c>
      <c r="E101" s="23" t="s">
        <v>13034</v>
      </c>
      <c r="F101" s="19">
        <v>43340.92491898148</v>
      </c>
      <c r="G101" s="24" t="s">
        <v>13001</v>
      </c>
      <c r="H101" s="35" t="s">
        <v>4933</v>
      </c>
      <c r="I101" s="25" t="s">
        <v>4934</v>
      </c>
    </row>
    <row r="102" spans="1:9" s="33" customFormat="1" ht="90">
      <c r="A102" s="4">
        <v>43565.834039351852</v>
      </c>
      <c r="B102" s="5" t="s">
        <v>15151</v>
      </c>
      <c r="C102" s="6" t="s">
        <v>4931</v>
      </c>
      <c r="D102" s="7" t="s">
        <v>5882</v>
      </c>
      <c r="E102" s="8" t="s">
        <v>13034</v>
      </c>
      <c r="F102" s="4">
        <v>43340.92491898148</v>
      </c>
      <c r="G102" s="24" t="s">
        <v>13001</v>
      </c>
      <c r="H102" s="35" t="s">
        <v>4933</v>
      </c>
      <c r="I102" s="10" t="s">
        <v>4934</v>
      </c>
    </row>
    <row r="103" spans="1:9" s="33" customFormat="1" ht="90">
      <c r="A103" s="4">
        <v>43560.818773148145</v>
      </c>
      <c r="B103" s="5" t="s">
        <v>15151</v>
      </c>
      <c r="C103" s="6" t="s">
        <v>4931</v>
      </c>
      <c r="D103" s="7" t="s">
        <v>11151</v>
      </c>
      <c r="E103" s="8" t="s">
        <v>13034</v>
      </c>
      <c r="F103" s="4">
        <v>43340.92491898148</v>
      </c>
      <c r="G103" s="24" t="s">
        <v>13001</v>
      </c>
      <c r="H103" s="35" t="s">
        <v>4933</v>
      </c>
      <c r="I103" s="10" t="s">
        <v>4934</v>
      </c>
    </row>
    <row r="104" spans="1:9" s="33" customFormat="1" ht="105">
      <c r="A104" s="12">
        <v>43567.863252314812</v>
      </c>
      <c r="B104" s="13" t="s">
        <v>15151</v>
      </c>
      <c r="C104" s="14" t="s">
        <v>4931</v>
      </c>
      <c r="D104" s="15" t="s">
        <v>4932</v>
      </c>
      <c r="E104" s="16" t="s">
        <v>13034</v>
      </c>
      <c r="F104" s="12">
        <v>43340.92491898148</v>
      </c>
      <c r="G104" s="24" t="s">
        <v>13001</v>
      </c>
      <c r="H104" s="35" t="s">
        <v>4933</v>
      </c>
      <c r="I104" s="18" t="s">
        <v>4934</v>
      </c>
    </row>
    <row r="105" spans="1:9" s="33" customFormat="1" ht="105">
      <c r="A105" s="12">
        <v>43572.585092592592</v>
      </c>
      <c r="B105" s="13" t="s">
        <v>15152</v>
      </c>
      <c r="C105" s="14" t="s">
        <v>3149</v>
      </c>
      <c r="D105" s="15" t="s">
        <v>3150</v>
      </c>
      <c r="E105" s="16" t="s">
        <v>13032</v>
      </c>
      <c r="F105" s="12">
        <v>39647.754490740743</v>
      </c>
      <c r="G105" s="17" t="s">
        <v>13001</v>
      </c>
      <c r="H105" s="35" t="s">
        <v>3151</v>
      </c>
      <c r="I105" s="18" t="s">
        <v>3152</v>
      </c>
    </row>
    <row r="106" spans="1:9" s="33" customFormat="1" ht="75">
      <c r="A106" s="12">
        <v>43577.641597222224</v>
      </c>
      <c r="B106" s="13" t="s">
        <v>15153</v>
      </c>
      <c r="C106" s="14" t="s">
        <v>1534</v>
      </c>
      <c r="D106" s="15" t="s">
        <v>1535</v>
      </c>
      <c r="E106" s="16" t="s">
        <v>13130</v>
      </c>
      <c r="F106" s="12">
        <v>40332.598182870366</v>
      </c>
      <c r="G106" s="17" t="s">
        <v>13001</v>
      </c>
      <c r="H106" s="35" t="s">
        <v>1536</v>
      </c>
      <c r="I106" s="18" t="s">
        <v>1537</v>
      </c>
    </row>
    <row r="107" spans="1:9" s="33" customFormat="1" ht="135">
      <c r="A107" s="12">
        <v>43570.729166666672</v>
      </c>
      <c r="B107" s="13" t="s">
        <v>15154</v>
      </c>
      <c r="C107" s="14" t="s">
        <v>3990</v>
      </c>
      <c r="D107" s="15" t="s">
        <v>3991</v>
      </c>
      <c r="E107" s="16" t="s">
        <v>13490</v>
      </c>
      <c r="F107" s="12">
        <v>42690.813125000001</v>
      </c>
      <c r="G107" s="17" t="s">
        <v>13001</v>
      </c>
      <c r="H107" s="35" t="s">
        <v>3992</v>
      </c>
      <c r="I107" s="18" t="s">
        <v>3993</v>
      </c>
    </row>
    <row r="108" spans="1:9" s="33" customFormat="1" ht="60">
      <c r="A108" s="12">
        <v>43577.895474537036</v>
      </c>
      <c r="B108" s="13" t="s">
        <v>15155</v>
      </c>
      <c r="C108" s="14" t="s">
        <v>1467</v>
      </c>
      <c r="D108" s="15" t="s">
        <v>1468</v>
      </c>
      <c r="E108" s="16" t="s">
        <v>13013</v>
      </c>
      <c r="F108" s="12">
        <v>41705.612210648149</v>
      </c>
      <c r="G108" s="17" t="s">
        <v>13001</v>
      </c>
      <c r="H108" s="35" t="s">
        <v>1469</v>
      </c>
      <c r="I108" s="18" t="s">
        <v>1470</v>
      </c>
    </row>
    <row r="109" spans="1:9" s="33" customFormat="1" ht="105">
      <c r="A109" s="19">
        <v>43551.666863425926</v>
      </c>
      <c r="B109" s="20" t="s">
        <v>15156</v>
      </c>
      <c r="C109" s="21" t="s">
        <v>3935</v>
      </c>
      <c r="D109" s="22" t="s">
        <v>7059</v>
      </c>
      <c r="E109" s="23" t="s">
        <v>15157</v>
      </c>
      <c r="F109" s="19">
        <v>43547.873159722221</v>
      </c>
      <c r="G109" s="17" t="s">
        <v>13001</v>
      </c>
      <c r="H109" s="35" t="s">
        <v>3937</v>
      </c>
      <c r="I109" s="25" t="s">
        <v>3938</v>
      </c>
    </row>
    <row r="110" spans="1:9" s="33" customFormat="1" ht="105">
      <c r="A110" s="19">
        <v>43550.666874999995</v>
      </c>
      <c r="B110" s="20" t="s">
        <v>15156</v>
      </c>
      <c r="C110" s="21" t="s">
        <v>3935</v>
      </c>
      <c r="D110" s="22" t="s">
        <v>7562</v>
      </c>
      <c r="E110" s="23" t="s">
        <v>15157</v>
      </c>
      <c r="F110" s="19">
        <v>43547.873159722221</v>
      </c>
      <c r="G110" s="17" t="s">
        <v>13001</v>
      </c>
      <c r="H110" s="35" t="s">
        <v>3937</v>
      </c>
      <c r="I110" s="25" t="s">
        <v>3938</v>
      </c>
    </row>
    <row r="111" spans="1:9" s="33" customFormat="1" ht="135">
      <c r="A111" s="12">
        <v>43570.928148148145</v>
      </c>
      <c r="B111" s="13" t="s">
        <v>15156</v>
      </c>
      <c r="C111" s="14" t="s">
        <v>3935</v>
      </c>
      <c r="D111" s="15" t="s">
        <v>3936</v>
      </c>
      <c r="E111" s="16" t="s">
        <v>15158</v>
      </c>
      <c r="F111" s="12">
        <v>43547.873159722221</v>
      </c>
      <c r="G111" s="17" t="s">
        <v>13001</v>
      </c>
      <c r="H111" s="35" t="s">
        <v>3937</v>
      </c>
      <c r="I111" s="18" t="s">
        <v>3938</v>
      </c>
    </row>
    <row r="112" spans="1:9" s="33" customFormat="1" ht="105">
      <c r="A112" s="12">
        <v>43566.040972222225</v>
      </c>
      <c r="B112" s="13" t="s">
        <v>15156</v>
      </c>
      <c r="C112" s="14" t="s">
        <v>3935</v>
      </c>
      <c r="D112" s="15" t="s">
        <v>5813</v>
      </c>
      <c r="E112" s="16" t="s">
        <v>15158</v>
      </c>
      <c r="F112" s="12">
        <v>43547.873159722221</v>
      </c>
      <c r="G112" s="17" t="s">
        <v>13001</v>
      </c>
      <c r="H112" s="35" t="s">
        <v>3937</v>
      </c>
      <c r="I112" s="18" t="s">
        <v>3938</v>
      </c>
    </row>
    <row r="113" spans="1:9" s="33" customFormat="1" ht="105">
      <c r="A113" s="19">
        <v>43543.072800925926</v>
      </c>
      <c r="B113" s="20" t="s">
        <v>15159</v>
      </c>
      <c r="C113" s="21" t="s">
        <v>9946</v>
      </c>
      <c r="D113" s="22" t="s">
        <v>9947</v>
      </c>
      <c r="E113" s="23" t="s">
        <v>13009</v>
      </c>
      <c r="F113" s="19">
        <v>43354.027037037042</v>
      </c>
      <c r="G113" s="17" t="s">
        <v>13001</v>
      </c>
      <c r="H113" s="35" t="s">
        <v>9948</v>
      </c>
      <c r="I113" s="25" t="s">
        <v>9949</v>
      </c>
    </row>
    <row r="114" spans="1:9" s="33" customFormat="1" ht="90">
      <c r="A114" s="4">
        <v>43564.202824074076</v>
      </c>
      <c r="B114" s="5" t="s">
        <v>15160</v>
      </c>
      <c r="C114" s="6" t="s">
        <v>6738</v>
      </c>
      <c r="D114" s="7" t="s">
        <v>6739</v>
      </c>
      <c r="E114" s="8" t="s">
        <v>13009</v>
      </c>
      <c r="F114" s="4">
        <v>43165.68677083333</v>
      </c>
      <c r="G114" s="9" t="s">
        <v>13001</v>
      </c>
      <c r="H114" s="35" t="s">
        <v>6740</v>
      </c>
      <c r="I114" s="10" t="s">
        <v>6741</v>
      </c>
    </row>
    <row r="115" spans="1:9" s="33" customFormat="1" ht="150">
      <c r="A115" s="4">
        <v>43557.585277777776</v>
      </c>
      <c r="B115" s="5" t="s">
        <v>15161</v>
      </c>
      <c r="C115" s="6" t="s">
        <v>12454</v>
      </c>
      <c r="D115" s="7" t="s">
        <v>12455</v>
      </c>
      <c r="E115" s="8" t="s">
        <v>13011</v>
      </c>
      <c r="F115" s="4">
        <v>40698.672337962962</v>
      </c>
      <c r="G115" s="9" t="s">
        <v>13001</v>
      </c>
      <c r="H115" s="35" t="s">
        <v>6740</v>
      </c>
      <c r="I115" s="10" t="s">
        <v>12456</v>
      </c>
    </row>
    <row r="116" spans="1:9" s="33" customFormat="1" ht="90">
      <c r="A116" s="19">
        <v>43546.670219907406</v>
      </c>
      <c r="B116" s="20" t="s">
        <v>15162</v>
      </c>
      <c r="C116" s="21" t="s">
        <v>8760</v>
      </c>
      <c r="D116" s="22" t="s">
        <v>8761</v>
      </c>
      <c r="E116" s="23" t="s">
        <v>13018</v>
      </c>
      <c r="F116" s="19">
        <v>43274.166134259256</v>
      </c>
      <c r="G116" s="24" t="s">
        <v>13001</v>
      </c>
      <c r="H116" s="35" t="s">
        <v>8762</v>
      </c>
      <c r="I116" s="25" t="s">
        <v>8763</v>
      </c>
    </row>
    <row r="117" spans="1:9" s="33" customFormat="1" ht="90">
      <c r="A117" s="4">
        <v>43556.791817129633</v>
      </c>
      <c r="B117" s="5" t="s">
        <v>15163</v>
      </c>
      <c r="C117" s="6" t="s">
        <v>12736</v>
      </c>
      <c r="D117" s="7" t="s">
        <v>12737</v>
      </c>
      <c r="E117" s="8" t="s">
        <v>13018</v>
      </c>
      <c r="F117" s="4">
        <v>41408.002974537041</v>
      </c>
      <c r="G117" s="9" t="s">
        <v>13001</v>
      </c>
      <c r="H117" s="35" t="s">
        <v>1804</v>
      </c>
      <c r="I117" s="10" t="s">
        <v>12738</v>
      </c>
    </row>
    <row r="118" spans="1:9" s="33" customFormat="1" ht="60">
      <c r="A118" s="12">
        <v>43576.888217592597</v>
      </c>
      <c r="B118" s="13" t="s">
        <v>15164</v>
      </c>
      <c r="C118" s="14" t="s">
        <v>1802</v>
      </c>
      <c r="D118" s="15" t="s">
        <v>1803</v>
      </c>
      <c r="E118" s="16" t="s">
        <v>13027</v>
      </c>
      <c r="F118" s="12">
        <v>39870.822442129633</v>
      </c>
      <c r="G118" s="9" t="s">
        <v>13001</v>
      </c>
      <c r="H118" s="35" t="s">
        <v>1804</v>
      </c>
      <c r="I118" s="18" t="s">
        <v>1805</v>
      </c>
    </row>
    <row r="119" spans="1:9" s="33" customFormat="1" ht="165">
      <c r="A119" s="12">
        <v>43571.234421296293</v>
      </c>
      <c r="B119" s="13" t="s">
        <v>15165</v>
      </c>
      <c r="C119" s="14" t="s">
        <v>3775</v>
      </c>
      <c r="D119" s="15" t="s">
        <v>3776</v>
      </c>
      <c r="E119" s="16" t="s">
        <v>13011</v>
      </c>
      <c r="F119" s="12">
        <v>39529.042812500003</v>
      </c>
      <c r="G119" s="9" t="s">
        <v>13001</v>
      </c>
      <c r="H119" s="35" t="s">
        <v>1804</v>
      </c>
      <c r="I119" s="18" t="s">
        <v>3777</v>
      </c>
    </row>
    <row r="120" spans="1:9" s="33" customFormat="1" ht="75">
      <c r="A120" s="19">
        <v>43544.699270833335</v>
      </c>
      <c r="B120" s="20" t="s">
        <v>15166</v>
      </c>
      <c r="C120" s="21" t="s">
        <v>9373</v>
      </c>
      <c r="D120" s="22" t="s">
        <v>9374</v>
      </c>
      <c r="E120" s="23" t="s">
        <v>13032</v>
      </c>
      <c r="F120" s="19">
        <v>41524.004872685182</v>
      </c>
      <c r="G120" s="9" t="s">
        <v>13001</v>
      </c>
      <c r="H120" s="35" t="s">
        <v>9375</v>
      </c>
      <c r="I120" s="25" t="s">
        <v>9376</v>
      </c>
    </row>
    <row r="121" spans="1:9" s="33" customFormat="1" ht="75">
      <c r="A121" s="4">
        <v>43556.613923611112</v>
      </c>
      <c r="B121" s="5" t="s">
        <v>15167</v>
      </c>
      <c r="C121" s="6" t="s">
        <v>12784</v>
      </c>
      <c r="D121" s="7" t="s">
        <v>12785</v>
      </c>
      <c r="E121" s="8" t="s">
        <v>13011</v>
      </c>
      <c r="F121" s="4">
        <v>41202.726840277777</v>
      </c>
      <c r="G121" s="9" t="s">
        <v>13001</v>
      </c>
      <c r="H121" s="35" t="s">
        <v>12786</v>
      </c>
      <c r="I121" s="10" t="s">
        <v>12787</v>
      </c>
    </row>
    <row r="122" spans="1:9" s="33" customFormat="1" ht="45">
      <c r="A122" s="19">
        <v>43542.563946759255</v>
      </c>
      <c r="B122" s="20" t="s">
        <v>15168</v>
      </c>
      <c r="C122" s="21" t="s">
        <v>10104</v>
      </c>
      <c r="D122" s="22" t="s">
        <v>10105</v>
      </c>
      <c r="E122" s="23" t="s">
        <v>13011</v>
      </c>
      <c r="F122" s="19">
        <v>40579.157094907408</v>
      </c>
      <c r="G122" s="17" t="s">
        <v>13001</v>
      </c>
      <c r="H122" s="35" t="s">
        <v>3610</v>
      </c>
      <c r="I122" s="25" t="s">
        <v>10106</v>
      </c>
    </row>
    <row r="123" spans="1:9" s="33" customFormat="1" ht="90">
      <c r="A123" s="4">
        <v>43561.68340277778</v>
      </c>
      <c r="B123" s="5" t="s">
        <v>15169</v>
      </c>
      <c r="C123" s="6" t="s">
        <v>10862</v>
      </c>
      <c r="D123" s="7" t="s">
        <v>10863</v>
      </c>
      <c r="E123" s="8" t="s">
        <v>13006</v>
      </c>
      <c r="F123" s="4">
        <v>40798.596759259257</v>
      </c>
      <c r="G123" s="17" t="s">
        <v>13001</v>
      </c>
      <c r="H123" s="35" t="s">
        <v>3610</v>
      </c>
      <c r="I123" s="10" t="s">
        <v>10864</v>
      </c>
    </row>
    <row r="124" spans="1:9" s="33" customFormat="1" ht="90">
      <c r="A124" s="4">
        <v>43561.681284722217</v>
      </c>
      <c r="B124" s="5" t="s">
        <v>15170</v>
      </c>
      <c r="C124" s="6" t="s">
        <v>10866</v>
      </c>
      <c r="D124" s="7" t="s">
        <v>10865</v>
      </c>
      <c r="E124" s="8" t="s">
        <v>13120</v>
      </c>
      <c r="F124" s="4">
        <v>40246.826319444444</v>
      </c>
      <c r="G124" s="17" t="s">
        <v>13001</v>
      </c>
      <c r="H124" s="35" t="s">
        <v>3610</v>
      </c>
      <c r="I124" s="10" t="s">
        <v>10867</v>
      </c>
    </row>
    <row r="125" spans="1:9" s="33" customFormat="1" ht="60">
      <c r="A125" s="12">
        <v>43571.618078703701</v>
      </c>
      <c r="B125" s="13" t="s">
        <v>15171</v>
      </c>
      <c r="C125" s="14" t="s">
        <v>3608</v>
      </c>
      <c r="D125" s="15" t="s">
        <v>3609</v>
      </c>
      <c r="E125" s="16" t="s">
        <v>13034</v>
      </c>
      <c r="F125" s="12">
        <v>43452.576793981483</v>
      </c>
      <c r="G125" s="17" t="s">
        <v>13001</v>
      </c>
      <c r="H125" s="35" t="s">
        <v>3610</v>
      </c>
      <c r="I125" s="18" t="s">
        <v>3611</v>
      </c>
    </row>
    <row r="126" spans="1:9" s="33" customFormat="1" ht="120">
      <c r="A126" s="19">
        <v>43551.75717592593</v>
      </c>
      <c r="B126" s="20" t="s">
        <v>15172</v>
      </c>
      <c r="C126" s="21" t="s">
        <v>7008</v>
      </c>
      <c r="D126" s="22" t="s">
        <v>7009</v>
      </c>
      <c r="E126" s="23" t="s">
        <v>13006</v>
      </c>
      <c r="F126" s="19">
        <v>40132.886874999997</v>
      </c>
      <c r="G126" s="24" t="s">
        <v>13001</v>
      </c>
      <c r="H126" s="35" t="s">
        <v>7010</v>
      </c>
      <c r="I126" s="25" t="s">
        <v>7011</v>
      </c>
    </row>
    <row r="127" spans="1:9" s="33" customFormat="1" ht="105">
      <c r="A127" s="4">
        <v>43557.52815972222</v>
      </c>
      <c r="B127" s="5" t="s">
        <v>15173</v>
      </c>
      <c r="C127" s="6" t="s">
        <v>12480</v>
      </c>
      <c r="D127" s="7" t="s">
        <v>12481</v>
      </c>
      <c r="E127" s="8" t="s">
        <v>13013</v>
      </c>
      <c r="F127" s="4">
        <v>42405.769166666665</v>
      </c>
      <c r="G127" s="17" t="s">
        <v>13001</v>
      </c>
      <c r="H127" s="35" t="s">
        <v>1473</v>
      </c>
      <c r="I127" s="10" t="s">
        <v>12482</v>
      </c>
    </row>
    <row r="128" spans="1:9" s="33" customFormat="1" ht="60">
      <c r="A128" s="12">
        <v>43577.888229166667</v>
      </c>
      <c r="B128" s="13" t="s">
        <v>15174</v>
      </c>
      <c r="C128" s="14" t="s">
        <v>1471</v>
      </c>
      <c r="D128" s="15" t="s">
        <v>1472</v>
      </c>
      <c r="E128" s="16" t="s">
        <v>13032</v>
      </c>
      <c r="F128" s="12">
        <v>42207.747766203705</v>
      </c>
      <c r="G128" s="17" t="s">
        <v>13001</v>
      </c>
      <c r="H128" s="35" t="s">
        <v>1473</v>
      </c>
      <c r="I128" s="18" t="s">
        <v>1474</v>
      </c>
    </row>
    <row r="129" spans="1:9" s="33" customFormat="1" ht="90">
      <c r="A129" s="12">
        <v>43577.022222222222</v>
      </c>
      <c r="B129" s="13" t="s">
        <v>15175</v>
      </c>
      <c r="C129" s="14" t="s">
        <v>1783</v>
      </c>
      <c r="D129" s="15" t="s">
        <v>1784</v>
      </c>
      <c r="E129" s="16" t="s">
        <v>13013</v>
      </c>
      <c r="F129" s="12">
        <v>42701.479675925926</v>
      </c>
      <c r="G129" s="17" t="s">
        <v>13001</v>
      </c>
      <c r="H129" s="35" t="s">
        <v>1473</v>
      </c>
      <c r="I129" s="18" t="s">
        <v>1785</v>
      </c>
    </row>
    <row r="130" spans="1:9" s="33" customFormat="1" ht="90">
      <c r="A130" s="12">
        <v>43571.062326388885</v>
      </c>
      <c r="B130" s="13" t="s">
        <v>15176</v>
      </c>
      <c r="C130" s="14" t="s">
        <v>3869</v>
      </c>
      <c r="D130" s="15" t="s">
        <v>3870</v>
      </c>
      <c r="E130" s="16" t="s">
        <v>13027</v>
      </c>
      <c r="F130" s="12">
        <v>41491.22184027778</v>
      </c>
      <c r="G130" s="17" t="s">
        <v>13001</v>
      </c>
      <c r="H130" s="35" t="s">
        <v>1473</v>
      </c>
      <c r="I130" s="18"/>
    </row>
    <row r="131" spans="1:9" s="33" customFormat="1" ht="60">
      <c r="A131" s="12">
        <v>43570.895648148144</v>
      </c>
      <c r="B131" s="13" t="s">
        <v>15176</v>
      </c>
      <c r="C131" s="14" t="s">
        <v>3869</v>
      </c>
      <c r="D131" s="15" t="s">
        <v>3951</v>
      </c>
      <c r="E131" s="16" t="s">
        <v>13027</v>
      </c>
      <c r="F131" s="12">
        <v>41491.22184027778</v>
      </c>
      <c r="G131" s="17" t="s">
        <v>13001</v>
      </c>
      <c r="H131" s="35" t="s">
        <v>1473</v>
      </c>
      <c r="I131" s="18"/>
    </row>
    <row r="132" spans="1:9" s="33" customFormat="1" ht="45">
      <c r="A132" s="4">
        <v>43561.165266203709</v>
      </c>
      <c r="B132" s="5" t="s">
        <v>15177</v>
      </c>
      <c r="C132" s="6" t="s">
        <v>11045</v>
      </c>
      <c r="D132" s="7" t="s">
        <v>11046</v>
      </c>
      <c r="E132" s="8" t="s">
        <v>13011</v>
      </c>
      <c r="F132" s="4">
        <v>40158.823287037041</v>
      </c>
      <c r="G132" s="24" t="s">
        <v>13001</v>
      </c>
      <c r="H132" s="35" t="s">
        <v>11047</v>
      </c>
      <c r="I132" s="10" t="s">
        <v>11048</v>
      </c>
    </row>
    <row r="133" spans="1:9" s="33" customFormat="1" ht="75">
      <c r="A133" s="19">
        <v>43549.125555555554</v>
      </c>
      <c r="B133" s="20" t="s">
        <v>15178</v>
      </c>
      <c r="C133" s="21" t="s">
        <v>8155</v>
      </c>
      <c r="D133" s="22" t="s">
        <v>8156</v>
      </c>
      <c r="E133" s="23" t="s">
        <v>13011</v>
      </c>
      <c r="F133" s="19">
        <v>39868.148379629631</v>
      </c>
      <c r="G133" s="24" t="s">
        <v>13001</v>
      </c>
      <c r="H133" s="35" t="s">
        <v>8157</v>
      </c>
      <c r="I133" s="25" t="s">
        <v>8158</v>
      </c>
    </row>
    <row r="134" spans="1:9" s="33" customFormat="1" ht="105">
      <c r="A134" s="4">
        <v>43565.211747685185</v>
      </c>
      <c r="B134" s="5" t="s">
        <v>15179</v>
      </c>
      <c r="C134" s="6" t="s">
        <v>2653</v>
      </c>
      <c r="D134" s="7" t="s">
        <v>6231</v>
      </c>
      <c r="E134" s="8" t="s">
        <v>13032</v>
      </c>
      <c r="F134" s="4">
        <v>40959.601678240739</v>
      </c>
      <c r="G134" s="17" t="s">
        <v>13001</v>
      </c>
      <c r="H134" s="35" t="s">
        <v>2655</v>
      </c>
      <c r="I134" s="10" t="s">
        <v>2656</v>
      </c>
    </row>
    <row r="135" spans="1:9" s="33" customFormat="1" ht="105">
      <c r="A135" s="4">
        <v>43564.251412037032</v>
      </c>
      <c r="B135" s="5" t="s">
        <v>15179</v>
      </c>
      <c r="C135" s="6" t="s">
        <v>2653</v>
      </c>
      <c r="D135" s="7" t="s">
        <v>6713</v>
      </c>
      <c r="E135" s="8" t="s">
        <v>13032</v>
      </c>
      <c r="F135" s="4">
        <v>40959.601678240739</v>
      </c>
      <c r="G135" s="17" t="s">
        <v>13001</v>
      </c>
      <c r="H135" s="35" t="s">
        <v>2655</v>
      </c>
      <c r="I135" s="10" t="s">
        <v>2656</v>
      </c>
    </row>
    <row r="136" spans="1:9" s="33" customFormat="1" ht="105">
      <c r="A136" s="4">
        <v>43564.248124999998</v>
      </c>
      <c r="B136" s="5" t="s">
        <v>15179</v>
      </c>
      <c r="C136" s="6" t="s">
        <v>2653</v>
      </c>
      <c r="D136" s="7" t="s">
        <v>6723</v>
      </c>
      <c r="E136" s="8" t="s">
        <v>13032</v>
      </c>
      <c r="F136" s="4">
        <v>40959.601678240739</v>
      </c>
      <c r="G136" s="17" t="s">
        <v>13001</v>
      </c>
      <c r="H136" s="35" t="s">
        <v>2655</v>
      </c>
      <c r="I136" s="10" t="s">
        <v>2656</v>
      </c>
    </row>
    <row r="137" spans="1:9" s="33" customFormat="1" ht="105">
      <c r="A137" s="4">
        <v>43563.210474537038</v>
      </c>
      <c r="B137" s="5" t="s">
        <v>15179</v>
      </c>
      <c r="C137" s="6" t="s">
        <v>2653</v>
      </c>
      <c r="D137" s="7" t="s">
        <v>10433</v>
      </c>
      <c r="E137" s="8" t="s">
        <v>13032</v>
      </c>
      <c r="F137" s="4">
        <v>40959.601678240739</v>
      </c>
      <c r="G137" s="17" t="s">
        <v>13001</v>
      </c>
      <c r="H137" s="35" t="s">
        <v>2655</v>
      </c>
      <c r="I137" s="10" t="s">
        <v>2656</v>
      </c>
    </row>
    <row r="138" spans="1:9" s="33" customFormat="1" ht="105">
      <c r="A138" s="12">
        <v>43574.18850694444</v>
      </c>
      <c r="B138" s="13" t="s">
        <v>15179</v>
      </c>
      <c r="C138" s="14" t="s">
        <v>2653</v>
      </c>
      <c r="D138" s="15" t="s">
        <v>2654</v>
      </c>
      <c r="E138" s="16" t="s">
        <v>13032</v>
      </c>
      <c r="F138" s="12">
        <v>40959.601678240739</v>
      </c>
      <c r="G138" s="17" t="s">
        <v>13001</v>
      </c>
      <c r="H138" s="35" t="s">
        <v>2655</v>
      </c>
      <c r="I138" s="18" t="s">
        <v>2656</v>
      </c>
    </row>
    <row r="139" spans="1:9" s="33" customFormat="1" ht="105">
      <c r="A139" s="12">
        <v>43573.792581018519</v>
      </c>
      <c r="B139" s="13" t="s">
        <v>15179</v>
      </c>
      <c r="C139" s="14" t="s">
        <v>2653</v>
      </c>
      <c r="D139" s="15" t="s">
        <v>2742</v>
      </c>
      <c r="E139" s="16" t="s">
        <v>13032</v>
      </c>
      <c r="F139" s="12">
        <v>40959.601678240739</v>
      </c>
      <c r="G139" s="17" t="s">
        <v>13001</v>
      </c>
      <c r="H139" s="35" t="s">
        <v>2655</v>
      </c>
      <c r="I139" s="18" t="s">
        <v>2656</v>
      </c>
    </row>
    <row r="140" spans="1:9" s="33" customFormat="1" ht="105">
      <c r="A140" s="12">
        <v>43568.092002314814</v>
      </c>
      <c r="B140" s="13" t="s">
        <v>15179</v>
      </c>
      <c r="C140" s="14" t="s">
        <v>2653</v>
      </c>
      <c r="D140" s="15" t="s">
        <v>4877</v>
      </c>
      <c r="E140" s="16" t="s">
        <v>13032</v>
      </c>
      <c r="F140" s="12">
        <v>40959.601678240739</v>
      </c>
      <c r="G140" s="17" t="s">
        <v>13001</v>
      </c>
      <c r="H140" s="35" t="s">
        <v>2655</v>
      </c>
      <c r="I140" s="18" t="s">
        <v>2656</v>
      </c>
    </row>
    <row r="141" spans="1:9" s="33" customFormat="1" ht="60">
      <c r="A141" s="19">
        <v>43545.915243055555</v>
      </c>
      <c r="B141" s="20" t="s">
        <v>15180</v>
      </c>
      <c r="C141" s="21" t="s">
        <v>9000</v>
      </c>
      <c r="D141" s="22" t="s">
        <v>9001</v>
      </c>
      <c r="E141" s="23" t="s">
        <v>13011</v>
      </c>
      <c r="F141" s="19">
        <v>42752.920162037037</v>
      </c>
      <c r="G141" s="24" t="s">
        <v>13001</v>
      </c>
      <c r="H141" s="35" t="s">
        <v>9002</v>
      </c>
      <c r="I141" s="25" t="s">
        <v>9003</v>
      </c>
    </row>
    <row r="142" spans="1:9" s="33" customFormat="1" ht="90">
      <c r="A142" s="4">
        <v>43558.957152777773</v>
      </c>
      <c r="B142" s="5" t="s">
        <v>15181</v>
      </c>
      <c r="C142" s="6" t="s">
        <v>11991</v>
      </c>
      <c r="D142" s="7" t="s">
        <v>11992</v>
      </c>
      <c r="E142" s="8" t="s">
        <v>13006</v>
      </c>
      <c r="F142" s="4">
        <v>41072.906319444446</v>
      </c>
      <c r="G142" s="9" t="s">
        <v>13001</v>
      </c>
      <c r="H142" s="35" t="s">
        <v>11993</v>
      </c>
      <c r="I142" s="10"/>
    </row>
    <row r="143" spans="1:9" s="33" customFormat="1" ht="75">
      <c r="A143" s="4">
        <v>43564.75072916667</v>
      </c>
      <c r="B143" s="5" t="s">
        <v>15182</v>
      </c>
      <c r="C143" s="6" t="s">
        <v>6431</v>
      </c>
      <c r="D143" s="7" t="s">
        <v>6432</v>
      </c>
      <c r="E143" s="8" t="s">
        <v>13034</v>
      </c>
      <c r="F143" s="4">
        <v>41896.935370370367</v>
      </c>
      <c r="G143" s="17" t="s">
        <v>13001</v>
      </c>
      <c r="H143" s="35" t="s">
        <v>6433</v>
      </c>
      <c r="I143" s="10" t="s">
        <v>6434</v>
      </c>
    </row>
    <row r="144" spans="1:9" s="33" customFormat="1" ht="90">
      <c r="A144" s="4">
        <v>43558.8121412037</v>
      </c>
      <c r="B144" s="5" t="s">
        <v>15183</v>
      </c>
      <c r="C144" s="6" t="s">
        <v>12031</v>
      </c>
      <c r="D144" s="7" t="s">
        <v>12876</v>
      </c>
      <c r="E144" s="8" t="s">
        <v>13009</v>
      </c>
      <c r="F144" s="4">
        <v>40553.995034722218</v>
      </c>
      <c r="G144" s="9" t="s">
        <v>13001</v>
      </c>
      <c r="H144" s="35" t="s">
        <v>12032</v>
      </c>
      <c r="I144" s="10" t="s">
        <v>12877</v>
      </c>
    </row>
    <row r="145" spans="1:9" s="33" customFormat="1" ht="45">
      <c r="A145" s="19">
        <v>43547.010879629626</v>
      </c>
      <c r="B145" s="20" t="s">
        <v>15184</v>
      </c>
      <c r="C145" s="21" t="s">
        <v>8677</v>
      </c>
      <c r="D145" s="22" t="s">
        <v>12924</v>
      </c>
      <c r="E145" s="23" t="s">
        <v>13011</v>
      </c>
      <c r="F145" s="19">
        <v>40529.156550925924</v>
      </c>
      <c r="G145" s="24" t="s">
        <v>13001</v>
      </c>
      <c r="H145" s="35" t="s">
        <v>8678</v>
      </c>
      <c r="I145" s="25" t="s">
        <v>8679</v>
      </c>
    </row>
    <row r="146" spans="1:9" s="33" customFormat="1" ht="150">
      <c r="A146" s="12">
        <v>43578.874131944445</v>
      </c>
      <c r="B146" s="13" t="s">
        <v>15185</v>
      </c>
      <c r="C146" s="14" t="s">
        <v>1006</v>
      </c>
      <c r="D146" s="15" t="s">
        <v>1007</v>
      </c>
      <c r="E146" s="16" t="s">
        <v>13011</v>
      </c>
      <c r="F146" s="12">
        <v>40468.397372685184</v>
      </c>
      <c r="G146" s="17" t="s">
        <v>13001</v>
      </c>
      <c r="H146" s="35" t="s">
        <v>1008</v>
      </c>
      <c r="I146" s="18" t="s">
        <v>1009</v>
      </c>
    </row>
    <row r="147" spans="1:9" s="33" customFormat="1" ht="60">
      <c r="A147" s="4">
        <v>43559.852372685185</v>
      </c>
      <c r="B147" s="5" t="s">
        <v>15186</v>
      </c>
      <c r="C147" s="6" t="s">
        <v>11670</v>
      </c>
      <c r="D147" s="7" t="s">
        <v>11671</v>
      </c>
      <c r="E147" s="8" t="s">
        <v>13009</v>
      </c>
      <c r="F147" s="4">
        <v>40024.034780092596</v>
      </c>
      <c r="G147" s="17" t="s">
        <v>13001</v>
      </c>
      <c r="H147" s="35" t="s">
        <v>11672</v>
      </c>
      <c r="I147" s="10" t="s">
        <v>11673</v>
      </c>
    </row>
    <row r="148" spans="1:9" s="33" customFormat="1" ht="45">
      <c r="A148" s="19">
        <v>43546.789212962962</v>
      </c>
      <c r="B148" s="20" t="s">
        <v>15187</v>
      </c>
      <c r="C148" s="21" t="s">
        <v>8726</v>
      </c>
      <c r="D148" s="22" t="s">
        <v>8727</v>
      </c>
      <c r="E148" s="23" t="s">
        <v>13009</v>
      </c>
      <c r="F148" s="19">
        <v>40967.214432870373</v>
      </c>
      <c r="G148" s="17" t="s">
        <v>13001</v>
      </c>
      <c r="H148" s="35" t="s">
        <v>8728</v>
      </c>
      <c r="I148" s="25" t="s">
        <v>8729</v>
      </c>
    </row>
    <row r="149" spans="1:9" s="33" customFormat="1" ht="120">
      <c r="A149" s="4">
        <v>43565.822939814811</v>
      </c>
      <c r="B149" s="5" t="s">
        <v>15188</v>
      </c>
      <c r="C149" s="6" t="s">
        <v>5884</v>
      </c>
      <c r="D149" s="7" t="s">
        <v>5885</v>
      </c>
      <c r="E149" s="8" t="s">
        <v>13011</v>
      </c>
      <c r="F149" s="4">
        <v>41395.887546296297</v>
      </c>
      <c r="G149" s="17" t="s">
        <v>13001</v>
      </c>
      <c r="H149" s="35" t="s">
        <v>5886</v>
      </c>
      <c r="I149" s="10" t="s">
        <v>5887</v>
      </c>
    </row>
    <row r="150" spans="1:9" s="33" customFormat="1" ht="120">
      <c r="A150" s="4">
        <v>43563.834432870368</v>
      </c>
      <c r="B150" s="5" t="s">
        <v>15189</v>
      </c>
      <c r="C150" s="6" t="s">
        <v>6864</v>
      </c>
      <c r="D150" s="7" t="s">
        <v>6865</v>
      </c>
      <c r="E150" s="8" t="s">
        <v>13009</v>
      </c>
      <c r="F150" s="4">
        <v>40953.856458333335</v>
      </c>
      <c r="G150" s="17" t="s">
        <v>13001</v>
      </c>
      <c r="H150" s="35" t="s">
        <v>6866</v>
      </c>
      <c r="I150" s="10" t="s">
        <v>6867</v>
      </c>
    </row>
    <row r="151" spans="1:9" s="33" customFormat="1" ht="135">
      <c r="A151" s="19">
        <v>43550.738020833334</v>
      </c>
      <c r="B151" s="20" t="s">
        <v>15190</v>
      </c>
      <c r="C151" s="21" t="s">
        <v>7525</v>
      </c>
      <c r="D151" s="22" t="s">
        <v>7526</v>
      </c>
      <c r="E151" s="23" t="s">
        <v>13013</v>
      </c>
      <c r="F151" s="19">
        <v>42782.072650462964</v>
      </c>
      <c r="G151" s="17" t="s">
        <v>13001</v>
      </c>
      <c r="H151" s="35" t="s">
        <v>3123</v>
      </c>
      <c r="I151" s="25" t="s">
        <v>7527</v>
      </c>
    </row>
    <row r="152" spans="1:9" s="33" customFormat="1" ht="90">
      <c r="A152" s="19">
        <v>43549.787465277783</v>
      </c>
      <c r="B152" s="20" t="s">
        <v>15191</v>
      </c>
      <c r="C152" s="21" t="s">
        <v>3121</v>
      </c>
      <c r="D152" s="22" t="s">
        <v>7929</v>
      </c>
      <c r="E152" s="23" t="s">
        <v>13009</v>
      </c>
      <c r="F152" s="19">
        <v>41733.916099537033</v>
      </c>
      <c r="G152" s="17" t="s">
        <v>13001</v>
      </c>
      <c r="H152" s="35" t="s">
        <v>3123</v>
      </c>
      <c r="I152" s="25" t="s">
        <v>3124</v>
      </c>
    </row>
    <row r="153" spans="1:9" s="33" customFormat="1" ht="105">
      <c r="A153" s="19">
        <v>43547.203611111108</v>
      </c>
      <c r="B153" s="20" t="s">
        <v>15191</v>
      </c>
      <c r="C153" s="21" t="s">
        <v>3121</v>
      </c>
      <c r="D153" s="22" t="s">
        <v>8638</v>
      </c>
      <c r="E153" s="23" t="s">
        <v>13011</v>
      </c>
      <c r="F153" s="19">
        <v>41733.916099537033</v>
      </c>
      <c r="G153" s="17" t="s">
        <v>13001</v>
      </c>
      <c r="H153" s="35" t="s">
        <v>3123</v>
      </c>
      <c r="I153" s="25" t="s">
        <v>3124</v>
      </c>
    </row>
    <row r="154" spans="1:9" s="33" customFormat="1" ht="120">
      <c r="A154" s="4">
        <v>43561.699884259258</v>
      </c>
      <c r="B154" s="5" t="s">
        <v>15192</v>
      </c>
      <c r="C154" s="6" t="s">
        <v>10859</v>
      </c>
      <c r="D154" s="7" t="s">
        <v>10854</v>
      </c>
      <c r="E154" s="8" t="s">
        <v>13120</v>
      </c>
      <c r="F154" s="4">
        <v>40009.917060185187</v>
      </c>
      <c r="G154" s="17" t="s">
        <v>13001</v>
      </c>
      <c r="H154" s="35" t="s">
        <v>3123</v>
      </c>
      <c r="I154" s="10" t="s">
        <v>10860</v>
      </c>
    </row>
    <row r="155" spans="1:9" s="33" customFormat="1" ht="120">
      <c r="A155" s="4">
        <v>43561.681342592594</v>
      </c>
      <c r="B155" s="5" t="s">
        <v>15192</v>
      </c>
      <c r="C155" s="6" t="s">
        <v>10859</v>
      </c>
      <c r="D155" s="7" t="s">
        <v>10865</v>
      </c>
      <c r="E155" s="8" t="s">
        <v>13120</v>
      </c>
      <c r="F155" s="4">
        <v>40009.917060185187</v>
      </c>
      <c r="G155" s="17" t="s">
        <v>13001</v>
      </c>
      <c r="H155" s="35" t="s">
        <v>3123</v>
      </c>
      <c r="I155" s="10" t="s">
        <v>10860</v>
      </c>
    </row>
    <row r="156" spans="1:9" s="33" customFormat="1" ht="135">
      <c r="A156" s="4">
        <v>43557.1409375</v>
      </c>
      <c r="B156" s="5" t="s">
        <v>15191</v>
      </c>
      <c r="C156" s="6" t="s">
        <v>3121</v>
      </c>
      <c r="D156" s="7" t="s">
        <v>12642</v>
      </c>
      <c r="E156" s="8" t="s">
        <v>13009</v>
      </c>
      <c r="F156" s="4">
        <v>41733.916099537033</v>
      </c>
      <c r="G156" s="17" t="s">
        <v>13001</v>
      </c>
      <c r="H156" s="35" t="s">
        <v>3123</v>
      </c>
      <c r="I156" s="10" t="s">
        <v>3124</v>
      </c>
    </row>
    <row r="157" spans="1:9" s="33" customFormat="1" ht="195">
      <c r="A157" s="4">
        <v>43557.139918981484</v>
      </c>
      <c r="B157" s="5" t="s">
        <v>15191</v>
      </c>
      <c r="C157" s="6" t="s">
        <v>3121</v>
      </c>
      <c r="D157" s="7" t="s">
        <v>12643</v>
      </c>
      <c r="E157" s="8" t="s">
        <v>13009</v>
      </c>
      <c r="F157" s="4">
        <v>41733.916099537033</v>
      </c>
      <c r="G157" s="17" t="s">
        <v>13001</v>
      </c>
      <c r="H157" s="35" t="s">
        <v>3123</v>
      </c>
      <c r="I157" s="10" t="s">
        <v>3124</v>
      </c>
    </row>
    <row r="158" spans="1:9" s="33" customFormat="1" ht="135">
      <c r="A158" s="12">
        <v>43572.688668981486</v>
      </c>
      <c r="B158" s="13" t="s">
        <v>15191</v>
      </c>
      <c r="C158" s="14" t="s">
        <v>3121</v>
      </c>
      <c r="D158" s="15" t="s">
        <v>3122</v>
      </c>
      <c r="E158" s="16" t="s">
        <v>13009</v>
      </c>
      <c r="F158" s="12">
        <v>41733.916099537033</v>
      </c>
      <c r="G158" s="17" t="s">
        <v>13001</v>
      </c>
      <c r="H158" s="35" t="s">
        <v>3123</v>
      </c>
      <c r="I158" s="18" t="s">
        <v>3124</v>
      </c>
    </row>
    <row r="159" spans="1:9" s="33" customFormat="1" ht="105">
      <c r="A159" s="12">
        <v>43569.957280092596</v>
      </c>
      <c r="B159" s="13" t="s">
        <v>15193</v>
      </c>
      <c r="C159" s="14" t="s">
        <v>4370</v>
      </c>
      <c r="D159" s="15" t="s">
        <v>4371</v>
      </c>
      <c r="E159" s="16" t="s">
        <v>13032</v>
      </c>
      <c r="F159" s="12">
        <v>40667.222129629634</v>
      </c>
      <c r="G159" s="17" t="s">
        <v>13001</v>
      </c>
      <c r="H159" s="35" t="s">
        <v>4372</v>
      </c>
      <c r="I159" s="18" t="s">
        <v>4373</v>
      </c>
    </row>
    <row r="160" spans="1:9" s="33" customFormat="1" ht="60">
      <c r="A160" s="4">
        <v>43565.73133101852</v>
      </c>
      <c r="B160" s="5" t="s">
        <v>15194</v>
      </c>
      <c r="C160" s="6" t="s">
        <v>5922</v>
      </c>
      <c r="D160" s="7" t="s">
        <v>5923</v>
      </c>
      <c r="E160" s="8" t="s">
        <v>13015</v>
      </c>
      <c r="F160" s="4">
        <v>40308.810127314813</v>
      </c>
      <c r="G160" s="9" t="s">
        <v>13001</v>
      </c>
      <c r="H160" s="35" t="s">
        <v>5924</v>
      </c>
      <c r="I160" s="10" t="s">
        <v>5925</v>
      </c>
    </row>
    <row r="161" spans="1:9" s="33" customFormat="1" ht="135">
      <c r="A161" s="19">
        <v>43549.327743055561</v>
      </c>
      <c r="B161" s="20" t="s">
        <v>15195</v>
      </c>
      <c r="C161" s="21" t="s">
        <v>8087</v>
      </c>
      <c r="D161" s="22" t="s">
        <v>8088</v>
      </c>
      <c r="E161" s="23" t="s">
        <v>13011</v>
      </c>
      <c r="F161" s="19">
        <v>40723.897581018522</v>
      </c>
      <c r="G161" s="9" t="s">
        <v>13001</v>
      </c>
      <c r="H161" s="35" t="s">
        <v>8089</v>
      </c>
      <c r="I161" s="25" t="s">
        <v>8090</v>
      </c>
    </row>
    <row r="162" spans="1:9" s="33" customFormat="1" ht="150">
      <c r="A162" s="19">
        <v>43546.943090277782</v>
      </c>
      <c r="B162" s="20" t="s">
        <v>15195</v>
      </c>
      <c r="C162" s="21" t="s">
        <v>8087</v>
      </c>
      <c r="D162" s="22" t="s">
        <v>8698</v>
      </c>
      <c r="E162" s="23" t="s">
        <v>13011</v>
      </c>
      <c r="F162" s="19">
        <v>40723.897581018522</v>
      </c>
      <c r="G162" s="9" t="s">
        <v>13001</v>
      </c>
      <c r="H162" s="35" t="s">
        <v>8089</v>
      </c>
      <c r="I162" s="25" t="s">
        <v>8090</v>
      </c>
    </row>
    <row r="163" spans="1:9" s="33" customFormat="1" ht="150">
      <c r="A163" s="19">
        <v>43543.983912037038</v>
      </c>
      <c r="B163" s="20" t="s">
        <v>15195</v>
      </c>
      <c r="C163" s="21" t="s">
        <v>8087</v>
      </c>
      <c r="D163" s="22" t="s">
        <v>9650</v>
      </c>
      <c r="E163" s="23" t="s">
        <v>13011</v>
      </c>
      <c r="F163" s="19">
        <v>40723.897581018522</v>
      </c>
      <c r="G163" s="9" t="s">
        <v>13001</v>
      </c>
      <c r="H163" s="35" t="s">
        <v>8089</v>
      </c>
      <c r="I163" s="25" t="s">
        <v>8090</v>
      </c>
    </row>
    <row r="164" spans="1:9" s="33" customFormat="1" ht="105">
      <c r="A164" s="4">
        <v>43561.699965277774</v>
      </c>
      <c r="B164" s="5" t="s">
        <v>15196</v>
      </c>
      <c r="C164" s="6" t="s">
        <v>10857</v>
      </c>
      <c r="D164" s="7" t="s">
        <v>10854</v>
      </c>
      <c r="E164" s="8" t="s">
        <v>13120</v>
      </c>
      <c r="F164" s="4">
        <v>40070.970729166671</v>
      </c>
      <c r="G164" s="9" t="s">
        <v>13001</v>
      </c>
      <c r="H164" s="35" t="s">
        <v>8089</v>
      </c>
      <c r="I164" s="10" t="s">
        <v>10858</v>
      </c>
    </row>
    <row r="165" spans="1:9" s="33" customFormat="1" ht="105">
      <c r="A165" s="4">
        <v>43561.681238425925</v>
      </c>
      <c r="B165" s="5" t="s">
        <v>15196</v>
      </c>
      <c r="C165" s="6" t="s">
        <v>10857</v>
      </c>
      <c r="D165" s="7" t="s">
        <v>10865</v>
      </c>
      <c r="E165" s="8" t="s">
        <v>13120</v>
      </c>
      <c r="F165" s="4">
        <v>40070.970729166671</v>
      </c>
      <c r="G165" s="9" t="s">
        <v>13001</v>
      </c>
      <c r="H165" s="35" t="s">
        <v>8089</v>
      </c>
      <c r="I165" s="10" t="s">
        <v>10858</v>
      </c>
    </row>
    <row r="166" spans="1:9" s="33" customFormat="1" ht="135">
      <c r="A166" s="19">
        <v>43545.606400462959</v>
      </c>
      <c r="B166" s="20" t="s">
        <v>15197</v>
      </c>
      <c r="C166" s="21" t="s">
        <v>9077</v>
      </c>
      <c r="D166" s="22" t="s">
        <v>9078</v>
      </c>
      <c r="E166" s="23" t="s">
        <v>13013</v>
      </c>
      <c r="F166" s="19">
        <v>43348.597268518519</v>
      </c>
      <c r="G166" s="24" t="s">
        <v>13001</v>
      </c>
      <c r="H166" s="35" t="s">
        <v>9079</v>
      </c>
      <c r="I166" s="25" t="s">
        <v>9080</v>
      </c>
    </row>
    <row r="167" spans="1:9" s="33" customFormat="1" ht="75">
      <c r="A167" s="19">
        <v>43549.953067129631</v>
      </c>
      <c r="B167" s="20" t="s">
        <v>15198</v>
      </c>
      <c r="C167" s="21" t="s">
        <v>6467</v>
      </c>
      <c r="D167" s="22" t="s">
        <v>7871</v>
      </c>
      <c r="E167" s="23" t="s">
        <v>15199</v>
      </c>
      <c r="F167" s="19">
        <v>43509.182708333334</v>
      </c>
      <c r="G167" s="17" t="s">
        <v>13001</v>
      </c>
      <c r="H167" s="35" t="s">
        <v>6469</v>
      </c>
      <c r="I167" s="25" t="s">
        <v>6470</v>
      </c>
    </row>
    <row r="168" spans="1:9" s="33" customFormat="1" ht="75">
      <c r="A168" s="19">
        <v>43549.805393518516</v>
      </c>
      <c r="B168" s="20" t="s">
        <v>15198</v>
      </c>
      <c r="C168" s="21" t="s">
        <v>6467</v>
      </c>
      <c r="D168" s="22" t="s">
        <v>7923</v>
      </c>
      <c r="E168" s="23" t="s">
        <v>15199</v>
      </c>
      <c r="F168" s="19">
        <v>43509.182708333334</v>
      </c>
      <c r="G168" s="17" t="s">
        <v>13001</v>
      </c>
      <c r="H168" s="35" t="s">
        <v>6469</v>
      </c>
      <c r="I168" s="25" t="s">
        <v>6470</v>
      </c>
    </row>
    <row r="169" spans="1:9" s="33" customFormat="1" ht="75">
      <c r="A169" s="19">
        <v>43549.247303240743</v>
      </c>
      <c r="B169" s="20" t="s">
        <v>15198</v>
      </c>
      <c r="C169" s="21" t="s">
        <v>6467</v>
      </c>
      <c r="D169" s="22" t="s">
        <v>8119</v>
      </c>
      <c r="E169" s="23" t="s">
        <v>15199</v>
      </c>
      <c r="F169" s="19">
        <v>43509.182708333334</v>
      </c>
      <c r="G169" s="17" t="s">
        <v>13001</v>
      </c>
      <c r="H169" s="35" t="s">
        <v>6469</v>
      </c>
      <c r="I169" s="25" t="s">
        <v>6470</v>
      </c>
    </row>
    <row r="170" spans="1:9" s="33" customFormat="1" ht="75">
      <c r="A170" s="19">
        <v>43548.430972222224</v>
      </c>
      <c r="B170" s="20" t="s">
        <v>15198</v>
      </c>
      <c r="C170" s="21" t="s">
        <v>6467</v>
      </c>
      <c r="D170" s="22" t="s">
        <v>8325</v>
      </c>
      <c r="E170" s="23" t="s">
        <v>15199</v>
      </c>
      <c r="F170" s="19">
        <v>43509.182708333334</v>
      </c>
      <c r="G170" s="17" t="s">
        <v>13001</v>
      </c>
      <c r="H170" s="35" t="s">
        <v>6469</v>
      </c>
      <c r="I170" s="25" t="s">
        <v>6470</v>
      </c>
    </row>
    <row r="171" spans="1:9" s="33" customFormat="1" ht="75">
      <c r="A171" s="19">
        <v>43547.902997685189</v>
      </c>
      <c r="B171" s="20" t="s">
        <v>15198</v>
      </c>
      <c r="C171" s="21" t="s">
        <v>6467</v>
      </c>
      <c r="D171" s="22" t="s">
        <v>8446</v>
      </c>
      <c r="E171" s="23" t="s">
        <v>15199</v>
      </c>
      <c r="F171" s="19">
        <v>43509.182708333334</v>
      </c>
      <c r="G171" s="17" t="s">
        <v>13001</v>
      </c>
      <c r="H171" s="35" t="s">
        <v>6469</v>
      </c>
      <c r="I171" s="25" t="s">
        <v>6470</v>
      </c>
    </row>
    <row r="172" spans="1:9" s="33" customFormat="1" ht="75">
      <c r="A172" s="19">
        <v>43547.486412037033</v>
      </c>
      <c r="B172" s="20" t="s">
        <v>15198</v>
      </c>
      <c r="C172" s="21" t="s">
        <v>6467</v>
      </c>
      <c r="D172" s="22" t="s">
        <v>8527</v>
      </c>
      <c r="E172" s="23" t="s">
        <v>15199</v>
      </c>
      <c r="F172" s="19">
        <v>43509.182708333334</v>
      </c>
      <c r="G172" s="17" t="s">
        <v>13001</v>
      </c>
      <c r="H172" s="35" t="s">
        <v>6469</v>
      </c>
      <c r="I172" s="25" t="s">
        <v>6470</v>
      </c>
    </row>
    <row r="173" spans="1:9" s="33" customFormat="1" ht="75">
      <c r="A173" s="19">
        <v>43547.355567129634</v>
      </c>
      <c r="B173" s="20" t="s">
        <v>15198</v>
      </c>
      <c r="C173" s="21" t="s">
        <v>6467</v>
      </c>
      <c r="D173" s="22" t="s">
        <v>8580</v>
      </c>
      <c r="E173" s="23" t="s">
        <v>15199</v>
      </c>
      <c r="F173" s="19">
        <v>43509.182708333334</v>
      </c>
      <c r="G173" s="17" t="s">
        <v>13001</v>
      </c>
      <c r="H173" s="35" t="s">
        <v>6469</v>
      </c>
      <c r="I173" s="25" t="s">
        <v>6470</v>
      </c>
    </row>
    <row r="174" spans="1:9" s="33" customFormat="1" ht="75">
      <c r="A174" s="19">
        <v>43547.216608796298</v>
      </c>
      <c r="B174" s="20" t="s">
        <v>15198</v>
      </c>
      <c r="C174" s="21" t="s">
        <v>6467</v>
      </c>
      <c r="D174" s="22" t="s">
        <v>8629</v>
      </c>
      <c r="E174" s="23" t="s">
        <v>15199</v>
      </c>
      <c r="F174" s="19">
        <v>43509.182708333334</v>
      </c>
      <c r="G174" s="17" t="s">
        <v>13001</v>
      </c>
      <c r="H174" s="35" t="s">
        <v>6469</v>
      </c>
      <c r="I174" s="25" t="s">
        <v>6470</v>
      </c>
    </row>
    <row r="175" spans="1:9" s="33" customFormat="1" ht="75">
      <c r="A175" s="19">
        <v>43546.906921296293</v>
      </c>
      <c r="B175" s="20" t="s">
        <v>15198</v>
      </c>
      <c r="C175" s="21" t="s">
        <v>6467</v>
      </c>
      <c r="D175" s="22" t="s">
        <v>8706</v>
      </c>
      <c r="E175" s="23" t="s">
        <v>15199</v>
      </c>
      <c r="F175" s="19">
        <v>43509.182708333334</v>
      </c>
      <c r="G175" s="17" t="s">
        <v>13001</v>
      </c>
      <c r="H175" s="35" t="s">
        <v>6469</v>
      </c>
      <c r="I175" s="25" t="s">
        <v>6470</v>
      </c>
    </row>
    <row r="176" spans="1:9" s="33" customFormat="1" ht="75">
      <c r="A176" s="19">
        <v>43546.773321759261</v>
      </c>
      <c r="B176" s="20" t="s">
        <v>15198</v>
      </c>
      <c r="C176" s="21" t="s">
        <v>6467</v>
      </c>
      <c r="D176" s="22" t="s">
        <v>8736</v>
      </c>
      <c r="E176" s="23" t="s">
        <v>15199</v>
      </c>
      <c r="F176" s="19">
        <v>43509.182708333334</v>
      </c>
      <c r="G176" s="17" t="s">
        <v>13001</v>
      </c>
      <c r="H176" s="35" t="s">
        <v>6469</v>
      </c>
      <c r="I176" s="25" t="s">
        <v>6470</v>
      </c>
    </row>
    <row r="177" spans="1:9" s="33" customFormat="1" ht="75">
      <c r="A177" s="19">
        <v>43546.499074074076</v>
      </c>
      <c r="B177" s="20" t="s">
        <v>15198</v>
      </c>
      <c r="C177" s="21" t="s">
        <v>6467</v>
      </c>
      <c r="D177" s="22" t="s">
        <v>8823</v>
      </c>
      <c r="E177" s="23" t="s">
        <v>15199</v>
      </c>
      <c r="F177" s="19">
        <v>43509.182708333334</v>
      </c>
      <c r="G177" s="17" t="s">
        <v>13001</v>
      </c>
      <c r="H177" s="35" t="s">
        <v>6469</v>
      </c>
      <c r="I177" s="25" t="s">
        <v>6470</v>
      </c>
    </row>
    <row r="178" spans="1:9" s="33" customFormat="1" ht="75">
      <c r="A178" s="19">
        <v>43546.364201388889</v>
      </c>
      <c r="B178" s="20" t="s">
        <v>15198</v>
      </c>
      <c r="C178" s="21" t="s">
        <v>6467</v>
      </c>
      <c r="D178" s="22" t="s">
        <v>8883</v>
      </c>
      <c r="E178" s="23" t="s">
        <v>15199</v>
      </c>
      <c r="F178" s="19">
        <v>43509.182708333334</v>
      </c>
      <c r="G178" s="17" t="s">
        <v>13001</v>
      </c>
      <c r="H178" s="35" t="s">
        <v>6469</v>
      </c>
      <c r="I178" s="25" t="s">
        <v>6470</v>
      </c>
    </row>
    <row r="179" spans="1:9" s="33" customFormat="1" ht="75">
      <c r="A179" s="19">
        <v>43546.231840277775</v>
      </c>
      <c r="B179" s="20" t="s">
        <v>15198</v>
      </c>
      <c r="C179" s="21" t="s">
        <v>6467</v>
      </c>
      <c r="D179" s="22" t="s">
        <v>8929</v>
      </c>
      <c r="E179" s="23" t="s">
        <v>15199</v>
      </c>
      <c r="F179" s="19">
        <v>43509.182708333334</v>
      </c>
      <c r="G179" s="17" t="s">
        <v>13001</v>
      </c>
      <c r="H179" s="35" t="s">
        <v>6469</v>
      </c>
      <c r="I179" s="25" t="s">
        <v>6470</v>
      </c>
    </row>
    <row r="180" spans="1:9" s="33" customFormat="1" ht="75">
      <c r="A180" s="19">
        <v>43546.089201388888</v>
      </c>
      <c r="B180" s="20" t="s">
        <v>15198</v>
      </c>
      <c r="C180" s="21" t="s">
        <v>6467</v>
      </c>
      <c r="D180" s="22" t="s">
        <v>8962</v>
      </c>
      <c r="E180" s="23" t="s">
        <v>15199</v>
      </c>
      <c r="F180" s="19">
        <v>43509.182708333334</v>
      </c>
      <c r="G180" s="17" t="s">
        <v>13001</v>
      </c>
      <c r="H180" s="35" t="s">
        <v>6469</v>
      </c>
      <c r="I180" s="25" t="s">
        <v>6470</v>
      </c>
    </row>
    <row r="181" spans="1:9" s="33" customFormat="1" ht="75">
      <c r="A181" s="19">
        <v>43545.957916666666</v>
      </c>
      <c r="B181" s="20" t="s">
        <v>15198</v>
      </c>
      <c r="C181" s="21" t="s">
        <v>6467</v>
      </c>
      <c r="D181" s="22" t="s">
        <v>8994</v>
      </c>
      <c r="E181" s="23" t="s">
        <v>15199</v>
      </c>
      <c r="F181" s="19">
        <v>43509.182708333334</v>
      </c>
      <c r="G181" s="17" t="s">
        <v>13001</v>
      </c>
      <c r="H181" s="35" t="s">
        <v>6469</v>
      </c>
      <c r="I181" s="25" t="s">
        <v>6470</v>
      </c>
    </row>
    <row r="182" spans="1:9" s="33" customFormat="1" ht="75">
      <c r="A182" s="19">
        <v>43545.819456018522</v>
      </c>
      <c r="B182" s="20" t="s">
        <v>15198</v>
      </c>
      <c r="C182" s="21" t="s">
        <v>6467</v>
      </c>
      <c r="D182" s="22" t="s">
        <v>9041</v>
      </c>
      <c r="E182" s="23" t="s">
        <v>15199</v>
      </c>
      <c r="F182" s="19">
        <v>43509.182708333334</v>
      </c>
      <c r="G182" s="17" t="s">
        <v>13001</v>
      </c>
      <c r="H182" s="35" t="s">
        <v>6469</v>
      </c>
      <c r="I182" s="25" t="s">
        <v>6470</v>
      </c>
    </row>
    <row r="183" spans="1:9" s="33" customFormat="1" ht="75">
      <c r="A183" s="19">
        <v>43545.556331018517</v>
      </c>
      <c r="B183" s="20" t="s">
        <v>15198</v>
      </c>
      <c r="C183" s="21" t="s">
        <v>6467</v>
      </c>
      <c r="D183" s="22" t="s">
        <v>9098</v>
      </c>
      <c r="E183" s="23" t="s">
        <v>15199</v>
      </c>
      <c r="F183" s="19">
        <v>43509.182708333334</v>
      </c>
      <c r="G183" s="17" t="s">
        <v>13001</v>
      </c>
      <c r="H183" s="35" t="s">
        <v>6469</v>
      </c>
      <c r="I183" s="25" t="s">
        <v>6470</v>
      </c>
    </row>
    <row r="184" spans="1:9" s="33" customFormat="1" ht="90">
      <c r="A184" s="19">
        <v>43545.424363425926</v>
      </c>
      <c r="B184" s="20" t="s">
        <v>15198</v>
      </c>
      <c r="C184" s="21" t="s">
        <v>6467</v>
      </c>
      <c r="D184" s="22" t="s">
        <v>9141</v>
      </c>
      <c r="E184" s="23" t="s">
        <v>15199</v>
      </c>
      <c r="F184" s="19">
        <v>43509.182708333334</v>
      </c>
      <c r="G184" s="17" t="s">
        <v>13001</v>
      </c>
      <c r="H184" s="35" t="s">
        <v>6469</v>
      </c>
      <c r="I184" s="25" t="s">
        <v>6470</v>
      </c>
    </row>
    <row r="185" spans="1:9" s="33" customFormat="1" ht="75">
      <c r="A185" s="19">
        <v>43544.890717592592</v>
      </c>
      <c r="B185" s="20" t="s">
        <v>15198</v>
      </c>
      <c r="C185" s="21" t="s">
        <v>6467</v>
      </c>
      <c r="D185" s="22" t="s">
        <v>9320</v>
      </c>
      <c r="E185" s="23" t="s">
        <v>15199</v>
      </c>
      <c r="F185" s="19">
        <v>43509.182708333334</v>
      </c>
      <c r="G185" s="17" t="s">
        <v>13001</v>
      </c>
      <c r="H185" s="35" t="s">
        <v>6469</v>
      </c>
      <c r="I185" s="25" t="s">
        <v>6470</v>
      </c>
    </row>
    <row r="186" spans="1:9" s="33" customFormat="1" ht="75">
      <c r="A186" s="19">
        <v>43544.617002314815</v>
      </c>
      <c r="B186" s="20" t="s">
        <v>15198</v>
      </c>
      <c r="C186" s="21" t="s">
        <v>6467</v>
      </c>
      <c r="D186" s="22" t="s">
        <v>9398</v>
      </c>
      <c r="E186" s="23" t="s">
        <v>15199</v>
      </c>
      <c r="F186" s="19">
        <v>43509.182708333334</v>
      </c>
      <c r="G186" s="17" t="s">
        <v>13001</v>
      </c>
      <c r="H186" s="35" t="s">
        <v>6469</v>
      </c>
      <c r="I186" s="25" t="s">
        <v>6470</v>
      </c>
    </row>
    <row r="187" spans="1:9" s="33" customFormat="1" ht="75">
      <c r="A187" s="19">
        <v>43544.488136574073</v>
      </c>
      <c r="B187" s="20" t="s">
        <v>15198</v>
      </c>
      <c r="C187" s="21" t="s">
        <v>6467</v>
      </c>
      <c r="D187" s="22" t="s">
        <v>9444</v>
      </c>
      <c r="E187" s="23" t="s">
        <v>15199</v>
      </c>
      <c r="F187" s="19">
        <v>43509.182708333334</v>
      </c>
      <c r="G187" s="17" t="s">
        <v>13001</v>
      </c>
      <c r="H187" s="35" t="s">
        <v>6469</v>
      </c>
      <c r="I187" s="25" t="s">
        <v>6470</v>
      </c>
    </row>
    <row r="188" spans="1:9" s="33" customFormat="1" ht="75">
      <c r="A188" s="19">
        <v>43543.635138888887</v>
      </c>
      <c r="B188" s="20" t="s">
        <v>15198</v>
      </c>
      <c r="C188" s="21" t="s">
        <v>6467</v>
      </c>
      <c r="D188" s="22" t="s">
        <v>9722</v>
      </c>
      <c r="E188" s="23" t="s">
        <v>15199</v>
      </c>
      <c r="F188" s="19">
        <v>43509.182708333334</v>
      </c>
      <c r="G188" s="17" t="s">
        <v>13001</v>
      </c>
      <c r="H188" s="35" t="s">
        <v>6469</v>
      </c>
      <c r="I188" s="25" t="s">
        <v>6470</v>
      </c>
    </row>
    <row r="189" spans="1:9" s="33" customFormat="1" ht="75">
      <c r="A189" s="19">
        <v>43542.949166666665</v>
      </c>
      <c r="B189" s="20" t="s">
        <v>15198</v>
      </c>
      <c r="C189" s="21" t="s">
        <v>6467</v>
      </c>
      <c r="D189" s="22" t="s">
        <v>9989</v>
      </c>
      <c r="E189" s="23" t="s">
        <v>15199</v>
      </c>
      <c r="F189" s="19">
        <v>43509.182708333334</v>
      </c>
      <c r="G189" s="17" t="s">
        <v>13001</v>
      </c>
      <c r="H189" s="35" t="s">
        <v>6469</v>
      </c>
      <c r="I189" s="25" t="s">
        <v>6470</v>
      </c>
    </row>
    <row r="190" spans="1:9" s="33" customFormat="1" ht="105">
      <c r="A190" s="4">
        <v>43564.660405092596</v>
      </c>
      <c r="B190" s="5" t="s">
        <v>15198</v>
      </c>
      <c r="C190" s="6" t="s">
        <v>6467</v>
      </c>
      <c r="D190" s="7" t="s">
        <v>6468</v>
      </c>
      <c r="E190" s="8" t="s">
        <v>15199</v>
      </c>
      <c r="F190" s="4">
        <v>43509.182708333334</v>
      </c>
      <c r="G190" s="17" t="s">
        <v>13001</v>
      </c>
      <c r="H190" s="35" t="s">
        <v>6469</v>
      </c>
      <c r="I190" s="10" t="s">
        <v>6470</v>
      </c>
    </row>
    <row r="191" spans="1:9" s="33" customFormat="1" ht="75">
      <c r="A191" s="4">
        <v>43560.349351851852</v>
      </c>
      <c r="B191" s="5" t="s">
        <v>15198</v>
      </c>
      <c r="C191" s="6" t="s">
        <v>6467</v>
      </c>
      <c r="D191" s="7" t="s">
        <v>11435</v>
      </c>
      <c r="E191" s="8" t="s">
        <v>15199</v>
      </c>
      <c r="F191" s="4">
        <v>43509.182708333334</v>
      </c>
      <c r="G191" s="17" t="s">
        <v>13001</v>
      </c>
      <c r="H191" s="35" t="s">
        <v>6469</v>
      </c>
      <c r="I191" s="10" t="s">
        <v>6470</v>
      </c>
    </row>
    <row r="192" spans="1:9" s="33" customFormat="1" ht="75">
      <c r="A192" s="4">
        <v>43560.864432870367</v>
      </c>
      <c r="B192" s="5" t="s">
        <v>15200</v>
      </c>
      <c r="C192" s="6" t="s">
        <v>11139</v>
      </c>
      <c r="D192" s="7" t="s">
        <v>11140</v>
      </c>
      <c r="E192" s="8" t="s">
        <v>13013</v>
      </c>
      <c r="F192" s="4">
        <v>40734.940162037034</v>
      </c>
      <c r="G192" s="9" t="s">
        <v>13001</v>
      </c>
      <c r="H192" s="35" t="s">
        <v>11141</v>
      </c>
      <c r="I192" s="10" t="s">
        <v>11142</v>
      </c>
    </row>
    <row r="193" spans="1:9" s="33" customFormat="1" ht="120">
      <c r="A193" s="19">
        <v>43543.703229166669</v>
      </c>
      <c r="B193" s="20" t="s">
        <v>15201</v>
      </c>
      <c r="C193" s="21" t="s">
        <v>1068</v>
      </c>
      <c r="D193" s="22" t="s">
        <v>9702</v>
      </c>
      <c r="E193" s="23" t="s">
        <v>13018</v>
      </c>
      <c r="F193" s="19">
        <v>40056.071076388893</v>
      </c>
      <c r="G193" s="24" t="s">
        <v>13001</v>
      </c>
      <c r="H193" s="35" t="s">
        <v>1070</v>
      </c>
      <c r="I193" s="25" t="s">
        <v>1071</v>
      </c>
    </row>
    <row r="194" spans="1:9" s="33" customFormat="1" ht="75">
      <c r="A194" s="19">
        <v>43543.118206018524</v>
      </c>
      <c r="B194" s="20" t="s">
        <v>15202</v>
      </c>
      <c r="C194" s="21" t="s">
        <v>9936</v>
      </c>
      <c r="D194" s="22" t="s">
        <v>9937</v>
      </c>
      <c r="E194" s="23" t="s">
        <v>13011</v>
      </c>
      <c r="F194" s="19">
        <v>39848.614479166667</v>
      </c>
      <c r="G194" s="24" t="s">
        <v>13001</v>
      </c>
      <c r="H194" s="35" t="s">
        <v>1070</v>
      </c>
      <c r="I194" s="25" t="s">
        <v>9938</v>
      </c>
    </row>
    <row r="195" spans="1:9" s="33" customFormat="1" ht="150">
      <c r="A195" s="4">
        <v>43563.965694444443</v>
      </c>
      <c r="B195" s="5" t="s">
        <v>15201</v>
      </c>
      <c r="C195" s="6" t="s">
        <v>1068</v>
      </c>
      <c r="D195" s="7" t="s">
        <v>6840</v>
      </c>
      <c r="E195" s="8" t="s">
        <v>13018</v>
      </c>
      <c r="F195" s="4">
        <v>40056.071076388893</v>
      </c>
      <c r="G195" s="24" t="s">
        <v>13001</v>
      </c>
      <c r="H195" s="35" t="s">
        <v>1070</v>
      </c>
      <c r="I195" s="10" t="s">
        <v>1071</v>
      </c>
    </row>
    <row r="196" spans="1:9" s="33" customFormat="1" ht="30">
      <c r="A196" s="4">
        <v>43562.920717592591</v>
      </c>
      <c r="B196" s="5" t="s">
        <v>15203</v>
      </c>
      <c r="C196" s="6" t="s">
        <v>10542</v>
      </c>
      <c r="D196" s="7" t="s">
        <v>10543</v>
      </c>
      <c r="E196" s="8" t="s">
        <v>13013</v>
      </c>
      <c r="F196" s="4">
        <v>39859.047569444447</v>
      </c>
      <c r="G196" s="24" t="s">
        <v>13001</v>
      </c>
      <c r="H196" s="35" t="s">
        <v>1070</v>
      </c>
      <c r="I196" s="10" t="s">
        <v>10544</v>
      </c>
    </row>
    <row r="197" spans="1:9" s="33" customFormat="1" ht="120">
      <c r="A197" s="4">
        <v>43561.681111111116</v>
      </c>
      <c r="B197" s="5" t="s">
        <v>15204</v>
      </c>
      <c r="C197" s="6" t="s">
        <v>10868</v>
      </c>
      <c r="D197" s="7" t="s">
        <v>10865</v>
      </c>
      <c r="E197" s="8" t="s">
        <v>13120</v>
      </c>
      <c r="F197" s="4">
        <v>40345.753738425927</v>
      </c>
      <c r="G197" s="24" t="s">
        <v>13001</v>
      </c>
      <c r="H197" s="35" t="s">
        <v>1070</v>
      </c>
      <c r="I197" s="10" t="s">
        <v>10869</v>
      </c>
    </row>
    <row r="198" spans="1:9" s="33" customFormat="1" ht="120">
      <c r="A198" s="4">
        <v>43560.729259259257</v>
      </c>
      <c r="B198" s="5" t="s">
        <v>15201</v>
      </c>
      <c r="C198" s="6" t="s">
        <v>1068</v>
      </c>
      <c r="D198" s="7" t="s">
        <v>11209</v>
      </c>
      <c r="E198" s="8" t="s">
        <v>13018</v>
      </c>
      <c r="F198" s="4">
        <v>40056.071076388893</v>
      </c>
      <c r="G198" s="24" t="s">
        <v>13001</v>
      </c>
      <c r="H198" s="35" t="s">
        <v>1070</v>
      </c>
      <c r="I198" s="10" t="s">
        <v>1071</v>
      </c>
    </row>
    <row r="199" spans="1:9" s="33" customFormat="1" ht="105">
      <c r="A199" s="4">
        <v>43559.812569444446</v>
      </c>
      <c r="B199" s="5" t="s">
        <v>15201</v>
      </c>
      <c r="C199" s="6" t="s">
        <v>1068</v>
      </c>
      <c r="D199" s="7" t="s">
        <v>11689</v>
      </c>
      <c r="E199" s="8" t="s">
        <v>13018</v>
      </c>
      <c r="F199" s="4">
        <v>40056.071076388893</v>
      </c>
      <c r="G199" s="24" t="s">
        <v>13001</v>
      </c>
      <c r="H199" s="35" t="s">
        <v>1070</v>
      </c>
      <c r="I199" s="10" t="s">
        <v>1071</v>
      </c>
    </row>
    <row r="200" spans="1:9" s="33" customFormat="1" ht="120">
      <c r="A200" s="12">
        <v>43578.722268518519</v>
      </c>
      <c r="B200" s="13" t="s">
        <v>15201</v>
      </c>
      <c r="C200" s="14" t="s">
        <v>1068</v>
      </c>
      <c r="D200" s="15" t="s">
        <v>1069</v>
      </c>
      <c r="E200" s="16" t="s">
        <v>13018</v>
      </c>
      <c r="F200" s="12">
        <v>40056.071076388893</v>
      </c>
      <c r="G200" s="24" t="s">
        <v>13001</v>
      </c>
      <c r="H200" s="35" t="s">
        <v>1070</v>
      </c>
      <c r="I200" s="18" t="s">
        <v>1071</v>
      </c>
    </row>
    <row r="201" spans="1:9" s="33" customFormat="1" ht="135">
      <c r="A201" s="12">
        <v>43576.691018518519</v>
      </c>
      <c r="B201" s="13" t="s">
        <v>15201</v>
      </c>
      <c r="C201" s="14" t="s">
        <v>1068</v>
      </c>
      <c r="D201" s="15" t="s">
        <v>1862</v>
      </c>
      <c r="E201" s="16" t="s">
        <v>13018</v>
      </c>
      <c r="F201" s="12">
        <v>40056.071076388893</v>
      </c>
      <c r="G201" s="24" t="s">
        <v>13001</v>
      </c>
      <c r="H201" s="35" t="s">
        <v>1070</v>
      </c>
      <c r="I201" s="18" t="s">
        <v>1071</v>
      </c>
    </row>
    <row r="202" spans="1:9" s="33" customFormat="1" ht="135">
      <c r="A202" s="12">
        <v>43573.677986111114</v>
      </c>
      <c r="B202" s="13" t="s">
        <v>15201</v>
      </c>
      <c r="C202" s="14" t="s">
        <v>1068</v>
      </c>
      <c r="D202" s="15" t="s">
        <v>2767</v>
      </c>
      <c r="E202" s="16" t="s">
        <v>13018</v>
      </c>
      <c r="F202" s="12">
        <v>40056.071076388893</v>
      </c>
      <c r="G202" s="24" t="s">
        <v>13001</v>
      </c>
      <c r="H202" s="35" t="s">
        <v>1070</v>
      </c>
      <c r="I202" s="18" t="s">
        <v>1071</v>
      </c>
    </row>
    <row r="203" spans="1:9" s="33" customFormat="1" ht="135">
      <c r="A203" s="12">
        <v>43570.009687500002</v>
      </c>
      <c r="B203" s="13" t="s">
        <v>15201</v>
      </c>
      <c r="C203" s="14" t="s">
        <v>1068</v>
      </c>
      <c r="D203" s="15" t="s">
        <v>4366</v>
      </c>
      <c r="E203" s="16" t="s">
        <v>13018</v>
      </c>
      <c r="F203" s="12">
        <v>40056.071076388893</v>
      </c>
      <c r="G203" s="24" t="s">
        <v>13001</v>
      </c>
      <c r="H203" s="35" t="s">
        <v>1070</v>
      </c>
      <c r="I203" s="18" t="s">
        <v>1071</v>
      </c>
    </row>
    <row r="204" spans="1:9" s="33" customFormat="1" ht="135">
      <c r="A204" s="12">
        <v>43568.670162037037</v>
      </c>
      <c r="B204" s="13" t="s">
        <v>15201</v>
      </c>
      <c r="C204" s="14" t="s">
        <v>1068</v>
      </c>
      <c r="D204" s="15" t="s">
        <v>4671</v>
      </c>
      <c r="E204" s="16" t="s">
        <v>13018</v>
      </c>
      <c r="F204" s="12">
        <v>40056.071076388893</v>
      </c>
      <c r="G204" s="24" t="s">
        <v>13001</v>
      </c>
      <c r="H204" s="35" t="s">
        <v>1070</v>
      </c>
      <c r="I204" s="18" t="s">
        <v>1071</v>
      </c>
    </row>
    <row r="205" spans="1:9" s="33" customFormat="1" ht="75">
      <c r="A205" s="12">
        <v>43567.708761574075</v>
      </c>
      <c r="B205" s="13" t="s">
        <v>15201</v>
      </c>
      <c r="C205" s="14" t="s">
        <v>1068</v>
      </c>
      <c r="D205" s="15" t="s">
        <v>4991</v>
      </c>
      <c r="E205" s="16" t="s">
        <v>13018</v>
      </c>
      <c r="F205" s="12">
        <v>40056.071076388893</v>
      </c>
      <c r="G205" s="24" t="s">
        <v>13001</v>
      </c>
      <c r="H205" s="35" t="s">
        <v>1070</v>
      </c>
      <c r="I205" s="18" t="s">
        <v>1071</v>
      </c>
    </row>
    <row r="206" spans="1:9" s="33" customFormat="1" ht="45">
      <c r="A206" s="12">
        <v>43570.912604166668</v>
      </c>
      <c r="B206" s="13" t="s">
        <v>15205</v>
      </c>
      <c r="C206" s="14" t="s">
        <v>3940</v>
      </c>
      <c r="D206" s="15" t="s">
        <v>3941</v>
      </c>
      <c r="E206" s="16" t="s">
        <v>13009</v>
      </c>
      <c r="F206" s="12">
        <v>40132.436898148146</v>
      </c>
      <c r="G206" s="24" t="s">
        <v>13001</v>
      </c>
      <c r="H206" s="35" t="s">
        <v>3942</v>
      </c>
      <c r="I206" s="18" t="s">
        <v>3943</v>
      </c>
    </row>
    <row r="207" spans="1:9" s="33" customFormat="1" ht="105">
      <c r="A207" s="4">
        <v>43563.120266203703</v>
      </c>
      <c r="B207" s="5" t="s">
        <v>15206</v>
      </c>
      <c r="C207" s="6" t="s">
        <v>4380</v>
      </c>
      <c r="D207" s="7" t="s">
        <v>10456</v>
      </c>
      <c r="E207" s="8" t="s">
        <v>13009</v>
      </c>
      <c r="F207" s="4">
        <v>39889.922685185185</v>
      </c>
      <c r="G207" s="24" t="s">
        <v>13001</v>
      </c>
      <c r="H207" s="35" t="s">
        <v>4382</v>
      </c>
      <c r="I207" s="10" t="s">
        <v>4383</v>
      </c>
    </row>
    <row r="208" spans="1:9" s="33" customFormat="1" ht="105">
      <c r="A208" s="4">
        <v>43559.764652777776</v>
      </c>
      <c r="B208" s="5" t="s">
        <v>15206</v>
      </c>
      <c r="C208" s="6" t="s">
        <v>4380</v>
      </c>
      <c r="D208" s="7" t="s">
        <v>11698</v>
      </c>
      <c r="E208" s="8" t="s">
        <v>13009</v>
      </c>
      <c r="F208" s="4">
        <v>39889.922685185185</v>
      </c>
      <c r="G208" s="24" t="s">
        <v>13001</v>
      </c>
      <c r="H208" s="35" t="s">
        <v>4382</v>
      </c>
      <c r="I208" s="10" t="s">
        <v>4383</v>
      </c>
    </row>
    <row r="209" spans="1:9" s="33" customFormat="1" ht="105">
      <c r="A209" s="12">
        <v>43569.883391203708</v>
      </c>
      <c r="B209" s="13" t="s">
        <v>15206</v>
      </c>
      <c r="C209" s="14" t="s">
        <v>4380</v>
      </c>
      <c r="D209" s="15" t="s">
        <v>4381</v>
      </c>
      <c r="E209" s="16" t="s">
        <v>13009</v>
      </c>
      <c r="F209" s="12">
        <v>39889.922685185185</v>
      </c>
      <c r="G209" s="24" t="s">
        <v>13001</v>
      </c>
      <c r="H209" s="35" t="s">
        <v>4382</v>
      </c>
      <c r="I209" s="18" t="s">
        <v>4383</v>
      </c>
    </row>
    <row r="210" spans="1:9" s="33" customFormat="1" ht="90">
      <c r="A210" s="19">
        <v>43548.673344907409</v>
      </c>
      <c r="B210" s="20" t="s">
        <v>15207</v>
      </c>
      <c r="C210" s="21" t="s">
        <v>8249</v>
      </c>
      <c r="D210" s="22" t="s">
        <v>8250</v>
      </c>
      <c r="E210" s="23" t="s">
        <v>13032</v>
      </c>
      <c r="F210" s="19">
        <v>40961.733668981484</v>
      </c>
      <c r="G210" s="24" t="s">
        <v>13001</v>
      </c>
      <c r="H210" s="35" t="s">
        <v>453</v>
      </c>
      <c r="I210" s="25" t="s">
        <v>8251</v>
      </c>
    </row>
    <row r="211" spans="1:9" s="33" customFormat="1" ht="120">
      <c r="A211" s="19">
        <v>43543.743472222224</v>
      </c>
      <c r="B211" s="20" t="s">
        <v>15208</v>
      </c>
      <c r="C211" s="21" t="s">
        <v>9689</v>
      </c>
      <c r="D211" s="22" t="s">
        <v>9690</v>
      </c>
      <c r="E211" s="23" t="s">
        <v>13009</v>
      </c>
      <c r="F211" s="19">
        <v>41689.679270833338</v>
      </c>
      <c r="G211" s="24" t="s">
        <v>13001</v>
      </c>
      <c r="H211" s="35" t="s">
        <v>453</v>
      </c>
      <c r="I211" s="25" t="s">
        <v>9691</v>
      </c>
    </row>
    <row r="212" spans="1:9" s="33" customFormat="1" ht="120">
      <c r="A212" s="19">
        <v>43543.700335648144</v>
      </c>
      <c r="B212" s="20" t="s">
        <v>15209</v>
      </c>
      <c r="C212" s="21" t="s">
        <v>1080</v>
      </c>
      <c r="D212" s="22" t="s">
        <v>9702</v>
      </c>
      <c r="E212" s="23" t="s">
        <v>13018</v>
      </c>
      <c r="F212" s="19">
        <v>42052.720879629633</v>
      </c>
      <c r="G212" s="24" t="s">
        <v>13001</v>
      </c>
      <c r="H212" s="35" t="s">
        <v>453</v>
      </c>
      <c r="I212" s="25" t="s">
        <v>1081</v>
      </c>
    </row>
    <row r="213" spans="1:9" s="33" customFormat="1" ht="105">
      <c r="A213" s="19">
        <v>43542.612627314811</v>
      </c>
      <c r="B213" s="20" t="s">
        <v>15210</v>
      </c>
      <c r="C213" s="21" t="s">
        <v>10072</v>
      </c>
      <c r="D213" s="22" t="s">
        <v>10073</v>
      </c>
      <c r="E213" s="23" t="s">
        <v>13440</v>
      </c>
      <c r="F213" s="19">
        <v>42846.669120370367</v>
      </c>
      <c r="G213" s="24" t="s">
        <v>13001</v>
      </c>
      <c r="H213" s="35" t="s">
        <v>453</v>
      </c>
      <c r="I213" s="25" t="s">
        <v>10074</v>
      </c>
    </row>
    <row r="214" spans="1:9" s="33" customFormat="1" ht="135">
      <c r="A214" s="4">
        <v>43563.938368055555</v>
      </c>
      <c r="B214" s="5" t="s">
        <v>15209</v>
      </c>
      <c r="C214" s="6" t="s">
        <v>1080</v>
      </c>
      <c r="D214" s="7" t="s">
        <v>6846</v>
      </c>
      <c r="E214" s="8" t="s">
        <v>13018</v>
      </c>
      <c r="F214" s="4">
        <v>42052.720879629633</v>
      </c>
      <c r="G214" s="24" t="s">
        <v>13001</v>
      </c>
      <c r="H214" s="35" t="s">
        <v>453</v>
      </c>
      <c r="I214" s="10" t="s">
        <v>1081</v>
      </c>
    </row>
    <row r="215" spans="1:9" s="33" customFormat="1" ht="135">
      <c r="A215" s="4">
        <v>43563.937754629631</v>
      </c>
      <c r="B215" s="5" t="s">
        <v>15209</v>
      </c>
      <c r="C215" s="6" t="s">
        <v>1080</v>
      </c>
      <c r="D215" s="7" t="s">
        <v>6846</v>
      </c>
      <c r="E215" s="8" t="s">
        <v>13018</v>
      </c>
      <c r="F215" s="4">
        <v>42052.720879629633</v>
      </c>
      <c r="G215" s="24" t="s">
        <v>13001</v>
      </c>
      <c r="H215" s="35" t="s">
        <v>453</v>
      </c>
      <c r="I215" s="10" t="s">
        <v>1081</v>
      </c>
    </row>
    <row r="216" spans="1:9" s="33" customFormat="1" ht="120">
      <c r="A216" s="4">
        <v>43560.680648148147</v>
      </c>
      <c r="B216" s="5" t="s">
        <v>15209</v>
      </c>
      <c r="C216" s="6" t="s">
        <v>1080</v>
      </c>
      <c r="D216" s="7" t="s">
        <v>11209</v>
      </c>
      <c r="E216" s="8" t="s">
        <v>13018</v>
      </c>
      <c r="F216" s="4">
        <v>42052.720879629633</v>
      </c>
      <c r="G216" s="24" t="s">
        <v>13001</v>
      </c>
      <c r="H216" s="35" t="s">
        <v>453</v>
      </c>
      <c r="I216" s="10" t="s">
        <v>1081</v>
      </c>
    </row>
    <row r="217" spans="1:9" s="33" customFormat="1" ht="150">
      <c r="A217" s="12">
        <v>43579.776261574079</v>
      </c>
      <c r="B217" s="13" t="s">
        <v>15211</v>
      </c>
      <c r="C217" s="14" t="s">
        <v>451</v>
      </c>
      <c r="D217" s="15" t="s">
        <v>452</v>
      </c>
      <c r="E217" s="16" t="s">
        <v>13027</v>
      </c>
      <c r="F217" s="12">
        <v>40840.110983796294</v>
      </c>
      <c r="G217" s="24" t="s">
        <v>13001</v>
      </c>
      <c r="H217" s="35" t="s">
        <v>453</v>
      </c>
      <c r="I217" s="18" t="s">
        <v>454</v>
      </c>
    </row>
    <row r="218" spans="1:9" s="33" customFormat="1" ht="135">
      <c r="A218" s="12">
        <v>43578.901331018518</v>
      </c>
      <c r="B218" s="13" t="s">
        <v>15211</v>
      </c>
      <c r="C218" s="14" t="s">
        <v>451</v>
      </c>
      <c r="D218" s="15" t="s">
        <v>1001</v>
      </c>
      <c r="E218" s="16" t="s">
        <v>13027</v>
      </c>
      <c r="F218" s="12">
        <v>40840.110983796294</v>
      </c>
      <c r="G218" s="24" t="s">
        <v>13001</v>
      </c>
      <c r="H218" s="35" t="s">
        <v>453</v>
      </c>
      <c r="I218" s="18" t="s">
        <v>454</v>
      </c>
    </row>
    <row r="219" spans="1:9" s="33" customFormat="1" ht="120">
      <c r="A219" s="12">
        <v>43578.711909722224</v>
      </c>
      <c r="B219" s="13" t="s">
        <v>15209</v>
      </c>
      <c r="C219" s="14" t="s">
        <v>1080</v>
      </c>
      <c r="D219" s="15" t="s">
        <v>1069</v>
      </c>
      <c r="E219" s="16" t="s">
        <v>13018</v>
      </c>
      <c r="F219" s="12">
        <v>42052.720879629633</v>
      </c>
      <c r="G219" s="24" t="s">
        <v>13001</v>
      </c>
      <c r="H219" s="35" t="s">
        <v>453</v>
      </c>
      <c r="I219" s="18" t="s">
        <v>1081</v>
      </c>
    </row>
    <row r="220" spans="1:9" s="33" customFormat="1" ht="150">
      <c r="A220" s="12">
        <v>43577.942858796298</v>
      </c>
      <c r="B220" s="13" t="s">
        <v>15211</v>
      </c>
      <c r="C220" s="14" t="s">
        <v>451</v>
      </c>
      <c r="D220" s="15" t="s">
        <v>1446</v>
      </c>
      <c r="E220" s="16" t="s">
        <v>13027</v>
      </c>
      <c r="F220" s="12">
        <v>40840.110983796294</v>
      </c>
      <c r="G220" s="24" t="s">
        <v>13001</v>
      </c>
      <c r="H220" s="35" t="s">
        <v>453</v>
      </c>
      <c r="I220" s="18" t="s">
        <v>454</v>
      </c>
    </row>
    <row r="221" spans="1:9" s="33" customFormat="1" ht="135">
      <c r="A221" s="12">
        <v>43577.276724537034</v>
      </c>
      <c r="B221" s="13" t="s">
        <v>15211</v>
      </c>
      <c r="C221" s="14" t="s">
        <v>451</v>
      </c>
      <c r="D221" s="15" t="s">
        <v>1683</v>
      </c>
      <c r="E221" s="16" t="s">
        <v>13027</v>
      </c>
      <c r="F221" s="12">
        <v>40840.110983796294</v>
      </c>
      <c r="G221" s="24" t="s">
        <v>13001</v>
      </c>
      <c r="H221" s="35" t="s">
        <v>453</v>
      </c>
      <c r="I221" s="18" t="s">
        <v>454</v>
      </c>
    </row>
    <row r="222" spans="1:9" s="33" customFormat="1" ht="135">
      <c r="A222" s="12">
        <v>43573.677430555559</v>
      </c>
      <c r="B222" s="13" t="s">
        <v>15209</v>
      </c>
      <c r="C222" s="14" t="s">
        <v>1080</v>
      </c>
      <c r="D222" s="15" t="s">
        <v>2767</v>
      </c>
      <c r="E222" s="16" t="s">
        <v>13018</v>
      </c>
      <c r="F222" s="12">
        <v>42052.720879629633</v>
      </c>
      <c r="G222" s="24" t="s">
        <v>13001</v>
      </c>
      <c r="H222" s="35" t="s">
        <v>453</v>
      </c>
      <c r="I222" s="18" t="s">
        <v>1081</v>
      </c>
    </row>
    <row r="223" spans="1:9" s="33" customFormat="1" ht="135">
      <c r="A223" s="12">
        <v>43570.009143518517</v>
      </c>
      <c r="B223" s="13" t="s">
        <v>15209</v>
      </c>
      <c r="C223" s="14" t="s">
        <v>1080</v>
      </c>
      <c r="D223" s="15" t="s">
        <v>4366</v>
      </c>
      <c r="E223" s="16" t="s">
        <v>13018</v>
      </c>
      <c r="F223" s="12">
        <v>42052.720879629633</v>
      </c>
      <c r="G223" s="24" t="s">
        <v>13001</v>
      </c>
      <c r="H223" s="35" t="s">
        <v>453</v>
      </c>
      <c r="I223" s="18" t="s">
        <v>1081</v>
      </c>
    </row>
    <row r="224" spans="1:9" s="33" customFormat="1" ht="90">
      <c r="A224" s="12">
        <v>43567.750543981485</v>
      </c>
      <c r="B224" s="13" t="s">
        <v>15209</v>
      </c>
      <c r="C224" s="14" t="s">
        <v>1080</v>
      </c>
      <c r="D224" s="15" t="s">
        <v>4965</v>
      </c>
      <c r="E224" s="16" t="s">
        <v>13018</v>
      </c>
      <c r="F224" s="12">
        <v>42052.720879629633</v>
      </c>
      <c r="G224" s="24" t="s">
        <v>13001</v>
      </c>
      <c r="H224" s="35" t="s">
        <v>453</v>
      </c>
      <c r="I224" s="18" t="s">
        <v>1081</v>
      </c>
    </row>
    <row r="225" spans="1:9" s="33" customFormat="1" ht="105">
      <c r="A225" s="19">
        <v>43549.693402777775</v>
      </c>
      <c r="B225" s="20" t="s">
        <v>15212</v>
      </c>
      <c r="C225" s="21" t="s">
        <v>7942</v>
      </c>
      <c r="D225" s="22" t="s">
        <v>7943</v>
      </c>
      <c r="E225" s="23" t="s">
        <v>13009</v>
      </c>
      <c r="F225" s="19">
        <v>42297.008113425924</v>
      </c>
      <c r="G225" s="24" t="s">
        <v>13001</v>
      </c>
      <c r="H225" s="35" t="s">
        <v>3023</v>
      </c>
      <c r="I225" s="25" t="s">
        <v>7944</v>
      </c>
    </row>
    <row r="226" spans="1:9" s="33" customFormat="1" ht="75">
      <c r="A226" s="19">
        <v>43549.005659722221</v>
      </c>
      <c r="B226" s="20" t="s">
        <v>15213</v>
      </c>
      <c r="C226" s="21" t="s">
        <v>4018</v>
      </c>
      <c r="D226" s="22" t="s">
        <v>8189</v>
      </c>
      <c r="E226" s="23" t="s">
        <v>13013</v>
      </c>
      <c r="F226" s="19">
        <v>42230.918240740742</v>
      </c>
      <c r="G226" s="24" t="s">
        <v>13001</v>
      </c>
      <c r="H226" s="35" t="s">
        <v>3023</v>
      </c>
      <c r="I226" s="25"/>
    </row>
    <row r="227" spans="1:9" s="33" customFormat="1" ht="105">
      <c r="A227" s="19">
        <v>43547.896793981483</v>
      </c>
      <c r="B227" s="20" t="s">
        <v>15214</v>
      </c>
      <c r="C227" s="21" t="s">
        <v>8449</v>
      </c>
      <c r="D227" s="22" t="s">
        <v>8450</v>
      </c>
      <c r="E227" s="23" t="s">
        <v>13011</v>
      </c>
      <c r="F227" s="19">
        <v>40930.284548611111</v>
      </c>
      <c r="G227" s="24" t="s">
        <v>13001</v>
      </c>
      <c r="H227" s="35" t="s">
        <v>3023</v>
      </c>
      <c r="I227" s="25" t="s">
        <v>8451</v>
      </c>
    </row>
    <row r="228" spans="1:9" s="33" customFormat="1" ht="105">
      <c r="A228" s="19">
        <v>43544.799027777779</v>
      </c>
      <c r="B228" s="20" t="s">
        <v>15215</v>
      </c>
      <c r="C228" s="21" t="s">
        <v>9330</v>
      </c>
      <c r="D228" s="22" t="s">
        <v>9331</v>
      </c>
      <c r="E228" s="23" t="s">
        <v>13009</v>
      </c>
      <c r="F228" s="19">
        <v>42382.06177083333</v>
      </c>
      <c r="G228" s="24" t="s">
        <v>13001</v>
      </c>
      <c r="H228" s="35" t="s">
        <v>3023</v>
      </c>
      <c r="I228" s="25" t="s">
        <v>9332</v>
      </c>
    </row>
    <row r="229" spans="1:9" s="33" customFormat="1" ht="75">
      <c r="A229" s="19">
        <v>43543.666539351849</v>
      </c>
      <c r="B229" s="20" t="s">
        <v>15212</v>
      </c>
      <c r="C229" s="21" t="s">
        <v>7942</v>
      </c>
      <c r="D229" s="22" t="s">
        <v>9713</v>
      </c>
      <c r="E229" s="23" t="s">
        <v>13009</v>
      </c>
      <c r="F229" s="19">
        <v>42297.008113425924</v>
      </c>
      <c r="G229" s="24" t="s">
        <v>13001</v>
      </c>
      <c r="H229" s="35" t="s">
        <v>3023</v>
      </c>
      <c r="I229" s="25" t="s">
        <v>7944</v>
      </c>
    </row>
    <row r="230" spans="1:9" s="33" customFormat="1" ht="30">
      <c r="A230" s="19">
        <v>43543.221770833334</v>
      </c>
      <c r="B230" s="20" t="s">
        <v>15216</v>
      </c>
      <c r="C230" s="21" t="s">
        <v>9895</v>
      </c>
      <c r="D230" s="22" t="s">
        <v>9896</v>
      </c>
      <c r="E230" s="23" t="s">
        <v>13009</v>
      </c>
      <c r="F230" s="19">
        <v>40000.202523148146</v>
      </c>
      <c r="G230" s="24" t="s">
        <v>13001</v>
      </c>
      <c r="H230" s="35" t="s">
        <v>3023</v>
      </c>
      <c r="I230" s="25"/>
    </row>
    <row r="231" spans="1:9" s="33" customFormat="1" ht="105">
      <c r="A231" s="4">
        <v>43563.053831018522</v>
      </c>
      <c r="B231" s="5" t="s">
        <v>15217</v>
      </c>
      <c r="C231" s="6" t="s">
        <v>10480</v>
      </c>
      <c r="D231" s="7" t="s">
        <v>10481</v>
      </c>
      <c r="E231" s="8" t="s">
        <v>13013</v>
      </c>
      <c r="F231" s="4">
        <v>43539.792743055557</v>
      </c>
      <c r="G231" s="24" t="s">
        <v>13001</v>
      </c>
      <c r="H231" s="35" t="s">
        <v>3023</v>
      </c>
      <c r="I231" s="10" t="s">
        <v>10482</v>
      </c>
    </row>
    <row r="232" spans="1:9" s="33" customFormat="1" ht="75">
      <c r="A232" s="4">
        <v>43557.753229166672</v>
      </c>
      <c r="B232" s="5" t="s">
        <v>15218</v>
      </c>
      <c r="C232" s="6" t="s">
        <v>4467</v>
      </c>
      <c r="D232" s="7" t="s">
        <v>12395</v>
      </c>
      <c r="E232" s="8" t="s">
        <v>13009</v>
      </c>
      <c r="F232" s="4">
        <v>43052.563310185185</v>
      </c>
      <c r="G232" s="24" t="s">
        <v>13001</v>
      </c>
      <c r="H232" s="35" t="s">
        <v>3023</v>
      </c>
      <c r="I232" s="10" t="s">
        <v>4469</v>
      </c>
    </row>
    <row r="233" spans="1:9" s="33" customFormat="1" ht="135">
      <c r="A233" s="4">
        <v>43557.577824074076</v>
      </c>
      <c r="B233" s="5" t="s">
        <v>15219</v>
      </c>
      <c r="C233" s="6" t="s">
        <v>12465</v>
      </c>
      <c r="D233" s="7" t="s">
        <v>12466</v>
      </c>
      <c r="E233" s="8" t="s">
        <v>13290</v>
      </c>
      <c r="F233" s="4">
        <v>43427.880914351852</v>
      </c>
      <c r="G233" s="24" t="s">
        <v>13001</v>
      </c>
      <c r="H233" s="35" t="s">
        <v>3023</v>
      </c>
      <c r="I233" s="10" t="s">
        <v>12467</v>
      </c>
    </row>
    <row r="234" spans="1:9" s="33" customFormat="1" ht="135">
      <c r="A234" s="12">
        <v>43573.040254629625</v>
      </c>
      <c r="B234" s="13" t="s">
        <v>15220</v>
      </c>
      <c r="C234" s="14" t="s">
        <v>3021</v>
      </c>
      <c r="D234" s="15" t="s">
        <v>3022</v>
      </c>
      <c r="E234" s="16" t="s">
        <v>13009</v>
      </c>
      <c r="F234" s="12">
        <v>42576.825752314813</v>
      </c>
      <c r="G234" s="24" t="s">
        <v>13001</v>
      </c>
      <c r="H234" s="35" t="s">
        <v>3023</v>
      </c>
      <c r="I234" s="18" t="s">
        <v>3024</v>
      </c>
    </row>
    <row r="235" spans="1:9" s="33" customFormat="1" ht="45">
      <c r="A235" s="12">
        <v>43571.75068287037</v>
      </c>
      <c r="B235" s="13" t="s">
        <v>15221</v>
      </c>
      <c r="C235" s="14" t="s">
        <v>3563</v>
      </c>
      <c r="D235" s="15" t="s">
        <v>3564</v>
      </c>
      <c r="E235" s="16" t="s">
        <v>13443</v>
      </c>
      <c r="F235" s="12">
        <v>42493.875717592593</v>
      </c>
      <c r="G235" s="24" t="s">
        <v>13001</v>
      </c>
      <c r="H235" s="35" t="s">
        <v>3023</v>
      </c>
      <c r="I235" s="18" t="s">
        <v>3565</v>
      </c>
    </row>
    <row r="236" spans="1:9" s="33" customFormat="1" ht="135">
      <c r="A236" s="12">
        <v>43570.611886574072</v>
      </c>
      <c r="B236" s="13" t="s">
        <v>15213</v>
      </c>
      <c r="C236" s="14" t="s">
        <v>4018</v>
      </c>
      <c r="D236" s="15" t="s">
        <v>4019</v>
      </c>
      <c r="E236" s="16" t="s">
        <v>13013</v>
      </c>
      <c r="F236" s="12">
        <v>42230.918240740742</v>
      </c>
      <c r="G236" s="24" t="s">
        <v>13001</v>
      </c>
      <c r="H236" s="35" t="s">
        <v>3023</v>
      </c>
      <c r="I236" s="18"/>
    </row>
    <row r="237" spans="1:9" s="33" customFormat="1" ht="135">
      <c r="A237" s="12">
        <v>43569.593159722222</v>
      </c>
      <c r="B237" s="13" t="s">
        <v>15218</v>
      </c>
      <c r="C237" s="14" t="s">
        <v>4467</v>
      </c>
      <c r="D237" s="15" t="s">
        <v>4468</v>
      </c>
      <c r="E237" s="16" t="s">
        <v>13009</v>
      </c>
      <c r="F237" s="12">
        <v>43052.563310185185</v>
      </c>
      <c r="G237" s="24" t="s">
        <v>13001</v>
      </c>
      <c r="H237" s="35" t="s">
        <v>3023</v>
      </c>
      <c r="I237" s="18" t="s">
        <v>4469</v>
      </c>
    </row>
    <row r="238" spans="1:9" s="33" customFormat="1" ht="90">
      <c r="A238" s="12">
        <v>43569.169803240744</v>
      </c>
      <c r="B238" s="13" t="s">
        <v>15222</v>
      </c>
      <c r="C238" s="14" t="s">
        <v>4583</v>
      </c>
      <c r="D238" s="15" t="s">
        <v>4584</v>
      </c>
      <c r="E238" s="16" t="s">
        <v>13032</v>
      </c>
      <c r="F238" s="12">
        <v>43108.624479166669</v>
      </c>
      <c r="G238" s="24" t="s">
        <v>13001</v>
      </c>
      <c r="H238" s="35" t="s">
        <v>3023</v>
      </c>
      <c r="I238" s="18" t="s">
        <v>4585</v>
      </c>
    </row>
    <row r="239" spans="1:9" s="33" customFormat="1" ht="75">
      <c r="A239" s="19">
        <v>43550.662268518514</v>
      </c>
      <c r="B239" s="20" t="s">
        <v>15223</v>
      </c>
      <c r="C239" s="21" t="s">
        <v>7563</v>
      </c>
      <c r="D239" s="22" t="s">
        <v>7564</v>
      </c>
      <c r="E239" s="23" t="s">
        <v>13018</v>
      </c>
      <c r="F239" s="19">
        <v>40562.755740740744</v>
      </c>
      <c r="G239" s="24" t="s">
        <v>13001</v>
      </c>
      <c r="H239" s="35" t="s">
        <v>7565</v>
      </c>
      <c r="I239" s="25" t="s">
        <v>7566</v>
      </c>
    </row>
    <row r="240" spans="1:9" s="33" customFormat="1" ht="120">
      <c r="A240" s="19">
        <v>43550.694444444445</v>
      </c>
      <c r="B240" s="20" t="s">
        <v>15224</v>
      </c>
      <c r="C240" s="21" t="s">
        <v>7546</v>
      </c>
      <c r="D240" s="22" t="s">
        <v>7547</v>
      </c>
      <c r="E240" s="23" t="s">
        <v>13009</v>
      </c>
      <c r="F240" s="19">
        <v>41815.252083333333</v>
      </c>
      <c r="G240" s="24" t="s">
        <v>13001</v>
      </c>
      <c r="H240" s="35" t="s">
        <v>7548</v>
      </c>
      <c r="I240" s="25" t="s">
        <v>7549</v>
      </c>
    </row>
    <row r="241" spans="1:9" s="33" customFormat="1" ht="90">
      <c r="A241" s="12">
        <v>43571.204768518517</v>
      </c>
      <c r="B241" s="13" t="s">
        <v>15225</v>
      </c>
      <c r="C241" s="14" t="s">
        <v>3789</v>
      </c>
      <c r="D241" s="15" t="s">
        <v>3790</v>
      </c>
      <c r="E241" s="16" t="s">
        <v>13009</v>
      </c>
      <c r="F241" s="12">
        <v>39906.178368055553</v>
      </c>
      <c r="G241" s="17" t="s">
        <v>13001</v>
      </c>
      <c r="H241" s="35" t="s">
        <v>3791</v>
      </c>
      <c r="I241" s="18" t="s">
        <v>3792</v>
      </c>
    </row>
    <row r="242" spans="1:9" s="33" customFormat="1" ht="75">
      <c r="A242" s="4">
        <v>43560.671377314815</v>
      </c>
      <c r="B242" s="5" t="s">
        <v>15226</v>
      </c>
      <c r="C242" s="6" t="s">
        <v>11227</v>
      </c>
      <c r="D242" s="7" t="s">
        <v>11228</v>
      </c>
      <c r="E242" s="8" t="s">
        <v>13009</v>
      </c>
      <c r="F242" s="4">
        <v>41079.104733796295</v>
      </c>
      <c r="G242" s="9" t="s">
        <v>13001</v>
      </c>
      <c r="H242" s="35" t="s">
        <v>11229</v>
      </c>
      <c r="I242" s="10" t="s">
        <v>11230</v>
      </c>
    </row>
    <row r="243" spans="1:9" s="33" customFormat="1" ht="75">
      <c r="A243" s="19">
        <v>43543.321099537032</v>
      </c>
      <c r="B243" s="20" t="s">
        <v>15227</v>
      </c>
      <c r="C243" s="21" t="s">
        <v>9869</v>
      </c>
      <c r="D243" s="22" t="s">
        <v>9870</v>
      </c>
      <c r="E243" s="23" t="s">
        <v>9869</v>
      </c>
      <c r="F243" s="19">
        <v>42409.143125000002</v>
      </c>
      <c r="G243" s="24" t="s">
        <v>13001</v>
      </c>
      <c r="H243" s="35" t="s">
        <v>9871</v>
      </c>
      <c r="I243" s="25" t="s">
        <v>9872</v>
      </c>
    </row>
    <row r="244" spans="1:9" s="33" customFormat="1">
      <c r="A244" s="4"/>
      <c r="B244" s="5"/>
      <c r="C244" s="6"/>
      <c r="D244" s="7"/>
      <c r="E244" s="8"/>
      <c r="F244" s="4"/>
      <c r="G244" s="9"/>
      <c r="H244" s="35"/>
      <c r="I244" s="10"/>
    </row>
    <row r="245" spans="1:9" s="33" customFormat="1">
      <c r="A245" s="19"/>
      <c r="B245" s="20"/>
      <c r="C245" s="21"/>
      <c r="D245" s="22"/>
      <c r="E245" s="23"/>
      <c r="F245" s="19"/>
      <c r="G245" s="24"/>
      <c r="H245" s="35"/>
      <c r="I245" s="25"/>
    </row>
  </sheetData>
  <autoFilter ref="A1:I243"/>
  <dataValidations count="1">
    <dataValidation type="textLength" allowBlank="1" showInputMessage="1" showErrorMessage="1" sqref="G1:H245">
      <formula1>1</formula1>
      <formula2>50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V17"/>
  <sheetViews>
    <sheetView tabSelected="1" topLeftCell="C1" workbookViewId="0">
      <selection activeCell="N17" sqref="N17"/>
    </sheetView>
  </sheetViews>
  <sheetFormatPr defaultRowHeight="15"/>
  <cols>
    <col min="16" max="16" width="14.85546875" customWidth="1"/>
  </cols>
  <sheetData>
    <row r="1" spans="16:22" ht="15.75" thickBot="1"/>
    <row r="2" spans="16:22" ht="15.75" thickBot="1">
      <c r="P2" s="42"/>
      <c r="Q2" s="43" t="s">
        <v>445</v>
      </c>
      <c r="R2" s="43" t="s">
        <v>2783</v>
      </c>
      <c r="S2" s="43" t="s">
        <v>171</v>
      </c>
      <c r="T2" s="43" t="s">
        <v>13000</v>
      </c>
      <c r="U2" s="43" t="s">
        <v>13002</v>
      </c>
      <c r="V2" s="43" t="s">
        <v>13001</v>
      </c>
    </row>
    <row r="3" spans="16:22">
      <c r="P3" s="44" t="s">
        <v>16147</v>
      </c>
      <c r="Q3" s="44">
        <v>0.51</v>
      </c>
      <c r="R3" s="44">
        <v>0.54</v>
      </c>
      <c r="S3" s="44">
        <v>0.66</v>
      </c>
      <c r="T3" s="44">
        <v>0.56999999999999995</v>
      </c>
      <c r="U3" s="44">
        <v>0.87</v>
      </c>
      <c r="V3" s="44">
        <v>0.61</v>
      </c>
    </row>
    <row r="4" spans="16:22" ht="15.75" thickBot="1">
      <c r="P4" s="45"/>
      <c r="Q4" s="45"/>
      <c r="R4" s="45"/>
      <c r="S4" s="45"/>
      <c r="T4" s="45"/>
      <c r="U4" s="45"/>
      <c r="V4" s="45"/>
    </row>
    <row r="5" spans="16:22" ht="15.75" thickBot="1">
      <c r="P5" s="45" t="s">
        <v>16148</v>
      </c>
      <c r="Q5" s="46">
        <v>0.49</v>
      </c>
      <c r="R5" s="46">
        <v>0.54</v>
      </c>
      <c r="S5" s="46">
        <v>0.61</v>
      </c>
      <c r="T5" s="46">
        <v>0.6</v>
      </c>
      <c r="U5" s="46">
        <v>0.88</v>
      </c>
      <c r="V5" s="46">
        <v>0.65</v>
      </c>
    </row>
    <row r="6" spans="16:22">
      <c r="P6" s="44" t="s">
        <v>4</v>
      </c>
      <c r="Q6" s="44">
        <v>0.49</v>
      </c>
      <c r="R6" s="44">
        <v>0.78</v>
      </c>
      <c r="S6" s="44">
        <v>0.71</v>
      </c>
      <c r="T6" s="44">
        <v>0.62</v>
      </c>
      <c r="U6" s="44">
        <v>0.8</v>
      </c>
      <c r="V6" s="44">
        <v>0.74</v>
      </c>
    </row>
    <row r="7" spans="16:22" ht="15.75" thickBot="1">
      <c r="P7" s="45"/>
      <c r="Q7" s="45"/>
      <c r="R7" s="45"/>
      <c r="S7" s="45"/>
      <c r="T7" s="45"/>
      <c r="U7" s="45"/>
      <c r="V7" s="45"/>
    </row>
    <row r="8" spans="16:22">
      <c r="P8" s="44" t="s">
        <v>16149</v>
      </c>
      <c r="Q8" s="44">
        <v>-0.34</v>
      </c>
      <c r="R8" s="44">
        <v>0.55000000000000004</v>
      </c>
      <c r="S8" s="44">
        <v>0.68</v>
      </c>
      <c r="T8" s="44">
        <v>0.63</v>
      </c>
      <c r="U8" s="44">
        <v>0.97</v>
      </c>
      <c r="V8" s="44">
        <v>0.82</v>
      </c>
    </row>
    <row r="9" spans="16:22" ht="15.75" thickBot="1">
      <c r="P9" s="45"/>
      <c r="Q9" s="45"/>
      <c r="R9" s="45"/>
      <c r="S9" s="45"/>
      <c r="T9" s="45"/>
      <c r="U9" s="45"/>
      <c r="V9" s="45"/>
    </row>
    <row r="10" spans="16:22">
      <c r="P10" s="44" t="s">
        <v>16150</v>
      </c>
      <c r="Q10" s="44">
        <v>0.45</v>
      </c>
      <c r="R10" s="44">
        <v>0.76</v>
      </c>
      <c r="S10" s="44">
        <v>0.71</v>
      </c>
      <c r="T10" s="44">
        <v>0.68</v>
      </c>
      <c r="U10" s="44">
        <v>0.84</v>
      </c>
      <c r="V10" s="44">
        <v>0.78</v>
      </c>
    </row>
    <row r="11" spans="16:22" ht="15.75" thickBot="1">
      <c r="P11" s="45"/>
      <c r="Q11" s="45"/>
      <c r="R11" s="45"/>
      <c r="S11" s="45"/>
      <c r="T11" s="45"/>
      <c r="U11" s="45"/>
      <c r="V11" s="45"/>
    </row>
    <row r="12" spans="16:22">
      <c r="P12" s="44" t="s">
        <v>16151</v>
      </c>
      <c r="Q12" s="44">
        <v>0</v>
      </c>
      <c r="R12" s="44">
        <v>0.74</v>
      </c>
      <c r="S12" s="44">
        <v>0.82</v>
      </c>
      <c r="T12" s="44">
        <v>0.71</v>
      </c>
      <c r="U12" s="44">
        <v>0.97</v>
      </c>
      <c r="V12" s="44">
        <v>0.86</v>
      </c>
    </row>
    <row r="13" spans="16:22" ht="15.75" thickBot="1">
      <c r="P13" s="45"/>
      <c r="Q13" s="45"/>
      <c r="R13" s="45"/>
      <c r="S13" s="45"/>
      <c r="T13" s="45"/>
      <c r="U13" s="45"/>
      <c r="V13" s="45"/>
    </row>
    <row r="14" spans="16:22">
      <c r="P14" s="44" t="s">
        <v>16152</v>
      </c>
      <c r="Q14" s="44">
        <v>0.44</v>
      </c>
      <c r="R14" s="44">
        <v>0.82</v>
      </c>
      <c r="S14" s="44">
        <v>0.63</v>
      </c>
      <c r="T14" s="44">
        <v>0.63</v>
      </c>
      <c r="U14" s="44">
        <v>0</v>
      </c>
      <c r="V14" s="44">
        <v>0.79</v>
      </c>
    </row>
    <row r="15" spans="16:22" ht="15.75" thickBot="1">
      <c r="P15" s="45"/>
      <c r="Q15" s="45"/>
      <c r="R15" s="45"/>
      <c r="S15" s="45"/>
      <c r="T15" s="45"/>
      <c r="U15" s="45"/>
      <c r="V15" s="45"/>
    </row>
    <row r="16" spans="16:22">
      <c r="P16" s="44" t="s">
        <v>16153</v>
      </c>
      <c r="Q16" s="44">
        <v>0.52</v>
      </c>
      <c r="R16" s="44">
        <v>0.74</v>
      </c>
      <c r="S16" s="44">
        <v>0.54</v>
      </c>
      <c r="T16" s="44">
        <v>0</v>
      </c>
      <c r="U16" s="44">
        <v>0.87</v>
      </c>
      <c r="V16" s="44">
        <v>0.56000000000000005</v>
      </c>
    </row>
    <row r="17" spans="16:22" ht="15.75" thickBot="1">
      <c r="P17" s="45"/>
      <c r="Q17" s="45"/>
      <c r="R17" s="45"/>
      <c r="S17" s="45"/>
      <c r="T17" s="45"/>
      <c r="U17" s="45"/>
      <c r="V17" s="45"/>
    </row>
  </sheetData>
  <conditionalFormatting sqref="Q3:V17">
    <cfRule type="colorScale" priority="1">
      <colorScale>
        <cfvo type="min"/>
        <cfvo type="percentile" val="50"/>
        <cfvo type="max"/>
        <color rgb="FFF8696B"/>
        <color rgb="FFFCFCFF"/>
        <color rgb="FF63BE7B"/>
      </colorScale>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#airbnb</vt:lpstr>
      <vt:lpstr>Asia</vt:lpstr>
      <vt:lpstr>Africa</vt:lpstr>
      <vt:lpstr>Europe</vt:lpstr>
      <vt:lpstr>North America</vt:lpstr>
      <vt:lpstr>South America</vt:lpstr>
      <vt:lpstr>Oceania</vt:lpstr>
      <vt:lpstr>Analysis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DELL</cp:lastModifiedBy>
  <dcterms:created xsi:type="dcterms:W3CDTF">2019-04-25T17:07:06Z</dcterms:created>
  <dcterms:modified xsi:type="dcterms:W3CDTF">2019-09-10T04:17:39Z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